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webextensions/webextension1.xml" ContentType="application/vnd.ms-office.webextension+xml"/>
  <Override PartName="/xl/pivotTables/pivotTable1.xml" ContentType="application/vnd.openxmlformats-officedocument.spreadsheetml.pivotTable+xml"/>
  <Override PartName="/xl/drawings/drawing6.xml" ContentType="application/vnd.openxmlformats-officedocument.drawing+xml"/>
  <Override PartName="/xl/webextensions/webextension2.xml" ContentType="application/vnd.ms-office.webextension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ebextensions/webextension3.xml" ContentType="application/vnd.ms-office.webextension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pivotTables/pivotTable2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backupFile="1"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rtar\Downloads\CHATGPT\"/>
    </mc:Choice>
  </mc:AlternateContent>
  <xr:revisionPtr revIDLastSave="0" documentId="13_ncr:20001_{7C47A293-1AE9-4F91-8485-FF9815AA4AE5}" xr6:coauthVersionLast="47" xr6:coauthVersionMax="47" xr10:uidLastSave="{00000000-0000-0000-0000-000000000000}"/>
  <bookViews>
    <workbookView xWindow="-110" yWindow="-110" windowWidth="19420" windowHeight="10300" tabRatio="599" activeTab="3" xr2:uid="{00000000-000D-0000-FFFF-FFFF00000000}"/>
  </bookViews>
  <sheets>
    <sheet name="RESUMEN CHART" sheetId="25" r:id="rId1"/>
    <sheet name="resumen" sheetId="22" r:id="rId2"/>
    <sheet name="UVA" sheetId="28" r:id="rId3"/>
    <sheet name="CARTERA" sheetId="18" r:id="rId4"/>
    <sheet name="POR VTO." sheetId="31" r:id="rId5"/>
    <sheet name="PF ANTERIORES $" sheetId="26" r:id="rId6"/>
    <sheet name="POR BANC" sheetId="32" r:id="rId7"/>
    <sheet name=" PF ANTERIORES U$S" sheetId="1" r:id="rId8"/>
    <sheet name="Hoja1" sheetId="27" r:id="rId9"/>
    <sheet name="RES.ANT." sheetId="13" r:id="rId10"/>
  </sheets>
  <definedNames>
    <definedName name="_xlnm._FilterDatabase" localSheetId="7" hidden="1">' PF ANTERIORES U$S'!$A$557:$G$587</definedName>
    <definedName name="_xlnm._FilterDatabase" localSheetId="3" hidden="1">CARTERA!$A$22:$H$40</definedName>
    <definedName name="_xlnm._FilterDatabase" localSheetId="8" hidden="1">Hoja1!$A$1:$G$607</definedName>
    <definedName name="_xlnm._FilterDatabase" localSheetId="5" hidden="1">'PF ANTERIORES $'!$A$3678:$G$4041</definedName>
    <definedName name="_xlnm._FilterDatabase" localSheetId="9" hidden="1">'RES.ANT.'!$A$1:$C$1696</definedName>
    <definedName name="_xlnm._FilterDatabase" localSheetId="1" hidden="1">#REF!</definedName>
    <definedName name="_Key1" hidden="1">#REF!</definedName>
    <definedName name="_Order1" hidden="1">255</definedName>
    <definedName name="_Sort" hidden="1">#REF!</definedName>
    <definedName name="_xlnm.Print_Area" localSheetId="3">CARTERA!$H$210:$N$650</definedName>
    <definedName name="_xlnm.Print_Area" localSheetId="1">resumen!$A$1:$C$33</definedName>
  </definedNames>
  <calcPr calcId="191029"/>
  <pivotCaches>
    <pivotCache cacheId="3" r:id="rId11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2" i="18" l="1"/>
  <c r="C72" i="18"/>
  <c r="L72" i="18" s="1"/>
  <c r="M72" i="18" s="1"/>
  <c r="C6" i="18"/>
  <c r="H72" i="18" l="1"/>
  <c r="F2209" i="22"/>
  <c r="E2209" i="22"/>
  <c r="D2209" i="22"/>
  <c r="B2208" i="22"/>
  <c r="L2207" i="22"/>
  <c r="K2207" i="22"/>
  <c r="J2207" i="22"/>
  <c r="B2207" i="22"/>
  <c r="L2206" i="22"/>
  <c r="K2206" i="22"/>
  <c r="J2206" i="22"/>
  <c r="B2206" i="22"/>
  <c r="L2205" i="22"/>
  <c r="K2205" i="22"/>
  <c r="J2205" i="22"/>
  <c r="B2205" i="22"/>
  <c r="L2204" i="22"/>
  <c r="K2204" i="22"/>
  <c r="J2204" i="22"/>
  <c r="B2204" i="22"/>
  <c r="L2203" i="22"/>
  <c r="K2203" i="22"/>
  <c r="J2203" i="22"/>
  <c r="B2203" i="22"/>
  <c r="L2202" i="22"/>
  <c r="K2202" i="22"/>
  <c r="J2202" i="22"/>
  <c r="B2202" i="22"/>
  <c r="L2201" i="22"/>
  <c r="K2201" i="22"/>
  <c r="J2201" i="22"/>
  <c r="H2201" i="22" s="1"/>
  <c r="B2201" i="22"/>
  <c r="H2200" i="22"/>
  <c r="D189" i="18"/>
  <c r="C189" i="18"/>
  <c r="L189" i="18" s="1"/>
  <c r="M189" i="18" s="1"/>
  <c r="C4951" i="26"/>
  <c r="B4951" i="26"/>
  <c r="D178" i="18"/>
  <c r="C178" i="18"/>
  <c r="H178" i="18" s="1"/>
  <c r="L4940" i="26"/>
  <c r="M4940" i="26" s="1"/>
  <c r="J4940" i="26"/>
  <c r="I4940" i="26"/>
  <c r="K4940" i="26" s="1"/>
  <c r="D4940" i="26"/>
  <c r="C4940" i="26"/>
  <c r="H4940" i="26" s="1"/>
  <c r="L4939" i="26"/>
  <c r="M4939" i="26" s="1"/>
  <c r="J4939" i="26"/>
  <c r="I4939" i="26"/>
  <c r="K4939" i="26" s="1"/>
  <c r="D4939" i="26"/>
  <c r="C4939" i="26"/>
  <c r="H4939" i="26" s="1"/>
  <c r="L4938" i="26"/>
  <c r="M4938" i="26" s="1"/>
  <c r="J4938" i="26"/>
  <c r="I4938" i="26"/>
  <c r="K4938" i="26" s="1"/>
  <c r="D4938" i="26"/>
  <c r="C4938" i="26"/>
  <c r="H4938" i="26" s="1"/>
  <c r="L4937" i="26"/>
  <c r="M4937" i="26" s="1"/>
  <c r="J4937" i="26"/>
  <c r="I4937" i="26"/>
  <c r="K4937" i="26" s="1"/>
  <c r="D4937" i="26"/>
  <c r="C4937" i="26"/>
  <c r="H4937" i="26" s="1"/>
  <c r="L4936" i="26"/>
  <c r="M4936" i="26" s="1"/>
  <c r="J4936" i="26"/>
  <c r="I4936" i="26"/>
  <c r="K4936" i="26" s="1"/>
  <c r="D4936" i="26"/>
  <c r="C4936" i="26"/>
  <c r="H4936" i="26" s="1"/>
  <c r="L4935" i="26"/>
  <c r="M4935" i="26" s="1"/>
  <c r="J4935" i="26"/>
  <c r="I4935" i="26"/>
  <c r="K4935" i="26" s="1"/>
  <c r="D4935" i="26"/>
  <c r="C4935" i="26"/>
  <c r="D172" i="18"/>
  <c r="C172" i="18"/>
  <c r="H172" i="18" s="1"/>
  <c r="B193" i="18"/>
  <c r="C180" i="18"/>
  <c r="L180" i="18" s="1"/>
  <c r="M180" i="18" s="1"/>
  <c r="D180" i="18"/>
  <c r="D175" i="18"/>
  <c r="C175" i="18"/>
  <c r="L175" i="18" s="1"/>
  <c r="M175" i="18" s="1"/>
  <c r="L4929" i="26"/>
  <c r="M4929" i="26" s="1"/>
  <c r="J4929" i="26"/>
  <c r="I4929" i="26"/>
  <c r="K4929" i="26" s="1"/>
  <c r="D4929" i="26"/>
  <c r="C4929" i="26"/>
  <c r="H4929" i="26" s="1"/>
  <c r="L4928" i="26"/>
  <c r="M4928" i="26" s="1"/>
  <c r="J4928" i="26"/>
  <c r="I4928" i="26"/>
  <c r="K4928" i="26" s="1"/>
  <c r="D4928" i="26"/>
  <c r="C4928" i="26"/>
  <c r="H4928" i="26" s="1"/>
  <c r="L4927" i="26"/>
  <c r="M4927" i="26" s="1"/>
  <c r="J4927" i="26"/>
  <c r="I4927" i="26"/>
  <c r="K4927" i="26" s="1"/>
  <c r="D4927" i="26"/>
  <c r="C4927" i="26"/>
  <c r="H4927" i="26" s="1"/>
  <c r="D165" i="18"/>
  <c r="C165" i="18"/>
  <c r="L165" i="18" s="1"/>
  <c r="M165" i="18" s="1"/>
  <c r="H2202" i="22" l="1"/>
  <c r="H2203" i="22"/>
  <c r="H2205" i="22"/>
  <c r="H2207" i="22"/>
  <c r="H2206" i="22"/>
  <c r="L2209" i="22"/>
  <c r="H2204" i="22"/>
  <c r="K2209" i="22"/>
  <c r="J2209" i="22"/>
  <c r="B2209" i="22"/>
  <c r="H189" i="18"/>
  <c r="L178" i="18"/>
  <c r="M178" i="18" s="1"/>
  <c r="H4935" i="26"/>
  <c r="H180" i="18"/>
  <c r="L172" i="18"/>
  <c r="M172" i="18" s="1"/>
  <c r="H175" i="18"/>
  <c r="H165" i="18"/>
  <c r="C2202" i="22" l="1"/>
  <c r="C2203" i="22"/>
  <c r="C2205" i="22"/>
  <c r="C2207" i="22"/>
  <c r="C2204" i="22"/>
  <c r="H2209" i="22"/>
  <c r="I2206" i="22" s="1"/>
  <c r="C2201" i="22"/>
  <c r="C2206" i="22"/>
  <c r="C601" i="18"/>
  <c r="B600" i="18"/>
  <c r="D159" i="18"/>
  <c r="C159" i="18"/>
  <c r="H159" i="18" s="1"/>
  <c r="C4954" i="26"/>
  <c r="D152" i="18"/>
  <c r="C152" i="18"/>
  <c r="H152" i="18" s="1"/>
  <c r="B599" i="18"/>
  <c r="D166" i="18"/>
  <c r="C166" i="18"/>
  <c r="L166" i="18" s="1"/>
  <c r="M166" i="18" s="1"/>
  <c r="B598" i="18"/>
  <c r="D179" i="18"/>
  <c r="C179" i="18"/>
  <c r="L179" i="18" s="1"/>
  <c r="M179" i="18" s="1"/>
  <c r="B596" i="18"/>
  <c r="D149" i="18"/>
  <c r="C149" i="18"/>
  <c r="H149" i="18" s="1"/>
  <c r="D143" i="18"/>
  <c r="C143" i="18"/>
  <c r="L143" i="18" s="1"/>
  <c r="M143" i="18" s="1"/>
  <c r="M4859" i="26"/>
  <c r="D66" i="18"/>
  <c r="C66" i="18"/>
  <c r="L66" i="18" s="1"/>
  <c r="M66" i="18" s="1"/>
  <c r="D140" i="18"/>
  <c r="C140" i="18"/>
  <c r="L140" i="18" s="1"/>
  <c r="M140" i="18" s="1"/>
  <c r="B597" i="18"/>
  <c r="D130" i="18"/>
  <c r="C130" i="18"/>
  <c r="L130" i="18" s="1"/>
  <c r="M130" i="18" s="1"/>
  <c r="B199" i="18"/>
  <c r="I2207" i="22" l="1"/>
  <c r="I2208" i="22"/>
  <c r="I2203" i="22"/>
  <c r="I2201" i="22"/>
  <c r="I2202" i="22"/>
  <c r="I2205" i="22"/>
  <c r="I2204" i="22"/>
  <c r="L159" i="18"/>
  <c r="M159" i="18" s="1"/>
  <c r="L152" i="18"/>
  <c r="M152" i="18" s="1"/>
  <c r="H166" i="18"/>
  <c r="H179" i="18"/>
  <c r="L149" i="18"/>
  <c r="M149" i="18" s="1"/>
  <c r="H143" i="18"/>
  <c r="H66" i="18"/>
  <c r="H140" i="18"/>
  <c r="H130" i="18"/>
  <c r="I2209" i="22" l="1"/>
  <c r="D103" i="18"/>
  <c r="C103" i="18"/>
  <c r="L103" i="18" s="1"/>
  <c r="M103" i="18" s="1"/>
  <c r="G601" i="18"/>
  <c r="B595" i="18"/>
  <c r="D125" i="18"/>
  <c r="C125" i="18"/>
  <c r="H125" i="18" s="1"/>
  <c r="D120" i="18"/>
  <c r="C120" i="18"/>
  <c r="L120" i="18" s="1"/>
  <c r="M120" i="18" s="1"/>
  <c r="L125" i="18" l="1"/>
  <c r="M125" i="18" s="1"/>
  <c r="H120" i="18"/>
  <c r="D121" i="18" l="1"/>
  <c r="C121" i="18"/>
  <c r="L121" i="18" s="1"/>
  <c r="M121" i="18" s="1"/>
  <c r="D123" i="18"/>
  <c r="C123" i="18"/>
  <c r="H123" i="18" s="1"/>
  <c r="D122" i="18"/>
  <c r="C122" i="18"/>
  <c r="L122" i="18" s="1"/>
  <c r="M122" i="18" s="1"/>
  <c r="D127" i="18"/>
  <c r="C127" i="18"/>
  <c r="B594" i="18"/>
  <c r="H121" i="18" l="1"/>
  <c r="L123" i="18"/>
  <c r="M123" i="18" s="1"/>
  <c r="H122" i="18"/>
  <c r="B593" i="18"/>
  <c r="C198" i="18"/>
  <c r="B592" i="18"/>
  <c r="B591" i="18"/>
  <c r="C114" i="18"/>
  <c r="B590" i="18"/>
  <c r="D104" i="18"/>
  <c r="C104" i="18"/>
  <c r="L104" i="18" s="1"/>
  <c r="M104" i="18" s="1"/>
  <c r="C109" i="18"/>
  <c r="L109" i="18" s="1"/>
  <c r="M109" i="18" s="1"/>
  <c r="D109" i="18"/>
  <c r="D97" i="18"/>
  <c r="C97" i="18"/>
  <c r="H97" i="18" s="1"/>
  <c r="D106" i="18"/>
  <c r="C106" i="18"/>
  <c r="H106" i="18" s="1"/>
  <c r="H105" i="18"/>
  <c r="D105" i="18"/>
  <c r="C105" i="18"/>
  <c r="L105" i="18" s="1"/>
  <c r="H96" i="18"/>
  <c r="D96" i="18"/>
  <c r="C96" i="18"/>
  <c r="M96" i="18" s="1"/>
  <c r="B589" i="18"/>
  <c r="B588" i="18"/>
  <c r="B587" i="18"/>
  <c r="B586" i="18"/>
  <c r="B585" i="18"/>
  <c r="J2191" i="22"/>
  <c r="K2191" i="22"/>
  <c r="L2191" i="22"/>
  <c r="J2192" i="22"/>
  <c r="K2192" i="22"/>
  <c r="L2192" i="22"/>
  <c r="J2193" i="22"/>
  <c r="K2193" i="22"/>
  <c r="L2193" i="22"/>
  <c r="J2194" i="22"/>
  <c r="K2194" i="22"/>
  <c r="L2194" i="22"/>
  <c r="J2195" i="22"/>
  <c r="K2195" i="22"/>
  <c r="L2195" i="22"/>
  <c r="J2196" i="22"/>
  <c r="K2196" i="22"/>
  <c r="L2196" i="22"/>
  <c r="K2190" i="22"/>
  <c r="L2190" i="22"/>
  <c r="J2190" i="22"/>
  <c r="H2190" i="22" s="1"/>
  <c r="E64" i="22"/>
  <c r="J2179" i="22"/>
  <c r="H2189" i="22"/>
  <c r="F2198" i="22"/>
  <c r="E2198" i="22"/>
  <c r="B2197" i="22"/>
  <c r="B2196" i="22"/>
  <c r="B2195" i="22"/>
  <c r="B2194" i="22"/>
  <c r="B2193" i="22"/>
  <c r="B2192" i="22"/>
  <c r="B2191" i="22"/>
  <c r="B584" i="18"/>
  <c r="B583" i="18"/>
  <c r="B582" i="18"/>
  <c r="B581" i="18"/>
  <c r="H2192" i="22" l="1"/>
  <c r="H2196" i="22"/>
  <c r="H2195" i="22"/>
  <c r="H104" i="18"/>
  <c r="H109" i="18"/>
  <c r="L97" i="18"/>
  <c r="M97" i="18" s="1"/>
  <c r="L106" i="18"/>
  <c r="M106" i="18" s="1"/>
  <c r="M105" i="18"/>
  <c r="L96" i="18"/>
  <c r="J2198" i="22"/>
  <c r="H2193" i="22"/>
  <c r="H2194" i="22"/>
  <c r="K2198" i="22"/>
  <c r="H2191" i="22"/>
  <c r="L2198" i="22"/>
  <c r="B580" i="18"/>
  <c r="B579" i="18"/>
  <c r="H2198" i="22" l="1"/>
  <c r="I2191" i="22"/>
  <c r="I2196" i="22"/>
  <c r="I2194" i="22"/>
  <c r="B578" i="18"/>
  <c r="B577" i="18"/>
  <c r="I2197" i="22" l="1"/>
  <c r="I2190" i="22"/>
  <c r="I2192" i="22"/>
  <c r="I2195" i="22"/>
  <c r="I2193" i="22"/>
  <c r="B576" i="18"/>
  <c r="D98" i="18"/>
  <c r="C98" i="18"/>
  <c r="L98" i="18" s="1"/>
  <c r="M98" i="18" s="1"/>
  <c r="D102" i="18"/>
  <c r="C102" i="18"/>
  <c r="B575" i="18"/>
  <c r="D542" i="1"/>
  <c r="D541" i="1"/>
  <c r="C542" i="1"/>
  <c r="C541" i="1"/>
  <c r="B574" i="18"/>
  <c r="D87" i="18"/>
  <c r="C87" i="18"/>
  <c r="L87" i="18" s="1"/>
  <c r="M87" i="18" s="1"/>
  <c r="D78" i="18"/>
  <c r="C78" i="18"/>
  <c r="H78" i="18" s="1"/>
  <c r="H98" i="18" l="1"/>
  <c r="H87" i="18"/>
  <c r="L78" i="18"/>
  <c r="M78" i="18" s="1"/>
  <c r="D74" i="18"/>
  <c r="C74" i="18"/>
  <c r="L74" i="18" s="1"/>
  <c r="M74" i="18" s="1"/>
  <c r="D80" i="18"/>
  <c r="C80" i="18"/>
  <c r="L80" i="18" s="1"/>
  <c r="M80" i="18" s="1"/>
  <c r="H74" i="18" l="1"/>
  <c r="H80" i="18"/>
  <c r="D110" i="18"/>
  <c r="C110" i="18"/>
  <c r="L110" i="18" s="1"/>
  <c r="M110" i="18" s="1"/>
  <c r="H110" i="18" l="1"/>
  <c r="D76" i="18" l="1"/>
  <c r="C76" i="18"/>
  <c r="B573" i="18"/>
  <c r="B572" i="18"/>
  <c r="B571" i="18"/>
  <c r="B570" i="18"/>
  <c r="B569" i="18"/>
  <c r="B568" i="18"/>
  <c r="B567" i="18"/>
  <c r="D77" i="18"/>
  <c r="C77" i="18"/>
  <c r="L77" i="18" s="1"/>
  <c r="M77" i="18" s="1"/>
  <c r="D79" i="18"/>
  <c r="C79" i="18"/>
  <c r="H79" i="18" s="1"/>
  <c r="D187" i="18"/>
  <c r="C187" i="18"/>
  <c r="L187" i="18" s="1"/>
  <c r="M187" i="18" s="1"/>
  <c r="B566" i="18"/>
  <c r="B565" i="18"/>
  <c r="B564" i="18"/>
  <c r="D137" i="18"/>
  <c r="C137" i="18"/>
  <c r="L137" i="18" s="1"/>
  <c r="M137" i="18" s="1"/>
  <c r="B563" i="18"/>
  <c r="D64" i="18"/>
  <c r="C64" i="18"/>
  <c r="L64" i="18" s="1"/>
  <c r="M64" i="18" s="1"/>
  <c r="D67" i="18"/>
  <c r="C67" i="18"/>
  <c r="L67" i="18" s="1"/>
  <c r="M67" i="18" s="1"/>
  <c r="D139" i="18"/>
  <c r="B562" i="18"/>
  <c r="B561" i="18"/>
  <c r="M4791" i="26"/>
  <c r="M4789" i="26"/>
  <c r="M4787" i="26"/>
  <c r="M4786" i="26"/>
  <c r="M4785" i="26"/>
  <c r="M4784" i="26"/>
  <c r="M4783" i="26"/>
  <c r="M4782" i="26"/>
  <c r="M4781" i="26"/>
  <c r="M4780" i="26"/>
  <c r="C4790" i="26"/>
  <c r="D190" i="18"/>
  <c r="C190" i="18"/>
  <c r="L190" i="18" s="1"/>
  <c r="M190" i="18" s="1"/>
  <c r="D176" i="18"/>
  <c r="C176" i="18"/>
  <c r="L176" i="18" s="1"/>
  <c r="M176" i="18" s="1"/>
  <c r="D135" i="18"/>
  <c r="C135" i="18"/>
  <c r="H135" i="18" s="1"/>
  <c r="D162" i="18"/>
  <c r="C162" i="18"/>
  <c r="L162" i="18" s="1"/>
  <c r="M162" i="18" s="1"/>
  <c r="L79" i="18" l="1"/>
  <c r="M79" i="18" s="1"/>
  <c r="H77" i="18"/>
  <c r="H187" i="18"/>
  <c r="H137" i="18"/>
  <c r="M4790" i="26"/>
  <c r="H64" i="18"/>
  <c r="H67" i="18"/>
  <c r="H190" i="18"/>
  <c r="H176" i="18"/>
  <c r="L135" i="18"/>
  <c r="M135" i="18" s="1"/>
  <c r="H162" i="18"/>
  <c r="B56" i="31"/>
  <c r="D173" i="18"/>
  <c r="C173" i="18"/>
  <c r="L173" i="18" s="1"/>
  <c r="M173" i="18" s="1"/>
  <c r="B54" i="31"/>
  <c r="B560" i="18"/>
  <c r="M4779" i="26"/>
  <c r="M4778" i="26"/>
  <c r="M4777" i="26"/>
  <c r="M4776" i="26"/>
  <c r="D174" i="18"/>
  <c r="C174" i="18"/>
  <c r="D145" i="18"/>
  <c r="C145" i="18"/>
  <c r="L145" i="18" s="1"/>
  <c r="M145" i="18" s="1"/>
  <c r="C4774" i="26"/>
  <c r="M4774" i="26" s="1"/>
  <c r="D126" i="18"/>
  <c r="C126" i="18"/>
  <c r="L126" i="18" s="1"/>
  <c r="M126" i="18" s="1"/>
  <c r="D116" i="18"/>
  <c r="C116" i="18"/>
  <c r="H116" i="18" s="1"/>
  <c r="M4775" i="26"/>
  <c r="M4773" i="26"/>
  <c r="D155" i="18"/>
  <c r="H173" i="18" l="1"/>
  <c r="H145" i="18"/>
  <c r="H126" i="18"/>
  <c r="L116" i="18"/>
  <c r="M116" i="18" s="1"/>
  <c r="M4772" i="26"/>
  <c r="M4771" i="26"/>
  <c r="B4954" i="26"/>
  <c r="D167" i="18"/>
  <c r="C167" i="18"/>
  <c r="L167" i="18" s="1"/>
  <c r="M167" i="18" s="1"/>
  <c r="C613" i="18"/>
  <c r="C4770" i="26"/>
  <c r="F4951" i="26" s="1"/>
  <c r="M4765" i="26"/>
  <c r="M4766" i="26"/>
  <c r="M4767" i="26"/>
  <c r="M4768" i="26"/>
  <c r="M4769" i="26"/>
  <c r="C157" i="18"/>
  <c r="C169" i="18"/>
  <c r="L169" i="18" s="1"/>
  <c r="M169" i="18" s="1"/>
  <c r="C170" i="18"/>
  <c r="H170" i="18" s="1"/>
  <c r="C171" i="18"/>
  <c r="L171" i="18" s="1"/>
  <c r="M171" i="18" s="1"/>
  <c r="C181" i="18"/>
  <c r="H181" i="18" s="1"/>
  <c r="C177" i="18"/>
  <c r="H177" i="18" s="1"/>
  <c r="C188" i="18"/>
  <c r="H188" i="18" s="1"/>
  <c r="C183" i="18"/>
  <c r="H183" i="18" s="1"/>
  <c r="C68" i="18"/>
  <c r="H68" i="18" s="1"/>
  <c r="C182" i="18"/>
  <c r="L182" i="18" s="1"/>
  <c r="M182" i="18" s="1"/>
  <c r="C186" i="18"/>
  <c r="H186" i="18" s="1"/>
  <c r="C65" i="18"/>
  <c r="L65" i="18" s="1"/>
  <c r="M65" i="18" s="1"/>
  <c r="C71" i="18"/>
  <c r="H71" i="18" s="1"/>
  <c r="C73" i="18"/>
  <c r="H73" i="18" s="1"/>
  <c r="C69" i="18"/>
  <c r="L69" i="18" s="1"/>
  <c r="M69" i="18" s="1"/>
  <c r="C81" i="18"/>
  <c r="C82" i="18"/>
  <c r="L82" i="18" s="1"/>
  <c r="M82" i="18" s="1"/>
  <c r="C75" i="18"/>
  <c r="C85" i="18"/>
  <c r="L85" i="18" s="1"/>
  <c r="M85" i="18" s="1"/>
  <c r="C84" i="18"/>
  <c r="H84" i="18" s="1"/>
  <c r="C86" i="18"/>
  <c r="H86" i="18" s="1"/>
  <c r="C92" i="18"/>
  <c r="H92" i="18" s="1"/>
  <c r="C88" i="18"/>
  <c r="L88" i="18" s="1"/>
  <c r="M88" i="18" s="1"/>
  <c r="C90" i="18"/>
  <c r="H90" i="18" s="1"/>
  <c r="C91" i="18"/>
  <c r="C95" i="18"/>
  <c r="L95" i="18" s="1"/>
  <c r="M95" i="18" s="1"/>
  <c r="C93" i="18"/>
  <c r="C94" i="18"/>
  <c r="L94" i="18" s="1"/>
  <c r="M94" i="18" s="1"/>
  <c r="C100" i="18"/>
  <c r="H100" i="18" s="1"/>
  <c r="C101" i="18"/>
  <c r="H101" i="18" s="1"/>
  <c r="C99" i="18"/>
  <c r="C89" i="18"/>
  <c r="H89" i="18" s="1"/>
  <c r="C4021" i="26"/>
  <c r="C108" i="18"/>
  <c r="L108" i="18" s="1"/>
  <c r="M108" i="18" s="1"/>
  <c r="H114" i="18"/>
  <c r="C115" i="18"/>
  <c r="H115" i="18" s="1"/>
  <c r="C4022" i="26"/>
  <c r="C107" i="18"/>
  <c r="L107" i="18" s="1"/>
  <c r="M107" i="18" s="1"/>
  <c r="C111" i="18"/>
  <c r="C112" i="18"/>
  <c r="L112" i="18" s="1"/>
  <c r="M112" i="18" s="1"/>
  <c r="C113" i="18"/>
  <c r="C83" i="18"/>
  <c r="H83" i="18" s="1"/>
  <c r="C118" i="18"/>
  <c r="H118" i="18" s="1"/>
  <c r="C119" i="18"/>
  <c r="L119" i="18" s="1"/>
  <c r="M119" i="18" s="1"/>
  <c r="C117" i="18"/>
  <c r="H117" i="18" s="1"/>
  <c r="L127" i="18"/>
  <c r="M127" i="18" s="1"/>
  <c r="C128" i="18"/>
  <c r="H128" i="18" s="1"/>
  <c r="C191" i="18"/>
  <c r="C124" i="18"/>
  <c r="C131" i="18"/>
  <c r="C132" i="18"/>
  <c r="L132" i="18" s="1"/>
  <c r="M132" i="18" s="1"/>
  <c r="C133" i="18"/>
  <c r="H133" i="18" s="1"/>
  <c r="C129" i="18"/>
  <c r="H129" i="18" s="1"/>
  <c r="C142" i="18"/>
  <c r="L142" i="18" s="1"/>
  <c r="M142" i="18" s="1"/>
  <c r="C141" i="18"/>
  <c r="C136" i="18"/>
  <c r="L136" i="18" s="1"/>
  <c r="M136" i="18" s="1"/>
  <c r="C70" i="18"/>
  <c r="L70" i="18" s="1"/>
  <c r="M70" i="18" s="1"/>
  <c r="C147" i="18"/>
  <c r="H147" i="18" s="1"/>
  <c r="C138" i="18"/>
  <c r="H138" i="18" s="1"/>
  <c r="C185" i="18"/>
  <c r="L185" i="18" s="1"/>
  <c r="M185" i="18" s="1"/>
  <c r="C144" i="18"/>
  <c r="H144" i="18" s="1"/>
  <c r="C146" i="18"/>
  <c r="H146" i="18" s="1"/>
  <c r="C150" i="18"/>
  <c r="L150" i="18" s="1"/>
  <c r="M150" i="18" s="1"/>
  <c r="C151" i="18"/>
  <c r="C148" i="18"/>
  <c r="L148" i="18" s="1"/>
  <c r="M148" i="18" s="1"/>
  <c r="C156" i="18"/>
  <c r="H156" i="18" s="1"/>
  <c r="C154" i="18"/>
  <c r="H154" i="18" s="1"/>
  <c r="C153" i="18"/>
  <c r="C161" i="18"/>
  <c r="C160" i="18"/>
  <c r="H160" i="18" s="1"/>
  <c r="C164" i="18"/>
  <c r="L164" i="18" s="1"/>
  <c r="M164" i="18" s="1"/>
  <c r="C158" i="18"/>
  <c r="L158" i="18" s="1"/>
  <c r="M158" i="18" s="1"/>
  <c r="C184" i="18"/>
  <c r="L184" i="18" s="1"/>
  <c r="M184" i="18" s="1"/>
  <c r="C163" i="18"/>
  <c r="L163" i="18" s="1"/>
  <c r="M163" i="18" s="1"/>
  <c r="C168" i="18"/>
  <c r="L168" i="18" s="1"/>
  <c r="M168" i="18" s="1"/>
  <c r="C134" i="18"/>
  <c r="D163" i="18"/>
  <c r="D160" i="18"/>
  <c r="D164" i="18"/>
  <c r="B559" i="18"/>
  <c r="C4761" i="26"/>
  <c r="M4761" i="26" s="1"/>
  <c r="C4764" i="26"/>
  <c r="M4764" i="26" s="1"/>
  <c r="M4763" i="26"/>
  <c r="M4762" i="26"/>
  <c r="M4760" i="26"/>
  <c r="B558" i="18"/>
  <c r="D153" i="18"/>
  <c r="B557" i="18"/>
  <c r="M4759" i="26"/>
  <c r="M4758" i="26"/>
  <c r="C4757" i="26"/>
  <c r="M4757" i="26" s="1"/>
  <c r="B556" i="18"/>
  <c r="D185" i="18"/>
  <c r="M4756" i="26"/>
  <c r="M4755" i="26"/>
  <c r="M4754" i="26"/>
  <c r="M4753" i="26"/>
  <c r="M4752" i="26"/>
  <c r="D144" i="18"/>
  <c r="B555" i="18"/>
  <c r="D146" i="18"/>
  <c r="F2187" i="22"/>
  <c r="E2187" i="22"/>
  <c r="D2187" i="22"/>
  <c r="L2185" i="22"/>
  <c r="K2185" i="22"/>
  <c r="J2185" i="22"/>
  <c r="B2185" i="22"/>
  <c r="L2184" i="22"/>
  <c r="K2184" i="22"/>
  <c r="J2184" i="22"/>
  <c r="B2184" i="22"/>
  <c r="L2183" i="22"/>
  <c r="K2183" i="22"/>
  <c r="J2183" i="22"/>
  <c r="B2183" i="22"/>
  <c r="L2182" i="22"/>
  <c r="K2182" i="22"/>
  <c r="J2182" i="22"/>
  <c r="B2182" i="22"/>
  <c r="L2181" i="22"/>
  <c r="K2181" i="22"/>
  <c r="J2181" i="22"/>
  <c r="B2181" i="22"/>
  <c r="L2180" i="22"/>
  <c r="K2180" i="22"/>
  <c r="J2180" i="22"/>
  <c r="B2180" i="22"/>
  <c r="L2179" i="22"/>
  <c r="K2179" i="22"/>
  <c r="B2179" i="22"/>
  <c r="H2178" i="22"/>
  <c r="M4750" i="26"/>
  <c r="M4751" i="26"/>
  <c r="C4749" i="26"/>
  <c r="M4749" i="26" s="1"/>
  <c r="M4748" i="26"/>
  <c r="B554" i="18"/>
  <c r="D136" i="18"/>
  <c r="D138" i="18"/>
  <c r="D150" i="18"/>
  <c r="M4746" i="26"/>
  <c r="M4745" i="26"/>
  <c r="M4744" i="26"/>
  <c r="C4743" i="26"/>
  <c r="M4743" i="26" s="1"/>
  <c r="D129" i="18"/>
  <c r="D124" i="18"/>
  <c r="B553" i="18"/>
  <c r="B551" i="18"/>
  <c r="B552" i="18"/>
  <c r="M4742" i="26"/>
  <c r="M4740" i="26"/>
  <c r="M4739" i="26"/>
  <c r="D142" i="18"/>
  <c r="B550" i="18"/>
  <c r="C4733" i="26"/>
  <c r="M4733" i="26" s="1"/>
  <c r="C4731" i="26"/>
  <c r="M4731" i="26" s="1"/>
  <c r="C4732" i="26"/>
  <c r="M4732" i="26" s="1"/>
  <c r="M4736" i="26"/>
  <c r="M4735" i="26"/>
  <c r="M4734" i="26"/>
  <c r="D132" i="18"/>
  <c r="D191" i="18"/>
  <c r="D133" i="18"/>
  <c r="C4729" i="26"/>
  <c r="M4729" i="26" s="1"/>
  <c r="C4730" i="26"/>
  <c r="M4730" i="26" s="1"/>
  <c r="C4725" i="26"/>
  <c r="M4725" i="26" s="1"/>
  <c r="M4728" i="26"/>
  <c r="M4727" i="26"/>
  <c r="M4726" i="26"/>
  <c r="D128" i="18"/>
  <c r="M4724" i="26"/>
  <c r="M4723" i="26"/>
  <c r="M4722" i="26"/>
  <c r="M4720" i="26"/>
  <c r="M4719" i="26"/>
  <c r="C4721" i="26"/>
  <c r="M4721" i="26" s="1"/>
  <c r="A2429" i="22"/>
  <c r="A2428" i="22"/>
  <c r="A2427" i="22"/>
  <c r="A2426" i="22"/>
  <c r="A2425" i="22"/>
  <c r="A2424" i="22"/>
  <c r="B36" i="18"/>
  <c r="F35" i="18"/>
  <c r="D35" i="18"/>
  <c r="B549" i="18"/>
  <c r="D83" i="18"/>
  <c r="M4717" i="26"/>
  <c r="M4716" i="26"/>
  <c r="M4718" i="26"/>
  <c r="M4715" i="26"/>
  <c r="D119" i="18"/>
  <c r="B548" i="18"/>
  <c r="D112" i="18"/>
  <c r="C4708" i="26"/>
  <c r="M4708" i="26" s="1"/>
  <c r="M4714" i="26"/>
  <c r="M4713" i="26"/>
  <c r="M4712" i="26"/>
  <c r="M4711" i="26"/>
  <c r="M4710" i="26"/>
  <c r="M4709" i="26"/>
  <c r="D115" i="18"/>
  <c r="D113" i="18"/>
  <c r="D108" i="18"/>
  <c r="B547" i="18"/>
  <c r="C4703" i="26"/>
  <c r="M4703" i="26" s="1"/>
  <c r="C4702" i="26"/>
  <c r="M4702" i="26" s="1"/>
  <c r="M4707" i="26"/>
  <c r="M4706" i="26"/>
  <c r="M4705" i="26"/>
  <c r="M4704" i="26"/>
  <c r="M4701" i="26"/>
  <c r="B546" i="18"/>
  <c r="B545" i="18"/>
  <c r="C4699" i="26"/>
  <c r="M4699" i="26" s="1"/>
  <c r="C4696" i="26"/>
  <c r="M4696" i="26" s="1"/>
  <c r="C4697" i="26"/>
  <c r="M4697" i="26" s="1"/>
  <c r="C4695" i="26"/>
  <c r="M4695" i="26" s="1"/>
  <c r="M4700" i="26"/>
  <c r="M4698" i="26"/>
  <c r="D37" i="18"/>
  <c r="D38" i="18"/>
  <c r="B643" i="1"/>
  <c r="C643" i="1" s="1"/>
  <c r="F643" i="1" s="1"/>
  <c r="I643" i="1" s="1"/>
  <c r="C4688" i="26"/>
  <c r="M4688" i="26" s="1"/>
  <c r="M4694" i="26"/>
  <c r="M4693" i="26"/>
  <c r="M4692" i="26"/>
  <c r="M4691" i="26"/>
  <c r="M4690" i="26"/>
  <c r="M4689" i="26"/>
  <c r="B544" i="18"/>
  <c r="F23" i="18"/>
  <c r="F24" i="18"/>
  <c r="G21" i="18" s="1"/>
  <c r="F25" i="18"/>
  <c r="F26" i="18"/>
  <c r="F28" i="18"/>
  <c r="F29" i="18"/>
  <c r="F30" i="18"/>
  <c r="F31" i="18"/>
  <c r="F32" i="18"/>
  <c r="D23" i="18"/>
  <c r="C4681" i="26"/>
  <c r="M4681" i="26" s="1"/>
  <c r="C4682" i="26"/>
  <c r="M4682" i="26" s="1"/>
  <c r="M4687" i="26"/>
  <c r="M4686" i="26"/>
  <c r="M4685" i="26"/>
  <c r="M4684" i="26"/>
  <c r="M4683" i="26"/>
  <c r="D101" i="18"/>
  <c r="D100" i="18"/>
  <c r="M4679" i="26"/>
  <c r="C4680" i="26"/>
  <c r="M4680" i="26" s="1"/>
  <c r="C4678" i="26"/>
  <c r="M4678" i="26" s="1"/>
  <c r="M4677" i="26"/>
  <c r="D99" i="18"/>
  <c r="M4676" i="26"/>
  <c r="M4675" i="26"/>
  <c r="M4674" i="26"/>
  <c r="M4673" i="26"/>
  <c r="D94" i="18"/>
  <c r="B543" i="18"/>
  <c r="D91" i="18"/>
  <c r="M4671" i="26"/>
  <c r="M4667" i="26"/>
  <c r="M4670" i="26"/>
  <c r="M4669" i="26"/>
  <c r="M4668" i="26"/>
  <c r="M4672" i="26"/>
  <c r="D92" i="18"/>
  <c r="D88" i="18"/>
  <c r="D85" i="18"/>
  <c r="AM4479" i="26"/>
  <c r="AH4527" i="26"/>
  <c r="AD4525" i="26"/>
  <c r="AB4519" i="26"/>
  <c r="C4664" i="26"/>
  <c r="M4664" i="26" s="1"/>
  <c r="C4666" i="26"/>
  <c r="M4666" i="26" s="1"/>
  <c r="M4665" i="26"/>
  <c r="M4663" i="26"/>
  <c r="D84" i="18"/>
  <c r="D81" i="18"/>
  <c r="D82" i="18"/>
  <c r="C4661" i="26"/>
  <c r="M4661" i="26" s="1"/>
  <c r="C4659" i="26"/>
  <c r="M4659" i="26" s="1"/>
  <c r="M4660" i="26"/>
  <c r="M4658" i="26"/>
  <c r="M4662" i="26"/>
  <c r="M4657" i="26"/>
  <c r="D32" i="18"/>
  <c r="D641" i="1"/>
  <c r="C641" i="1"/>
  <c r="F641" i="1" s="1"/>
  <c r="C4651" i="26"/>
  <c r="M4651" i="26" s="1"/>
  <c r="C4650" i="26"/>
  <c r="M4650" i="26" s="1"/>
  <c r="M4656" i="26"/>
  <c r="M4655" i="26"/>
  <c r="M4654" i="26"/>
  <c r="M4653" i="26"/>
  <c r="M4652" i="26"/>
  <c r="D69" i="18"/>
  <c r="B542" i="18"/>
  <c r="C4649" i="26"/>
  <c r="M4649" i="26" s="1"/>
  <c r="C4644" i="26"/>
  <c r="M4644" i="26" s="1"/>
  <c r="C4646" i="26"/>
  <c r="M4646" i="26" s="1"/>
  <c r="M4645" i="26"/>
  <c r="M4648" i="26"/>
  <c r="M4647" i="26"/>
  <c r="D71" i="18"/>
  <c r="D65" i="18"/>
  <c r="D177" i="18"/>
  <c r="F2176" i="22"/>
  <c r="E2429" i="22" s="1"/>
  <c r="E2176" i="22"/>
  <c r="D2429" i="22" s="1"/>
  <c r="D2176" i="22"/>
  <c r="C2429" i="22" s="1"/>
  <c r="L2174" i="22"/>
  <c r="K2174" i="22"/>
  <c r="J2174" i="22"/>
  <c r="B2174" i="22"/>
  <c r="L2173" i="22"/>
  <c r="K2173" i="22"/>
  <c r="J2173" i="22"/>
  <c r="B2173" i="22"/>
  <c r="L2172" i="22"/>
  <c r="K2172" i="22"/>
  <c r="J2172" i="22"/>
  <c r="B2172" i="22"/>
  <c r="L2171" i="22"/>
  <c r="K2171" i="22"/>
  <c r="J2171" i="22"/>
  <c r="B2171" i="22"/>
  <c r="L2170" i="22"/>
  <c r="K2170" i="22"/>
  <c r="J2170" i="22"/>
  <c r="B2170" i="22"/>
  <c r="L2169" i="22"/>
  <c r="K2169" i="22"/>
  <c r="J2169" i="22"/>
  <c r="B2169" i="22"/>
  <c r="L2168" i="22"/>
  <c r="K2168" i="22"/>
  <c r="J2168" i="22"/>
  <c r="B2168" i="22"/>
  <c r="H2167" i="22"/>
  <c r="C4640" i="26"/>
  <c r="M4640" i="26" s="1"/>
  <c r="C4639" i="26"/>
  <c r="M4639" i="26" s="1"/>
  <c r="M4642" i="26"/>
  <c r="M4641" i="26"/>
  <c r="C4643" i="26"/>
  <c r="M4643" i="26" s="1"/>
  <c r="D188" i="18"/>
  <c r="D182" i="18"/>
  <c r="B541" i="18"/>
  <c r="M4638" i="26"/>
  <c r="M4637" i="26"/>
  <c r="M4636" i="26"/>
  <c r="M4635" i="26"/>
  <c r="C4634" i="26"/>
  <c r="M4634" i="26" s="1"/>
  <c r="D183" i="18"/>
  <c r="B540" i="18"/>
  <c r="B539" i="18"/>
  <c r="C4632" i="26"/>
  <c r="M4632" i="26" s="1"/>
  <c r="C4633" i="26"/>
  <c r="M4633" i="26" s="1"/>
  <c r="D181" i="18"/>
  <c r="B538" i="18"/>
  <c r="C4630" i="26"/>
  <c r="M4630" i="26" s="1"/>
  <c r="C4631" i="26"/>
  <c r="M4631" i="26" s="1"/>
  <c r="C4629" i="26"/>
  <c r="M4629" i="26" s="1"/>
  <c r="C4628" i="26"/>
  <c r="M4628" i="26" s="1"/>
  <c r="D134" i="18"/>
  <c r="C4625" i="26"/>
  <c r="M4625" i="26" s="1"/>
  <c r="C4627" i="26"/>
  <c r="M4627" i="26" s="1"/>
  <c r="D170" i="18"/>
  <c r="D169" i="18"/>
  <c r="M4624" i="26"/>
  <c r="D157" i="18"/>
  <c r="D168" i="18"/>
  <c r="B537" i="18"/>
  <c r="C4621" i="26"/>
  <c r="M4621" i="26" s="1"/>
  <c r="C4622" i="26"/>
  <c r="M4622" i="26" s="1"/>
  <c r="M4623" i="26"/>
  <c r="B536" i="18"/>
  <c r="C4616" i="26"/>
  <c r="M4616" i="26" s="1"/>
  <c r="C4617" i="26"/>
  <c r="M4617" i="26" s="1"/>
  <c r="M4620" i="26"/>
  <c r="M4619" i="26"/>
  <c r="M4618" i="26"/>
  <c r="B34" i="18"/>
  <c r="C34" i="18" s="1"/>
  <c r="F34" i="18" s="1"/>
  <c r="B535" i="18"/>
  <c r="B534" i="18"/>
  <c r="C4613" i="26"/>
  <c r="M4613" i="26" s="1"/>
  <c r="C4612" i="26"/>
  <c r="M4612" i="26" s="1"/>
  <c r="M4615" i="26"/>
  <c r="M4614" i="26"/>
  <c r="B4613" i="26"/>
  <c r="D158" i="18"/>
  <c r="D148" i="18"/>
  <c r="D161" i="18"/>
  <c r="C4608" i="26"/>
  <c r="M4608" i="26" s="1"/>
  <c r="C4609" i="26"/>
  <c r="M4609" i="26" s="1"/>
  <c r="M4611" i="26"/>
  <c r="M4610" i="26"/>
  <c r="D36" i="18"/>
  <c r="D33" i="18"/>
  <c r="C33" i="18"/>
  <c r="F33" i="18" s="1"/>
  <c r="I33" i="18" s="1"/>
  <c r="D34" i="18"/>
  <c r="C639" i="1"/>
  <c r="F639" i="1" s="1"/>
  <c r="D156" i="18"/>
  <c r="D147" i="18"/>
  <c r="D151" i="18"/>
  <c r="C4605" i="26"/>
  <c r="M4605" i="26" s="1"/>
  <c r="C4604" i="26"/>
  <c r="M4604" i="26" s="1"/>
  <c r="M4607" i="26"/>
  <c r="M4606" i="26"/>
  <c r="M4603" i="26"/>
  <c r="B533" i="18"/>
  <c r="B531" i="18"/>
  <c r="B38" i="18"/>
  <c r="C38" i="18" s="1"/>
  <c r="F38" i="18" s="1"/>
  <c r="B532" i="18"/>
  <c r="M4602" i="26"/>
  <c r="M4601" i="26"/>
  <c r="B530" i="18"/>
  <c r="M4600" i="26"/>
  <c r="M4599" i="26"/>
  <c r="M4598" i="26"/>
  <c r="B529" i="18"/>
  <c r="B528" i="18"/>
  <c r="C4597" i="26"/>
  <c r="M4597" i="26" s="1"/>
  <c r="B527" i="18"/>
  <c r="D131" i="18"/>
  <c r="B526" i="18"/>
  <c r="M4596" i="26"/>
  <c r="M4595" i="26"/>
  <c r="M4594" i="26"/>
  <c r="M4593" i="26"/>
  <c r="C4592" i="26"/>
  <c r="M4592" i="26" s="1"/>
  <c r="D722" i="28"/>
  <c r="D752" i="28"/>
  <c r="B524" i="18"/>
  <c r="D141" i="18"/>
  <c r="C4590" i="26"/>
  <c r="M4590" i="26" s="1"/>
  <c r="C4589" i="26"/>
  <c r="M4589" i="26" s="1"/>
  <c r="M4591" i="26"/>
  <c r="B525" i="18"/>
  <c r="B523" i="18"/>
  <c r="B522" i="18"/>
  <c r="B521" i="18"/>
  <c r="C4585" i="26"/>
  <c r="M4585" i="26" s="1"/>
  <c r="C4584" i="26"/>
  <c r="M4584" i="26" s="1"/>
  <c r="D111" i="18"/>
  <c r="D90" i="18"/>
  <c r="B520" i="18"/>
  <c r="C4581" i="26"/>
  <c r="M4581" i="26" s="1"/>
  <c r="M4582" i="26"/>
  <c r="C4583" i="26"/>
  <c r="M4583" i="26" s="1"/>
  <c r="C4578" i="26"/>
  <c r="M4578" i="26" s="1"/>
  <c r="C4580" i="26"/>
  <c r="M4580" i="26" s="1"/>
  <c r="C4579" i="26"/>
  <c r="M4579" i="26" s="1"/>
  <c r="C4576" i="26"/>
  <c r="M4576" i="26" s="1"/>
  <c r="C4574" i="26"/>
  <c r="M4574" i="26" s="1"/>
  <c r="M4575" i="26"/>
  <c r="C4577" i="26"/>
  <c r="M4577" i="26" s="1"/>
  <c r="D68" i="18"/>
  <c r="C4572" i="26"/>
  <c r="M4572" i="26" s="1"/>
  <c r="C4573" i="26"/>
  <c r="M4573" i="26" s="1"/>
  <c r="C4571" i="26"/>
  <c r="M4571" i="26" s="1"/>
  <c r="C4569" i="26"/>
  <c r="M4569" i="26" s="1"/>
  <c r="M4570" i="26"/>
  <c r="D186" i="18"/>
  <c r="F2165" i="22"/>
  <c r="E2428" i="22" s="1"/>
  <c r="E2165" i="22"/>
  <c r="D2428" i="22" s="1"/>
  <c r="D2165" i="22"/>
  <c r="C2428" i="22" s="1"/>
  <c r="L2163" i="22"/>
  <c r="K2163" i="22"/>
  <c r="J2163" i="22"/>
  <c r="B2163" i="22"/>
  <c r="L2162" i="22"/>
  <c r="K2162" i="22"/>
  <c r="J2162" i="22"/>
  <c r="B2162" i="22"/>
  <c r="L2161" i="22"/>
  <c r="K2161" i="22"/>
  <c r="J2161" i="22"/>
  <c r="B2161" i="22"/>
  <c r="L2160" i="22"/>
  <c r="K2160" i="22"/>
  <c r="J2160" i="22"/>
  <c r="B2160" i="22"/>
  <c r="L2159" i="22"/>
  <c r="K2159" i="22"/>
  <c r="J2159" i="22"/>
  <c r="B2159" i="22"/>
  <c r="L2158" i="22"/>
  <c r="K2158" i="22"/>
  <c r="J2158" i="22"/>
  <c r="B2158" i="22"/>
  <c r="L2157" i="22"/>
  <c r="K2157" i="22"/>
  <c r="J2157" i="22"/>
  <c r="B2157" i="22"/>
  <c r="H2156" i="22"/>
  <c r="B519" i="18"/>
  <c r="M4568" i="26"/>
  <c r="D70" i="18"/>
  <c r="B518" i="18"/>
  <c r="B516" i="18"/>
  <c r="B517" i="18"/>
  <c r="M4567" i="26"/>
  <c r="C4566" i="26"/>
  <c r="M4566" i="26" s="1"/>
  <c r="C4565" i="26"/>
  <c r="M4565" i="26" s="1"/>
  <c r="C4564" i="26"/>
  <c r="M4564" i="26" s="1"/>
  <c r="C4562" i="26"/>
  <c r="M4562" i="26" s="1"/>
  <c r="D171" i="18"/>
  <c r="D89" i="18"/>
  <c r="C4563" i="26"/>
  <c r="M4563" i="26" s="1"/>
  <c r="D117" i="18"/>
  <c r="M4561" i="26"/>
  <c r="C4560" i="26"/>
  <c r="M4560" i="26" s="1"/>
  <c r="D86" i="18"/>
  <c r="D93" i="18"/>
  <c r="D75" i="18"/>
  <c r="C4559" i="26"/>
  <c r="M4559" i="26" s="1"/>
  <c r="C4558" i="26"/>
  <c r="M4558" i="26" s="1"/>
  <c r="C4557" i="26"/>
  <c r="M4557" i="26" s="1"/>
  <c r="C4556" i="26"/>
  <c r="M4556" i="26" s="1"/>
  <c r="M4555" i="26"/>
  <c r="D107" i="18"/>
  <c r="C4554" i="26"/>
  <c r="M4554" i="26" s="1"/>
  <c r="C4552" i="26"/>
  <c r="M4552" i="26" s="1"/>
  <c r="C4553" i="26"/>
  <c r="M4553" i="26" s="1"/>
  <c r="D118" i="18"/>
  <c r="C4551" i="26"/>
  <c r="M4551" i="26" s="1"/>
  <c r="C4550" i="26"/>
  <c r="M4550" i="26" s="1"/>
  <c r="D184" i="18"/>
  <c r="C4549" i="26"/>
  <c r="M4549" i="26" s="1"/>
  <c r="D721" i="28"/>
  <c r="D691" i="28"/>
  <c r="M29" i="28"/>
  <c r="M30" i="28" s="1"/>
  <c r="D73" i="18"/>
  <c r="C4548" i="26"/>
  <c r="M4548" i="26" s="1"/>
  <c r="C4546" i="26"/>
  <c r="M4546" i="26" s="1"/>
  <c r="M4547" i="26"/>
  <c r="M4545" i="26"/>
  <c r="D95" i="18"/>
  <c r="D114" i="18"/>
  <c r="D154" i="18"/>
  <c r="M4543" i="26"/>
  <c r="C4544" i="26"/>
  <c r="M4544" i="26" s="1"/>
  <c r="M4542" i="26"/>
  <c r="M4541" i="26"/>
  <c r="C4538" i="26"/>
  <c r="M4538" i="26" s="1"/>
  <c r="C4537" i="26"/>
  <c r="M4537" i="26" s="1"/>
  <c r="C4536" i="26"/>
  <c r="M4536" i="26" s="1"/>
  <c r="C4535" i="26"/>
  <c r="M4535" i="26" s="1"/>
  <c r="F634" i="1"/>
  <c r="F633" i="1"/>
  <c r="D633" i="1"/>
  <c r="F632" i="1"/>
  <c r="C632" i="1" s="1"/>
  <c r="D632" i="1"/>
  <c r="F631" i="1"/>
  <c r="I631" i="1" s="1"/>
  <c r="C631" i="1"/>
  <c r="D631" i="1"/>
  <c r="F630" i="1"/>
  <c r="C630" i="1" s="1"/>
  <c r="D630" i="1"/>
  <c r="C4532" i="26"/>
  <c r="M4532" i="26" s="1"/>
  <c r="M4533" i="26"/>
  <c r="M4540" i="26"/>
  <c r="M4539" i="26"/>
  <c r="C4534" i="26"/>
  <c r="M4534" i="26" s="1"/>
  <c r="F2154" i="22"/>
  <c r="E2427" i="22" s="1"/>
  <c r="E2154" i="22"/>
  <c r="D2427" i="22" s="1"/>
  <c r="D2154" i="22"/>
  <c r="C2427" i="22" s="1"/>
  <c r="L2152" i="22"/>
  <c r="K2152" i="22"/>
  <c r="J2152" i="22"/>
  <c r="B2152" i="22"/>
  <c r="L2151" i="22"/>
  <c r="K2151" i="22"/>
  <c r="J2151" i="22"/>
  <c r="B2151" i="22"/>
  <c r="L2150" i="22"/>
  <c r="K2150" i="22"/>
  <c r="J2150" i="22"/>
  <c r="B2150" i="22"/>
  <c r="L2149" i="22"/>
  <c r="K2149" i="22"/>
  <c r="J2149" i="22"/>
  <c r="B2149" i="22"/>
  <c r="L2148" i="22"/>
  <c r="K2148" i="22"/>
  <c r="J2148" i="22"/>
  <c r="B2148" i="22"/>
  <c r="L2147" i="22"/>
  <c r="K2147" i="22"/>
  <c r="J2147" i="22"/>
  <c r="B2147" i="22"/>
  <c r="L2146" i="22"/>
  <c r="K2146" i="22"/>
  <c r="J2146" i="22"/>
  <c r="B2146" i="22"/>
  <c r="B2154" i="22" s="1"/>
  <c r="H2145" i="22"/>
  <c r="C4529" i="26"/>
  <c r="M4529" i="26" s="1"/>
  <c r="M4531" i="26"/>
  <c r="M4530" i="26"/>
  <c r="C4528" i="26"/>
  <c r="M4528" i="26" s="1"/>
  <c r="C4527" i="26"/>
  <c r="M4527" i="26" s="1"/>
  <c r="M4526" i="26"/>
  <c r="C4525" i="26"/>
  <c r="M4525" i="26" s="1"/>
  <c r="C4523" i="26"/>
  <c r="M4523" i="26" s="1"/>
  <c r="C4524" i="26"/>
  <c r="M4524" i="26" s="1"/>
  <c r="C4521" i="26"/>
  <c r="M4521" i="26" s="1"/>
  <c r="M4522" i="26"/>
  <c r="M4520" i="26"/>
  <c r="F629" i="1"/>
  <c r="E629" i="1"/>
  <c r="D629" i="1" s="1"/>
  <c r="B629" i="1"/>
  <c r="F628" i="1"/>
  <c r="C628" i="1"/>
  <c r="E628" i="1"/>
  <c r="D628" i="1" s="1"/>
  <c r="F627" i="1"/>
  <c r="C627" i="1" s="1"/>
  <c r="E627" i="1"/>
  <c r="D627" i="1"/>
  <c r="F626" i="1"/>
  <c r="I626" i="1" s="1"/>
  <c r="E626" i="1"/>
  <c r="D626" i="1" s="1"/>
  <c r="F625" i="1"/>
  <c r="I625" i="1" s="1"/>
  <c r="D625" i="1"/>
  <c r="F624" i="1"/>
  <c r="C624" i="1" s="1"/>
  <c r="D624" i="1"/>
  <c r="C4518" i="26"/>
  <c r="M4518" i="26" s="1"/>
  <c r="M4519" i="26"/>
  <c r="M4517" i="26"/>
  <c r="M4516" i="26"/>
  <c r="C4515" i="26"/>
  <c r="M4515" i="26" s="1"/>
  <c r="M4514" i="26"/>
  <c r="M4513" i="26"/>
  <c r="M4512" i="26"/>
  <c r="M4511" i="26"/>
  <c r="C4504" i="26"/>
  <c r="M4504" i="26" s="1"/>
  <c r="C4506" i="26"/>
  <c r="M4506" i="26" s="1"/>
  <c r="C4507" i="26"/>
  <c r="M4507" i="26" s="1"/>
  <c r="M4508" i="26"/>
  <c r="M4509" i="26"/>
  <c r="C4505" i="26"/>
  <c r="M4505" i="26" s="1"/>
  <c r="M4503" i="26"/>
  <c r="M4510" i="26"/>
  <c r="M4501" i="26"/>
  <c r="M4502" i="26"/>
  <c r="B202" i="18"/>
  <c r="B4500" i="26"/>
  <c r="M4500" i="26"/>
  <c r="M4499" i="26"/>
  <c r="M4498" i="26"/>
  <c r="D4493" i="26"/>
  <c r="F4493" i="26"/>
  <c r="C4493" i="26" s="1"/>
  <c r="H4493" i="26" s="1"/>
  <c r="L4493" i="26"/>
  <c r="M4493" i="26" s="1"/>
  <c r="J4493" i="26"/>
  <c r="I4493" i="26"/>
  <c r="K4493" i="26" s="1"/>
  <c r="F2143" i="22"/>
  <c r="E2426" i="22" s="1"/>
  <c r="E2143" i="22"/>
  <c r="D2426" i="22" s="1"/>
  <c r="D2143" i="22"/>
  <c r="C2426" i="22" s="1"/>
  <c r="L2141" i="22"/>
  <c r="K2141" i="22"/>
  <c r="J2141" i="22"/>
  <c r="B2141" i="22"/>
  <c r="L2140" i="22"/>
  <c r="K2140" i="22"/>
  <c r="J2140" i="22"/>
  <c r="B2140" i="22"/>
  <c r="L2139" i="22"/>
  <c r="K2139" i="22"/>
  <c r="J2139" i="22"/>
  <c r="B2139" i="22"/>
  <c r="L2138" i="22"/>
  <c r="K2138" i="22"/>
  <c r="J2138" i="22"/>
  <c r="B2138" i="22"/>
  <c r="L2137" i="22"/>
  <c r="K2137" i="22"/>
  <c r="J2137" i="22"/>
  <c r="B2137" i="22"/>
  <c r="L2136" i="22"/>
  <c r="K2136" i="22"/>
  <c r="J2136" i="22"/>
  <c r="B2136" i="22"/>
  <c r="L2135" i="22"/>
  <c r="K2135" i="22"/>
  <c r="J2135" i="22"/>
  <c r="B2135" i="22"/>
  <c r="H2134" i="22"/>
  <c r="M4488" i="26"/>
  <c r="M4490" i="26"/>
  <c r="M4489" i="26"/>
  <c r="M4491" i="26"/>
  <c r="C4492" i="26"/>
  <c r="M4492" i="26" s="1"/>
  <c r="M4487" i="26"/>
  <c r="M4486" i="26"/>
  <c r="M4473" i="26"/>
  <c r="M4476" i="26"/>
  <c r="M4477" i="26"/>
  <c r="M4478" i="26"/>
  <c r="M4479" i="26"/>
  <c r="M4480" i="26"/>
  <c r="M4481" i="26"/>
  <c r="M4482" i="26"/>
  <c r="M4483" i="26"/>
  <c r="M4484" i="26"/>
  <c r="C4485" i="26"/>
  <c r="M4485" i="26" s="1"/>
  <c r="K615" i="1"/>
  <c r="C4472" i="26"/>
  <c r="M4472" i="26" s="1"/>
  <c r="C4471" i="26"/>
  <c r="M4471" i="26" s="1"/>
  <c r="C4474" i="26"/>
  <c r="M4474" i="26" s="1"/>
  <c r="C4475" i="26"/>
  <c r="M4475" i="26" s="1"/>
  <c r="M4469" i="26"/>
  <c r="M4468" i="26"/>
  <c r="M4467" i="26"/>
  <c r="M4466" i="26"/>
  <c r="B515" i="18"/>
  <c r="C4464" i="26"/>
  <c r="M4464" i="26" s="1"/>
  <c r="C4463" i="26"/>
  <c r="M4463" i="26" s="1"/>
  <c r="C4462" i="26"/>
  <c r="M4462" i="26" s="1"/>
  <c r="C4465" i="26"/>
  <c r="M4465" i="26" s="1"/>
  <c r="D692" i="28"/>
  <c r="D660" i="28"/>
  <c r="D630" i="28"/>
  <c r="C4451" i="26"/>
  <c r="M4451" i="26" s="1"/>
  <c r="M4452" i="26"/>
  <c r="M4450" i="26"/>
  <c r="C4448" i="26"/>
  <c r="M4448" i="26" s="1"/>
  <c r="C4446" i="26"/>
  <c r="M4446" i="26" s="1"/>
  <c r="C4449" i="26"/>
  <c r="M4449" i="26" s="1"/>
  <c r="M4447" i="26"/>
  <c r="M4445" i="26"/>
  <c r="C4443" i="26"/>
  <c r="M4443" i="26" s="1"/>
  <c r="C4440" i="26"/>
  <c r="M4440" i="26" s="1"/>
  <c r="C4439" i="26"/>
  <c r="M4439" i="26" s="1"/>
  <c r="M4442" i="26"/>
  <c r="M4444" i="26"/>
  <c r="M4441" i="26"/>
  <c r="F2132" i="22"/>
  <c r="E2425" i="22" s="1"/>
  <c r="E2132" i="22"/>
  <c r="D2425" i="22" s="1"/>
  <c r="D2132" i="22"/>
  <c r="C2425" i="22" s="1"/>
  <c r="L2130" i="22"/>
  <c r="K2130" i="22"/>
  <c r="J2130" i="22"/>
  <c r="B2130" i="22"/>
  <c r="L2129" i="22"/>
  <c r="K2129" i="22"/>
  <c r="J2129" i="22"/>
  <c r="B2129" i="22"/>
  <c r="L2128" i="22"/>
  <c r="K2128" i="22"/>
  <c r="J2128" i="22"/>
  <c r="B2128" i="22"/>
  <c r="L2127" i="22"/>
  <c r="K2127" i="22"/>
  <c r="J2127" i="22"/>
  <c r="B2127" i="22"/>
  <c r="L2126" i="22"/>
  <c r="K2126" i="22"/>
  <c r="J2126" i="22"/>
  <c r="B2126" i="22"/>
  <c r="L2125" i="22"/>
  <c r="K2125" i="22"/>
  <c r="J2125" i="22"/>
  <c r="B2125" i="22"/>
  <c r="L2124" i="22"/>
  <c r="K2124" i="22"/>
  <c r="J2124" i="22"/>
  <c r="B2124" i="22"/>
  <c r="H2123" i="22"/>
  <c r="M4437" i="26"/>
  <c r="C4438" i="26"/>
  <c r="M4438" i="26" s="1"/>
  <c r="C4435" i="26"/>
  <c r="M4435" i="26" s="1"/>
  <c r="M4436" i="26"/>
  <c r="M4433" i="26"/>
  <c r="C4434" i="26"/>
  <c r="M4434" i="26" s="1"/>
  <c r="M4432" i="26"/>
  <c r="M4431" i="26"/>
  <c r="C4429" i="26"/>
  <c r="M4429" i="26" s="1"/>
  <c r="C4428" i="26"/>
  <c r="M4428" i="26" s="1"/>
  <c r="C4430" i="26"/>
  <c r="M4430" i="26" s="1"/>
  <c r="C4424" i="26"/>
  <c r="M4424" i="26" s="1"/>
  <c r="C4426" i="26"/>
  <c r="M4426" i="26" s="1"/>
  <c r="M4427" i="26"/>
  <c r="C4425" i="26"/>
  <c r="M4425" i="26" s="1"/>
  <c r="M4423" i="26"/>
  <c r="M4422" i="26"/>
  <c r="M4420" i="26"/>
  <c r="M4421" i="26"/>
  <c r="M4419" i="26"/>
  <c r="M4418" i="26"/>
  <c r="M4417" i="26"/>
  <c r="M4416" i="26"/>
  <c r="M4415" i="26"/>
  <c r="M4414" i="26"/>
  <c r="M4413" i="26"/>
  <c r="M4410" i="26"/>
  <c r="M4409" i="26"/>
  <c r="M4408" i="26"/>
  <c r="M4407" i="26"/>
  <c r="M4406" i="26"/>
  <c r="M4411" i="26"/>
  <c r="M4412" i="26"/>
  <c r="M4405" i="26"/>
  <c r="M4402" i="26"/>
  <c r="M4403" i="26"/>
  <c r="M4404" i="26"/>
  <c r="M4400" i="26"/>
  <c r="M4401" i="26"/>
  <c r="M4399" i="26"/>
  <c r="M4398" i="26"/>
  <c r="M4397" i="26"/>
  <c r="M4396" i="26"/>
  <c r="M4395" i="26"/>
  <c r="M4392" i="26"/>
  <c r="M4391" i="26"/>
  <c r="M4394" i="26"/>
  <c r="M4393" i="26"/>
  <c r="M4377" i="26"/>
  <c r="M4378" i="26"/>
  <c r="M4379" i="26"/>
  <c r="M4380" i="26"/>
  <c r="M4388" i="26"/>
  <c r="M4387" i="26"/>
  <c r="M4386" i="26"/>
  <c r="F623" i="1"/>
  <c r="D623" i="1"/>
  <c r="M4383" i="26"/>
  <c r="M4373" i="26"/>
  <c r="M4382" i="26"/>
  <c r="M4381" i="26"/>
  <c r="M4375" i="26"/>
  <c r="M4385" i="26"/>
  <c r="M4372" i="26"/>
  <c r="M4376" i="26"/>
  <c r="M4384" i="26"/>
  <c r="M4374" i="26"/>
  <c r="B2114" i="22"/>
  <c r="B2115" i="22"/>
  <c r="B2116" i="22"/>
  <c r="B2117" i="22"/>
  <c r="B2118" i="22"/>
  <c r="B2119" i="22"/>
  <c r="B2113" i="22"/>
  <c r="F2121" i="22"/>
  <c r="E2424" i="22" s="1"/>
  <c r="E2121" i="22"/>
  <c r="D2424" i="22" s="1"/>
  <c r="D2121" i="22"/>
  <c r="C2424" i="22" s="1"/>
  <c r="L2119" i="22"/>
  <c r="K2119" i="22"/>
  <c r="J2119" i="22"/>
  <c r="L2118" i="22"/>
  <c r="K2118" i="22"/>
  <c r="J2118" i="22"/>
  <c r="L2117" i="22"/>
  <c r="K2117" i="22"/>
  <c r="J2117" i="22"/>
  <c r="L2116" i="22"/>
  <c r="K2116" i="22"/>
  <c r="J2116" i="22"/>
  <c r="L2115" i="22"/>
  <c r="K2115" i="22"/>
  <c r="J2115" i="22"/>
  <c r="L2114" i="22"/>
  <c r="K2114" i="22"/>
  <c r="J2114" i="22"/>
  <c r="L2113" i="22"/>
  <c r="K2113" i="22"/>
  <c r="J2113" i="22"/>
  <c r="H2113" i="22" s="1"/>
  <c r="H2112" i="22"/>
  <c r="M4370" i="26"/>
  <c r="H3850" i="26"/>
  <c r="M4365" i="26"/>
  <c r="M4366" i="26"/>
  <c r="M4364" i="26"/>
  <c r="M4363" i="26"/>
  <c r="M4358" i="26"/>
  <c r="M4359" i="26"/>
  <c r="M4360" i="26"/>
  <c r="M4361" i="26"/>
  <c r="M4362" i="26"/>
  <c r="M4357" i="26"/>
  <c r="M4356" i="26"/>
  <c r="M4313" i="26"/>
  <c r="M4314" i="26"/>
  <c r="M4315" i="26"/>
  <c r="M4316" i="26"/>
  <c r="M4317" i="26"/>
  <c r="M4318" i="26"/>
  <c r="M4319" i="26"/>
  <c r="M4320" i="26"/>
  <c r="M4321" i="26"/>
  <c r="M4322" i="26"/>
  <c r="M4323" i="26"/>
  <c r="M4324" i="26"/>
  <c r="M4325" i="26"/>
  <c r="M4326" i="26"/>
  <c r="M4327" i="26"/>
  <c r="M4328" i="26"/>
  <c r="M4329" i="26"/>
  <c r="M4330" i="26"/>
  <c r="M4331" i="26"/>
  <c r="M4332" i="26"/>
  <c r="M4333" i="26"/>
  <c r="M4334" i="26"/>
  <c r="M4335" i="26"/>
  <c r="M4336" i="26"/>
  <c r="M4337" i="26"/>
  <c r="M4338" i="26"/>
  <c r="M4339" i="26"/>
  <c r="M4340" i="26"/>
  <c r="M4341" i="26"/>
  <c r="M4342" i="26"/>
  <c r="M4343" i="26"/>
  <c r="M4344" i="26"/>
  <c r="M4345" i="26"/>
  <c r="M4346" i="26"/>
  <c r="M4347" i="26"/>
  <c r="M4348" i="26"/>
  <c r="M4349" i="26"/>
  <c r="M4350" i="26"/>
  <c r="M4351" i="26"/>
  <c r="M4352" i="26"/>
  <c r="M4353" i="26"/>
  <c r="M4354" i="26"/>
  <c r="M4355" i="26"/>
  <c r="F622" i="1"/>
  <c r="I622" i="1" s="1"/>
  <c r="C622" i="1"/>
  <c r="F621" i="1"/>
  <c r="C621" i="1" s="1"/>
  <c r="D621" i="1"/>
  <c r="D622" i="1"/>
  <c r="B648" i="1"/>
  <c r="H21" i="18"/>
  <c r="F620" i="1"/>
  <c r="D620" i="1"/>
  <c r="F619" i="1"/>
  <c r="C619" i="1" s="1"/>
  <c r="D619" i="1"/>
  <c r="F618" i="1"/>
  <c r="D618" i="1"/>
  <c r="D571" i="28"/>
  <c r="D599" i="28"/>
  <c r="A2423" i="22"/>
  <c r="A2422" i="22"/>
  <c r="B2103" i="22"/>
  <c r="B2104" i="22"/>
  <c r="B2105" i="22"/>
  <c r="B2106" i="22"/>
  <c r="B2107" i="22"/>
  <c r="B2108" i="22"/>
  <c r="B2102" i="22"/>
  <c r="F2110" i="22"/>
  <c r="E2423" i="22" s="1"/>
  <c r="E2110" i="22"/>
  <c r="D2423" i="22" s="1"/>
  <c r="D2110" i="22"/>
  <c r="C2423" i="22" s="1"/>
  <c r="L2108" i="22"/>
  <c r="K2108" i="22"/>
  <c r="J2108" i="22"/>
  <c r="L2107" i="22"/>
  <c r="K2107" i="22"/>
  <c r="J2107" i="22"/>
  <c r="L2106" i="22"/>
  <c r="K2106" i="22"/>
  <c r="J2106" i="22"/>
  <c r="L2105" i="22"/>
  <c r="K2105" i="22"/>
  <c r="J2105" i="22"/>
  <c r="L2104" i="22"/>
  <c r="K2104" i="22"/>
  <c r="J2104" i="22"/>
  <c r="L2103" i="22"/>
  <c r="K2103" i="22"/>
  <c r="J2103" i="22"/>
  <c r="L2102" i="22"/>
  <c r="K2102" i="22"/>
  <c r="J2102" i="22"/>
  <c r="H2101" i="22"/>
  <c r="F617" i="1"/>
  <c r="C617" i="1"/>
  <c r="I617" i="1"/>
  <c r="D617" i="1"/>
  <c r="F616" i="1"/>
  <c r="C616" i="1"/>
  <c r="D616" i="1"/>
  <c r="F615" i="1"/>
  <c r="D615" i="1"/>
  <c r="F614" i="1"/>
  <c r="D614" i="1"/>
  <c r="C4308" i="26"/>
  <c r="M4308" i="26" s="1"/>
  <c r="C4312" i="26"/>
  <c r="M4312" i="26" s="1"/>
  <c r="C4311" i="26"/>
  <c r="M4311" i="26" s="1"/>
  <c r="M4299" i="26"/>
  <c r="M4300" i="26"/>
  <c r="M4301" i="26"/>
  <c r="M4302" i="26"/>
  <c r="M4303" i="26"/>
  <c r="M4304" i="26"/>
  <c r="M4305" i="26"/>
  <c r="M4306" i="26"/>
  <c r="M4307" i="26"/>
  <c r="M4309" i="26"/>
  <c r="M4298" i="26"/>
  <c r="C4310" i="26"/>
  <c r="M4310" i="26" s="1"/>
  <c r="F613" i="1"/>
  <c r="C613" i="1" s="1"/>
  <c r="D613" i="1"/>
  <c r="F612" i="1"/>
  <c r="C612" i="1" s="1"/>
  <c r="M4295" i="26"/>
  <c r="C4294" i="26"/>
  <c r="M4294" i="26" s="1"/>
  <c r="F2099" i="22"/>
  <c r="E2422" i="22" s="1"/>
  <c r="E2099" i="22"/>
  <c r="D2422" i="22" s="1"/>
  <c r="D2099" i="22"/>
  <c r="C2422" i="22" s="1"/>
  <c r="L2097" i="22"/>
  <c r="K2097" i="22"/>
  <c r="J2097" i="22"/>
  <c r="B2097" i="22"/>
  <c r="L2096" i="22"/>
  <c r="K2096" i="22"/>
  <c r="J2096" i="22"/>
  <c r="B2096" i="22"/>
  <c r="L2095" i="22"/>
  <c r="K2095" i="22"/>
  <c r="J2095" i="22"/>
  <c r="B2095" i="22"/>
  <c r="L2094" i="22"/>
  <c r="K2094" i="22"/>
  <c r="J2094" i="22"/>
  <c r="B2094" i="22"/>
  <c r="L2093" i="22"/>
  <c r="K2093" i="22"/>
  <c r="J2093" i="22"/>
  <c r="B2093" i="22"/>
  <c r="L2092" i="22"/>
  <c r="K2092" i="22"/>
  <c r="H2092" i="22" s="1"/>
  <c r="J2092" i="22"/>
  <c r="B2092" i="22"/>
  <c r="L2091" i="22"/>
  <c r="K2091" i="22"/>
  <c r="J2091" i="22"/>
  <c r="B2091" i="22"/>
  <c r="H2090" i="22"/>
  <c r="M4292" i="26"/>
  <c r="M4293" i="26"/>
  <c r="C4291" i="26"/>
  <c r="M4291" i="26" s="1"/>
  <c r="M4284" i="26"/>
  <c r="M4286" i="26"/>
  <c r="M4290" i="26"/>
  <c r="M4289" i="26"/>
  <c r="M4288" i="26"/>
  <c r="M4287" i="26"/>
  <c r="C4285" i="26"/>
  <c r="M4285" i="26" s="1"/>
  <c r="H4951" i="26"/>
  <c r="H4952" i="26" s="1"/>
  <c r="I4951" i="26"/>
  <c r="N166" i="18"/>
  <c r="N168" i="18" s="1"/>
  <c r="L220" i="18" s="1"/>
  <c r="D661" i="28"/>
  <c r="H58" i="18"/>
  <c r="C4271" i="26"/>
  <c r="M4271" i="26" s="1"/>
  <c r="M4279" i="26"/>
  <c r="M4278" i="26"/>
  <c r="M4277" i="26"/>
  <c r="M4276" i="26"/>
  <c r="M4275" i="26"/>
  <c r="M4274" i="26"/>
  <c r="M4273" i="26"/>
  <c r="M4272" i="26"/>
  <c r="C4264" i="26"/>
  <c r="M4264" i="26" s="1"/>
  <c r="C4265" i="26"/>
  <c r="M4265" i="26" s="1"/>
  <c r="C4266" i="26"/>
  <c r="M4266" i="26" s="1"/>
  <c r="B4263" i="26"/>
  <c r="M4263" i="26" s="1"/>
  <c r="C4262" i="26"/>
  <c r="M4262" i="26" s="1"/>
  <c r="M4267" i="26"/>
  <c r="M4259" i="26"/>
  <c r="M4269" i="26"/>
  <c r="M4268" i="26"/>
  <c r="M4270" i="26"/>
  <c r="M4261" i="26"/>
  <c r="M4260" i="26"/>
  <c r="C4258" i="26"/>
  <c r="M4258" i="26" s="1"/>
  <c r="C4247" i="26"/>
  <c r="M4247" i="26" s="1"/>
  <c r="C4244" i="26"/>
  <c r="M4244" i="26" s="1"/>
  <c r="M4251" i="26"/>
  <c r="M4250" i="26"/>
  <c r="M4249" i="26"/>
  <c r="M4248" i="26"/>
  <c r="M4245" i="26"/>
  <c r="C4246" i="26"/>
  <c r="M4246" i="26" s="1"/>
  <c r="C4239" i="26"/>
  <c r="M4239" i="26" s="1"/>
  <c r="C4241" i="26"/>
  <c r="M4241" i="26" s="1"/>
  <c r="C4240" i="26"/>
  <c r="M4240" i="26" s="1"/>
  <c r="C4242" i="26"/>
  <c r="M4242" i="26" s="1"/>
  <c r="C4243" i="26"/>
  <c r="M4243" i="26" s="1"/>
  <c r="C4237" i="26"/>
  <c r="M4237" i="26" s="1"/>
  <c r="C4236" i="26"/>
  <c r="M4236" i="26" s="1"/>
  <c r="C4233" i="26"/>
  <c r="M4233" i="26" s="1"/>
  <c r="C4234" i="26"/>
  <c r="M4234" i="26" s="1"/>
  <c r="C4231" i="26"/>
  <c r="M4231" i="26" s="1"/>
  <c r="M4235" i="26"/>
  <c r="C4232" i="26"/>
  <c r="M4232" i="26" s="1"/>
  <c r="D540" i="28"/>
  <c r="M4230" i="26"/>
  <c r="F611" i="1"/>
  <c r="C611" i="1" s="1"/>
  <c r="D611" i="1"/>
  <c r="F610" i="1"/>
  <c r="I610" i="1" s="1"/>
  <c r="C610" i="1"/>
  <c r="D610" i="1"/>
  <c r="F609" i="1"/>
  <c r="C609" i="1" s="1"/>
  <c r="D609" i="1"/>
  <c r="G15" i="18"/>
  <c r="C4228" i="26"/>
  <c r="M4228" i="26" s="1"/>
  <c r="C4229" i="26"/>
  <c r="M4229" i="26" s="1"/>
  <c r="M4226" i="26"/>
  <c r="M4227" i="26"/>
  <c r="M4217" i="26"/>
  <c r="M4223" i="26"/>
  <c r="M4224" i="26"/>
  <c r="M4225" i="26"/>
  <c r="M4220" i="26"/>
  <c r="M4221" i="26"/>
  <c r="M4222" i="26"/>
  <c r="M4218" i="26"/>
  <c r="M4219" i="26"/>
  <c r="C4215" i="26"/>
  <c r="M4215" i="26" s="1"/>
  <c r="M4216" i="26"/>
  <c r="M4214" i="26"/>
  <c r="M4213" i="26"/>
  <c r="M4194" i="26"/>
  <c r="M4210" i="26"/>
  <c r="M4200" i="26"/>
  <c r="M4206" i="26"/>
  <c r="M4207" i="26"/>
  <c r="M4186" i="26"/>
  <c r="M4185" i="26"/>
  <c r="M4209" i="26"/>
  <c r="A2421" i="22"/>
  <c r="F2088" i="22"/>
  <c r="E2421" i="22" s="1"/>
  <c r="E2088" i="22"/>
  <c r="D2421" i="22" s="1"/>
  <c r="L2086" i="22"/>
  <c r="K2086" i="22"/>
  <c r="D2088" i="22"/>
  <c r="C2421" i="22" s="1"/>
  <c r="L2085" i="22"/>
  <c r="K2085" i="22"/>
  <c r="J2085" i="22"/>
  <c r="B2085" i="22"/>
  <c r="L2084" i="22"/>
  <c r="K2084" i="22"/>
  <c r="J2084" i="22"/>
  <c r="B2084" i="22"/>
  <c r="L2083" i="22"/>
  <c r="K2083" i="22"/>
  <c r="J2083" i="22"/>
  <c r="B2083" i="22"/>
  <c r="L2082" i="22"/>
  <c r="K2082" i="22"/>
  <c r="B2082" i="22"/>
  <c r="L2081" i="22"/>
  <c r="K2081" i="22"/>
  <c r="J2081" i="22"/>
  <c r="B2081" i="22"/>
  <c r="L2080" i="22"/>
  <c r="K2080" i="22"/>
  <c r="J2080" i="22"/>
  <c r="B2080" i="22"/>
  <c r="H2079" i="22"/>
  <c r="M4202" i="26"/>
  <c r="M4203" i="26"/>
  <c r="M4205" i="26"/>
  <c r="M4204" i="26"/>
  <c r="L4201" i="26"/>
  <c r="M4201" i="26" s="1"/>
  <c r="M4208" i="26"/>
  <c r="M4198" i="26"/>
  <c r="F608" i="1"/>
  <c r="I608" i="1" s="1"/>
  <c r="D608" i="1"/>
  <c r="K4199" i="26"/>
  <c r="L4199" i="26" s="1"/>
  <c r="B2086" i="22"/>
  <c r="I4192" i="26"/>
  <c r="J4192" i="26" s="1"/>
  <c r="I4193" i="26"/>
  <c r="J4193" i="26" s="1"/>
  <c r="I4191" i="26"/>
  <c r="J4191" i="26" s="1"/>
  <c r="I4189" i="26"/>
  <c r="J4189" i="26" s="1"/>
  <c r="H485" i="28"/>
  <c r="H486" i="28"/>
  <c r="H481" i="28"/>
  <c r="H482" i="28" s="1"/>
  <c r="J4185" i="26"/>
  <c r="J4186" i="26"/>
  <c r="I4183" i="26"/>
  <c r="J4183" i="26" s="1"/>
  <c r="L4958" i="26"/>
  <c r="M4958" i="26" s="1"/>
  <c r="J4958" i="26"/>
  <c r="I4958" i="26"/>
  <c r="K4958" i="26" s="1"/>
  <c r="F4958" i="26"/>
  <c r="C4958" i="26"/>
  <c r="H4958" i="26" s="1"/>
  <c r="C4956" i="26"/>
  <c r="I4176" i="26"/>
  <c r="F607" i="1"/>
  <c r="D607" i="1"/>
  <c r="B607" i="1"/>
  <c r="F606" i="1"/>
  <c r="C606" i="1" s="1"/>
  <c r="D606" i="1"/>
  <c r="F605" i="1"/>
  <c r="I605" i="1" s="1"/>
  <c r="C605" i="1"/>
  <c r="D605" i="1"/>
  <c r="F604" i="1"/>
  <c r="I604" i="1" s="1"/>
  <c r="D604" i="1"/>
  <c r="A2420" i="22"/>
  <c r="A2419" i="22"/>
  <c r="A2418" i="22"/>
  <c r="A2417" i="22"/>
  <c r="A2416" i="22"/>
  <c r="D10" i="22"/>
  <c r="B10" i="22" s="1"/>
  <c r="B2067" i="22"/>
  <c r="D2071" i="22" s="1"/>
  <c r="D2075" i="22"/>
  <c r="J2075" i="22" s="1"/>
  <c r="H2075" i="22" s="1"/>
  <c r="B2056" i="22"/>
  <c r="C13" i="18"/>
  <c r="C18" i="18" s="1"/>
  <c r="I603" i="1"/>
  <c r="D603" i="1"/>
  <c r="C603" i="1"/>
  <c r="D602" i="1"/>
  <c r="B684" i="1"/>
  <c r="F2077" i="22"/>
  <c r="E2420" i="22" s="1"/>
  <c r="E2077" i="22"/>
  <c r="D2420" i="22" s="1"/>
  <c r="L2075" i="22"/>
  <c r="K2075" i="22"/>
  <c r="L2074" i="22"/>
  <c r="K2074" i="22"/>
  <c r="J2074" i="22"/>
  <c r="B2074" i="22"/>
  <c r="L2073" i="22"/>
  <c r="K2073" i="22"/>
  <c r="J2073" i="22"/>
  <c r="B2073" i="22"/>
  <c r="L2072" i="22"/>
  <c r="K2072" i="22"/>
  <c r="J2072" i="22"/>
  <c r="B2072" i="22"/>
  <c r="L2071" i="22"/>
  <c r="K2071" i="22"/>
  <c r="L2070" i="22"/>
  <c r="K2070" i="22"/>
  <c r="J2070" i="22"/>
  <c r="B2070" i="22"/>
  <c r="L2069" i="22"/>
  <c r="K2069" i="22"/>
  <c r="J2069" i="22"/>
  <c r="B2069" i="22"/>
  <c r="H2068" i="22"/>
  <c r="F601" i="1"/>
  <c r="D601" i="1"/>
  <c r="D4165" i="26"/>
  <c r="L4165" i="26"/>
  <c r="M4165" i="26" s="1"/>
  <c r="J4165" i="26"/>
  <c r="I4165" i="26"/>
  <c r="K4165" i="26" s="1"/>
  <c r="C4165" i="26"/>
  <c r="H4165" i="26" s="1"/>
  <c r="D4159" i="26"/>
  <c r="L4159" i="26"/>
  <c r="M4159" i="26" s="1"/>
  <c r="J4159" i="26"/>
  <c r="I4159" i="26"/>
  <c r="K4159" i="26" s="1"/>
  <c r="C4159" i="26"/>
  <c r="H4159" i="26" s="1"/>
  <c r="D479" i="28"/>
  <c r="D444" i="28"/>
  <c r="E444" i="28"/>
  <c r="D443" i="28"/>
  <c r="D418" i="28"/>
  <c r="E443" i="28"/>
  <c r="F600" i="1"/>
  <c r="D600" i="1"/>
  <c r="F599" i="1"/>
  <c r="I599" i="1" s="1"/>
  <c r="D599" i="1"/>
  <c r="I4111" i="26"/>
  <c r="F2066" i="22"/>
  <c r="E2419" i="22" s="1"/>
  <c r="E2066" i="22"/>
  <c r="D2419" i="22" s="1"/>
  <c r="D2066" i="22"/>
  <c r="C2419" i="22" s="1"/>
  <c r="L2064" i="22"/>
  <c r="K2064" i="22"/>
  <c r="J2064" i="22"/>
  <c r="B2064" i="22"/>
  <c r="L2063" i="22"/>
  <c r="K2063" i="22"/>
  <c r="J2063" i="22"/>
  <c r="B2063" i="22"/>
  <c r="L2062" i="22"/>
  <c r="K2062" i="22"/>
  <c r="J2062" i="22"/>
  <c r="H2062" i="22" s="1"/>
  <c r="B2062" i="22"/>
  <c r="L2061" i="22"/>
  <c r="K2061" i="22"/>
  <c r="J2061" i="22"/>
  <c r="B2061" i="22"/>
  <c r="L2060" i="22"/>
  <c r="K2060" i="22"/>
  <c r="J2060" i="22"/>
  <c r="B2060" i="22"/>
  <c r="L2059" i="22"/>
  <c r="K2059" i="22"/>
  <c r="J2059" i="22"/>
  <c r="H2059" i="22" s="1"/>
  <c r="B2059" i="22"/>
  <c r="L2058" i="22"/>
  <c r="K2058" i="22"/>
  <c r="J2058" i="22"/>
  <c r="B2058" i="22"/>
  <c r="H2057" i="22"/>
  <c r="F598" i="1"/>
  <c r="D598" i="1"/>
  <c r="D631" i="28"/>
  <c r="D600" i="28"/>
  <c r="D572" i="28"/>
  <c r="D541" i="28"/>
  <c r="B2047" i="22"/>
  <c r="B2048" i="22"/>
  <c r="B2049" i="22"/>
  <c r="B2050" i="22"/>
  <c r="B2051" i="22"/>
  <c r="B2052" i="22"/>
  <c r="B2053" i="22"/>
  <c r="D2055" i="22"/>
  <c r="C2418" i="22" s="1"/>
  <c r="E2055" i="22"/>
  <c r="D2418" i="22" s="1"/>
  <c r="F2055" i="22"/>
  <c r="E2418" i="22" s="1"/>
  <c r="L2053" i="22"/>
  <c r="K2053" i="22"/>
  <c r="J2053" i="22"/>
  <c r="L2052" i="22"/>
  <c r="K2052" i="22"/>
  <c r="J2052" i="22"/>
  <c r="L2051" i="22"/>
  <c r="K2051" i="22"/>
  <c r="J2051" i="22"/>
  <c r="L2050" i="22"/>
  <c r="K2050" i="22"/>
  <c r="J2050" i="22"/>
  <c r="L2049" i="22"/>
  <c r="K2049" i="22"/>
  <c r="J2049" i="22"/>
  <c r="L2048" i="22"/>
  <c r="K2048" i="22"/>
  <c r="J2048" i="22"/>
  <c r="J2055" i="22" s="1"/>
  <c r="L2047" i="22"/>
  <c r="K2047" i="22"/>
  <c r="J2047" i="22"/>
  <c r="H2046" i="22"/>
  <c r="D4066" i="26"/>
  <c r="L4066" i="26"/>
  <c r="M4066" i="26" s="1"/>
  <c r="J4066" i="26"/>
  <c r="I4066" i="26"/>
  <c r="K4066" i="26" s="1"/>
  <c r="C4066" i="26"/>
  <c r="H4066" i="26" s="1"/>
  <c r="N111" i="18"/>
  <c r="D597" i="1"/>
  <c r="C597" i="1"/>
  <c r="E596" i="1"/>
  <c r="D596" i="1" s="1"/>
  <c r="E595" i="1"/>
  <c r="D595" i="1" s="1"/>
  <c r="H595" i="1"/>
  <c r="F595" i="1"/>
  <c r="C595" i="1" s="1"/>
  <c r="F596" i="1"/>
  <c r="C596" i="1" s="1"/>
  <c r="H4029" i="26"/>
  <c r="I4029" i="26" s="1"/>
  <c r="D901" i="18"/>
  <c r="F869" i="18"/>
  <c r="E807" i="18"/>
  <c r="D4022" i="26"/>
  <c r="L4022" i="26"/>
  <c r="M4022" i="26" s="1"/>
  <c r="J4022" i="26"/>
  <c r="I4022" i="26"/>
  <c r="K4022" i="26" s="1"/>
  <c r="D4021" i="26"/>
  <c r="I4021" i="26"/>
  <c r="K4021" i="26" s="1"/>
  <c r="J4021" i="26"/>
  <c r="L4021" i="26"/>
  <c r="M4021" i="26" s="1"/>
  <c r="F2044" i="22"/>
  <c r="E2417" i="22" s="1"/>
  <c r="E2044" i="22"/>
  <c r="D2417" i="22" s="1"/>
  <c r="D2044" i="22"/>
  <c r="C2417" i="22" s="1"/>
  <c r="L2042" i="22"/>
  <c r="K2042" i="22"/>
  <c r="J2042" i="22"/>
  <c r="B2042" i="22"/>
  <c r="L2041" i="22"/>
  <c r="K2041" i="22"/>
  <c r="J2041" i="22"/>
  <c r="B2041" i="22"/>
  <c r="L2040" i="22"/>
  <c r="K2040" i="22"/>
  <c r="J2040" i="22"/>
  <c r="B2040" i="22"/>
  <c r="L2039" i="22"/>
  <c r="K2039" i="22"/>
  <c r="J2039" i="22"/>
  <c r="B2039" i="22"/>
  <c r="L2038" i="22"/>
  <c r="K2038" i="22"/>
  <c r="J2038" i="22"/>
  <c r="B2038" i="22"/>
  <c r="L2037" i="22"/>
  <c r="K2037" i="22"/>
  <c r="J2037" i="22"/>
  <c r="B2037" i="22"/>
  <c r="L2036" i="22"/>
  <c r="K2036" i="22"/>
  <c r="J2036" i="22"/>
  <c r="B2036" i="22"/>
  <c r="H2035" i="22"/>
  <c r="C47" i="18"/>
  <c r="C53" i="18" s="1"/>
  <c r="C60" i="18" s="1"/>
  <c r="B47" i="18"/>
  <c r="C538" i="1"/>
  <c r="D538" i="1"/>
  <c r="H4005" i="26"/>
  <c r="I4005" i="26" s="1"/>
  <c r="H4004" i="26"/>
  <c r="I4004" i="26" s="1"/>
  <c r="D4001" i="26"/>
  <c r="C4001" i="26"/>
  <c r="H4001" i="26" s="1"/>
  <c r="L4001" i="26"/>
  <c r="M4001" i="26" s="1"/>
  <c r="J4001" i="26"/>
  <c r="I4001" i="26"/>
  <c r="K4001" i="26" s="1"/>
  <c r="I3996" i="26"/>
  <c r="I3997" i="26"/>
  <c r="I3999" i="26"/>
  <c r="I4000" i="26"/>
  <c r="I3995" i="26"/>
  <c r="H3998" i="26"/>
  <c r="I3998" i="26" s="1"/>
  <c r="J3989" i="26"/>
  <c r="J3953" i="26"/>
  <c r="J3940" i="26"/>
  <c r="N3940" i="26" s="1"/>
  <c r="B513" i="18"/>
  <c r="F16" i="18"/>
  <c r="P55" i="28"/>
  <c r="S38" i="28"/>
  <c r="R38" i="28" s="1"/>
  <c r="S39" i="28"/>
  <c r="R39" i="28" s="1"/>
  <c r="S40" i="28"/>
  <c r="S41" i="28"/>
  <c r="R41" i="28" s="1"/>
  <c r="S42" i="28"/>
  <c r="R42" i="28" s="1"/>
  <c r="S43" i="28"/>
  <c r="S44" i="28"/>
  <c r="R44" i="28" s="1"/>
  <c r="S45" i="28"/>
  <c r="S46" i="28"/>
  <c r="S47" i="28"/>
  <c r="R47" i="28"/>
  <c r="S48" i="28"/>
  <c r="R48" i="28" s="1"/>
  <c r="S49" i="28"/>
  <c r="S50" i="28"/>
  <c r="S51" i="28"/>
  <c r="R51" i="28" s="1"/>
  <c r="S52" i="28"/>
  <c r="R52" i="28"/>
  <c r="S37" i="28"/>
  <c r="W50" i="28"/>
  <c r="X50" i="28"/>
  <c r="W51" i="28"/>
  <c r="X51" i="28"/>
  <c r="T51" i="28" s="1"/>
  <c r="Q51" i="28" s="1"/>
  <c r="V51" i="28" s="1"/>
  <c r="W52" i="28"/>
  <c r="X52" i="28"/>
  <c r="W39" i="28"/>
  <c r="W40" i="28"/>
  <c r="W41" i="28"/>
  <c r="W42" i="28"/>
  <c r="W43" i="28"/>
  <c r="W44" i="28"/>
  <c r="W45" i="28"/>
  <c r="W46" i="28"/>
  <c r="T46" i="28" s="1"/>
  <c r="Q46" i="28" s="1"/>
  <c r="W47" i="28"/>
  <c r="W48" i="28"/>
  <c r="W49" i="28"/>
  <c r="W38" i="28"/>
  <c r="W37" i="28"/>
  <c r="X38" i="28"/>
  <c r="X39" i="28"/>
  <c r="X40" i="28"/>
  <c r="X41" i="28"/>
  <c r="X42" i="28"/>
  <c r="X43" i="28"/>
  <c r="X44" i="28"/>
  <c r="X45" i="28"/>
  <c r="T45" i="28" s="1"/>
  <c r="Q45" i="28" s="1"/>
  <c r="V45" i="28" s="1"/>
  <c r="X46" i="28"/>
  <c r="X47" i="28"/>
  <c r="T47" i="28"/>
  <c r="Q47" i="28" s="1"/>
  <c r="V47" i="28" s="1"/>
  <c r="X48" i="28"/>
  <c r="X49" i="28"/>
  <c r="D356" i="28"/>
  <c r="D387" i="28"/>
  <c r="D594" i="1"/>
  <c r="C594" i="1"/>
  <c r="D593" i="1"/>
  <c r="C593" i="1"/>
  <c r="D592" i="1"/>
  <c r="C592" i="1"/>
  <c r="D3946" i="26"/>
  <c r="C3946" i="26"/>
  <c r="I3935" i="26"/>
  <c r="K3935" i="26" s="1"/>
  <c r="I3934" i="26"/>
  <c r="J3934" i="26" s="1"/>
  <c r="I3936" i="26"/>
  <c r="J3936" i="26" s="1"/>
  <c r="I3937" i="26"/>
  <c r="J3937" i="26" s="1"/>
  <c r="I3938" i="26"/>
  <c r="J3938" i="26" s="1"/>
  <c r="M3939" i="26"/>
  <c r="L3938" i="26"/>
  <c r="M3938" i="26" s="1"/>
  <c r="H3938" i="26"/>
  <c r="L3937" i="26"/>
  <c r="M3937" i="26" s="1"/>
  <c r="H3937" i="26"/>
  <c r="L3936" i="26"/>
  <c r="M3936" i="26" s="1"/>
  <c r="H3936" i="26"/>
  <c r="L3935" i="26"/>
  <c r="M3935" i="26" s="1"/>
  <c r="H3935" i="26"/>
  <c r="L3934" i="26"/>
  <c r="M3934" i="26" s="1"/>
  <c r="H3934" i="26"/>
  <c r="F2033" i="22"/>
  <c r="E2416" i="22" s="1"/>
  <c r="E2033" i="22"/>
  <c r="D2416" i="22" s="1"/>
  <c r="D2033" i="22"/>
  <c r="C2416" i="22" s="1"/>
  <c r="L2031" i="22"/>
  <c r="K2031" i="22"/>
  <c r="J2031" i="22"/>
  <c r="B2031" i="22"/>
  <c r="L2030" i="22"/>
  <c r="K2030" i="22"/>
  <c r="J2030" i="22"/>
  <c r="B2030" i="22"/>
  <c r="L2029" i="22"/>
  <c r="K2029" i="22"/>
  <c r="J2029" i="22"/>
  <c r="B2029" i="22"/>
  <c r="L2028" i="22"/>
  <c r="K2028" i="22"/>
  <c r="J2028" i="22"/>
  <c r="B2028" i="22"/>
  <c r="L2027" i="22"/>
  <c r="K2027" i="22"/>
  <c r="J2027" i="22"/>
  <c r="B2027" i="22"/>
  <c r="L2026" i="22"/>
  <c r="K2026" i="22"/>
  <c r="J2026" i="22"/>
  <c r="B2026" i="22"/>
  <c r="L2025" i="22"/>
  <c r="K2025" i="22"/>
  <c r="J2025" i="22"/>
  <c r="B2025" i="22"/>
  <c r="H2024" i="22"/>
  <c r="C3931" i="26"/>
  <c r="H3931" i="26" s="1"/>
  <c r="D3931" i="26"/>
  <c r="I3931" i="26"/>
  <c r="K3931" i="26" s="1"/>
  <c r="J3931" i="26"/>
  <c r="L3931" i="26"/>
  <c r="M3931" i="26" s="1"/>
  <c r="D591" i="1"/>
  <c r="C591" i="1"/>
  <c r="X37" i="28"/>
  <c r="R40" i="28"/>
  <c r="R45" i="28"/>
  <c r="R49" i="28"/>
  <c r="R37" i="28"/>
  <c r="D3930" i="26"/>
  <c r="C3930" i="26"/>
  <c r="H3930" i="26" s="1"/>
  <c r="L3930" i="26"/>
  <c r="M3930" i="26" s="1"/>
  <c r="J3930" i="26"/>
  <c r="I3930" i="26"/>
  <c r="K3930" i="26" s="1"/>
  <c r="D3928" i="26"/>
  <c r="C3928" i="26"/>
  <c r="H3928" i="26" s="1"/>
  <c r="D3927" i="26"/>
  <c r="C3927" i="26"/>
  <c r="H3927" i="26" s="1"/>
  <c r="L3929" i="26"/>
  <c r="M3929" i="26" s="1"/>
  <c r="J3929" i="26"/>
  <c r="I3929" i="26"/>
  <c r="K3929" i="26" s="1"/>
  <c r="H3929" i="26"/>
  <c r="L3928" i="26"/>
  <c r="M3928" i="26" s="1"/>
  <c r="J3928" i="26"/>
  <c r="I3928" i="26"/>
  <c r="K3928" i="26" s="1"/>
  <c r="L3927" i="26"/>
  <c r="M3927" i="26" s="1"/>
  <c r="J3927" i="26"/>
  <c r="I3927" i="26"/>
  <c r="K3927" i="26" s="1"/>
  <c r="D3925" i="26"/>
  <c r="L3925" i="26"/>
  <c r="M3925" i="26" s="1"/>
  <c r="J3925" i="26"/>
  <c r="I3925" i="26"/>
  <c r="K3925" i="26" s="1"/>
  <c r="C3925" i="26"/>
  <c r="H3925" i="26" s="1"/>
  <c r="C3924" i="26"/>
  <c r="H3924" i="26" s="1"/>
  <c r="L3924" i="26"/>
  <c r="M3924" i="26" s="1"/>
  <c r="J3924" i="26"/>
  <c r="I3924" i="26"/>
  <c r="K3924" i="26" s="1"/>
  <c r="D590" i="1"/>
  <c r="C590" i="1"/>
  <c r="D589" i="1"/>
  <c r="C589" i="1"/>
  <c r="A2415" i="22"/>
  <c r="C3921" i="26"/>
  <c r="H3921" i="26" s="1"/>
  <c r="D3923" i="26"/>
  <c r="D3922" i="26"/>
  <c r="D3921" i="26"/>
  <c r="L3923" i="26"/>
  <c r="M3923" i="26" s="1"/>
  <c r="J3923" i="26"/>
  <c r="I3923" i="26"/>
  <c r="K3923" i="26" s="1"/>
  <c r="C3923" i="26"/>
  <c r="H3923" i="26" s="1"/>
  <c r="L3922" i="26"/>
  <c r="M3922" i="26" s="1"/>
  <c r="J3922" i="26"/>
  <c r="I3922" i="26"/>
  <c r="K3922" i="26" s="1"/>
  <c r="C3922" i="26"/>
  <c r="H3922" i="26" s="1"/>
  <c r="L3921" i="26"/>
  <c r="M3921" i="26" s="1"/>
  <c r="J3921" i="26"/>
  <c r="I3921" i="26"/>
  <c r="K3921" i="26" s="1"/>
  <c r="C3920" i="26"/>
  <c r="D3920" i="26"/>
  <c r="D3919" i="26"/>
  <c r="C3919" i="26"/>
  <c r="C614" i="18"/>
  <c r="F2022" i="22"/>
  <c r="E2415" i="22" s="1"/>
  <c r="E2022" i="22"/>
  <c r="D2415" i="22" s="1"/>
  <c r="D2022" i="22"/>
  <c r="C2415" i="22" s="1"/>
  <c r="L2020" i="22"/>
  <c r="K2020" i="22"/>
  <c r="J2020" i="22"/>
  <c r="H2020" i="22" s="1"/>
  <c r="B2020" i="22"/>
  <c r="L2019" i="22"/>
  <c r="K2019" i="22"/>
  <c r="J2019" i="22"/>
  <c r="B2019" i="22"/>
  <c r="L2018" i="22"/>
  <c r="K2018" i="22"/>
  <c r="J2018" i="22"/>
  <c r="B2018" i="22"/>
  <c r="L2017" i="22"/>
  <c r="K2017" i="22"/>
  <c r="J2017" i="22"/>
  <c r="B2017" i="22"/>
  <c r="L2016" i="22"/>
  <c r="K2016" i="22"/>
  <c r="J2016" i="22"/>
  <c r="B2016" i="22"/>
  <c r="L2015" i="22"/>
  <c r="K2015" i="22"/>
  <c r="J2015" i="22"/>
  <c r="B2015" i="22"/>
  <c r="L2014" i="22"/>
  <c r="K2014" i="22"/>
  <c r="J2014" i="22"/>
  <c r="H2014" i="22" s="1"/>
  <c r="B2014" i="22"/>
  <c r="H2013" i="22"/>
  <c r="D588" i="1"/>
  <c r="C588" i="1"/>
  <c r="D3918" i="26"/>
  <c r="C3918" i="26"/>
  <c r="H3918" i="26" s="1"/>
  <c r="L3918" i="26"/>
  <c r="M3918" i="26" s="1"/>
  <c r="J3918" i="26"/>
  <c r="I3918" i="26"/>
  <c r="K3918" i="26" s="1"/>
  <c r="D3917" i="26"/>
  <c r="D3916" i="26"/>
  <c r="C3917" i="26"/>
  <c r="H3917" i="26" s="1"/>
  <c r="C3916" i="26"/>
  <c r="H3916" i="26" s="1"/>
  <c r="L3917" i="26"/>
  <c r="M3917" i="26" s="1"/>
  <c r="J3917" i="26"/>
  <c r="I3917" i="26"/>
  <c r="K3917" i="26" s="1"/>
  <c r="L3916" i="26"/>
  <c r="M3916" i="26" s="1"/>
  <c r="J3916" i="26"/>
  <c r="I3916" i="26"/>
  <c r="K3916" i="26" s="1"/>
  <c r="D537" i="1"/>
  <c r="C537" i="1"/>
  <c r="D536" i="1"/>
  <c r="C536" i="1"/>
  <c r="D3915" i="26"/>
  <c r="D3914" i="26"/>
  <c r="L3915" i="26"/>
  <c r="M3915" i="26" s="1"/>
  <c r="J3915" i="26"/>
  <c r="I3915" i="26"/>
  <c r="K3915" i="26" s="1"/>
  <c r="C3915" i="26"/>
  <c r="H3915" i="26" s="1"/>
  <c r="L3914" i="26"/>
  <c r="M3914" i="26" s="1"/>
  <c r="J3914" i="26"/>
  <c r="I3914" i="26"/>
  <c r="K3914" i="26" s="1"/>
  <c r="C3914" i="26"/>
  <c r="H3914" i="26" s="1"/>
  <c r="D3913" i="26"/>
  <c r="D3912" i="26"/>
  <c r="D3911" i="26"/>
  <c r="L3913" i="26"/>
  <c r="M3913" i="26" s="1"/>
  <c r="J3913" i="26"/>
  <c r="I3913" i="26"/>
  <c r="K3913" i="26" s="1"/>
  <c r="C3913" i="26"/>
  <c r="H3913" i="26" s="1"/>
  <c r="L3912" i="26"/>
  <c r="M3912" i="26" s="1"/>
  <c r="J3912" i="26"/>
  <c r="I3912" i="26"/>
  <c r="K3912" i="26" s="1"/>
  <c r="C3912" i="26"/>
  <c r="H3912" i="26" s="1"/>
  <c r="L3911" i="26"/>
  <c r="M3911" i="26" s="1"/>
  <c r="J3911" i="26"/>
  <c r="I3911" i="26"/>
  <c r="K3911" i="26" s="1"/>
  <c r="C3911" i="26"/>
  <c r="H3911" i="26" s="1"/>
  <c r="D3910" i="26"/>
  <c r="D3909" i="26"/>
  <c r="L3910" i="26"/>
  <c r="M3910" i="26" s="1"/>
  <c r="J3910" i="26"/>
  <c r="I3910" i="26"/>
  <c r="K3910" i="26" s="1"/>
  <c r="C3910" i="26"/>
  <c r="H3910" i="26" s="1"/>
  <c r="L3909" i="26"/>
  <c r="M3909" i="26" s="1"/>
  <c r="J3909" i="26"/>
  <c r="I3909" i="26"/>
  <c r="K3909" i="26" s="1"/>
  <c r="C3909" i="26"/>
  <c r="H3909" i="26" s="1"/>
  <c r="D3908" i="26"/>
  <c r="D3907" i="26"/>
  <c r="L3908" i="26"/>
  <c r="M3908" i="26" s="1"/>
  <c r="J3908" i="26"/>
  <c r="I3908" i="26"/>
  <c r="K3908" i="26" s="1"/>
  <c r="C3908" i="26"/>
  <c r="H3908" i="26" s="1"/>
  <c r="L3907" i="26"/>
  <c r="M3907" i="26" s="1"/>
  <c r="J3907" i="26"/>
  <c r="I3907" i="26"/>
  <c r="K3907" i="26" s="1"/>
  <c r="C3907" i="26"/>
  <c r="H3907" i="26" s="1"/>
  <c r="D3906" i="26"/>
  <c r="D3905" i="26"/>
  <c r="D3904" i="26"/>
  <c r="D3903" i="26"/>
  <c r="L3906" i="26"/>
  <c r="M3906" i="26" s="1"/>
  <c r="J3906" i="26"/>
  <c r="I3906" i="26"/>
  <c r="K3906" i="26" s="1"/>
  <c r="C3906" i="26"/>
  <c r="H3906" i="26" s="1"/>
  <c r="L3905" i="26"/>
  <c r="M3905" i="26" s="1"/>
  <c r="J3905" i="26"/>
  <c r="I3905" i="26"/>
  <c r="K3905" i="26" s="1"/>
  <c r="C3905" i="26"/>
  <c r="H3905" i="26" s="1"/>
  <c r="L3904" i="26"/>
  <c r="M3904" i="26" s="1"/>
  <c r="J3904" i="26"/>
  <c r="I3904" i="26"/>
  <c r="K3904" i="26" s="1"/>
  <c r="C3904" i="26"/>
  <c r="H3904" i="26" s="1"/>
  <c r="L3903" i="26"/>
  <c r="M3903" i="26" s="1"/>
  <c r="J3903" i="26"/>
  <c r="I3903" i="26"/>
  <c r="K3903" i="26" s="1"/>
  <c r="C3903" i="26"/>
  <c r="H3903" i="26" s="1"/>
  <c r="B512" i="18"/>
  <c r="D3902" i="26"/>
  <c r="C3902" i="26"/>
  <c r="H3902" i="26" s="1"/>
  <c r="L3902" i="26"/>
  <c r="M3902" i="26" s="1"/>
  <c r="J3902" i="26"/>
  <c r="I3902" i="26"/>
  <c r="K3902" i="26" s="1"/>
  <c r="D3901" i="26"/>
  <c r="C3901" i="26"/>
  <c r="H3901" i="26" s="1"/>
  <c r="D326" i="28"/>
  <c r="L3901" i="26"/>
  <c r="M3901" i="26" s="1"/>
  <c r="J3901" i="26"/>
  <c r="I3901" i="26"/>
  <c r="K3901" i="26" s="1"/>
  <c r="A2414" i="22"/>
  <c r="C3896" i="26"/>
  <c r="H3896" i="26" s="1"/>
  <c r="D3896" i="26"/>
  <c r="C3897" i="26"/>
  <c r="H3897" i="26" s="1"/>
  <c r="D3897" i="26"/>
  <c r="C3898" i="26"/>
  <c r="H3898" i="26" s="1"/>
  <c r="D3898" i="26"/>
  <c r="C3899" i="26"/>
  <c r="H3899" i="26" s="1"/>
  <c r="D3899" i="26"/>
  <c r="C3900" i="26"/>
  <c r="H3900" i="26" s="1"/>
  <c r="D3900" i="26"/>
  <c r="D3895" i="26"/>
  <c r="C3895" i="26"/>
  <c r="H3895" i="26" s="1"/>
  <c r="L3900" i="26"/>
  <c r="M3900" i="26" s="1"/>
  <c r="J3900" i="26"/>
  <c r="I3900" i="26"/>
  <c r="K3900" i="26" s="1"/>
  <c r="L3899" i="26"/>
  <c r="M3899" i="26" s="1"/>
  <c r="J3899" i="26"/>
  <c r="I3899" i="26"/>
  <c r="K3899" i="26" s="1"/>
  <c r="L3898" i="26"/>
  <c r="M3898" i="26" s="1"/>
  <c r="J3898" i="26"/>
  <c r="I3898" i="26"/>
  <c r="K3898" i="26" s="1"/>
  <c r="L3897" i="26"/>
  <c r="M3897" i="26" s="1"/>
  <c r="J3897" i="26"/>
  <c r="I3897" i="26"/>
  <c r="K3897" i="26" s="1"/>
  <c r="L3896" i="26"/>
  <c r="M3896" i="26" s="1"/>
  <c r="J3896" i="26"/>
  <c r="I3896" i="26"/>
  <c r="K3896" i="26" s="1"/>
  <c r="L3895" i="26"/>
  <c r="M3895" i="26" s="1"/>
  <c r="J3895" i="26"/>
  <c r="I3895" i="26"/>
  <c r="K3895" i="26" s="1"/>
  <c r="D3894" i="26"/>
  <c r="C3894" i="26"/>
  <c r="H3894" i="26" s="1"/>
  <c r="L3894" i="26"/>
  <c r="M3894" i="26" s="1"/>
  <c r="J3894" i="26"/>
  <c r="I3894" i="26"/>
  <c r="K3894" i="26" s="1"/>
  <c r="D3893" i="26"/>
  <c r="C3893" i="26"/>
  <c r="H3893" i="26" s="1"/>
  <c r="D3892" i="26"/>
  <c r="C3892" i="26"/>
  <c r="H3892" i="26" s="1"/>
  <c r="L3893" i="26"/>
  <c r="M3893" i="26" s="1"/>
  <c r="J3893" i="26"/>
  <c r="I3893" i="26"/>
  <c r="K3893" i="26" s="1"/>
  <c r="L3892" i="26"/>
  <c r="M3892" i="26" s="1"/>
  <c r="J3892" i="26"/>
  <c r="I3892" i="26"/>
  <c r="K3892" i="26" s="1"/>
  <c r="D3891" i="26"/>
  <c r="C3891" i="26"/>
  <c r="H3891" i="26" s="1"/>
  <c r="D3890" i="26"/>
  <c r="C3890" i="26"/>
  <c r="H3890" i="26" s="1"/>
  <c r="L3891" i="26"/>
  <c r="M3891" i="26" s="1"/>
  <c r="J3891" i="26"/>
  <c r="I3891" i="26"/>
  <c r="K3891" i="26" s="1"/>
  <c r="L3890" i="26"/>
  <c r="M3890" i="26" s="1"/>
  <c r="J3890" i="26"/>
  <c r="I3890" i="26"/>
  <c r="K3890" i="26" s="1"/>
  <c r="C3888" i="26"/>
  <c r="H3888" i="26" s="1"/>
  <c r="C3889" i="26"/>
  <c r="H3889" i="26" s="1"/>
  <c r="D3889" i="26"/>
  <c r="D3888" i="26"/>
  <c r="D3881" i="26"/>
  <c r="D3882" i="26"/>
  <c r="D3883" i="26"/>
  <c r="D3884" i="26"/>
  <c r="D3885" i="26"/>
  <c r="D3886" i="26"/>
  <c r="D3887" i="26"/>
  <c r="L3889" i="26"/>
  <c r="M3889" i="26" s="1"/>
  <c r="J3889" i="26"/>
  <c r="I3889" i="26"/>
  <c r="K3889" i="26" s="1"/>
  <c r="L3888" i="26"/>
  <c r="M3888" i="26" s="1"/>
  <c r="J3888" i="26"/>
  <c r="I3888" i="26"/>
  <c r="K3888" i="26" s="1"/>
  <c r="C3887" i="26"/>
  <c r="B7" i="22"/>
  <c r="F2011" i="22"/>
  <c r="E2414" i="22" s="1"/>
  <c r="E2011" i="22"/>
  <c r="D2414" i="22" s="1"/>
  <c r="D2011" i="22"/>
  <c r="C2414" i="22" s="1"/>
  <c r="L2009" i="22"/>
  <c r="K2009" i="22"/>
  <c r="J2009" i="22"/>
  <c r="B2009" i="22"/>
  <c r="L2008" i="22"/>
  <c r="K2008" i="22"/>
  <c r="J2008" i="22"/>
  <c r="B2008" i="22"/>
  <c r="L2007" i="22"/>
  <c r="K2007" i="22"/>
  <c r="J2007" i="22"/>
  <c r="B2007" i="22"/>
  <c r="L2006" i="22"/>
  <c r="K2006" i="22"/>
  <c r="J2006" i="22"/>
  <c r="B2006" i="22"/>
  <c r="L2005" i="22"/>
  <c r="K2005" i="22"/>
  <c r="J2005" i="22"/>
  <c r="B2005" i="22"/>
  <c r="L2004" i="22"/>
  <c r="K2004" i="22"/>
  <c r="H2004" i="22" s="1"/>
  <c r="J2004" i="22"/>
  <c r="B2004" i="22"/>
  <c r="L2003" i="22"/>
  <c r="K2003" i="22"/>
  <c r="J2003" i="22"/>
  <c r="B2003" i="22"/>
  <c r="H2002" i="22"/>
  <c r="B511" i="18"/>
  <c r="R21" i="28"/>
  <c r="S21" i="28" s="1"/>
  <c r="C3886" i="26"/>
  <c r="H3886" i="26" s="1"/>
  <c r="C3885" i="26"/>
  <c r="H3885" i="26" s="1"/>
  <c r="L3886" i="26"/>
  <c r="M3886" i="26" s="1"/>
  <c r="J3886" i="26"/>
  <c r="I3886" i="26"/>
  <c r="K3886" i="26" s="1"/>
  <c r="L3885" i="26"/>
  <c r="M3885" i="26" s="1"/>
  <c r="J3885" i="26"/>
  <c r="I3885" i="26"/>
  <c r="K3885" i="26" s="1"/>
  <c r="C3881" i="26"/>
  <c r="C3884" i="26"/>
  <c r="H3884" i="26" s="1"/>
  <c r="C3883" i="26"/>
  <c r="H3883" i="26" s="1"/>
  <c r="C3882" i="26"/>
  <c r="H3882" i="26" s="1"/>
  <c r="L3884" i="26"/>
  <c r="M3884" i="26" s="1"/>
  <c r="J3884" i="26"/>
  <c r="I3884" i="26"/>
  <c r="K3884" i="26" s="1"/>
  <c r="L3883" i="26"/>
  <c r="M3883" i="26" s="1"/>
  <c r="J3883" i="26"/>
  <c r="I3883" i="26"/>
  <c r="K3883" i="26" s="1"/>
  <c r="L3882" i="26"/>
  <c r="M3882" i="26" s="1"/>
  <c r="J3882" i="26"/>
  <c r="I3882" i="26"/>
  <c r="K3882" i="26" s="1"/>
  <c r="D587" i="1"/>
  <c r="C587" i="1"/>
  <c r="D586" i="1"/>
  <c r="C586" i="1"/>
  <c r="D3880" i="26"/>
  <c r="C3880" i="26"/>
  <c r="D3879" i="26"/>
  <c r="C3879" i="26"/>
  <c r="C3876" i="26"/>
  <c r="H3876" i="26" s="1"/>
  <c r="D3876" i="26"/>
  <c r="C3877" i="26"/>
  <c r="H3877" i="26" s="1"/>
  <c r="D3877" i="26"/>
  <c r="C3878" i="26"/>
  <c r="H3878" i="26" s="1"/>
  <c r="D3878" i="26"/>
  <c r="D3875" i="26"/>
  <c r="C3875" i="26"/>
  <c r="H3875" i="26" s="1"/>
  <c r="L3878" i="26"/>
  <c r="M3878" i="26" s="1"/>
  <c r="J3878" i="26"/>
  <c r="I3878" i="26"/>
  <c r="K3878" i="26" s="1"/>
  <c r="L3877" i="26"/>
  <c r="M3877" i="26" s="1"/>
  <c r="J3877" i="26"/>
  <c r="I3877" i="26"/>
  <c r="K3877" i="26" s="1"/>
  <c r="L3876" i="26"/>
  <c r="M3876" i="26" s="1"/>
  <c r="J3876" i="26"/>
  <c r="I3876" i="26"/>
  <c r="K3876" i="26" s="1"/>
  <c r="L3875" i="26"/>
  <c r="M3875" i="26" s="1"/>
  <c r="J3875" i="26"/>
  <c r="I3875" i="26"/>
  <c r="K3875" i="26" s="1"/>
  <c r="F3874" i="26"/>
  <c r="C3874" i="26" s="1"/>
  <c r="D3874" i="26"/>
  <c r="D3873" i="26"/>
  <c r="F3873" i="26"/>
  <c r="C3873" i="26" s="1"/>
  <c r="H3873" i="26" s="1"/>
  <c r="F3872" i="26"/>
  <c r="C3872" i="26" s="1"/>
  <c r="H3872" i="26" s="1"/>
  <c r="D3872" i="26"/>
  <c r="L3873" i="26"/>
  <c r="M3873" i="26" s="1"/>
  <c r="J3873" i="26"/>
  <c r="I3873" i="26"/>
  <c r="K3873" i="26" s="1"/>
  <c r="L3872" i="26"/>
  <c r="M3872" i="26" s="1"/>
  <c r="J3872" i="26"/>
  <c r="I3872" i="26"/>
  <c r="K3872" i="26" s="1"/>
  <c r="D585" i="1"/>
  <c r="C585" i="1"/>
  <c r="H585" i="1" s="1"/>
  <c r="D3871" i="26"/>
  <c r="F3871" i="26"/>
  <c r="C3871" i="26" s="1"/>
  <c r="H3871" i="26" s="1"/>
  <c r="F3870" i="26"/>
  <c r="C3870" i="26" s="1"/>
  <c r="H3870" i="26" s="1"/>
  <c r="D3870" i="26"/>
  <c r="L3871" i="26"/>
  <c r="M3871" i="26" s="1"/>
  <c r="J3871" i="26"/>
  <c r="I3871" i="26"/>
  <c r="K3871" i="26" s="1"/>
  <c r="L3870" i="26"/>
  <c r="M3870" i="26" s="1"/>
  <c r="J3870" i="26"/>
  <c r="I3870" i="26"/>
  <c r="K3870" i="26" s="1"/>
  <c r="C3866" i="26"/>
  <c r="H3866" i="26" s="1"/>
  <c r="D3866" i="26"/>
  <c r="C3867" i="26"/>
  <c r="H3867" i="26" s="1"/>
  <c r="D3867" i="26"/>
  <c r="D3868" i="26"/>
  <c r="C3869" i="26"/>
  <c r="H3869" i="26" s="1"/>
  <c r="D3869" i="26"/>
  <c r="D3865" i="26"/>
  <c r="C3865" i="26"/>
  <c r="H3865" i="26" s="1"/>
  <c r="L3869" i="26"/>
  <c r="M3869" i="26" s="1"/>
  <c r="J3869" i="26"/>
  <c r="I3869" i="26"/>
  <c r="K3869" i="26" s="1"/>
  <c r="L3868" i="26"/>
  <c r="M3868" i="26" s="1"/>
  <c r="J3868" i="26"/>
  <c r="I3868" i="26"/>
  <c r="K3868" i="26" s="1"/>
  <c r="C3868" i="26"/>
  <c r="H3868" i="26" s="1"/>
  <c r="L3867" i="26"/>
  <c r="M3867" i="26" s="1"/>
  <c r="J3867" i="26"/>
  <c r="I3867" i="26"/>
  <c r="K3867" i="26" s="1"/>
  <c r="L3866" i="26"/>
  <c r="M3866" i="26" s="1"/>
  <c r="J3866" i="26"/>
  <c r="I3866" i="26"/>
  <c r="K3866" i="26" s="1"/>
  <c r="L3865" i="26"/>
  <c r="M3865" i="26" s="1"/>
  <c r="J3865" i="26"/>
  <c r="I3865" i="26"/>
  <c r="K3865" i="26" s="1"/>
  <c r="A2413" i="22"/>
  <c r="R28" i="28"/>
  <c r="S28" i="28" s="1"/>
  <c r="R27" i="28"/>
  <c r="S27" i="28" s="1"/>
  <c r="D295" i="28"/>
  <c r="D3864" i="26"/>
  <c r="C3864" i="26"/>
  <c r="D3863" i="26"/>
  <c r="C3863" i="26"/>
  <c r="D3862" i="26"/>
  <c r="C3862" i="26"/>
  <c r="D3861" i="26"/>
  <c r="C3861" i="26"/>
  <c r="D510" i="28"/>
  <c r="D265" i="28"/>
  <c r="D584" i="1"/>
  <c r="C584" i="1"/>
  <c r="C3859" i="26"/>
  <c r="D3859" i="26"/>
  <c r="C3860" i="26"/>
  <c r="D3860" i="26"/>
  <c r="D3858" i="26"/>
  <c r="C3858" i="26"/>
  <c r="D3855" i="26"/>
  <c r="C3855" i="26"/>
  <c r="C3856" i="26"/>
  <c r="D3856" i="26"/>
  <c r="D3857" i="26"/>
  <c r="C3857" i="26"/>
  <c r="E480" i="28"/>
  <c r="D480" i="28"/>
  <c r="E418" i="28"/>
  <c r="D419" i="28"/>
  <c r="E388" i="28"/>
  <c r="D388" i="28"/>
  <c r="E357" i="28"/>
  <c r="D357" i="28"/>
  <c r="E327" i="28"/>
  <c r="D327" i="28"/>
  <c r="E296" i="28"/>
  <c r="D296" i="28"/>
  <c r="E266" i="28"/>
  <c r="D266" i="28"/>
  <c r="D535" i="1"/>
  <c r="C535" i="1"/>
  <c r="D534" i="1"/>
  <c r="C534" i="1"/>
  <c r="C3853" i="26"/>
  <c r="D3853" i="26"/>
  <c r="D3851" i="26"/>
  <c r="C3851" i="26"/>
  <c r="F2000" i="22"/>
  <c r="E2413" i="22" s="1"/>
  <c r="E2000" i="22"/>
  <c r="D2413" i="22" s="1"/>
  <c r="D2000" i="22"/>
  <c r="C2413" i="22" s="1"/>
  <c r="L1998" i="22"/>
  <c r="K1998" i="22"/>
  <c r="J1998" i="22"/>
  <c r="B1998" i="22"/>
  <c r="L1997" i="22"/>
  <c r="K1997" i="22"/>
  <c r="J1997" i="22"/>
  <c r="B1997" i="22"/>
  <c r="L1996" i="22"/>
  <c r="K1996" i="22"/>
  <c r="J1996" i="22"/>
  <c r="B1996" i="22"/>
  <c r="L1995" i="22"/>
  <c r="K1995" i="22"/>
  <c r="J1995" i="22"/>
  <c r="B1995" i="22"/>
  <c r="L1994" i="22"/>
  <c r="K1994" i="22"/>
  <c r="J1994" i="22"/>
  <c r="B1994" i="22"/>
  <c r="L1993" i="22"/>
  <c r="K1993" i="22"/>
  <c r="J1993" i="22"/>
  <c r="B1993" i="22"/>
  <c r="L1992" i="22"/>
  <c r="K1992" i="22"/>
  <c r="J1992" i="22"/>
  <c r="B1992" i="22"/>
  <c r="H1991" i="22"/>
  <c r="R26" i="28"/>
  <c r="S26" i="28"/>
  <c r="B510" i="18"/>
  <c r="D210" i="18"/>
  <c r="D223" i="18"/>
  <c r="D222" i="18"/>
  <c r="D221" i="18"/>
  <c r="D220" i="18"/>
  <c r="Q25" i="28"/>
  <c r="R25" i="28" s="1"/>
  <c r="S25" i="28" s="1"/>
  <c r="D583" i="1"/>
  <c r="B583" i="1"/>
  <c r="Q24" i="28"/>
  <c r="R24" i="28" s="1"/>
  <c r="S24" i="28" s="1"/>
  <c r="C34" i="28"/>
  <c r="C67" i="28"/>
  <c r="C98" i="28"/>
  <c r="C128" i="28"/>
  <c r="R10" i="28"/>
  <c r="S10" i="28" s="1"/>
  <c r="R11" i="28"/>
  <c r="S11" i="28" s="1"/>
  <c r="R13" i="28"/>
  <c r="S13" i="28" s="1"/>
  <c r="R15" i="28"/>
  <c r="S15" i="28" s="1"/>
  <c r="R18" i="28"/>
  <c r="S18" i="28" s="1"/>
  <c r="R19" i="28"/>
  <c r="S19" i="28" s="1"/>
  <c r="R20" i="28"/>
  <c r="S20" i="28" s="1"/>
  <c r="R23" i="28"/>
  <c r="S23" i="28" s="1"/>
  <c r="R6" i="28"/>
  <c r="S6" i="28" s="1"/>
  <c r="Q22" i="28"/>
  <c r="R22" i="28"/>
  <c r="S22" i="28" s="1"/>
  <c r="Q17" i="28"/>
  <c r="R17" i="28"/>
  <c r="S17" i="28" s="1"/>
  <c r="Q16" i="28"/>
  <c r="R16" i="28" s="1"/>
  <c r="S16" i="28" s="1"/>
  <c r="Q14" i="28"/>
  <c r="R14" i="28" s="1"/>
  <c r="S14" i="28" s="1"/>
  <c r="Q12" i="28"/>
  <c r="R12" i="28"/>
  <c r="S12" i="28" s="1"/>
  <c r="Q9" i="28"/>
  <c r="R9" i="28" s="1"/>
  <c r="S9" i="28" s="1"/>
  <c r="Q8" i="28"/>
  <c r="Q7" i="28"/>
  <c r="R7" i="28" s="1"/>
  <c r="S7" i="28" s="1"/>
  <c r="A4963" i="26"/>
  <c r="A4967" i="26" s="1"/>
  <c r="D4967" i="26" s="1"/>
  <c r="B4963" i="26"/>
  <c r="C4963" i="26" s="1"/>
  <c r="B4964" i="26" s="1"/>
  <c r="D533" i="1"/>
  <c r="C533" i="1"/>
  <c r="D532" i="1"/>
  <c r="C532" i="1"/>
  <c r="A2412" i="22"/>
  <c r="F1989" i="22"/>
  <c r="E2412" i="22" s="1"/>
  <c r="E1989" i="22"/>
  <c r="D2412" i="22" s="1"/>
  <c r="D1989" i="22"/>
  <c r="C2412" i="22" s="1"/>
  <c r="L1987" i="22"/>
  <c r="K1987" i="22"/>
  <c r="J1987" i="22"/>
  <c r="B1987" i="22"/>
  <c r="L1986" i="22"/>
  <c r="K1986" i="22"/>
  <c r="J1986" i="22"/>
  <c r="B1986" i="22"/>
  <c r="L1985" i="22"/>
  <c r="K1985" i="22"/>
  <c r="J1985" i="22"/>
  <c r="B1985" i="22"/>
  <c r="L1984" i="22"/>
  <c r="K1984" i="22"/>
  <c r="J1984" i="22"/>
  <c r="B1984" i="22"/>
  <c r="L1983" i="22"/>
  <c r="K1983" i="22"/>
  <c r="J1983" i="22"/>
  <c r="B1983" i="22"/>
  <c r="L1982" i="22"/>
  <c r="K1982" i="22"/>
  <c r="J1982" i="22"/>
  <c r="B1982" i="22"/>
  <c r="L1981" i="22"/>
  <c r="K1981" i="22"/>
  <c r="J1981" i="22"/>
  <c r="B1981" i="22"/>
  <c r="B1989" i="22" s="1"/>
  <c r="B2412" i="22" s="1"/>
  <c r="H1980" i="22"/>
  <c r="D582" i="1"/>
  <c r="C582" i="1"/>
  <c r="D581" i="1"/>
  <c r="C581" i="1"/>
  <c r="E42" i="18"/>
  <c r="B507" i="18"/>
  <c r="B509" i="18"/>
  <c r="B508" i="18"/>
  <c r="C3770" i="26"/>
  <c r="D3770" i="26"/>
  <c r="A2411" i="22"/>
  <c r="F1978" i="22"/>
  <c r="E2411" i="22" s="1"/>
  <c r="E1978" i="22"/>
  <c r="D2411" i="22" s="1"/>
  <c r="D1978" i="22"/>
  <c r="C2411" i="22" s="1"/>
  <c r="L1976" i="22"/>
  <c r="K1976" i="22"/>
  <c r="J1976" i="22"/>
  <c r="B1976" i="22"/>
  <c r="L1975" i="22"/>
  <c r="K1975" i="22"/>
  <c r="J1975" i="22"/>
  <c r="B1975" i="22"/>
  <c r="L1974" i="22"/>
  <c r="K1974" i="22"/>
  <c r="J1974" i="22"/>
  <c r="B1974" i="22"/>
  <c r="L1973" i="22"/>
  <c r="K1973" i="22"/>
  <c r="J1973" i="22"/>
  <c r="B1973" i="22"/>
  <c r="L1972" i="22"/>
  <c r="K1972" i="22"/>
  <c r="J1972" i="22"/>
  <c r="B1972" i="22"/>
  <c r="L1971" i="22"/>
  <c r="K1971" i="22"/>
  <c r="J1971" i="22"/>
  <c r="H1971" i="22" s="1"/>
  <c r="B1971" i="22"/>
  <c r="L1970" i="22"/>
  <c r="K1970" i="22"/>
  <c r="J1970" i="22"/>
  <c r="B1970" i="22"/>
  <c r="H1969" i="22"/>
  <c r="D531" i="1"/>
  <c r="C531" i="1"/>
  <c r="D530" i="1"/>
  <c r="C530" i="1"/>
  <c r="D529" i="1"/>
  <c r="C529" i="1"/>
  <c r="G4963" i="26"/>
  <c r="D506" i="18"/>
  <c r="B506" i="18" s="1"/>
  <c r="I504" i="18"/>
  <c r="D505" i="18"/>
  <c r="B505" i="18" s="1"/>
  <c r="B504" i="18"/>
  <c r="D503" i="18"/>
  <c r="B503" i="18" s="1"/>
  <c r="D502" i="18"/>
  <c r="B502" i="18" s="1"/>
  <c r="I501" i="18"/>
  <c r="B501" i="18"/>
  <c r="B500" i="18"/>
  <c r="M3733" i="26"/>
  <c r="M3732" i="26"/>
  <c r="M3731" i="26"/>
  <c r="M3730" i="26"/>
  <c r="O3729" i="26"/>
  <c r="M3729" i="26"/>
  <c r="N3732" i="26" s="1"/>
  <c r="D224" i="18"/>
  <c r="C224" i="18"/>
  <c r="L3728" i="26"/>
  <c r="M3728" i="26" s="1"/>
  <c r="H3728" i="26"/>
  <c r="D3728" i="26"/>
  <c r="L3727" i="26"/>
  <c r="M3727" i="26" s="1"/>
  <c r="H3727" i="26"/>
  <c r="D3727" i="26"/>
  <c r="L3726" i="26"/>
  <c r="M3726" i="26" s="1"/>
  <c r="D3726" i="26"/>
  <c r="H3726" i="26"/>
  <c r="L3725" i="26"/>
  <c r="M3725" i="26" s="1"/>
  <c r="H3725" i="26"/>
  <c r="D3725" i="26"/>
  <c r="O3724" i="26"/>
  <c r="O3725" i="26" s="1"/>
  <c r="L3724" i="26"/>
  <c r="M3724" i="26" s="1"/>
  <c r="N3728" i="26" s="1"/>
  <c r="D3724" i="26"/>
  <c r="H3724" i="26"/>
  <c r="D3723" i="26"/>
  <c r="F4964" i="26"/>
  <c r="F4965" i="26" s="1"/>
  <c r="G4965" i="26" s="1"/>
  <c r="L3722" i="26"/>
  <c r="M3722" i="26" s="1"/>
  <c r="J3722" i="26"/>
  <c r="I3722" i="26"/>
  <c r="K3722" i="26" s="1"/>
  <c r="D3722" i="26"/>
  <c r="C3722" i="26"/>
  <c r="H3722" i="26" s="1"/>
  <c r="D3721" i="26"/>
  <c r="C3721" i="26"/>
  <c r="D3720" i="26"/>
  <c r="C3720" i="26"/>
  <c r="D3719" i="26"/>
  <c r="C3719" i="26"/>
  <c r="D580" i="1"/>
  <c r="C580" i="1"/>
  <c r="D579" i="1"/>
  <c r="C579" i="1"/>
  <c r="C3715" i="26"/>
  <c r="H3713" i="26"/>
  <c r="H3718" i="26"/>
  <c r="H3715" i="26"/>
  <c r="H3716" i="26"/>
  <c r="D3718" i="26"/>
  <c r="C3718" i="26"/>
  <c r="D3717" i="26"/>
  <c r="C3717" i="26"/>
  <c r="D3716" i="26"/>
  <c r="C3716" i="26"/>
  <c r="D3715" i="26"/>
  <c r="D3714" i="26"/>
  <c r="C3714" i="26"/>
  <c r="D3713" i="26"/>
  <c r="C3713" i="26"/>
  <c r="H3711" i="26"/>
  <c r="H3710" i="26"/>
  <c r="H3707" i="26"/>
  <c r="H3706" i="26"/>
  <c r="D3711" i="26"/>
  <c r="C3711" i="26"/>
  <c r="D3710" i="26"/>
  <c r="C3710" i="26"/>
  <c r="D3709" i="26"/>
  <c r="C3709" i="26"/>
  <c r="D3712" i="26"/>
  <c r="C3712" i="26"/>
  <c r="D3708" i="26"/>
  <c r="C3708" i="26"/>
  <c r="D3707" i="26"/>
  <c r="C3707" i="26"/>
  <c r="D3706" i="26"/>
  <c r="C3706" i="26"/>
  <c r="B657" i="27"/>
  <c r="B659" i="27"/>
  <c r="H632" i="27"/>
  <c r="G632" i="27"/>
  <c r="G634" i="27" s="1"/>
  <c r="D3705" i="26"/>
  <c r="C3705" i="26"/>
  <c r="D3704" i="26"/>
  <c r="C3704" i="26"/>
  <c r="D3703" i="26"/>
  <c r="C3703" i="26"/>
  <c r="D3702" i="26"/>
  <c r="C3702" i="26"/>
  <c r="D3701" i="26"/>
  <c r="C3701" i="26"/>
  <c r="D3700" i="26"/>
  <c r="C3700" i="26"/>
  <c r="D3699" i="26"/>
  <c r="C3699" i="26"/>
  <c r="D3698" i="26"/>
  <c r="C3698" i="26"/>
  <c r="D3697" i="26"/>
  <c r="C3697" i="26"/>
  <c r="D3696" i="26"/>
  <c r="C3696" i="26"/>
  <c r="D3695" i="26"/>
  <c r="C3695" i="26"/>
  <c r="D3694" i="26"/>
  <c r="C3694" i="26"/>
  <c r="D3693" i="26"/>
  <c r="C3693" i="26"/>
  <c r="D3692" i="26"/>
  <c r="C3692" i="26"/>
  <c r="D3691" i="26"/>
  <c r="C3691" i="26"/>
  <c r="D3690" i="26"/>
  <c r="C3690" i="26"/>
  <c r="D3689" i="26"/>
  <c r="C3689" i="26"/>
  <c r="D3688" i="26"/>
  <c r="C3688" i="26"/>
  <c r="D3687" i="26"/>
  <c r="C3687" i="26"/>
  <c r="D3686" i="26"/>
  <c r="C3686" i="26"/>
  <c r="D3685" i="26"/>
  <c r="C3685" i="26"/>
  <c r="A2410" i="22"/>
  <c r="F1967" i="22"/>
  <c r="E2410" i="22" s="1"/>
  <c r="E1967" i="22"/>
  <c r="D2410" i="22" s="1"/>
  <c r="D1967" i="22"/>
  <c r="C2410" i="22" s="1"/>
  <c r="L1965" i="22"/>
  <c r="K1965" i="22"/>
  <c r="J1965" i="22"/>
  <c r="B1965" i="22"/>
  <c r="L1964" i="22"/>
  <c r="K1964" i="22"/>
  <c r="J1964" i="22"/>
  <c r="B1964" i="22"/>
  <c r="L1963" i="22"/>
  <c r="K1963" i="22"/>
  <c r="J1963" i="22"/>
  <c r="B1963" i="22"/>
  <c r="L1962" i="22"/>
  <c r="K1962" i="22"/>
  <c r="J1962" i="22"/>
  <c r="B1962" i="22"/>
  <c r="L1961" i="22"/>
  <c r="K1961" i="22"/>
  <c r="J1961" i="22"/>
  <c r="B1961" i="22"/>
  <c r="L1960" i="22"/>
  <c r="K1960" i="22"/>
  <c r="J1960" i="22"/>
  <c r="B1960" i="22"/>
  <c r="L1959" i="22"/>
  <c r="K1959" i="22"/>
  <c r="J1959" i="22"/>
  <c r="B1959" i="22"/>
  <c r="H1958" i="22"/>
  <c r="G4966" i="26"/>
  <c r="G4967" i="26"/>
  <c r="L3684" i="26"/>
  <c r="M3684" i="26" s="1"/>
  <c r="J3684" i="26"/>
  <c r="I3684" i="26"/>
  <c r="K3684" i="26" s="1"/>
  <c r="D3684" i="26"/>
  <c r="C3684" i="26"/>
  <c r="H3684" i="26" s="1"/>
  <c r="L3683" i="26"/>
  <c r="M3683" i="26" s="1"/>
  <c r="J3683" i="26"/>
  <c r="I3683" i="26"/>
  <c r="K3683" i="26" s="1"/>
  <c r="D3683" i="26"/>
  <c r="C3683" i="26"/>
  <c r="H3683" i="26" s="1"/>
  <c r="L3682" i="26"/>
  <c r="M3682" i="26" s="1"/>
  <c r="J3682" i="26"/>
  <c r="I3682" i="26"/>
  <c r="K3682" i="26" s="1"/>
  <c r="D3682" i="26"/>
  <c r="C3682" i="26"/>
  <c r="H3682" i="26" s="1"/>
  <c r="L3681" i="26"/>
  <c r="M3681" i="26" s="1"/>
  <c r="J3681" i="26"/>
  <c r="I3681" i="26"/>
  <c r="K3681" i="26" s="1"/>
  <c r="D3681" i="26"/>
  <c r="C3681" i="26"/>
  <c r="H3681" i="26" s="1"/>
  <c r="L3680" i="26"/>
  <c r="M3680" i="26" s="1"/>
  <c r="J3680" i="26"/>
  <c r="I3680" i="26"/>
  <c r="K3680" i="26" s="1"/>
  <c r="D3680" i="26"/>
  <c r="C3680" i="26"/>
  <c r="H3680" i="26" s="1"/>
  <c r="L3679" i="26"/>
  <c r="M3679" i="26" s="1"/>
  <c r="J3679" i="26"/>
  <c r="I3679" i="26"/>
  <c r="K3679" i="26" s="1"/>
  <c r="D3679" i="26"/>
  <c r="C3679" i="26"/>
  <c r="H3679" i="26" s="1"/>
  <c r="L3676" i="26"/>
  <c r="M3676" i="26" s="1"/>
  <c r="J3676" i="26"/>
  <c r="I3676" i="26"/>
  <c r="K3676" i="26" s="1"/>
  <c r="D3676" i="26"/>
  <c r="C3676" i="26"/>
  <c r="H3676" i="26" s="1"/>
  <c r="L3675" i="26"/>
  <c r="M3675" i="26" s="1"/>
  <c r="J3675" i="26"/>
  <c r="I3675" i="26"/>
  <c r="N3675" i="26" s="1"/>
  <c r="C3675" i="26"/>
  <c r="H3675" i="26" s="1"/>
  <c r="D3675" i="26"/>
  <c r="L3674" i="26"/>
  <c r="M3674" i="26" s="1"/>
  <c r="J3674" i="26"/>
  <c r="I3674" i="26"/>
  <c r="K3674" i="26" s="1"/>
  <c r="D3674" i="26"/>
  <c r="C3674" i="26"/>
  <c r="H3674" i="26" s="1"/>
  <c r="L3673" i="26"/>
  <c r="M3673" i="26" s="1"/>
  <c r="J3673" i="26"/>
  <c r="I3673" i="26"/>
  <c r="K3673" i="26" s="1"/>
  <c r="D3673" i="26"/>
  <c r="C3673" i="26"/>
  <c r="H3673" i="26" s="1"/>
  <c r="L3672" i="26"/>
  <c r="M3672" i="26" s="1"/>
  <c r="J3672" i="26"/>
  <c r="I3672" i="26"/>
  <c r="K3672" i="26" s="1"/>
  <c r="D3672" i="26"/>
  <c r="C3672" i="26"/>
  <c r="H3672" i="26" s="1"/>
  <c r="L3671" i="26"/>
  <c r="M3671" i="26" s="1"/>
  <c r="J3671" i="26"/>
  <c r="I3671" i="26"/>
  <c r="K3671" i="26" s="1"/>
  <c r="D3671" i="26"/>
  <c r="C3671" i="26"/>
  <c r="H3671" i="26" s="1"/>
  <c r="L3670" i="26"/>
  <c r="M3670" i="26" s="1"/>
  <c r="J3670" i="26"/>
  <c r="I3670" i="26"/>
  <c r="K3670" i="26" s="1"/>
  <c r="D3670" i="26"/>
  <c r="C3670" i="26"/>
  <c r="H3670" i="26" s="1"/>
  <c r="L3669" i="26"/>
  <c r="M3669" i="26" s="1"/>
  <c r="J3669" i="26"/>
  <c r="I3669" i="26"/>
  <c r="K3669" i="26" s="1"/>
  <c r="D3669" i="26"/>
  <c r="C3669" i="26"/>
  <c r="H3669" i="26" s="1"/>
  <c r="L3668" i="26"/>
  <c r="M3668" i="26" s="1"/>
  <c r="J3668" i="26"/>
  <c r="I3668" i="26"/>
  <c r="K3668" i="26" s="1"/>
  <c r="D3668" i="26"/>
  <c r="C3668" i="26"/>
  <c r="H3668" i="26" s="1"/>
  <c r="L3667" i="26"/>
  <c r="M3667" i="26" s="1"/>
  <c r="J3667" i="26"/>
  <c r="I3667" i="26"/>
  <c r="K3667" i="26" s="1"/>
  <c r="D3667" i="26"/>
  <c r="C3667" i="26"/>
  <c r="H3667" i="26" s="1"/>
  <c r="L3666" i="26"/>
  <c r="M3666" i="26" s="1"/>
  <c r="J3666" i="26"/>
  <c r="I3666" i="26"/>
  <c r="K3666" i="26" s="1"/>
  <c r="D3666" i="26"/>
  <c r="C3666" i="26"/>
  <c r="H3666" i="26" s="1"/>
  <c r="L3665" i="26"/>
  <c r="M3665" i="26" s="1"/>
  <c r="J3665" i="26"/>
  <c r="I3665" i="26"/>
  <c r="K3665" i="26" s="1"/>
  <c r="D3665" i="26"/>
  <c r="C3665" i="26"/>
  <c r="H3665" i="26" s="1"/>
  <c r="L3664" i="26"/>
  <c r="M3664" i="26" s="1"/>
  <c r="J3664" i="26"/>
  <c r="I3664" i="26"/>
  <c r="K3664" i="26" s="1"/>
  <c r="D3664" i="26"/>
  <c r="C3664" i="26"/>
  <c r="H3664" i="26" s="1"/>
  <c r="L3663" i="26"/>
  <c r="M3663" i="26" s="1"/>
  <c r="J3663" i="26"/>
  <c r="I3663" i="26"/>
  <c r="K3663" i="26" s="1"/>
  <c r="D3663" i="26"/>
  <c r="C3663" i="26"/>
  <c r="H3663" i="26" s="1"/>
  <c r="L3662" i="26"/>
  <c r="M3662" i="26" s="1"/>
  <c r="J3662" i="26"/>
  <c r="I3662" i="26"/>
  <c r="K3662" i="26" s="1"/>
  <c r="D3662" i="26"/>
  <c r="C3662" i="26"/>
  <c r="H3662" i="26" s="1"/>
  <c r="L3661" i="26"/>
  <c r="M3661" i="26" s="1"/>
  <c r="J3661" i="26"/>
  <c r="I3661" i="26"/>
  <c r="K3661" i="26" s="1"/>
  <c r="D3661" i="26"/>
  <c r="C3661" i="26"/>
  <c r="H3661" i="26" s="1"/>
  <c r="L3660" i="26"/>
  <c r="M3660" i="26" s="1"/>
  <c r="J3660" i="26"/>
  <c r="I3660" i="26"/>
  <c r="K3660" i="26" s="1"/>
  <c r="D3660" i="26"/>
  <c r="C3660" i="26"/>
  <c r="H3660" i="26" s="1"/>
  <c r="L3659" i="26"/>
  <c r="M3659" i="26" s="1"/>
  <c r="J3659" i="26"/>
  <c r="I3659" i="26"/>
  <c r="K3659" i="26" s="1"/>
  <c r="D3659" i="26"/>
  <c r="C3659" i="26"/>
  <c r="H3659" i="26" s="1"/>
  <c r="D3658" i="26"/>
  <c r="C3658" i="26"/>
  <c r="D3657" i="26"/>
  <c r="C3657" i="26"/>
  <c r="D3656" i="26"/>
  <c r="C3656" i="26"/>
  <c r="D3655" i="26"/>
  <c r="C3655" i="26"/>
  <c r="D3654" i="26"/>
  <c r="C3654" i="26"/>
  <c r="D3653" i="26"/>
  <c r="C3653" i="26"/>
  <c r="D3652" i="26"/>
  <c r="C3652" i="26"/>
  <c r="D3651" i="26"/>
  <c r="C3651" i="26"/>
  <c r="D3650" i="26"/>
  <c r="C3650" i="26"/>
  <c r="C159" i="28"/>
  <c r="D3649" i="26"/>
  <c r="C3649" i="26"/>
  <c r="H3649" i="26" s="1"/>
  <c r="D3648" i="26"/>
  <c r="C3648" i="26"/>
  <c r="H3648" i="26" s="1"/>
  <c r="D3647" i="26"/>
  <c r="C3647" i="26"/>
  <c r="H3647" i="26" s="1"/>
  <c r="D3646" i="26"/>
  <c r="C3646" i="26"/>
  <c r="H3646" i="26" s="1"/>
  <c r="D3645" i="26"/>
  <c r="C3645" i="26"/>
  <c r="H3645" i="26" s="1"/>
  <c r="D3644" i="26"/>
  <c r="C3644" i="26"/>
  <c r="H3644" i="26" s="1"/>
  <c r="D3643" i="26"/>
  <c r="C3643" i="26"/>
  <c r="H3643" i="26" s="1"/>
  <c r="D3642" i="26"/>
  <c r="C3642" i="26"/>
  <c r="H3642" i="26" s="1"/>
  <c r="D3641" i="26"/>
  <c r="C3641" i="26"/>
  <c r="H3641" i="26" s="1"/>
  <c r="D3640" i="26"/>
  <c r="C3640" i="26"/>
  <c r="H3640" i="26" s="1"/>
  <c r="D3639" i="26"/>
  <c r="C3639" i="26"/>
  <c r="H3639" i="26" s="1"/>
  <c r="D3638" i="26"/>
  <c r="C3638" i="26"/>
  <c r="H3638" i="26" s="1"/>
  <c r="D3637" i="26"/>
  <c r="C3637" i="26"/>
  <c r="H3637" i="26" s="1"/>
  <c r="D3636" i="26"/>
  <c r="C3636" i="26"/>
  <c r="H3636" i="26" s="1"/>
  <c r="D3635" i="26"/>
  <c r="C3635" i="26"/>
  <c r="H3635" i="26" s="1"/>
  <c r="C3627" i="26"/>
  <c r="H3627" i="26" s="1"/>
  <c r="D3627" i="26"/>
  <c r="D213" i="18"/>
  <c r="C213" i="18"/>
  <c r="J1948" i="22"/>
  <c r="H1948" i="22" s="1"/>
  <c r="J1949" i="22"/>
  <c r="J1950" i="22"/>
  <c r="J1951" i="22"/>
  <c r="J1952" i="22"/>
  <c r="J1953" i="22"/>
  <c r="H1953" i="22" s="1"/>
  <c r="J1954" i="22"/>
  <c r="K1948" i="22"/>
  <c r="K1949" i="22"/>
  <c r="K1950" i="22"/>
  <c r="K1951" i="22"/>
  <c r="K1952" i="22"/>
  <c r="K1953" i="22"/>
  <c r="K1954" i="22"/>
  <c r="L1948" i="22"/>
  <c r="L1949" i="22"/>
  <c r="L1950" i="22"/>
  <c r="L1951" i="22"/>
  <c r="L1952" i="22"/>
  <c r="L1953" i="22"/>
  <c r="L1954" i="22"/>
  <c r="D3634" i="26"/>
  <c r="C3634" i="26"/>
  <c r="H3634" i="26" s="1"/>
  <c r="D3633" i="26"/>
  <c r="C3633" i="26"/>
  <c r="H3633" i="26" s="1"/>
  <c r="D3632" i="26"/>
  <c r="C3632" i="26"/>
  <c r="H3632" i="26" s="1"/>
  <c r="D3631" i="26"/>
  <c r="C3631" i="26"/>
  <c r="H3631" i="26" s="1"/>
  <c r="D3630" i="26"/>
  <c r="C3630" i="26"/>
  <c r="H3630" i="26" s="1"/>
  <c r="D3629" i="26"/>
  <c r="C3629" i="26"/>
  <c r="H3629" i="26" s="1"/>
  <c r="D3628" i="26"/>
  <c r="C3628" i="26"/>
  <c r="H3628" i="26" s="1"/>
  <c r="D3626" i="26"/>
  <c r="C3626" i="26"/>
  <c r="H3626" i="26" s="1"/>
  <c r="D3625" i="26"/>
  <c r="C3625" i="26"/>
  <c r="H3625" i="26" s="1"/>
  <c r="D3624" i="26"/>
  <c r="C3624" i="26"/>
  <c r="H3624" i="26" s="1"/>
  <c r="D3623" i="26"/>
  <c r="C3623" i="26"/>
  <c r="H3623" i="26" s="1"/>
  <c r="D578" i="1"/>
  <c r="C578" i="1"/>
  <c r="D577" i="1"/>
  <c r="B577" i="1"/>
  <c r="D3622" i="26"/>
  <c r="C3622" i="26"/>
  <c r="H3622" i="26" s="1"/>
  <c r="D3621" i="26"/>
  <c r="C3621" i="26"/>
  <c r="H3621" i="26" s="1"/>
  <c r="D3620" i="26"/>
  <c r="C3620" i="26"/>
  <c r="H3620" i="26" s="1"/>
  <c r="D3619" i="26"/>
  <c r="C3619" i="26"/>
  <c r="H3619" i="26" s="1"/>
  <c r="D3618" i="26"/>
  <c r="C3618" i="26"/>
  <c r="H3618" i="26" s="1"/>
  <c r="D3617" i="26"/>
  <c r="C3617" i="26"/>
  <c r="H3617" i="26" s="1"/>
  <c r="D3616" i="26"/>
  <c r="C3616" i="26"/>
  <c r="H3616" i="26" s="1"/>
  <c r="D3615" i="26"/>
  <c r="C3615" i="26"/>
  <c r="H3615" i="26" s="1"/>
  <c r="D3614" i="26"/>
  <c r="C3614" i="26"/>
  <c r="H3614" i="26" s="1"/>
  <c r="D3613" i="26"/>
  <c r="C3613" i="26"/>
  <c r="H3613" i="26" s="1"/>
  <c r="D3612" i="26"/>
  <c r="C3612" i="26"/>
  <c r="H3612" i="26" s="1"/>
  <c r="D3611" i="26"/>
  <c r="C3611" i="26"/>
  <c r="H3611" i="26" s="1"/>
  <c r="D3610" i="26"/>
  <c r="C3610" i="26"/>
  <c r="H3610" i="26" s="1"/>
  <c r="D3609" i="26"/>
  <c r="C3609" i="26"/>
  <c r="H3609" i="26" s="1"/>
  <c r="D3608" i="26"/>
  <c r="C3608" i="26"/>
  <c r="H3608" i="26" s="1"/>
  <c r="D3607" i="26"/>
  <c r="C3607" i="26"/>
  <c r="H3607" i="26" s="1"/>
  <c r="D3606" i="26"/>
  <c r="C3606" i="26"/>
  <c r="H3606" i="26" s="1"/>
  <c r="D3605" i="26"/>
  <c r="C3605" i="26"/>
  <c r="H3605" i="26" s="1"/>
  <c r="D3604" i="26"/>
  <c r="C3604" i="26"/>
  <c r="H3604" i="26" s="1"/>
  <c r="D3603" i="26"/>
  <c r="C3603" i="26"/>
  <c r="H3603" i="26" s="1"/>
  <c r="D3602" i="26"/>
  <c r="C3602" i="26"/>
  <c r="H3602" i="26" s="1"/>
  <c r="D3601" i="26"/>
  <c r="C3601" i="26"/>
  <c r="H3601" i="26" s="1"/>
  <c r="D3600" i="26"/>
  <c r="C3600" i="26"/>
  <c r="H3600" i="26" s="1"/>
  <c r="D3599" i="26"/>
  <c r="C3599" i="26"/>
  <c r="H3599" i="26" s="1"/>
  <c r="D3598" i="26"/>
  <c r="C3598" i="26"/>
  <c r="H3598" i="26" s="1"/>
  <c r="D3597" i="26"/>
  <c r="C3597" i="26"/>
  <c r="H3597" i="26" s="1"/>
  <c r="D3596" i="26"/>
  <c r="C3596" i="26"/>
  <c r="H3596" i="26" s="1"/>
  <c r="D3595" i="26"/>
  <c r="C3595" i="26"/>
  <c r="H3595" i="26" s="1"/>
  <c r="D3594" i="26"/>
  <c r="C3594" i="26"/>
  <c r="H3594" i="26" s="1"/>
  <c r="F1956" i="22"/>
  <c r="E2409" i="22" s="1"/>
  <c r="E1956" i="22"/>
  <c r="D2409" i="22" s="1"/>
  <c r="D1956" i="22"/>
  <c r="C2409" i="22"/>
  <c r="B1948" i="22"/>
  <c r="B1954" i="22"/>
  <c r="B1953" i="22"/>
  <c r="B1952" i="22"/>
  <c r="B1951" i="22"/>
  <c r="B1950" i="22"/>
  <c r="B1949" i="22"/>
  <c r="K1937" i="22"/>
  <c r="K1926" i="22"/>
  <c r="L1937" i="22"/>
  <c r="A2409" i="22"/>
  <c r="A2408" i="22"/>
  <c r="A2407" i="22"/>
  <c r="A2406" i="22"/>
  <c r="A2405" i="22"/>
  <c r="D3593" i="26"/>
  <c r="C3593" i="26"/>
  <c r="H3593" i="26" s="1"/>
  <c r="D3592" i="26"/>
  <c r="C3592" i="26"/>
  <c r="H3592" i="26" s="1"/>
  <c r="D3591" i="26"/>
  <c r="C3591" i="26"/>
  <c r="H3591" i="26" s="1"/>
  <c r="D3590" i="26"/>
  <c r="C3590" i="26"/>
  <c r="H3590" i="26" s="1"/>
  <c r="D3589" i="26"/>
  <c r="C3589" i="26"/>
  <c r="H3589" i="26" s="1"/>
  <c r="D3588" i="26"/>
  <c r="C3588" i="26"/>
  <c r="H3588" i="26" s="1"/>
  <c r="D3587" i="26"/>
  <c r="C3587" i="26"/>
  <c r="H3587" i="26" s="1"/>
  <c r="D3586" i="26"/>
  <c r="C3586" i="26"/>
  <c r="H3586" i="26" s="1"/>
  <c r="D3585" i="26"/>
  <c r="C3585" i="26"/>
  <c r="H3585" i="26" s="1"/>
  <c r="D216" i="18"/>
  <c r="C216" i="18"/>
  <c r="D499" i="18"/>
  <c r="B499" i="18" s="1"/>
  <c r="D498" i="18"/>
  <c r="B498" i="18" s="1"/>
  <c r="I494" i="18"/>
  <c r="B497" i="18"/>
  <c r="D3584" i="26"/>
  <c r="C3584" i="26"/>
  <c r="H3584" i="26" s="1"/>
  <c r="D3583" i="26"/>
  <c r="C3583" i="26"/>
  <c r="H3583" i="26" s="1"/>
  <c r="D3582" i="26"/>
  <c r="C3582" i="26"/>
  <c r="H3582" i="26" s="1"/>
  <c r="D3581" i="26"/>
  <c r="C3581" i="26"/>
  <c r="H3581" i="26" s="1"/>
  <c r="D3580" i="26"/>
  <c r="C3580" i="26"/>
  <c r="H3580" i="26" s="1"/>
  <c r="D3579" i="26"/>
  <c r="C3579" i="26"/>
  <c r="H3579" i="26" s="1"/>
  <c r="D3578" i="26"/>
  <c r="C3578" i="26"/>
  <c r="H3578" i="26" s="1"/>
  <c r="H1947" i="22"/>
  <c r="D3577" i="26"/>
  <c r="C3577" i="26"/>
  <c r="H3577" i="26" s="1"/>
  <c r="D3576" i="26"/>
  <c r="C3576" i="26"/>
  <c r="H3576" i="26" s="1"/>
  <c r="D3575" i="26"/>
  <c r="C3575" i="26"/>
  <c r="H3575" i="26" s="1"/>
  <c r="D3574" i="26"/>
  <c r="C3574" i="26"/>
  <c r="H3574" i="26" s="1"/>
  <c r="D576" i="1"/>
  <c r="C576" i="1"/>
  <c r="D575" i="1"/>
  <c r="C575" i="1"/>
  <c r="D3573" i="26"/>
  <c r="C3573" i="26"/>
  <c r="H3573" i="26" s="1"/>
  <c r="D3572" i="26"/>
  <c r="C3572" i="26"/>
  <c r="H3572" i="26" s="1"/>
  <c r="D3571" i="26"/>
  <c r="C3571" i="26"/>
  <c r="H3571" i="26" s="1"/>
  <c r="D3570" i="26"/>
  <c r="C3570" i="26"/>
  <c r="H3570" i="26" s="1"/>
  <c r="D3569" i="26"/>
  <c r="C3569" i="26"/>
  <c r="H3569" i="26" s="1"/>
  <c r="D3568" i="26"/>
  <c r="C3568" i="26"/>
  <c r="H3568" i="26" s="1"/>
  <c r="D3567" i="26"/>
  <c r="C3567" i="26"/>
  <c r="H3567" i="26" s="1"/>
  <c r="D3566" i="26"/>
  <c r="C3566" i="26"/>
  <c r="H3566" i="26" s="1"/>
  <c r="D3565" i="26"/>
  <c r="C3565" i="26"/>
  <c r="H3565" i="26" s="1"/>
  <c r="D3564" i="26"/>
  <c r="C3564" i="26"/>
  <c r="H3564" i="26" s="1"/>
  <c r="D3563" i="26"/>
  <c r="C3563" i="26"/>
  <c r="H3563" i="26" s="1"/>
  <c r="D3562" i="26"/>
  <c r="C3562" i="26"/>
  <c r="H3562" i="26" s="1"/>
  <c r="D3561" i="26"/>
  <c r="C3561" i="26"/>
  <c r="H3561" i="26" s="1"/>
  <c r="D3560" i="26"/>
  <c r="C3560" i="26"/>
  <c r="H3560" i="26" s="1"/>
  <c r="D3559" i="26"/>
  <c r="C3559" i="26"/>
  <c r="H3559" i="26" s="1"/>
  <c r="D3558" i="26"/>
  <c r="C3558" i="26"/>
  <c r="H3558" i="26" s="1"/>
  <c r="D3557" i="26"/>
  <c r="C3557" i="26"/>
  <c r="H3557" i="26" s="1"/>
  <c r="D3556" i="26"/>
  <c r="C3556" i="26"/>
  <c r="H3556" i="26" s="1"/>
  <c r="D3555" i="26"/>
  <c r="C3555" i="26"/>
  <c r="H3555" i="26" s="1"/>
  <c r="D3554" i="26"/>
  <c r="C3554" i="26"/>
  <c r="H3554" i="26" s="1"/>
  <c r="D3553" i="26"/>
  <c r="C3553" i="26"/>
  <c r="H3553" i="26" s="1"/>
  <c r="D3552" i="26"/>
  <c r="C3552" i="26"/>
  <c r="H3552" i="26" s="1"/>
  <c r="D3551" i="26"/>
  <c r="C3551" i="26"/>
  <c r="H3551" i="26" s="1"/>
  <c r="D3550" i="26"/>
  <c r="C3550" i="26"/>
  <c r="H3550" i="26" s="1"/>
  <c r="D3549" i="26"/>
  <c r="C3549" i="26"/>
  <c r="H3549" i="26" s="1"/>
  <c r="D3548" i="26"/>
  <c r="C3548" i="26"/>
  <c r="H3548" i="26" s="1"/>
  <c r="B4978" i="26"/>
  <c r="D3547" i="26"/>
  <c r="C3547" i="26"/>
  <c r="H3547" i="26" s="1"/>
  <c r="D3546" i="26"/>
  <c r="C3546" i="26"/>
  <c r="H3546" i="26" s="1"/>
  <c r="D3545" i="26"/>
  <c r="C3545" i="26"/>
  <c r="H3545" i="26" s="1"/>
  <c r="D3544" i="26"/>
  <c r="C3544" i="26"/>
  <c r="H3544" i="26" s="1"/>
  <c r="D3543" i="26"/>
  <c r="C3543" i="26"/>
  <c r="H3543" i="26" s="1"/>
  <c r="G164" i="22"/>
  <c r="C3542" i="26"/>
  <c r="C3541" i="26"/>
  <c r="C3540" i="26"/>
  <c r="D3533" i="26"/>
  <c r="C3533" i="26"/>
  <c r="H3533" i="26" s="1"/>
  <c r="D3539" i="26"/>
  <c r="C3539" i="26"/>
  <c r="H3539" i="26" s="1"/>
  <c r="D3538" i="26"/>
  <c r="C3538" i="26"/>
  <c r="H3538" i="26" s="1"/>
  <c r="D3537" i="26"/>
  <c r="C3537" i="26"/>
  <c r="H3537" i="26" s="1"/>
  <c r="D3536" i="26"/>
  <c r="C3536" i="26"/>
  <c r="H3536" i="26" s="1"/>
  <c r="D3535" i="26"/>
  <c r="C3535" i="26"/>
  <c r="H3535" i="26" s="1"/>
  <c r="D3534" i="26"/>
  <c r="C3534" i="26"/>
  <c r="H3534" i="26" s="1"/>
  <c r="D215" i="18"/>
  <c r="C215" i="18"/>
  <c r="D528" i="1"/>
  <c r="C528" i="1"/>
  <c r="D527" i="1"/>
  <c r="C527" i="1"/>
  <c r="D526" i="1"/>
  <c r="C526" i="1"/>
  <c r="D3532" i="26"/>
  <c r="C3532" i="26"/>
  <c r="H3532" i="26" s="1"/>
  <c r="D3531" i="26"/>
  <c r="C3531" i="26"/>
  <c r="H3531" i="26" s="1"/>
  <c r="D3530" i="26"/>
  <c r="C3530" i="26"/>
  <c r="H3530" i="26" s="1"/>
  <c r="D3529" i="26"/>
  <c r="C3529" i="26"/>
  <c r="H3529" i="26" s="1"/>
  <c r="D3528" i="26"/>
  <c r="C3528" i="26"/>
  <c r="H3528" i="26" s="1"/>
  <c r="D3527" i="26"/>
  <c r="C3527" i="26"/>
  <c r="H3527" i="26" s="1"/>
  <c r="D3526" i="26"/>
  <c r="C3526" i="26"/>
  <c r="H3526" i="26" s="1"/>
  <c r="D3525" i="26"/>
  <c r="C3525" i="26"/>
  <c r="H3525" i="26" s="1"/>
  <c r="D3524" i="26"/>
  <c r="C3524" i="26"/>
  <c r="H3524" i="26" s="1"/>
  <c r="D3523" i="26"/>
  <c r="C3523" i="26"/>
  <c r="H3523" i="26" s="1"/>
  <c r="D3522" i="26"/>
  <c r="C3522" i="26"/>
  <c r="H3522" i="26" s="1"/>
  <c r="D3521" i="26"/>
  <c r="C3521" i="26"/>
  <c r="H3521" i="26" s="1"/>
  <c r="D3520" i="26"/>
  <c r="C3520" i="26"/>
  <c r="H3520" i="26" s="1"/>
  <c r="D3519" i="26"/>
  <c r="C3519" i="26"/>
  <c r="H3519" i="26" s="1"/>
  <c r="I3518" i="26"/>
  <c r="D3518" i="26"/>
  <c r="C3518" i="26"/>
  <c r="H3518" i="26" s="1"/>
  <c r="D3517" i="26"/>
  <c r="C3517" i="26"/>
  <c r="H3517" i="26" s="1"/>
  <c r="D3516" i="26"/>
  <c r="C3516" i="26"/>
  <c r="H3516" i="26" s="1"/>
  <c r="D3515" i="26"/>
  <c r="C3515" i="26"/>
  <c r="H3515" i="26" s="1"/>
  <c r="D3514" i="26"/>
  <c r="C3514" i="26"/>
  <c r="H3514" i="26" s="1"/>
  <c r="D3513" i="26"/>
  <c r="C3513" i="26"/>
  <c r="H3513" i="26" s="1"/>
  <c r="I3512" i="26"/>
  <c r="D3512" i="26"/>
  <c r="C3512" i="26"/>
  <c r="H3512" i="26" s="1"/>
  <c r="D3511" i="26"/>
  <c r="C3511" i="26"/>
  <c r="H3511" i="26" s="1"/>
  <c r="I3510" i="26"/>
  <c r="D3510" i="26"/>
  <c r="C3510" i="26"/>
  <c r="H3510" i="26" s="1"/>
  <c r="D3509" i="26"/>
  <c r="C3509" i="26"/>
  <c r="H3509" i="26" s="1"/>
  <c r="D3508" i="26"/>
  <c r="C3508" i="26"/>
  <c r="H3508" i="26" s="1"/>
  <c r="D3507" i="26"/>
  <c r="C3507" i="26"/>
  <c r="H3507" i="26" s="1"/>
  <c r="D3506" i="26"/>
  <c r="C3506" i="26"/>
  <c r="H3506" i="26" s="1"/>
  <c r="I3505" i="26"/>
  <c r="D3505" i="26"/>
  <c r="C3505" i="26"/>
  <c r="H3505" i="26" s="1"/>
  <c r="D3504" i="26"/>
  <c r="C3504" i="26"/>
  <c r="H3504" i="26" s="1"/>
  <c r="D3502" i="26"/>
  <c r="C3502" i="26"/>
  <c r="H3502" i="26" s="1"/>
  <c r="D3497" i="26"/>
  <c r="C3497" i="26"/>
  <c r="H3497" i="26" s="1"/>
  <c r="D3501" i="26"/>
  <c r="C3501" i="26"/>
  <c r="H3501" i="26" s="1"/>
  <c r="D3500" i="26"/>
  <c r="C3500" i="26"/>
  <c r="H3500" i="26" s="1"/>
  <c r="D3499" i="26"/>
  <c r="C3499" i="26"/>
  <c r="H3499" i="26" s="1"/>
  <c r="I3498" i="26"/>
  <c r="D3498" i="26"/>
  <c r="C3498" i="26"/>
  <c r="H3498" i="26" s="1"/>
  <c r="I3503" i="26"/>
  <c r="D3503" i="26"/>
  <c r="C3503" i="26"/>
  <c r="H3503" i="26" s="1"/>
  <c r="D3496" i="26"/>
  <c r="C3496" i="26"/>
  <c r="H3496" i="26" s="1"/>
  <c r="D3495" i="26"/>
  <c r="C3495" i="26"/>
  <c r="H3495" i="26" s="1"/>
  <c r="D3494" i="26"/>
  <c r="C3494" i="26"/>
  <c r="H3494" i="26" s="1"/>
  <c r="D3493" i="26"/>
  <c r="C3493" i="26"/>
  <c r="H3493" i="26" s="1"/>
  <c r="D3492" i="26"/>
  <c r="C3492" i="26"/>
  <c r="H3492" i="26" s="1"/>
  <c r="D3491" i="26"/>
  <c r="C3491" i="26"/>
  <c r="H3491" i="26" s="1"/>
  <c r="D3490" i="26"/>
  <c r="C3490" i="26"/>
  <c r="H3490" i="26" s="1"/>
  <c r="D3489" i="26"/>
  <c r="C3489" i="26"/>
  <c r="H3489" i="26" s="1"/>
  <c r="F1945" i="22"/>
  <c r="E2408" i="22" s="1"/>
  <c r="E1945" i="22"/>
  <c r="D2408" i="22" s="1"/>
  <c r="D1945" i="22"/>
  <c r="C2408" i="22" s="1"/>
  <c r="L1943" i="22"/>
  <c r="K1943" i="22"/>
  <c r="J1943" i="22"/>
  <c r="B1943" i="22"/>
  <c r="L1942" i="22"/>
  <c r="K1942" i="22"/>
  <c r="J1942" i="22"/>
  <c r="B1942" i="22"/>
  <c r="L1941" i="22"/>
  <c r="K1941" i="22"/>
  <c r="J1941" i="22"/>
  <c r="B1941" i="22"/>
  <c r="L1940" i="22"/>
  <c r="K1940" i="22"/>
  <c r="J1940" i="22"/>
  <c r="H1940" i="22" s="1"/>
  <c r="B1940" i="22"/>
  <c r="L1939" i="22"/>
  <c r="K1939" i="22"/>
  <c r="J1939" i="22"/>
  <c r="B1939" i="22"/>
  <c r="L1938" i="22"/>
  <c r="K1938" i="22"/>
  <c r="J1938" i="22"/>
  <c r="B1938" i="22"/>
  <c r="J1937" i="22"/>
  <c r="B1937" i="22"/>
  <c r="H1936" i="22"/>
  <c r="D3488" i="26"/>
  <c r="C3488" i="26"/>
  <c r="H3488" i="26" s="1"/>
  <c r="D3487" i="26"/>
  <c r="C3487" i="26"/>
  <c r="H3487" i="26" s="1"/>
  <c r="D3486" i="26"/>
  <c r="C3486" i="26"/>
  <c r="H3486" i="26" s="1"/>
  <c r="D217" i="18"/>
  <c r="C217" i="18"/>
  <c r="D3485" i="26"/>
  <c r="C3485" i="26"/>
  <c r="H3485" i="26" s="1"/>
  <c r="D3484" i="26"/>
  <c r="C3484" i="26"/>
  <c r="H3484" i="26" s="1"/>
  <c r="D3483" i="26"/>
  <c r="C3483" i="26"/>
  <c r="H3483" i="26" s="1"/>
  <c r="D3482" i="26"/>
  <c r="C3482" i="26"/>
  <c r="H3482" i="26" s="1"/>
  <c r="D3481" i="26"/>
  <c r="C3481" i="26"/>
  <c r="H3481" i="26" s="1"/>
  <c r="D3480" i="26"/>
  <c r="C3480" i="26"/>
  <c r="H3480" i="26" s="1"/>
  <c r="D3479" i="26"/>
  <c r="C3479" i="26"/>
  <c r="H3479" i="26" s="1"/>
  <c r="D3478" i="26"/>
  <c r="C3478" i="26"/>
  <c r="H3478" i="26" s="1"/>
  <c r="D3477" i="26"/>
  <c r="C3477" i="26"/>
  <c r="H3477" i="26" s="1"/>
  <c r="D3476" i="26"/>
  <c r="C3476" i="26"/>
  <c r="H3476" i="26" s="1"/>
  <c r="D3475" i="26"/>
  <c r="C3475" i="26"/>
  <c r="H3475" i="26" s="1"/>
  <c r="D3474" i="26"/>
  <c r="C3474" i="26"/>
  <c r="H3474" i="26" s="1"/>
  <c r="D3473" i="26"/>
  <c r="C3473" i="26"/>
  <c r="H3473" i="26" s="1"/>
  <c r="D3472" i="26"/>
  <c r="C3472" i="26"/>
  <c r="H3472" i="26" s="1"/>
  <c r="D3471" i="26"/>
  <c r="C3471" i="26"/>
  <c r="H3471" i="26" s="1"/>
  <c r="D3470" i="26"/>
  <c r="C3470" i="26"/>
  <c r="H3470" i="26" s="1"/>
  <c r="D3469" i="26"/>
  <c r="C3469" i="26"/>
  <c r="H3469" i="26" s="1"/>
  <c r="D3468" i="26"/>
  <c r="C3468" i="26"/>
  <c r="H3468" i="26" s="1"/>
  <c r="D3467" i="26"/>
  <c r="C3467" i="26"/>
  <c r="H3467" i="26" s="1"/>
  <c r="D3466" i="26"/>
  <c r="C3466" i="26"/>
  <c r="H3466" i="26" s="1"/>
  <c r="D3465" i="26"/>
  <c r="C3465" i="26"/>
  <c r="H3465" i="26" s="1"/>
  <c r="D3464" i="26"/>
  <c r="C3464" i="26"/>
  <c r="H3464" i="26" s="1"/>
  <c r="D3463" i="26"/>
  <c r="C3463" i="26"/>
  <c r="H3463" i="26" s="1"/>
  <c r="D574" i="1"/>
  <c r="C574" i="1"/>
  <c r="D3458" i="26"/>
  <c r="C3458" i="26"/>
  <c r="H3458" i="26" s="1"/>
  <c r="D3462" i="26"/>
  <c r="C3462" i="26"/>
  <c r="H3462" i="26" s="1"/>
  <c r="D3461" i="26"/>
  <c r="C3461" i="26"/>
  <c r="H3461" i="26" s="1"/>
  <c r="D3460" i="26"/>
  <c r="C3460" i="26"/>
  <c r="H3460" i="26" s="1"/>
  <c r="D3459" i="26"/>
  <c r="C3459" i="26"/>
  <c r="H3459" i="26" s="1"/>
  <c r="D3457" i="26"/>
  <c r="C3457" i="26"/>
  <c r="D3456" i="26"/>
  <c r="C3456" i="26"/>
  <c r="D3455" i="26"/>
  <c r="C3455" i="26"/>
  <c r="D3454" i="26"/>
  <c r="C3454" i="26"/>
  <c r="D3453" i="26"/>
  <c r="C3453" i="26"/>
  <c r="D3452" i="26"/>
  <c r="C3452" i="26"/>
  <c r="D219" i="18"/>
  <c r="C219" i="18"/>
  <c r="D3450" i="26"/>
  <c r="C3450" i="26"/>
  <c r="D3449" i="26"/>
  <c r="C3449" i="26"/>
  <c r="D3448" i="26"/>
  <c r="C3448" i="26"/>
  <c r="D3447" i="26"/>
  <c r="C3447" i="26"/>
  <c r="D3451" i="26"/>
  <c r="C3451" i="26"/>
  <c r="D573" i="1"/>
  <c r="C573" i="1"/>
  <c r="D3446" i="26"/>
  <c r="C3446" i="26"/>
  <c r="I3446" i="26" s="1"/>
  <c r="D3445" i="26"/>
  <c r="C3445" i="26"/>
  <c r="I3445" i="26" s="1"/>
  <c r="B4970" i="26"/>
  <c r="D3444" i="26"/>
  <c r="C3444" i="26"/>
  <c r="H3444" i="26" s="1"/>
  <c r="D3443" i="26"/>
  <c r="C3443" i="26"/>
  <c r="H3443" i="26" s="1"/>
  <c r="D3442" i="26"/>
  <c r="C3442" i="26"/>
  <c r="H3442" i="26" s="1"/>
  <c r="D3441" i="26"/>
  <c r="C3441" i="26"/>
  <c r="H3441" i="26" s="1"/>
  <c r="D3440" i="26"/>
  <c r="C3440" i="26"/>
  <c r="H3440" i="26" s="1"/>
  <c r="D3439" i="26"/>
  <c r="C3439" i="26"/>
  <c r="I3439" i="26" s="1"/>
  <c r="D525" i="1"/>
  <c r="C525" i="1"/>
  <c r="D524" i="1"/>
  <c r="C524" i="1"/>
  <c r="D523" i="1"/>
  <c r="C523" i="1"/>
  <c r="D522" i="1"/>
  <c r="C522" i="1"/>
  <c r="D211" i="18"/>
  <c r="C211" i="18"/>
  <c r="D218" i="18"/>
  <c r="C218" i="18"/>
  <c r="D214" i="18"/>
  <c r="C214" i="18"/>
  <c r="D3195" i="26"/>
  <c r="C3195" i="26"/>
  <c r="D3194" i="26"/>
  <c r="C3194" i="26"/>
  <c r="D3426" i="26"/>
  <c r="C3426" i="26"/>
  <c r="D3425" i="26"/>
  <c r="C3425" i="26"/>
  <c r="D3424" i="26"/>
  <c r="C3424" i="26"/>
  <c r="D3423" i="26"/>
  <c r="C3423" i="26"/>
  <c r="D3422" i="26"/>
  <c r="C3422" i="26"/>
  <c r="D3431" i="26"/>
  <c r="C3431" i="26"/>
  <c r="D3430" i="26"/>
  <c r="C3430" i="26"/>
  <c r="D3429" i="26"/>
  <c r="C3429" i="26"/>
  <c r="D3428" i="26"/>
  <c r="C3428" i="26"/>
  <c r="D3427" i="26"/>
  <c r="C3427" i="26"/>
  <c r="D3438" i="26"/>
  <c r="C3438" i="26"/>
  <c r="D3437" i="26"/>
  <c r="C3437" i="26"/>
  <c r="D3436" i="26"/>
  <c r="C3436" i="26"/>
  <c r="D3435" i="26"/>
  <c r="C3435" i="26"/>
  <c r="D3434" i="26"/>
  <c r="C3434" i="26"/>
  <c r="D3433" i="26"/>
  <c r="C3433" i="26"/>
  <c r="D3432" i="26"/>
  <c r="C3432" i="26"/>
  <c r="D3421" i="26"/>
  <c r="C3421" i="26"/>
  <c r="D3420" i="26"/>
  <c r="C3420" i="26"/>
  <c r="D3419" i="26"/>
  <c r="C3419" i="26"/>
  <c r="D3418" i="26"/>
  <c r="C3418" i="26"/>
  <c r="D3417" i="26"/>
  <c r="C3417" i="26"/>
  <c r="D3416" i="26"/>
  <c r="C3416" i="26"/>
  <c r="D3415" i="26"/>
  <c r="C3415" i="26"/>
  <c r="D572" i="1"/>
  <c r="C572" i="1"/>
  <c r="D3414" i="26"/>
  <c r="C3414" i="26"/>
  <c r="H3414" i="26" s="1"/>
  <c r="D3413" i="26"/>
  <c r="C3413" i="26"/>
  <c r="H3413" i="26" s="1"/>
  <c r="D3412" i="26"/>
  <c r="C3412" i="26"/>
  <c r="H3412" i="26" s="1"/>
  <c r="D3411" i="26"/>
  <c r="C3411" i="26"/>
  <c r="H3411" i="26" s="1"/>
  <c r="D3410" i="26"/>
  <c r="C3410" i="26"/>
  <c r="H3410" i="26" s="1"/>
  <c r="D3409" i="26"/>
  <c r="C3409" i="26"/>
  <c r="H3409" i="26" s="1"/>
  <c r="I4967" i="26"/>
  <c r="D3403" i="26"/>
  <c r="C3403" i="26"/>
  <c r="H3403" i="26" s="1"/>
  <c r="D3401" i="26"/>
  <c r="C3401" i="26"/>
  <c r="H3401" i="26" s="1"/>
  <c r="D3398" i="26"/>
  <c r="C3398" i="26"/>
  <c r="H3398" i="26" s="1"/>
  <c r="D3402" i="26"/>
  <c r="C3402" i="26"/>
  <c r="H3402" i="26" s="1"/>
  <c r="D3400" i="26"/>
  <c r="C3400" i="26"/>
  <c r="H3400" i="26" s="1"/>
  <c r="D3399" i="26"/>
  <c r="C3399" i="26"/>
  <c r="H3399" i="26" s="1"/>
  <c r="D3407" i="26"/>
  <c r="C3407" i="26"/>
  <c r="H3407" i="26" s="1"/>
  <c r="D3406" i="26"/>
  <c r="C3406" i="26"/>
  <c r="H3406" i="26" s="1"/>
  <c r="D3408" i="26"/>
  <c r="C3408" i="26"/>
  <c r="H3408" i="26" s="1"/>
  <c r="D3405" i="26"/>
  <c r="C3405" i="26"/>
  <c r="H3405" i="26" s="1"/>
  <c r="D3404" i="26"/>
  <c r="C3404" i="26"/>
  <c r="H3404" i="26" s="1"/>
  <c r="D3397" i="26"/>
  <c r="C3397" i="26"/>
  <c r="H3397" i="26" s="1"/>
  <c r="D3396" i="26"/>
  <c r="C3396" i="26"/>
  <c r="H3396" i="26" s="1"/>
  <c r="D3395" i="26"/>
  <c r="C3395" i="26"/>
  <c r="H3395" i="26" s="1"/>
  <c r="D3394" i="26"/>
  <c r="C3394" i="26"/>
  <c r="H3394" i="26" s="1"/>
  <c r="D3393" i="26"/>
  <c r="C3393" i="26"/>
  <c r="H3393" i="26" s="1"/>
  <c r="D3392" i="26"/>
  <c r="C3392" i="26"/>
  <c r="H3392" i="26" s="1"/>
  <c r="D496" i="18"/>
  <c r="B496" i="18" s="1"/>
  <c r="D495" i="18"/>
  <c r="B495" i="18" s="1"/>
  <c r="I491" i="18"/>
  <c r="B494" i="18"/>
  <c r="D3391" i="26"/>
  <c r="C3391" i="26"/>
  <c r="H3391" i="26" s="1"/>
  <c r="D3390" i="26"/>
  <c r="C3390" i="26"/>
  <c r="H3390" i="26" s="1"/>
  <c r="D3389" i="26"/>
  <c r="C3389" i="26"/>
  <c r="H3389" i="26" s="1"/>
  <c r="D3388" i="26"/>
  <c r="C3388" i="26"/>
  <c r="H3388" i="26" s="1"/>
  <c r="D3387" i="26"/>
  <c r="C3387" i="26"/>
  <c r="H3387" i="26" s="1"/>
  <c r="D3386" i="26"/>
  <c r="C3386" i="26"/>
  <c r="H3386" i="26" s="1"/>
  <c r="D3385" i="26"/>
  <c r="C3385" i="26"/>
  <c r="H3385" i="26" s="1"/>
  <c r="D3384" i="26"/>
  <c r="C3384" i="26"/>
  <c r="H3384" i="26" s="1"/>
  <c r="D3383" i="26"/>
  <c r="C3383" i="26"/>
  <c r="H3383" i="26" s="1"/>
  <c r="D3382" i="26"/>
  <c r="C3382" i="26"/>
  <c r="H3382" i="26" s="1"/>
  <c r="D3381" i="26"/>
  <c r="C3381" i="26"/>
  <c r="H3381" i="26" s="1"/>
  <c r="D3380" i="26"/>
  <c r="C3380" i="26"/>
  <c r="H3380" i="26" s="1"/>
  <c r="D3379" i="26"/>
  <c r="C3379" i="26"/>
  <c r="H3379" i="26" s="1"/>
  <c r="F1934" i="22"/>
  <c r="E2407" i="22" s="1"/>
  <c r="E1934" i="22"/>
  <c r="D2407" i="22" s="1"/>
  <c r="D1934" i="22"/>
  <c r="C2407" i="22" s="1"/>
  <c r="L1932" i="22"/>
  <c r="K1932" i="22"/>
  <c r="H1932" i="22" s="1"/>
  <c r="J1932" i="22"/>
  <c r="B1932" i="22"/>
  <c r="L1931" i="22"/>
  <c r="K1931" i="22"/>
  <c r="J1931" i="22"/>
  <c r="H1931" i="22" s="1"/>
  <c r="B1931" i="22"/>
  <c r="L1930" i="22"/>
  <c r="K1930" i="22"/>
  <c r="J1930" i="22"/>
  <c r="B1930" i="22"/>
  <c r="L1929" i="22"/>
  <c r="K1929" i="22"/>
  <c r="J1929" i="22"/>
  <c r="B1929" i="22"/>
  <c r="L1928" i="22"/>
  <c r="K1928" i="22"/>
  <c r="J1928" i="22"/>
  <c r="B1928" i="22"/>
  <c r="L1927" i="22"/>
  <c r="K1927" i="22"/>
  <c r="J1927" i="22"/>
  <c r="B1927" i="22"/>
  <c r="L1926" i="22"/>
  <c r="J1926" i="22"/>
  <c r="B1926" i="22"/>
  <c r="H1925" i="22"/>
  <c r="D3372" i="26"/>
  <c r="C3372" i="26"/>
  <c r="H3372" i="26" s="1"/>
  <c r="D3371" i="26"/>
  <c r="C3371" i="26"/>
  <c r="H3371" i="26" s="1"/>
  <c r="D3370" i="26"/>
  <c r="C3370" i="26"/>
  <c r="H3370" i="26" s="1"/>
  <c r="D3369" i="26"/>
  <c r="C3369" i="26"/>
  <c r="H3369" i="26" s="1"/>
  <c r="D3368" i="26"/>
  <c r="C3368" i="26"/>
  <c r="H3368" i="26" s="1"/>
  <c r="D3378" i="26"/>
  <c r="C3378" i="26"/>
  <c r="H3378" i="26" s="1"/>
  <c r="D3377" i="26"/>
  <c r="C3377" i="26"/>
  <c r="H3377" i="26" s="1"/>
  <c r="D3376" i="26"/>
  <c r="C3376" i="26"/>
  <c r="H3376" i="26" s="1"/>
  <c r="D3375" i="26"/>
  <c r="C3375" i="26"/>
  <c r="H3375" i="26" s="1"/>
  <c r="D3374" i="26"/>
  <c r="C3374" i="26"/>
  <c r="H3374" i="26" s="1"/>
  <c r="D3373" i="26"/>
  <c r="C3373" i="26"/>
  <c r="H3373" i="26" s="1"/>
  <c r="D3367" i="26"/>
  <c r="C3367" i="26"/>
  <c r="H3367" i="26" s="1"/>
  <c r="D3366" i="26"/>
  <c r="C3366" i="26"/>
  <c r="H3366" i="26" s="1"/>
  <c r="D3365" i="26"/>
  <c r="C3365" i="26"/>
  <c r="H3365" i="26" s="1"/>
  <c r="D3364" i="26"/>
  <c r="C3364" i="26"/>
  <c r="H3364" i="26" s="1"/>
  <c r="D3363" i="26"/>
  <c r="C3363" i="26"/>
  <c r="H3363" i="26" s="1"/>
  <c r="D3362" i="26"/>
  <c r="C3362" i="26"/>
  <c r="H3362" i="26" s="1"/>
  <c r="C3358" i="26"/>
  <c r="C3357" i="26"/>
  <c r="C3359" i="26"/>
  <c r="C3360" i="26"/>
  <c r="C3361" i="26"/>
  <c r="D3361" i="26"/>
  <c r="D3360" i="26"/>
  <c r="D3359" i="26"/>
  <c r="D3358" i="26"/>
  <c r="D3357" i="26"/>
  <c r="D3356" i="26"/>
  <c r="C3356" i="26"/>
  <c r="D3355" i="26"/>
  <c r="C3355" i="26"/>
  <c r="H3355" i="26" s="1"/>
  <c r="D3354" i="26"/>
  <c r="C3354" i="26"/>
  <c r="H3354" i="26" s="1"/>
  <c r="D3353" i="26"/>
  <c r="C3353" i="26"/>
  <c r="H3353" i="26" s="1"/>
  <c r="D3352" i="26"/>
  <c r="C3352" i="26"/>
  <c r="H3352" i="26" s="1"/>
  <c r="D3351" i="26"/>
  <c r="C3351" i="26"/>
  <c r="H3351" i="26" s="1"/>
  <c r="D3350" i="26"/>
  <c r="C3350" i="26"/>
  <c r="H3350" i="26" s="1"/>
  <c r="D3349" i="26"/>
  <c r="C3349" i="26"/>
  <c r="H3349" i="26" s="1"/>
  <c r="D3193" i="26"/>
  <c r="C3193" i="26"/>
  <c r="H3193" i="26" s="1"/>
  <c r="D3192" i="26"/>
  <c r="C3192" i="26"/>
  <c r="H3192" i="26" s="1"/>
  <c r="D3191" i="26"/>
  <c r="C3191" i="26"/>
  <c r="H3191" i="26" s="1"/>
  <c r="D3344" i="26"/>
  <c r="C3344" i="26"/>
  <c r="D3343" i="26"/>
  <c r="C3343" i="26"/>
  <c r="D3342" i="26"/>
  <c r="C3342" i="26"/>
  <c r="D3348" i="26"/>
  <c r="C3348" i="26"/>
  <c r="D3347" i="26"/>
  <c r="C3347" i="26"/>
  <c r="D3346" i="26"/>
  <c r="C3346" i="26"/>
  <c r="D3345" i="26"/>
  <c r="C3345" i="26"/>
  <c r="D3341" i="26"/>
  <c r="C3341" i="26"/>
  <c r="D3340" i="26"/>
  <c r="C3340" i="26"/>
  <c r="D3339" i="26"/>
  <c r="C3339" i="26"/>
  <c r="D3338" i="26"/>
  <c r="C3338" i="26"/>
  <c r="D3337" i="26"/>
  <c r="C3337" i="26"/>
  <c r="D3336" i="26"/>
  <c r="C3336" i="26"/>
  <c r="D3333" i="26"/>
  <c r="C3333" i="26"/>
  <c r="H3333" i="26" s="1"/>
  <c r="D3335" i="26"/>
  <c r="C3335" i="26"/>
  <c r="H3335" i="26" s="1"/>
  <c r="D3332" i="26"/>
  <c r="C3332" i="26"/>
  <c r="H3332" i="26" s="1"/>
  <c r="D3334" i="26"/>
  <c r="C3334" i="26"/>
  <c r="H3334" i="26" s="1"/>
  <c r="D3230" i="26"/>
  <c r="C3230" i="26"/>
  <c r="H3230" i="26" s="1"/>
  <c r="D3331" i="26"/>
  <c r="C3331" i="26"/>
  <c r="D3330" i="26"/>
  <c r="C3330" i="26"/>
  <c r="D3329" i="26"/>
  <c r="C3329" i="26"/>
  <c r="D3328" i="26"/>
  <c r="C3328" i="26"/>
  <c r="D3327" i="26"/>
  <c r="C3327" i="26"/>
  <c r="D3326" i="26"/>
  <c r="C3326" i="26"/>
  <c r="D3325" i="26"/>
  <c r="C3325" i="26"/>
  <c r="D3324" i="26"/>
  <c r="C3324" i="26"/>
  <c r="D3323" i="26"/>
  <c r="C3323" i="26"/>
  <c r="D3322" i="26"/>
  <c r="C3322" i="26"/>
  <c r="D3321" i="26"/>
  <c r="C3321" i="26"/>
  <c r="D3320" i="26"/>
  <c r="C3320" i="26"/>
  <c r="D3319" i="26"/>
  <c r="C3319" i="26"/>
  <c r="D3312" i="26"/>
  <c r="C3312" i="26"/>
  <c r="D3229" i="26"/>
  <c r="C3229" i="26"/>
  <c r="D3317" i="26"/>
  <c r="C3317" i="26"/>
  <c r="D3318" i="26"/>
  <c r="C3318" i="26"/>
  <c r="C570" i="1"/>
  <c r="D570" i="1"/>
  <c r="C571" i="1"/>
  <c r="D571" i="1"/>
  <c r="D3316" i="26"/>
  <c r="C3316" i="26"/>
  <c r="H3316" i="26" s="1"/>
  <c r="D3315" i="26"/>
  <c r="C3315" i="26"/>
  <c r="H3315" i="26" s="1"/>
  <c r="D3314" i="26"/>
  <c r="C3314" i="26"/>
  <c r="H3314" i="26" s="1"/>
  <c r="D3313" i="26"/>
  <c r="C3313" i="26"/>
  <c r="H3313" i="26" s="1"/>
  <c r="D3306" i="26"/>
  <c r="C3306" i="26"/>
  <c r="H3306" i="26" s="1"/>
  <c r="D3305" i="26"/>
  <c r="C3305" i="26"/>
  <c r="H3305" i="26" s="1"/>
  <c r="D3304" i="26"/>
  <c r="C3304" i="26"/>
  <c r="H3304" i="26" s="1"/>
  <c r="D3303" i="26"/>
  <c r="C3303" i="26"/>
  <c r="H3303" i="26" s="1"/>
  <c r="D521" i="1"/>
  <c r="C521" i="1"/>
  <c r="D520" i="1"/>
  <c r="C520" i="1"/>
  <c r="D519" i="1"/>
  <c r="C519" i="1"/>
  <c r="D518" i="1"/>
  <c r="C518" i="1"/>
  <c r="D3311" i="26"/>
  <c r="C3311" i="26"/>
  <c r="H3311" i="26" s="1"/>
  <c r="D3310" i="26"/>
  <c r="C3310" i="26"/>
  <c r="H3310" i="26" s="1"/>
  <c r="D3309" i="26"/>
  <c r="C3309" i="26"/>
  <c r="H3309" i="26" s="1"/>
  <c r="D3308" i="26"/>
  <c r="C3308" i="26"/>
  <c r="H3308" i="26" s="1"/>
  <c r="D3307" i="26"/>
  <c r="C3307" i="26"/>
  <c r="H3307" i="26" s="1"/>
  <c r="D3302" i="26"/>
  <c r="C3302" i="26"/>
  <c r="H3302" i="26" s="1"/>
  <c r="D3301" i="26"/>
  <c r="C3301" i="26"/>
  <c r="H3301" i="26" s="1"/>
  <c r="D3300" i="26"/>
  <c r="C3300" i="26"/>
  <c r="H3300" i="26" s="1"/>
  <c r="D3295" i="26"/>
  <c r="C3295" i="26"/>
  <c r="H3295" i="26" s="1"/>
  <c r="D3294" i="26"/>
  <c r="C3294" i="26"/>
  <c r="H3294" i="26" s="1"/>
  <c r="D3293" i="26"/>
  <c r="C3293" i="26"/>
  <c r="H3293" i="26" s="1"/>
  <c r="D3291" i="26"/>
  <c r="C3291" i="26"/>
  <c r="H3291" i="26" s="1"/>
  <c r="D3290" i="26"/>
  <c r="C3290" i="26"/>
  <c r="H3290" i="26" s="1"/>
  <c r="D3299" i="26"/>
  <c r="C3299" i="26"/>
  <c r="H3299" i="26" s="1"/>
  <c r="D3298" i="26"/>
  <c r="C3298" i="26"/>
  <c r="H3298" i="26" s="1"/>
  <c r="D3297" i="26"/>
  <c r="C3297" i="26"/>
  <c r="H3297" i="26" s="1"/>
  <c r="D3296" i="26"/>
  <c r="C3296" i="26"/>
  <c r="H3296" i="26" s="1"/>
  <c r="D3289" i="26"/>
  <c r="C3289" i="26"/>
  <c r="H3289" i="26" s="1"/>
  <c r="D3288" i="26"/>
  <c r="C3288" i="26"/>
  <c r="H3288" i="26" s="1"/>
  <c r="D3287" i="26"/>
  <c r="C3287" i="26"/>
  <c r="H3287" i="26" s="1"/>
  <c r="D3280" i="26"/>
  <c r="C3280" i="26"/>
  <c r="H3280" i="26" s="1"/>
  <c r="D3279" i="26"/>
  <c r="C3279" i="26"/>
  <c r="H3279" i="26" s="1"/>
  <c r="D3286" i="26"/>
  <c r="C3286" i="26"/>
  <c r="H3286" i="26" s="1"/>
  <c r="D3285" i="26"/>
  <c r="C3285" i="26"/>
  <c r="H3285" i="26" s="1"/>
  <c r="D3278" i="26"/>
  <c r="C3278" i="26"/>
  <c r="H3278" i="26" s="1"/>
  <c r="D3277" i="26"/>
  <c r="C3277" i="26"/>
  <c r="H3277" i="26" s="1"/>
  <c r="D3276" i="26"/>
  <c r="C3276" i="26"/>
  <c r="H3276" i="26" s="1"/>
  <c r="D3275" i="26"/>
  <c r="C3275" i="26"/>
  <c r="H3275" i="26" s="1"/>
  <c r="D3274" i="26"/>
  <c r="C3274" i="26"/>
  <c r="H3274" i="26" s="1"/>
  <c r="D3190" i="26"/>
  <c r="C3190" i="26"/>
  <c r="H3190" i="26" s="1"/>
  <c r="D3292" i="26"/>
  <c r="C3292" i="26"/>
  <c r="D3272" i="26"/>
  <c r="C3272" i="26"/>
  <c r="D3271" i="26"/>
  <c r="C3271" i="26"/>
  <c r="D3270" i="26"/>
  <c r="C3270" i="26"/>
  <c r="D3269" i="26"/>
  <c r="C3269" i="26"/>
  <c r="D3268" i="26"/>
  <c r="C3268" i="26"/>
  <c r="D3267" i="26"/>
  <c r="C3267" i="26"/>
  <c r="D3266" i="26"/>
  <c r="C3266" i="26"/>
  <c r="D3262" i="26"/>
  <c r="C3262" i="26"/>
  <c r="D3263" i="26"/>
  <c r="C3263" i="26"/>
  <c r="D3265" i="26"/>
  <c r="C3265" i="26"/>
  <c r="D3261" i="26"/>
  <c r="C3261" i="26"/>
  <c r="D3264" i="26"/>
  <c r="C3264" i="26"/>
  <c r="D3258" i="26"/>
  <c r="C3258" i="26"/>
  <c r="D3257" i="26"/>
  <c r="C3257" i="26"/>
  <c r="D3121" i="26"/>
  <c r="C3121" i="26"/>
  <c r="H3119" i="26"/>
  <c r="D3260" i="26"/>
  <c r="C3260" i="26"/>
  <c r="D3256" i="26"/>
  <c r="C3256" i="26"/>
  <c r="D3251" i="26"/>
  <c r="C3251" i="26"/>
  <c r="D3255" i="26"/>
  <c r="C3255" i="26"/>
  <c r="D3254" i="26"/>
  <c r="C3254" i="26"/>
  <c r="D3253" i="26"/>
  <c r="C3253" i="26"/>
  <c r="D3252" i="26"/>
  <c r="C3252" i="26"/>
  <c r="D3119" i="26"/>
  <c r="C3119" i="26"/>
  <c r="D3120" i="26"/>
  <c r="C3120" i="26"/>
  <c r="D3284" i="26"/>
  <c r="C3284" i="26"/>
  <c r="H3284" i="26" s="1"/>
  <c r="D3283" i="26"/>
  <c r="C3283" i="26"/>
  <c r="H3283" i="26" s="1"/>
  <c r="D3282" i="26"/>
  <c r="C3282" i="26"/>
  <c r="H3282" i="26" s="1"/>
  <c r="D3281" i="26"/>
  <c r="C3281" i="26"/>
  <c r="H3281" i="26" s="1"/>
  <c r="D3259" i="26"/>
  <c r="C3259" i="26"/>
  <c r="H3259" i="26" s="1"/>
  <c r="D3250" i="26"/>
  <c r="C3250" i="26"/>
  <c r="H3250" i="26" s="1"/>
  <c r="D3249" i="26"/>
  <c r="C3249" i="26"/>
  <c r="H3249" i="26" s="1"/>
  <c r="D3248" i="26"/>
  <c r="C3248" i="26"/>
  <c r="H3248" i="26" s="1"/>
  <c r="D3247" i="26"/>
  <c r="C3247" i="26"/>
  <c r="H3247" i="26" s="1"/>
  <c r="D3246" i="26"/>
  <c r="B3246" i="26"/>
  <c r="C3246" i="26" s="1"/>
  <c r="H3246" i="26" s="1"/>
  <c r="D3273" i="26"/>
  <c r="C3273" i="26"/>
  <c r="D3245" i="26"/>
  <c r="C3245" i="26"/>
  <c r="D3244" i="26"/>
  <c r="C3244" i="26"/>
  <c r="D3243" i="26"/>
  <c r="B3243" i="26"/>
  <c r="C3243" i="26" s="1"/>
  <c r="D3242" i="26"/>
  <c r="C3242" i="26"/>
  <c r="D3118" i="26"/>
  <c r="C3118" i="26"/>
  <c r="D3117" i="26"/>
  <c r="C3117" i="26"/>
  <c r="D3116" i="26"/>
  <c r="C3116" i="26"/>
  <c r="D3115" i="26"/>
  <c r="C3115" i="26"/>
  <c r="D487" i="18"/>
  <c r="B487" i="18" s="1"/>
  <c r="D486" i="18"/>
  <c r="B486" i="18" s="1"/>
  <c r="I480" i="18"/>
  <c r="B485" i="18"/>
  <c r="D493" i="18"/>
  <c r="B493" i="18" s="1"/>
  <c r="D492" i="18"/>
  <c r="B492" i="18" s="1"/>
  <c r="I486" i="18"/>
  <c r="B491" i="18"/>
  <c r="D490" i="18"/>
  <c r="B490" i="18" s="1"/>
  <c r="D489" i="18"/>
  <c r="B489" i="18" s="1"/>
  <c r="I483" i="18"/>
  <c r="B488" i="18"/>
  <c r="F1923" i="22"/>
  <c r="E2406" i="22" s="1"/>
  <c r="E1923" i="22"/>
  <c r="D2406" i="22" s="1"/>
  <c r="D1923" i="22"/>
  <c r="C2406" i="22" s="1"/>
  <c r="L1921" i="22"/>
  <c r="K1921" i="22"/>
  <c r="J1921" i="22"/>
  <c r="B1921" i="22"/>
  <c r="L1920" i="22"/>
  <c r="K1920" i="22"/>
  <c r="J1920" i="22"/>
  <c r="B1920" i="22"/>
  <c r="L1919" i="22"/>
  <c r="K1919" i="22"/>
  <c r="J1919" i="22"/>
  <c r="H1919" i="22" s="1"/>
  <c r="B1919" i="22"/>
  <c r="L1918" i="22"/>
  <c r="K1918" i="22"/>
  <c r="J1918" i="22"/>
  <c r="B1918" i="22"/>
  <c r="L1917" i="22"/>
  <c r="K1917" i="22"/>
  <c r="J1917" i="22"/>
  <c r="B1917" i="22"/>
  <c r="L1916" i="22"/>
  <c r="K1916" i="22"/>
  <c r="J1916" i="22"/>
  <c r="H1916" i="22" s="1"/>
  <c r="B1916" i="22"/>
  <c r="L1915" i="22"/>
  <c r="K1915" i="22"/>
  <c r="H1915" i="22" s="1"/>
  <c r="J1915" i="22"/>
  <c r="B1915" i="22"/>
  <c r="H1914" i="22"/>
  <c r="D3241" i="26"/>
  <c r="C3241" i="26"/>
  <c r="H3241" i="26" s="1"/>
  <c r="D3240" i="26"/>
  <c r="C3240" i="26"/>
  <c r="H3240" i="26" s="1"/>
  <c r="D3239" i="26"/>
  <c r="C3239" i="26"/>
  <c r="H3239" i="26" s="1"/>
  <c r="D3238" i="26"/>
  <c r="C3238" i="26"/>
  <c r="H3238" i="26" s="1"/>
  <c r="D3237" i="26"/>
  <c r="C3237" i="26"/>
  <c r="H3237" i="26" s="1"/>
  <c r="D3236" i="26"/>
  <c r="C3236" i="26"/>
  <c r="H3236" i="26" s="1"/>
  <c r="B652" i="1"/>
  <c r="D569" i="1"/>
  <c r="C569" i="1"/>
  <c r="D568" i="1"/>
  <c r="C568" i="1"/>
  <c r="D3235" i="26"/>
  <c r="C3235" i="26"/>
  <c r="H3235" i="26" s="1"/>
  <c r="D3234" i="26"/>
  <c r="B3234" i="26"/>
  <c r="C3234" i="26" s="1"/>
  <c r="H3234" i="26" s="1"/>
  <c r="D3233" i="26"/>
  <c r="C3233" i="26"/>
  <c r="H3233" i="26" s="1"/>
  <c r="D3232" i="26"/>
  <c r="C3232" i="26"/>
  <c r="H3232" i="26" s="1"/>
  <c r="D3231" i="26"/>
  <c r="C3231" i="26"/>
  <c r="H3231" i="26" s="1"/>
  <c r="D3228" i="26"/>
  <c r="C3228" i="26"/>
  <c r="H3228" i="26" s="1"/>
  <c r="D3227" i="26"/>
  <c r="C3227" i="26"/>
  <c r="H3227" i="26" s="1"/>
  <c r="D3226" i="26"/>
  <c r="C3226" i="26"/>
  <c r="H3226" i="26" s="1"/>
  <c r="D3225" i="26"/>
  <c r="C3225" i="26"/>
  <c r="H3225" i="26" s="1"/>
  <c r="D3112" i="26"/>
  <c r="C3112" i="26"/>
  <c r="D3113" i="26"/>
  <c r="C3113" i="26"/>
  <c r="D3224" i="26"/>
  <c r="C3224" i="26"/>
  <c r="H3224" i="26" s="1"/>
  <c r="D3223" i="26"/>
  <c r="C3223" i="26"/>
  <c r="H3223" i="26" s="1"/>
  <c r="D3222" i="26"/>
  <c r="C3222" i="26"/>
  <c r="H3222" i="26" s="1"/>
  <c r="D3221" i="26"/>
  <c r="C3221" i="26"/>
  <c r="H3221" i="26" s="1"/>
  <c r="D3220" i="26"/>
  <c r="C3220" i="26"/>
  <c r="H3220" i="26" s="1"/>
  <c r="H3107" i="26"/>
  <c r="H3103" i="26"/>
  <c r="D3189" i="26"/>
  <c r="C3189" i="26"/>
  <c r="I3189" i="26" s="1"/>
  <c r="D3188" i="26"/>
  <c r="C3188" i="26"/>
  <c r="I3188" i="26" s="1"/>
  <c r="D3108" i="26"/>
  <c r="C3108" i="26"/>
  <c r="I3108" i="26" s="1"/>
  <c r="D3107" i="26"/>
  <c r="C3107" i="26"/>
  <c r="D3106" i="26"/>
  <c r="C3106" i="26"/>
  <c r="I3106" i="26" s="1"/>
  <c r="D3105" i="26"/>
  <c r="C3105" i="26"/>
  <c r="I3105" i="26" s="1"/>
  <c r="D3104" i="26"/>
  <c r="C3104" i="26"/>
  <c r="I3104" i="26" s="1"/>
  <c r="D3103" i="26"/>
  <c r="C3103" i="26"/>
  <c r="D3219" i="26"/>
  <c r="C3219" i="26"/>
  <c r="H3219" i="26" s="1"/>
  <c r="D3218" i="26"/>
  <c r="C3218" i="26"/>
  <c r="H3218" i="26" s="1"/>
  <c r="D3217" i="26"/>
  <c r="C3217" i="26"/>
  <c r="H3217" i="26" s="1"/>
  <c r="D3216" i="26"/>
  <c r="C3216" i="26"/>
  <c r="H3216" i="26" s="1"/>
  <c r="D3215" i="26"/>
  <c r="C3215" i="26"/>
  <c r="H3215" i="26" s="1"/>
  <c r="C3212" i="26"/>
  <c r="H3212" i="26" s="1"/>
  <c r="D3212" i="26"/>
  <c r="C3213" i="26"/>
  <c r="H3213" i="26" s="1"/>
  <c r="D3213" i="26"/>
  <c r="C3214" i="26"/>
  <c r="H3214" i="26" s="1"/>
  <c r="D3214" i="26"/>
  <c r="D3211" i="26"/>
  <c r="C3211" i="26"/>
  <c r="D3210" i="26"/>
  <c r="C3210" i="26"/>
  <c r="D3209" i="26"/>
  <c r="C3209" i="26"/>
  <c r="D3208" i="26"/>
  <c r="C3208" i="26"/>
  <c r="D3207" i="26"/>
  <c r="C3207" i="26"/>
  <c r="D3200" i="26"/>
  <c r="C3200" i="26"/>
  <c r="D3206" i="26"/>
  <c r="C3206" i="26"/>
  <c r="H3206" i="26" s="1"/>
  <c r="D3199" i="26"/>
  <c r="C3199" i="26"/>
  <c r="H3199" i="26" s="1"/>
  <c r="D3198" i="26"/>
  <c r="C3198" i="26"/>
  <c r="H3198" i="26" s="1"/>
  <c r="D3197" i="26"/>
  <c r="C3197" i="26"/>
  <c r="H3197" i="26" s="1"/>
  <c r="D3201" i="26"/>
  <c r="C3201" i="26"/>
  <c r="H3201" i="26" s="1"/>
  <c r="D3205" i="26"/>
  <c r="C3205" i="26"/>
  <c r="H3205" i="26" s="1"/>
  <c r="D3204" i="26"/>
  <c r="C3204" i="26"/>
  <c r="H3204" i="26" s="1"/>
  <c r="D3203" i="26"/>
  <c r="C3203" i="26"/>
  <c r="H3203" i="26" s="1"/>
  <c r="D3202" i="26"/>
  <c r="C3202" i="26"/>
  <c r="H3202" i="26" s="1"/>
  <c r="D3187" i="26"/>
  <c r="C3187" i="26"/>
  <c r="D3180" i="26"/>
  <c r="C3180" i="26"/>
  <c r="D3179" i="26"/>
  <c r="C3179" i="26"/>
  <c r="D3186" i="26"/>
  <c r="C3186" i="26"/>
  <c r="D3184" i="26"/>
  <c r="C3184" i="26"/>
  <c r="D3178" i="26"/>
  <c r="C3178" i="26"/>
  <c r="D3173" i="26"/>
  <c r="C3173" i="26"/>
  <c r="D517" i="1"/>
  <c r="C517" i="1"/>
  <c r="D516" i="1"/>
  <c r="C516" i="1"/>
  <c r="D515" i="1"/>
  <c r="C515" i="1"/>
  <c r="D514" i="1"/>
  <c r="C514" i="1"/>
  <c r="H3090" i="26"/>
  <c r="D3196" i="26"/>
  <c r="C3196" i="26"/>
  <c r="D3185" i="26"/>
  <c r="C3185" i="26"/>
  <c r="D3177" i="26"/>
  <c r="C3177" i="26"/>
  <c r="D3172" i="26"/>
  <c r="C3172" i="26"/>
  <c r="D3092" i="26"/>
  <c r="C3092" i="26"/>
  <c r="D3091" i="26"/>
  <c r="C3091" i="26"/>
  <c r="D3090" i="26"/>
  <c r="C3090" i="26"/>
  <c r="D3183" i="26"/>
  <c r="C3183" i="26"/>
  <c r="D3182" i="26"/>
  <c r="C3182" i="26"/>
  <c r="D3072" i="26"/>
  <c r="C3072" i="26"/>
  <c r="D3181" i="26"/>
  <c r="C3181" i="26"/>
  <c r="H3088" i="26"/>
  <c r="H3089" i="26"/>
  <c r="D3176" i="26"/>
  <c r="C3176" i="26"/>
  <c r="H3176" i="26" s="1"/>
  <c r="D3174" i="26"/>
  <c r="C3174" i="26"/>
  <c r="H3174" i="26" s="1"/>
  <c r="D3175" i="26"/>
  <c r="C3175" i="26"/>
  <c r="D3089" i="26"/>
  <c r="C3089" i="26"/>
  <c r="D3088" i="26"/>
  <c r="C3088" i="26"/>
  <c r="D3087" i="26"/>
  <c r="C3087" i="26"/>
  <c r="D3171" i="26"/>
  <c r="C3171" i="26"/>
  <c r="D3170" i="26"/>
  <c r="C3170" i="26"/>
  <c r="D3169" i="26"/>
  <c r="C3169" i="26"/>
  <c r="H3086" i="26"/>
  <c r="D3086" i="26"/>
  <c r="C3086" i="26"/>
  <c r="D3085" i="26"/>
  <c r="C3085" i="26"/>
  <c r="D3084" i="26"/>
  <c r="C3084" i="26"/>
  <c r="H3083" i="26"/>
  <c r="D3168" i="26"/>
  <c r="C3168" i="26"/>
  <c r="D3083" i="26"/>
  <c r="C3083" i="26"/>
  <c r="D3082" i="26"/>
  <c r="C3082" i="26"/>
  <c r="D3081" i="26"/>
  <c r="C3081" i="26"/>
  <c r="D3167" i="26"/>
  <c r="C3167" i="26"/>
  <c r="H3167" i="26" s="1"/>
  <c r="D3166" i="26"/>
  <c r="C3166" i="26"/>
  <c r="H3166" i="26" s="1"/>
  <c r="D3165" i="26"/>
  <c r="C3165" i="26"/>
  <c r="H3165" i="26" s="1"/>
  <c r="D3164" i="26"/>
  <c r="C3164" i="26"/>
  <c r="H3164" i="26" s="1"/>
  <c r="H3077" i="26"/>
  <c r="H3076" i="26"/>
  <c r="H3078" i="26"/>
  <c r="H3079" i="26"/>
  <c r="D3160" i="26"/>
  <c r="C3160" i="26"/>
  <c r="D3079" i="26"/>
  <c r="C3079" i="26"/>
  <c r="D3078" i="26"/>
  <c r="C3078" i="26"/>
  <c r="D3077" i="26"/>
  <c r="C3077" i="26"/>
  <c r="D3076" i="26"/>
  <c r="C3076" i="26"/>
  <c r="D3161" i="26"/>
  <c r="C3161" i="26"/>
  <c r="D3162" i="26"/>
  <c r="C3162" i="26"/>
  <c r="D3075" i="26"/>
  <c r="C3075" i="26"/>
  <c r="D3163" i="26"/>
  <c r="C3163" i="26"/>
  <c r="D3074" i="26"/>
  <c r="C3074" i="26"/>
  <c r="D3080" i="26"/>
  <c r="C3080" i="26"/>
  <c r="H3154" i="26"/>
  <c r="D3154" i="26"/>
  <c r="C3154" i="26"/>
  <c r="D3155" i="26"/>
  <c r="C3155" i="26"/>
  <c r="D3153" i="26"/>
  <c r="C3153" i="26"/>
  <c r="D3156" i="26"/>
  <c r="C3156" i="26"/>
  <c r="D3159" i="26"/>
  <c r="C3159" i="26"/>
  <c r="D3158" i="26"/>
  <c r="C3158" i="26"/>
  <c r="D3157" i="26"/>
  <c r="C3157" i="26"/>
  <c r="D3070" i="26"/>
  <c r="C3070" i="26"/>
  <c r="D3071" i="26"/>
  <c r="C3071" i="26"/>
  <c r="F1912" i="22"/>
  <c r="E2405" i="22" s="1"/>
  <c r="E1912" i="22"/>
  <c r="D2405" i="22" s="1"/>
  <c r="D1912" i="22"/>
  <c r="C2405" i="22" s="1"/>
  <c r="L1910" i="22"/>
  <c r="K1910" i="22"/>
  <c r="J1910" i="22"/>
  <c r="B1910" i="22"/>
  <c r="L1909" i="22"/>
  <c r="K1909" i="22"/>
  <c r="J1909" i="22"/>
  <c r="B1909" i="22"/>
  <c r="L1908" i="22"/>
  <c r="K1908" i="22"/>
  <c r="J1908" i="22"/>
  <c r="B1908" i="22"/>
  <c r="L1907" i="22"/>
  <c r="K1907" i="22"/>
  <c r="J1907" i="22"/>
  <c r="H1907" i="22" s="1"/>
  <c r="B1907" i="22"/>
  <c r="L1906" i="22"/>
  <c r="K1906" i="22"/>
  <c r="J1906" i="22"/>
  <c r="B1906" i="22"/>
  <c r="L1905" i="22"/>
  <c r="K1905" i="22"/>
  <c r="J1905" i="22"/>
  <c r="B1905" i="22"/>
  <c r="L1904" i="22"/>
  <c r="K1904" i="22"/>
  <c r="J1904" i="22"/>
  <c r="B1904" i="22"/>
  <c r="H1903" i="22"/>
  <c r="D484" i="18"/>
  <c r="B484" i="18" s="1"/>
  <c r="D483" i="18"/>
  <c r="B483" i="18" s="1"/>
  <c r="I477" i="18"/>
  <c r="B482" i="18"/>
  <c r="H3061" i="26"/>
  <c r="H3067" i="26"/>
  <c r="H3066" i="26"/>
  <c r="H3060" i="26"/>
  <c r="D3152" i="26"/>
  <c r="C3152" i="26"/>
  <c r="D3068" i="26"/>
  <c r="C3068" i="26"/>
  <c r="D3066" i="26"/>
  <c r="C3066" i="26"/>
  <c r="D3067" i="26"/>
  <c r="C3067" i="26"/>
  <c r="D3069" i="26"/>
  <c r="C3069" i="26"/>
  <c r="D3065" i="26"/>
  <c r="C3065" i="26"/>
  <c r="E4966" i="26"/>
  <c r="A2404" i="22"/>
  <c r="A2403" i="22"/>
  <c r="A2402" i="22"/>
  <c r="A2401" i="22"/>
  <c r="A2400" i="22"/>
  <c r="A2399" i="22"/>
  <c r="D3148" i="26"/>
  <c r="C3148" i="26"/>
  <c r="D3145" i="26"/>
  <c r="C3145" i="26"/>
  <c r="D3151" i="26"/>
  <c r="C3151" i="26"/>
  <c r="D3150" i="26"/>
  <c r="C3150" i="26"/>
  <c r="D3146" i="26"/>
  <c r="C3146" i="26"/>
  <c r="D3147" i="26"/>
  <c r="C3147" i="26"/>
  <c r="D3149" i="26"/>
  <c r="C3149" i="26"/>
  <c r="D3063" i="26"/>
  <c r="C3063" i="26"/>
  <c r="D3061" i="26"/>
  <c r="C3061" i="26"/>
  <c r="D3062" i="26"/>
  <c r="C3062" i="26"/>
  <c r="D3058" i="26"/>
  <c r="C3058" i="26"/>
  <c r="D3060" i="26"/>
  <c r="C3060" i="26"/>
  <c r="D3059" i="26"/>
  <c r="C3059" i="26"/>
  <c r="H3143" i="26"/>
  <c r="D3144" i="26"/>
  <c r="C3144" i="26"/>
  <c r="H3144" i="26" s="1"/>
  <c r="D3143" i="26"/>
  <c r="C3143" i="26"/>
  <c r="D567" i="1"/>
  <c r="C567" i="1"/>
  <c r="H3053" i="26"/>
  <c r="H3052" i="26"/>
  <c r="D3140" i="26"/>
  <c r="C3140" i="26"/>
  <c r="H3140" i="26" s="1"/>
  <c r="D3142" i="26"/>
  <c r="C3142" i="26"/>
  <c r="H3142" i="26" s="1"/>
  <c r="D3141" i="26"/>
  <c r="C3141" i="26"/>
  <c r="H3141" i="26" s="1"/>
  <c r="D3138" i="26"/>
  <c r="C3138" i="26"/>
  <c r="H3138" i="26" s="1"/>
  <c r="D3139" i="26"/>
  <c r="C3139" i="26"/>
  <c r="D3054" i="26"/>
  <c r="C3054" i="26"/>
  <c r="D3053" i="26"/>
  <c r="C3053" i="26"/>
  <c r="D3055" i="26"/>
  <c r="C3055" i="26"/>
  <c r="D3052" i="26"/>
  <c r="C3052" i="26"/>
  <c r="D3135" i="26"/>
  <c r="C3135" i="26"/>
  <c r="H3135" i="26" s="1"/>
  <c r="D3133" i="26"/>
  <c r="C3133" i="26"/>
  <c r="H3133" i="26" s="1"/>
  <c r="D3134" i="26"/>
  <c r="C3134" i="26"/>
  <c r="H3134" i="26" s="1"/>
  <c r="D3137" i="26"/>
  <c r="C3137" i="26"/>
  <c r="H3137" i="26" s="1"/>
  <c r="D3132" i="26"/>
  <c r="C3132" i="26"/>
  <c r="H3132" i="26" s="1"/>
  <c r="D3136" i="26"/>
  <c r="C3136" i="26"/>
  <c r="H3136" i="26" s="1"/>
  <c r="D3043" i="26"/>
  <c r="C3043" i="26"/>
  <c r="H3032" i="26"/>
  <c r="H3034" i="26"/>
  <c r="D3130" i="26"/>
  <c r="C3130" i="26"/>
  <c r="D3129" i="26"/>
  <c r="C3129" i="26"/>
  <c r="D3131" i="26"/>
  <c r="C3131" i="26"/>
  <c r="D3036" i="26"/>
  <c r="C3036" i="26"/>
  <c r="I3036" i="26" s="1"/>
  <c r="D3035" i="26"/>
  <c r="C3035" i="26"/>
  <c r="I3035" i="26" s="1"/>
  <c r="D3037" i="26"/>
  <c r="C3037" i="26"/>
  <c r="D3034" i="26"/>
  <c r="C3034" i="26"/>
  <c r="D3033" i="26"/>
  <c r="C3033" i="26"/>
  <c r="D3032" i="26"/>
  <c r="C3032" i="26"/>
  <c r="D3128" i="26"/>
  <c r="C3128" i="26"/>
  <c r="H3128" i="26" s="1"/>
  <c r="H3031" i="26"/>
  <c r="D3031" i="26"/>
  <c r="C3031" i="26"/>
  <c r="H3028" i="26"/>
  <c r="H3027" i="26"/>
  <c r="C3027" i="26"/>
  <c r="D3027" i="26"/>
  <c r="C3029" i="26"/>
  <c r="D3029" i="26"/>
  <c r="C3028" i="26"/>
  <c r="D3028" i="26"/>
  <c r="H3024" i="26"/>
  <c r="H3025" i="26"/>
  <c r="H3126" i="26"/>
  <c r="D3127" i="26"/>
  <c r="C3127" i="26"/>
  <c r="D3126" i="26"/>
  <c r="C3126" i="26"/>
  <c r="D3125" i="26"/>
  <c r="C3125" i="26"/>
  <c r="D3124" i="26"/>
  <c r="C3124" i="26"/>
  <c r="D3025" i="26"/>
  <c r="C3025" i="26"/>
  <c r="D3024" i="26"/>
  <c r="C3024" i="26"/>
  <c r="D3026" i="26"/>
  <c r="C3026" i="26"/>
  <c r="C566" i="1"/>
  <c r="D566" i="1"/>
  <c r="H3020" i="26"/>
  <c r="H3018" i="26"/>
  <c r="D3122" i="26"/>
  <c r="C3122" i="26"/>
  <c r="J3122" i="26" s="1"/>
  <c r="D3123" i="26"/>
  <c r="C3123" i="26"/>
  <c r="J3123" i="26" s="1"/>
  <c r="D3019" i="26"/>
  <c r="C3019" i="26"/>
  <c r="J3019" i="26" s="1"/>
  <c r="D3020" i="26"/>
  <c r="C3020" i="26"/>
  <c r="D3018" i="26"/>
  <c r="C3018" i="26"/>
  <c r="D3021" i="26"/>
  <c r="C3021" i="26"/>
  <c r="J3021" i="26" s="1"/>
  <c r="D3017" i="26"/>
  <c r="C3017" i="26"/>
  <c r="J3017" i="26" s="1"/>
  <c r="C504" i="1"/>
  <c r="D513" i="1"/>
  <c r="C513" i="1"/>
  <c r="H3011" i="26"/>
  <c r="H3012" i="26"/>
  <c r="H3014" i="26"/>
  <c r="D3013" i="26"/>
  <c r="C3013" i="26"/>
  <c r="D3014" i="26"/>
  <c r="C3014" i="26"/>
  <c r="D3012" i="26"/>
  <c r="C3012" i="26"/>
  <c r="D3011" i="26"/>
  <c r="C3011" i="26"/>
  <c r="D3010" i="26"/>
  <c r="C3010" i="26"/>
  <c r="D3009" i="26"/>
  <c r="C3009" i="26"/>
  <c r="B481" i="18"/>
  <c r="H2999" i="26"/>
  <c r="H3002" i="26"/>
  <c r="D3002" i="26"/>
  <c r="C3002" i="26"/>
  <c r="D2999" i="26"/>
  <c r="C2999" i="26"/>
  <c r="D2998" i="26"/>
  <c r="C2998" i="26"/>
  <c r="D2997" i="26"/>
  <c r="C2997" i="26"/>
  <c r="D3114" i="26"/>
  <c r="C3114" i="26"/>
  <c r="H3114" i="26" s="1"/>
  <c r="H2990" i="26"/>
  <c r="H2991" i="26"/>
  <c r="D2991" i="26"/>
  <c r="C2991" i="26"/>
  <c r="D2990" i="26"/>
  <c r="C2990" i="26"/>
  <c r="D2992" i="26"/>
  <c r="C2992" i="26"/>
  <c r="D2989" i="26"/>
  <c r="C2989" i="26"/>
  <c r="D2988" i="26"/>
  <c r="C2988" i="26"/>
  <c r="B480" i="18"/>
  <c r="D512" i="1"/>
  <c r="C512" i="1"/>
  <c r="D511" i="1"/>
  <c r="C511" i="1"/>
  <c r="D510" i="1"/>
  <c r="C510" i="1"/>
  <c r="D479" i="18"/>
  <c r="B479" i="18" s="1"/>
  <c r="D478" i="18"/>
  <c r="B478" i="18" s="1"/>
  <c r="I472" i="18"/>
  <c r="B477" i="18"/>
  <c r="D476" i="18"/>
  <c r="B476" i="18" s="1"/>
  <c r="D475" i="18"/>
  <c r="B475" i="18" s="1"/>
  <c r="I471" i="18"/>
  <c r="B474" i="18"/>
  <c r="H3111" i="26"/>
  <c r="H2969" i="26"/>
  <c r="H2968" i="26"/>
  <c r="H2970" i="26"/>
  <c r="D3111" i="26"/>
  <c r="C3111" i="26"/>
  <c r="D2979" i="26"/>
  <c r="C2979" i="26"/>
  <c r="D2978" i="26"/>
  <c r="C2978" i="26"/>
  <c r="D2969" i="26"/>
  <c r="C2969" i="26"/>
  <c r="D2968" i="26"/>
  <c r="C2968" i="26"/>
  <c r="D2973" i="26"/>
  <c r="C2973" i="26"/>
  <c r="D2970" i="26"/>
  <c r="C2970" i="26"/>
  <c r="D2975" i="26"/>
  <c r="C2975" i="26"/>
  <c r="D2974" i="26"/>
  <c r="C2974" i="26"/>
  <c r="D2972" i="26"/>
  <c r="C2972" i="26"/>
  <c r="D2971" i="26"/>
  <c r="C2971" i="26"/>
  <c r="F1901" i="22"/>
  <c r="E2404" i="22" s="1"/>
  <c r="E1901" i="22"/>
  <c r="D2404" i="22" s="1"/>
  <c r="D1901" i="22"/>
  <c r="C2404" i="22" s="1"/>
  <c r="L1899" i="22"/>
  <c r="K1899" i="22"/>
  <c r="J1899" i="22"/>
  <c r="B1899" i="22"/>
  <c r="L1898" i="22"/>
  <c r="K1898" i="22"/>
  <c r="J1898" i="22"/>
  <c r="B1898" i="22"/>
  <c r="L1897" i="22"/>
  <c r="K1897" i="22"/>
  <c r="J1897" i="22"/>
  <c r="B1897" i="22"/>
  <c r="L1896" i="22"/>
  <c r="K1896" i="22"/>
  <c r="J1896" i="22"/>
  <c r="B1896" i="22"/>
  <c r="L1895" i="22"/>
  <c r="K1895" i="22"/>
  <c r="J1895" i="22"/>
  <c r="B1895" i="22"/>
  <c r="L1894" i="22"/>
  <c r="K1894" i="22"/>
  <c r="J1894" i="22"/>
  <c r="B1894" i="22"/>
  <c r="L1893" i="22"/>
  <c r="K1893" i="22"/>
  <c r="J1893" i="22"/>
  <c r="B1893" i="22"/>
  <c r="H1892" i="22"/>
  <c r="H3109" i="26"/>
  <c r="H2957" i="26"/>
  <c r="H2956" i="26"/>
  <c r="D3110" i="26"/>
  <c r="C3110" i="26"/>
  <c r="D3109" i="26"/>
  <c r="C3109" i="26"/>
  <c r="D2959" i="26"/>
  <c r="C2959" i="26"/>
  <c r="H2959" i="26" s="1"/>
  <c r="D2958" i="26"/>
  <c r="C2958" i="26"/>
  <c r="H2958" i="26" s="1"/>
  <c r="D2957" i="26"/>
  <c r="C2957" i="26"/>
  <c r="D2955" i="26"/>
  <c r="C2955" i="26"/>
  <c r="D2956" i="26"/>
  <c r="C2956" i="26"/>
  <c r="D2954" i="26"/>
  <c r="C2954" i="26"/>
  <c r="H2947" i="26"/>
  <c r="H3101" i="26"/>
  <c r="D3102" i="26"/>
  <c r="C3102" i="26"/>
  <c r="D3101" i="26"/>
  <c r="C3101" i="26"/>
  <c r="D2947" i="26"/>
  <c r="C2947" i="26"/>
  <c r="H2943" i="26"/>
  <c r="H2941" i="26"/>
  <c r="D2944" i="26"/>
  <c r="C2944" i="26"/>
  <c r="H2944" i="26" s="1"/>
  <c r="D2943" i="26"/>
  <c r="C2943" i="26"/>
  <c r="D2942" i="26"/>
  <c r="C2942" i="26"/>
  <c r="H2942" i="26" s="1"/>
  <c r="J2942" i="26" s="1"/>
  <c r="D2941" i="26"/>
  <c r="C2941" i="26"/>
  <c r="D2940" i="26"/>
  <c r="C2940" i="26"/>
  <c r="J2940" i="26" s="1"/>
  <c r="I2925" i="26"/>
  <c r="I2929" i="26"/>
  <c r="D2931" i="26"/>
  <c r="C2931" i="26"/>
  <c r="H2931" i="26" s="1"/>
  <c r="D2930" i="26"/>
  <c r="C2930" i="26"/>
  <c r="H2930" i="26" s="1"/>
  <c r="D2929" i="26"/>
  <c r="C2929" i="26"/>
  <c r="H2929" i="26" s="1"/>
  <c r="D2928" i="26"/>
  <c r="C2928" i="26"/>
  <c r="H2928" i="26" s="1"/>
  <c r="D2927" i="26"/>
  <c r="C2927" i="26"/>
  <c r="H2927" i="26" s="1"/>
  <c r="D2926" i="26"/>
  <c r="C2926" i="26"/>
  <c r="D2925" i="26"/>
  <c r="C2925" i="26"/>
  <c r="H2925" i="26" s="1"/>
  <c r="C3099" i="26"/>
  <c r="H3099" i="26" s="1"/>
  <c r="D3099" i="26"/>
  <c r="C3100" i="26"/>
  <c r="H3100" i="26" s="1"/>
  <c r="D3100" i="26"/>
  <c r="D3098" i="26"/>
  <c r="C3098" i="26"/>
  <c r="H3098" i="26" s="1"/>
  <c r="D3097" i="26"/>
  <c r="C3097" i="26"/>
  <c r="H3097" i="26" s="1"/>
  <c r="D3096" i="26"/>
  <c r="C3096" i="26"/>
  <c r="H3096" i="26" s="1"/>
  <c r="D3095" i="26"/>
  <c r="C3095" i="26"/>
  <c r="H3095" i="26" s="1"/>
  <c r="D3094" i="26"/>
  <c r="C3094" i="26"/>
  <c r="H3094" i="26" s="1"/>
  <c r="D3093" i="26"/>
  <c r="C3093" i="26"/>
  <c r="H3093" i="26" s="1"/>
  <c r="D508" i="1"/>
  <c r="C508" i="1"/>
  <c r="D565" i="1"/>
  <c r="C565" i="1"/>
  <c r="D564" i="1"/>
  <c r="C564" i="1"/>
  <c r="B472" i="18"/>
  <c r="B473" i="18"/>
  <c r="D3073" i="26"/>
  <c r="C3073" i="26"/>
  <c r="H3073" i="26" s="1"/>
  <c r="D509" i="1"/>
  <c r="C509" i="1"/>
  <c r="D507" i="1"/>
  <c r="C507" i="1"/>
  <c r="D506" i="1"/>
  <c r="C506" i="1"/>
  <c r="D468" i="18"/>
  <c r="B468" i="18" s="1"/>
  <c r="D467" i="18"/>
  <c r="B467" i="18" s="1"/>
  <c r="D470" i="18"/>
  <c r="B470" i="18" s="1"/>
  <c r="D471" i="18"/>
  <c r="B471" i="18" s="1"/>
  <c r="I464" i="18"/>
  <c r="B469" i="18"/>
  <c r="B466" i="18"/>
  <c r="F1890" i="22"/>
  <c r="E2403" i="22" s="1"/>
  <c r="E1890" i="22"/>
  <c r="D2403" i="22" s="1"/>
  <c r="D1890" i="22"/>
  <c r="C2403" i="22" s="1"/>
  <c r="L1888" i="22"/>
  <c r="K1888" i="22"/>
  <c r="J1888" i="22"/>
  <c r="B1888" i="22"/>
  <c r="L1887" i="22"/>
  <c r="K1887" i="22"/>
  <c r="J1887" i="22"/>
  <c r="H1887" i="22" s="1"/>
  <c r="B1887" i="22"/>
  <c r="L1886" i="22"/>
  <c r="K1886" i="22"/>
  <c r="J1886" i="22"/>
  <c r="B1886" i="22"/>
  <c r="L1885" i="22"/>
  <c r="K1885" i="22"/>
  <c r="J1885" i="22"/>
  <c r="B1885" i="22"/>
  <c r="L1884" i="22"/>
  <c r="K1884" i="22"/>
  <c r="J1884" i="22"/>
  <c r="B1884" i="22"/>
  <c r="L1883" i="22"/>
  <c r="H1883" i="22" s="1"/>
  <c r="K1883" i="22"/>
  <c r="J1883" i="22"/>
  <c r="B1883" i="22"/>
  <c r="B1890" i="22" s="1"/>
  <c r="L1882" i="22"/>
  <c r="K1882" i="22"/>
  <c r="J1882" i="22"/>
  <c r="B1882" i="22"/>
  <c r="H1881" i="22"/>
  <c r="D3064" i="26"/>
  <c r="C3064" i="26"/>
  <c r="H3064" i="26" s="1"/>
  <c r="D465" i="18"/>
  <c r="B465" i="18" s="1"/>
  <c r="D464" i="18"/>
  <c r="B464" i="18" s="1"/>
  <c r="I460" i="18"/>
  <c r="B463" i="18"/>
  <c r="D563" i="1"/>
  <c r="C563" i="1"/>
  <c r="D562" i="1"/>
  <c r="C562" i="1"/>
  <c r="D3057" i="26"/>
  <c r="C3057" i="26"/>
  <c r="H3057" i="26" s="1"/>
  <c r="D3056" i="26"/>
  <c r="C3056" i="26"/>
  <c r="H3056" i="26" s="1"/>
  <c r="D3042" i="26"/>
  <c r="C3042" i="26"/>
  <c r="H3042" i="26" s="1"/>
  <c r="D3051" i="26"/>
  <c r="C3051" i="26"/>
  <c r="H3051" i="26" s="1"/>
  <c r="D3041" i="26"/>
  <c r="C3041" i="26"/>
  <c r="H3041" i="26" s="1"/>
  <c r="D3040" i="26"/>
  <c r="C3040" i="26"/>
  <c r="H3040" i="26" s="1"/>
  <c r="D3050" i="26"/>
  <c r="C3050" i="26"/>
  <c r="H3050" i="26" s="1"/>
  <c r="D3049" i="26"/>
  <c r="C3049" i="26"/>
  <c r="H3049" i="26" s="1"/>
  <c r="D3039" i="26"/>
  <c r="C3039" i="26"/>
  <c r="H3039" i="26" s="1"/>
  <c r="D3048" i="26"/>
  <c r="C3048" i="26"/>
  <c r="H3048" i="26" s="1"/>
  <c r="D3047" i="26"/>
  <c r="C3047" i="26"/>
  <c r="H3047" i="26" s="1"/>
  <c r="D3038" i="26"/>
  <c r="C3038" i="26"/>
  <c r="H3038" i="26" s="1"/>
  <c r="D3046" i="26"/>
  <c r="C3046" i="26"/>
  <c r="H3046" i="26" s="1"/>
  <c r="D3045" i="26"/>
  <c r="C3045" i="26"/>
  <c r="H3045" i="26" s="1"/>
  <c r="D3044" i="26"/>
  <c r="C3044" i="26"/>
  <c r="H3044" i="26" s="1"/>
  <c r="C3030" i="26"/>
  <c r="D3030" i="26"/>
  <c r="C3022" i="26"/>
  <c r="H3022" i="26" s="1"/>
  <c r="D3022" i="26"/>
  <c r="D3023" i="26"/>
  <c r="C3023" i="26"/>
  <c r="H3023" i="26" s="1"/>
  <c r="D3016" i="26"/>
  <c r="C3016" i="26"/>
  <c r="H3016" i="26" s="1"/>
  <c r="D3015" i="26"/>
  <c r="C3015" i="26"/>
  <c r="H3015" i="26" s="1"/>
  <c r="B462" i="18"/>
  <c r="D3008" i="26"/>
  <c r="C3008" i="26"/>
  <c r="H3008" i="26" s="1"/>
  <c r="D3007" i="26"/>
  <c r="C3007" i="26"/>
  <c r="H3007" i="26" s="1"/>
  <c r="D3006" i="26"/>
  <c r="C3006" i="26"/>
  <c r="H3006" i="26" s="1"/>
  <c r="D3005" i="26"/>
  <c r="C3005" i="26"/>
  <c r="H3005" i="26" s="1"/>
  <c r="D3004" i="26"/>
  <c r="C3004" i="26"/>
  <c r="H3004" i="26" s="1"/>
  <c r="D3003" i="26"/>
  <c r="C3003" i="26"/>
  <c r="H3003" i="26" s="1"/>
  <c r="C3000" i="26"/>
  <c r="H3000" i="26" s="1"/>
  <c r="D3000" i="26"/>
  <c r="C3001" i="26"/>
  <c r="H3001" i="26" s="1"/>
  <c r="D3001" i="26"/>
  <c r="D2996" i="26"/>
  <c r="C2996" i="26"/>
  <c r="H2996" i="26" s="1"/>
  <c r="D2995" i="26"/>
  <c r="C2995" i="26"/>
  <c r="H2995" i="26" s="1"/>
  <c r="D2994" i="26"/>
  <c r="C2994" i="26"/>
  <c r="H2994" i="26" s="1"/>
  <c r="D2993" i="26"/>
  <c r="C2993" i="26"/>
  <c r="H2993" i="26" s="1"/>
  <c r="D2982" i="26"/>
  <c r="C2982" i="26"/>
  <c r="H2982" i="26" s="1"/>
  <c r="D2987" i="26"/>
  <c r="C2987" i="26"/>
  <c r="H2987" i="26" s="1"/>
  <c r="D2986" i="26"/>
  <c r="C2986" i="26"/>
  <c r="H2986" i="26" s="1"/>
  <c r="D2985" i="26"/>
  <c r="C2985" i="26"/>
  <c r="H2985" i="26" s="1"/>
  <c r="D2984" i="26"/>
  <c r="C2984" i="26"/>
  <c r="H2984" i="26" s="1"/>
  <c r="D2983" i="26"/>
  <c r="C2983" i="26"/>
  <c r="H2983" i="26" s="1"/>
  <c r="D2980" i="26"/>
  <c r="C2980" i="26"/>
  <c r="H2980" i="26" s="1"/>
  <c r="D2981" i="26"/>
  <c r="C2981" i="26"/>
  <c r="H2981" i="26" s="1"/>
  <c r="D2967" i="26"/>
  <c r="C2967" i="26"/>
  <c r="H2967" i="26" s="1"/>
  <c r="D2977" i="26"/>
  <c r="C2977" i="26"/>
  <c r="H2977" i="26" s="1"/>
  <c r="D2976" i="26"/>
  <c r="C2976" i="26"/>
  <c r="H2976" i="26" s="1"/>
  <c r="D505" i="1"/>
  <c r="C505" i="1"/>
  <c r="D504" i="1"/>
  <c r="D503" i="1"/>
  <c r="C503" i="1"/>
  <c r="H503" i="1" s="1"/>
  <c r="D2961" i="26"/>
  <c r="C2961" i="26"/>
  <c r="H2961" i="26" s="1"/>
  <c r="D2966" i="26"/>
  <c r="C2966" i="26"/>
  <c r="H2966" i="26" s="1"/>
  <c r="D2963" i="26"/>
  <c r="C2963" i="26"/>
  <c r="H2963" i="26" s="1"/>
  <c r="D2965" i="26"/>
  <c r="C2965" i="26"/>
  <c r="H2965" i="26" s="1"/>
  <c r="D2964" i="26"/>
  <c r="C2964" i="26"/>
  <c r="H2964" i="26" s="1"/>
  <c r="D2962" i="26"/>
  <c r="C2962" i="26"/>
  <c r="H2962" i="26" s="1"/>
  <c r="D2960" i="26"/>
  <c r="C2960" i="26"/>
  <c r="H2960" i="26" s="1"/>
  <c r="D461" i="18"/>
  <c r="B461" i="18" s="1"/>
  <c r="D460" i="18"/>
  <c r="B460" i="18" s="1"/>
  <c r="B459" i="18"/>
  <c r="D457" i="18"/>
  <c r="B457" i="18" s="1"/>
  <c r="D458" i="18"/>
  <c r="B458" i="18" s="1"/>
  <c r="I453" i="18"/>
  <c r="B456" i="18"/>
  <c r="C2948" i="26"/>
  <c r="H2948" i="26" s="1"/>
  <c r="D2948" i="26"/>
  <c r="C2945" i="26"/>
  <c r="H2945" i="26" s="1"/>
  <c r="D2945" i="26"/>
  <c r="C2946" i="26"/>
  <c r="H2946" i="26" s="1"/>
  <c r="D2946" i="26"/>
  <c r="C2950" i="26"/>
  <c r="H2950" i="26" s="1"/>
  <c r="D2950" i="26"/>
  <c r="C2951" i="26"/>
  <c r="H2951" i="26" s="1"/>
  <c r="D2951" i="26"/>
  <c r="C2952" i="26"/>
  <c r="H2952" i="26" s="1"/>
  <c r="D2952" i="26"/>
  <c r="C2953" i="26"/>
  <c r="H2953" i="26" s="1"/>
  <c r="D2953" i="26"/>
  <c r="C2949" i="26"/>
  <c r="H2949" i="26" s="1"/>
  <c r="D2949" i="26"/>
  <c r="C502" i="1"/>
  <c r="H502" i="1" s="1"/>
  <c r="D502" i="1"/>
  <c r="F1879" i="22"/>
  <c r="E2402" i="22" s="1"/>
  <c r="E1879" i="22"/>
  <c r="D2402" i="22" s="1"/>
  <c r="D1879" i="22"/>
  <c r="C2402" i="22" s="1"/>
  <c r="L1877" i="22"/>
  <c r="K1877" i="22"/>
  <c r="J1877" i="22"/>
  <c r="B1877" i="22"/>
  <c r="L1876" i="22"/>
  <c r="K1876" i="22"/>
  <c r="J1876" i="22"/>
  <c r="H1876" i="22" s="1"/>
  <c r="B1876" i="22"/>
  <c r="L1875" i="22"/>
  <c r="K1875" i="22"/>
  <c r="J1875" i="22"/>
  <c r="B1875" i="22"/>
  <c r="L1874" i="22"/>
  <c r="K1874" i="22"/>
  <c r="J1874" i="22"/>
  <c r="B1874" i="22"/>
  <c r="L1873" i="22"/>
  <c r="K1873" i="22"/>
  <c r="J1873" i="22"/>
  <c r="B1873" i="22"/>
  <c r="B1879" i="22" s="1"/>
  <c r="C1876" i="22" s="1"/>
  <c r="L1872" i="22"/>
  <c r="K1872" i="22"/>
  <c r="J1872" i="22"/>
  <c r="B1872" i="22"/>
  <c r="L1871" i="22"/>
  <c r="K1871" i="22"/>
  <c r="H1871" i="22" s="1"/>
  <c r="J1871" i="22"/>
  <c r="B1871" i="22"/>
  <c r="H1870" i="22"/>
  <c r="D2939" i="26"/>
  <c r="C2939" i="26"/>
  <c r="H2939" i="26" s="1"/>
  <c r="D2938" i="26"/>
  <c r="C2938" i="26"/>
  <c r="H2938" i="26" s="1"/>
  <c r="D2937" i="26"/>
  <c r="C2937" i="26"/>
  <c r="H2937" i="26" s="1"/>
  <c r="D2936" i="26"/>
  <c r="C2936" i="26"/>
  <c r="H2936" i="26" s="1"/>
  <c r="D2935" i="26"/>
  <c r="C2935" i="26"/>
  <c r="H2935" i="26" s="1"/>
  <c r="D2934" i="26"/>
  <c r="C2934" i="26"/>
  <c r="H2934" i="26" s="1"/>
  <c r="C2932" i="26"/>
  <c r="H2932" i="26" s="1"/>
  <c r="D2932" i="26"/>
  <c r="C2933" i="26"/>
  <c r="H2933" i="26" s="1"/>
  <c r="D2933" i="26"/>
  <c r="D2924" i="26"/>
  <c r="C2924" i="26"/>
  <c r="H2924" i="26" s="1"/>
  <c r="D2923" i="26"/>
  <c r="C2923" i="26"/>
  <c r="H2923" i="26" s="1"/>
  <c r="D2922" i="26"/>
  <c r="C2922" i="26"/>
  <c r="H2922" i="26" s="1"/>
  <c r="D2921" i="26"/>
  <c r="C2921" i="26"/>
  <c r="H2921" i="26" s="1"/>
  <c r="D2920" i="26"/>
  <c r="C2920" i="26"/>
  <c r="H2920" i="26" s="1"/>
  <c r="D2919" i="26"/>
  <c r="C2919" i="26"/>
  <c r="H2919" i="26" s="1"/>
  <c r="D2918" i="26"/>
  <c r="C2918" i="26"/>
  <c r="H2918" i="26" s="1"/>
  <c r="D2917" i="26"/>
  <c r="C2917" i="26"/>
  <c r="H2917" i="26" s="1"/>
  <c r="H595" i="27"/>
  <c r="D595" i="27"/>
  <c r="C595" i="27"/>
  <c r="H606" i="27"/>
  <c r="D606" i="27"/>
  <c r="C606" i="27"/>
  <c r="H561" i="27"/>
  <c r="D561" i="27"/>
  <c r="C561" i="27"/>
  <c r="D604" i="27"/>
  <c r="C604" i="27"/>
  <c r="H603" i="27"/>
  <c r="D603" i="27"/>
  <c r="C603" i="27"/>
  <c r="H602" i="27"/>
  <c r="D602" i="27"/>
  <c r="C602" i="27"/>
  <c r="D577" i="27"/>
  <c r="C577" i="27"/>
  <c r="D600" i="27"/>
  <c r="C600" i="27"/>
  <c r="H600" i="27" s="1"/>
  <c r="D599" i="27"/>
  <c r="C599" i="27"/>
  <c r="H599" i="27" s="1"/>
  <c r="D581" i="27"/>
  <c r="C581" i="27"/>
  <c r="D571" i="27"/>
  <c r="C571" i="27"/>
  <c r="D596" i="27"/>
  <c r="C596" i="27"/>
  <c r="D562" i="27"/>
  <c r="C562" i="27"/>
  <c r="I594" i="27"/>
  <c r="D594" i="27"/>
  <c r="C594" i="27"/>
  <c r="J594" i="27" s="1"/>
  <c r="I593" i="27"/>
  <c r="D593" i="27"/>
  <c r="C593" i="27"/>
  <c r="H593" i="27" s="1"/>
  <c r="I592" i="27"/>
  <c r="D592" i="27"/>
  <c r="C592" i="27"/>
  <c r="J592" i="27"/>
  <c r="D591" i="27"/>
  <c r="C591" i="27"/>
  <c r="D590" i="27"/>
  <c r="C590" i="27"/>
  <c r="D589" i="27"/>
  <c r="C589" i="27"/>
  <c r="H589" i="27"/>
  <c r="D588" i="27"/>
  <c r="C588" i="27"/>
  <c r="D587" i="27"/>
  <c r="C587" i="27"/>
  <c r="D586" i="27"/>
  <c r="C586" i="27"/>
  <c r="D585" i="27"/>
  <c r="C585" i="27"/>
  <c r="H585" i="27"/>
  <c r="D555" i="27"/>
  <c r="C555" i="27"/>
  <c r="H555" i="27"/>
  <c r="D583" i="27"/>
  <c r="C583" i="27"/>
  <c r="H583" i="27"/>
  <c r="D582" i="27"/>
  <c r="C582" i="27"/>
  <c r="H582" i="27"/>
  <c r="D584" i="27"/>
  <c r="C584" i="27"/>
  <c r="H584" i="27"/>
  <c r="D580" i="27"/>
  <c r="C580" i="27"/>
  <c r="H580" i="27"/>
  <c r="D579" i="27"/>
  <c r="C579" i="27"/>
  <c r="H579" i="27"/>
  <c r="D578" i="27"/>
  <c r="C578" i="27"/>
  <c r="H578" i="27"/>
  <c r="D576" i="27"/>
  <c r="C576" i="27"/>
  <c r="H601" i="27"/>
  <c r="D601" i="27"/>
  <c r="C601" i="27"/>
  <c r="D575" i="27"/>
  <c r="C575" i="27"/>
  <c r="H575" i="27" s="1"/>
  <c r="H574" i="27"/>
  <c r="D574" i="27"/>
  <c r="C574" i="27"/>
  <c r="D573" i="27"/>
  <c r="C573" i="27"/>
  <c r="D572" i="27"/>
  <c r="C572" i="27"/>
  <c r="D551" i="27"/>
  <c r="C551" i="27"/>
  <c r="D570" i="27"/>
  <c r="C570" i="27"/>
  <c r="H570" i="27" s="1"/>
  <c r="D569" i="27"/>
  <c r="C569" i="27"/>
  <c r="D568" i="27"/>
  <c r="C568" i="27"/>
  <c r="D567" i="27"/>
  <c r="C567" i="27"/>
  <c r="D566" i="27"/>
  <c r="C566" i="27"/>
  <c r="H566" i="27" s="1"/>
  <c r="D565" i="27"/>
  <c r="C565" i="27"/>
  <c r="D564" i="27"/>
  <c r="C564" i="27"/>
  <c r="D563" i="27"/>
  <c r="C563" i="27"/>
  <c r="D549" i="27"/>
  <c r="C549" i="27"/>
  <c r="H538" i="27"/>
  <c r="D538" i="27"/>
  <c r="C538" i="27"/>
  <c r="H560" i="27"/>
  <c r="D560" i="27"/>
  <c r="C560" i="27"/>
  <c r="H559" i="27"/>
  <c r="D559" i="27"/>
  <c r="C559" i="27"/>
  <c r="H558" i="27"/>
  <c r="D558" i="27"/>
  <c r="C558" i="27"/>
  <c r="H557" i="27"/>
  <c r="D557" i="27"/>
  <c r="C557" i="27"/>
  <c r="H556" i="27"/>
  <c r="D556" i="27"/>
  <c r="C556" i="27"/>
  <c r="D533" i="27"/>
  <c r="C533" i="27"/>
  <c r="H533" i="27"/>
  <c r="D554" i="27"/>
  <c r="C554" i="27"/>
  <c r="H554" i="27" s="1"/>
  <c r="D553" i="27"/>
  <c r="C553" i="27"/>
  <c r="H552" i="27"/>
  <c r="D552" i="27"/>
  <c r="C552" i="27"/>
  <c r="H532" i="27"/>
  <c r="D532" i="27"/>
  <c r="C532" i="27"/>
  <c r="D550" i="27"/>
  <c r="C550" i="27"/>
  <c r="D607" i="27"/>
  <c r="C607" i="27"/>
  <c r="D548" i="27"/>
  <c r="C548" i="27"/>
  <c r="D547" i="27"/>
  <c r="C547" i="27"/>
  <c r="D546" i="27"/>
  <c r="C546" i="27"/>
  <c r="D545" i="27"/>
  <c r="C545" i="27"/>
  <c r="D544" i="27"/>
  <c r="C544" i="27"/>
  <c r="H543" i="27"/>
  <c r="D543" i="27"/>
  <c r="C543" i="27"/>
  <c r="D542" i="27"/>
  <c r="C542" i="27"/>
  <c r="H542" i="27" s="1"/>
  <c r="H541" i="27"/>
  <c r="D541" i="27"/>
  <c r="C541" i="27"/>
  <c r="H540" i="27"/>
  <c r="D540" i="27"/>
  <c r="C540" i="27"/>
  <c r="D539" i="27"/>
  <c r="C539" i="27"/>
  <c r="H539" i="27"/>
  <c r="H531" i="27"/>
  <c r="D531" i="27"/>
  <c r="C531" i="27"/>
  <c r="H537" i="27"/>
  <c r="D537" i="27"/>
  <c r="C537" i="27"/>
  <c r="D536" i="27"/>
  <c r="C536" i="27"/>
  <c r="H536" i="27" s="1"/>
  <c r="D535" i="27"/>
  <c r="C535" i="27"/>
  <c r="H535" i="27"/>
  <c r="D534" i="27"/>
  <c r="C534" i="27"/>
  <c r="H534" i="27" s="1"/>
  <c r="D605" i="27"/>
  <c r="C605" i="27"/>
  <c r="H605" i="27" s="1"/>
  <c r="D598" i="27"/>
  <c r="C598" i="27"/>
  <c r="H598" i="27"/>
  <c r="D597" i="27"/>
  <c r="C597" i="27"/>
  <c r="H597" i="27"/>
  <c r="D530" i="27"/>
  <c r="C530" i="27"/>
  <c r="H530" i="27" s="1"/>
  <c r="D529" i="27"/>
  <c r="C529" i="27"/>
  <c r="H529" i="27"/>
  <c r="D528" i="27"/>
  <c r="C528" i="27"/>
  <c r="D527" i="27"/>
  <c r="C527" i="27"/>
  <c r="D526" i="27"/>
  <c r="C526" i="27"/>
  <c r="D525" i="27"/>
  <c r="C525" i="27"/>
  <c r="H524" i="27"/>
  <c r="D524" i="27"/>
  <c r="C524" i="27"/>
  <c r="H523" i="27"/>
  <c r="D523" i="27"/>
  <c r="C523" i="27"/>
  <c r="D522" i="27"/>
  <c r="C522" i="27"/>
  <c r="H521" i="27"/>
  <c r="D521" i="27"/>
  <c r="C521" i="27"/>
  <c r="H520" i="27"/>
  <c r="D520" i="27"/>
  <c r="C520" i="27"/>
  <c r="H519" i="27"/>
  <c r="D519" i="27"/>
  <c r="C519" i="27"/>
  <c r="D518" i="27"/>
  <c r="C518" i="27"/>
  <c r="D517" i="27"/>
  <c r="C517" i="27"/>
  <c r="H516" i="27"/>
  <c r="D516" i="27"/>
  <c r="C516" i="27"/>
  <c r="H515" i="27"/>
  <c r="D515" i="27"/>
  <c r="C515" i="27"/>
  <c r="H514" i="27"/>
  <c r="D514" i="27"/>
  <c r="C514" i="27"/>
  <c r="H513" i="27"/>
  <c r="D513" i="27"/>
  <c r="C513" i="27"/>
  <c r="D512" i="27"/>
  <c r="C512" i="27"/>
  <c r="D511" i="27"/>
  <c r="C511" i="27"/>
  <c r="D510" i="27"/>
  <c r="C510" i="27"/>
  <c r="D509" i="27"/>
  <c r="C509" i="27"/>
  <c r="H508" i="27"/>
  <c r="D508" i="27"/>
  <c r="C508" i="27"/>
  <c r="H507" i="27"/>
  <c r="D507" i="27"/>
  <c r="C507" i="27"/>
  <c r="H506" i="27"/>
  <c r="D506" i="27"/>
  <c r="C506" i="27"/>
  <c r="D505" i="27"/>
  <c r="C505" i="27"/>
  <c r="H504" i="27"/>
  <c r="D504" i="27"/>
  <c r="C504" i="27"/>
  <c r="H503" i="27"/>
  <c r="D503" i="27"/>
  <c r="C503" i="27"/>
  <c r="H502" i="27"/>
  <c r="D502" i="27"/>
  <c r="C502" i="27"/>
  <c r="D501" i="27"/>
  <c r="C501" i="27"/>
  <c r="H500" i="27"/>
  <c r="D500" i="27"/>
  <c r="C500" i="27"/>
  <c r="H499" i="27"/>
  <c r="D499" i="27"/>
  <c r="C499" i="27"/>
  <c r="D498" i="27"/>
  <c r="C498" i="27"/>
  <c r="H497" i="27"/>
  <c r="D497" i="27"/>
  <c r="C497" i="27"/>
  <c r="D496" i="27"/>
  <c r="C496" i="27"/>
  <c r="D495" i="27"/>
  <c r="C495" i="27"/>
  <c r="D494" i="27"/>
  <c r="C494" i="27"/>
  <c r="H493" i="27"/>
  <c r="D493" i="27"/>
  <c r="C493" i="27"/>
  <c r="H492" i="27"/>
  <c r="D492" i="27"/>
  <c r="C492" i="27"/>
  <c r="H491" i="27"/>
  <c r="D491" i="27"/>
  <c r="C491" i="27"/>
  <c r="D490" i="27"/>
  <c r="C490" i="27"/>
  <c r="D489" i="27"/>
  <c r="C489" i="27"/>
  <c r="H488" i="27"/>
  <c r="D488" i="27"/>
  <c r="C488" i="27"/>
  <c r="D487" i="27"/>
  <c r="C487" i="27"/>
  <c r="D486" i="27"/>
  <c r="C486" i="27"/>
  <c r="D485" i="27"/>
  <c r="C485" i="27"/>
  <c r="H484" i="27"/>
  <c r="D484" i="27"/>
  <c r="C484" i="27"/>
  <c r="D483" i="27"/>
  <c r="C483" i="27"/>
  <c r="H482" i="27"/>
  <c r="D482" i="27"/>
  <c r="C482" i="27"/>
  <c r="H481" i="27"/>
  <c r="D481" i="27"/>
  <c r="C481" i="27"/>
  <c r="D480" i="27"/>
  <c r="C480" i="27"/>
  <c r="D479" i="27"/>
  <c r="C479" i="27"/>
  <c r="D478" i="27"/>
  <c r="C478" i="27"/>
  <c r="D477" i="27"/>
  <c r="C477" i="27"/>
  <c r="H476" i="27"/>
  <c r="D476" i="27"/>
  <c r="C476" i="27"/>
  <c r="H475" i="27"/>
  <c r="D475" i="27"/>
  <c r="C475" i="27"/>
  <c r="H474" i="27"/>
  <c r="D474" i="27"/>
  <c r="C474" i="27"/>
  <c r="D473" i="27"/>
  <c r="C473" i="27"/>
  <c r="D472" i="27"/>
  <c r="C472" i="27"/>
  <c r="H471" i="27"/>
  <c r="D471" i="27"/>
  <c r="C471" i="27"/>
  <c r="D470" i="27"/>
  <c r="C470" i="27"/>
  <c r="D469" i="27"/>
  <c r="C469" i="27"/>
  <c r="D468" i="27"/>
  <c r="C468" i="27"/>
  <c r="H467" i="27"/>
  <c r="D467" i="27"/>
  <c r="C467" i="27"/>
  <c r="H466" i="27"/>
  <c r="D466" i="27"/>
  <c r="C466" i="27"/>
  <c r="H465" i="27"/>
  <c r="D465" i="27"/>
  <c r="C465" i="27"/>
  <c r="H464" i="27"/>
  <c r="D464" i="27"/>
  <c r="C464" i="27"/>
  <c r="D463" i="27"/>
  <c r="C463" i="27"/>
  <c r="H462" i="27"/>
  <c r="D462" i="27"/>
  <c r="C462" i="27"/>
  <c r="D461" i="27"/>
  <c r="C461" i="27"/>
  <c r="H460" i="27"/>
  <c r="D460" i="27"/>
  <c r="C460" i="27"/>
  <c r="H459" i="27"/>
  <c r="D459" i="27"/>
  <c r="C459" i="27"/>
  <c r="D458" i="27"/>
  <c r="C458" i="27"/>
  <c r="D457" i="27"/>
  <c r="C457" i="27"/>
  <c r="D456" i="27"/>
  <c r="C456" i="27"/>
  <c r="H455" i="27"/>
  <c r="D455" i="27"/>
  <c r="C455" i="27"/>
  <c r="D454" i="27"/>
  <c r="C454" i="27"/>
  <c r="D453" i="27"/>
  <c r="C453" i="27"/>
  <c r="H452" i="27"/>
  <c r="D452" i="27"/>
  <c r="C452" i="27"/>
  <c r="H451" i="27"/>
  <c r="D451" i="27"/>
  <c r="C451" i="27"/>
  <c r="D450" i="27"/>
  <c r="C450" i="27"/>
  <c r="H449" i="27"/>
  <c r="D449" i="27"/>
  <c r="C449" i="27"/>
  <c r="D448" i="27"/>
  <c r="C448" i="27"/>
  <c r="D447" i="27"/>
  <c r="C447" i="27"/>
  <c r="D446" i="27"/>
  <c r="C446" i="27"/>
  <c r="D445" i="27"/>
  <c r="C445" i="27"/>
  <c r="D444" i="27"/>
  <c r="C444" i="27"/>
  <c r="H443" i="27"/>
  <c r="D443" i="27"/>
  <c r="C443" i="27"/>
  <c r="H442" i="27"/>
  <c r="D442" i="27"/>
  <c r="C442" i="27"/>
  <c r="D441" i="27"/>
  <c r="C441" i="27"/>
  <c r="D440" i="27"/>
  <c r="C440" i="27"/>
  <c r="H439" i="27"/>
  <c r="D439" i="27"/>
  <c r="C439" i="27"/>
  <c r="D438" i="27"/>
  <c r="C438" i="27"/>
  <c r="H437" i="27"/>
  <c r="D437" i="27"/>
  <c r="C437" i="27"/>
  <c r="H436" i="27"/>
  <c r="D436" i="27"/>
  <c r="C436" i="27"/>
  <c r="H435" i="27"/>
  <c r="D435" i="27"/>
  <c r="C435" i="27"/>
  <c r="D434" i="27"/>
  <c r="C434" i="27"/>
  <c r="D433" i="27"/>
  <c r="C433" i="27"/>
  <c r="H432" i="27"/>
  <c r="D432" i="27"/>
  <c r="C432" i="27"/>
  <c r="H431" i="27"/>
  <c r="D431" i="27"/>
  <c r="C431" i="27"/>
  <c r="H430" i="27"/>
  <c r="D430" i="27"/>
  <c r="C430" i="27"/>
  <c r="H429" i="27"/>
  <c r="D429" i="27"/>
  <c r="C429" i="27"/>
  <c r="D428" i="27"/>
  <c r="C428" i="27"/>
  <c r="D427" i="27"/>
  <c r="C427" i="27"/>
  <c r="D426" i="27"/>
  <c r="C426" i="27"/>
  <c r="D425" i="27"/>
  <c r="C425" i="27"/>
  <c r="D424" i="27"/>
  <c r="C424" i="27"/>
  <c r="D423" i="27"/>
  <c r="C423" i="27"/>
  <c r="D422" i="27"/>
  <c r="C422" i="27"/>
  <c r="H421" i="27"/>
  <c r="D421" i="27"/>
  <c r="C421" i="27"/>
  <c r="D420" i="27"/>
  <c r="C420" i="27"/>
  <c r="D419" i="27"/>
  <c r="C419" i="27"/>
  <c r="D418" i="27"/>
  <c r="C418" i="27"/>
  <c r="H417" i="27"/>
  <c r="D417" i="27"/>
  <c r="C417" i="27"/>
  <c r="H416" i="27"/>
  <c r="D416" i="27"/>
  <c r="C416" i="27"/>
  <c r="H415" i="27"/>
  <c r="D415" i="27"/>
  <c r="C415" i="27"/>
  <c r="H414" i="27"/>
  <c r="D414" i="27"/>
  <c r="C414" i="27"/>
  <c r="D413" i="27"/>
  <c r="C413" i="27"/>
  <c r="D412" i="27"/>
  <c r="C412" i="27"/>
  <c r="H411" i="27"/>
  <c r="D411" i="27"/>
  <c r="C411" i="27"/>
  <c r="D410" i="27"/>
  <c r="C410" i="27"/>
  <c r="H409" i="27"/>
  <c r="D409" i="27"/>
  <c r="C409" i="27"/>
  <c r="D408" i="27"/>
  <c r="C408" i="27"/>
  <c r="D407" i="27"/>
  <c r="C407" i="27"/>
  <c r="D406" i="27"/>
  <c r="C406" i="27"/>
  <c r="H405" i="27"/>
  <c r="D405" i="27"/>
  <c r="C405" i="27"/>
  <c r="H404" i="27"/>
  <c r="D404" i="27"/>
  <c r="C404" i="27"/>
  <c r="H403" i="27"/>
  <c r="D403" i="27"/>
  <c r="C403" i="27"/>
  <c r="D402" i="27"/>
  <c r="C402" i="27"/>
  <c r="D401" i="27"/>
  <c r="C401" i="27"/>
  <c r="D400" i="27"/>
  <c r="C400" i="27"/>
  <c r="D399" i="27"/>
  <c r="C399" i="27"/>
  <c r="H398" i="27"/>
  <c r="D398" i="27"/>
  <c r="C398" i="27"/>
  <c r="H397" i="27"/>
  <c r="D397" i="27"/>
  <c r="C397" i="27"/>
  <c r="D396" i="27"/>
  <c r="C396" i="27"/>
  <c r="D395" i="27"/>
  <c r="C395" i="27"/>
  <c r="H394" i="27"/>
  <c r="D394" i="27"/>
  <c r="C394" i="27"/>
  <c r="H393" i="27"/>
  <c r="D393" i="27"/>
  <c r="C393" i="27"/>
  <c r="H392" i="27"/>
  <c r="D392" i="27"/>
  <c r="C392" i="27"/>
  <c r="H391" i="27"/>
  <c r="D391" i="27"/>
  <c r="C391" i="27"/>
  <c r="D390" i="27"/>
  <c r="C390" i="27"/>
  <c r="H389" i="27"/>
  <c r="D389" i="27"/>
  <c r="C389" i="27"/>
  <c r="H388" i="27"/>
  <c r="D388" i="27"/>
  <c r="C388" i="27"/>
  <c r="H387" i="27"/>
  <c r="D387" i="27"/>
  <c r="C387" i="27"/>
  <c r="D386" i="27"/>
  <c r="C386" i="27"/>
  <c r="D385" i="27"/>
  <c r="C385" i="27"/>
  <c r="D384" i="27"/>
  <c r="C384" i="27"/>
  <c r="D383" i="27"/>
  <c r="C383" i="27"/>
  <c r="D382" i="27"/>
  <c r="C382" i="27"/>
  <c r="H381" i="27"/>
  <c r="D381" i="27"/>
  <c r="C381" i="27"/>
  <c r="H380" i="27"/>
  <c r="D380" i="27"/>
  <c r="C380" i="27"/>
  <c r="H379" i="27"/>
  <c r="D379" i="27"/>
  <c r="C379" i="27"/>
  <c r="H378" i="27"/>
  <c r="D378" i="27"/>
  <c r="C378" i="27"/>
  <c r="H377" i="27"/>
  <c r="D377" i="27"/>
  <c r="C377" i="27"/>
  <c r="H376" i="27"/>
  <c r="D376" i="27"/>
  <c r="C376" i="27"/>
  <c r="H375" i="27"/>
  <c r="D375" i="27"/>
  <c r="C375" i="27"/>
  <c r="D374" i="27"/>
  <c r="C374" i="27"/>
  <c r="H373" i="27"/>
  <c r="D373" i="27"/>
  <c r="C373" i="27"/>
  <c r="H372" i="27"/>
  <c r="D372" i="27"/>
  <c r="C372" i="27"/>
  <c r="H371" i="27"/>
  <c r="D371" i="27"/>
  <c r="C371" i="27"/>
  <c r="D370" i="27"/>
  <c r="C370" i="27"/>
  <c r="D369" i="27"/>
  <c r="C369" i="27"/>
  <c r="H368" i="27"/>
  <c r="D368" i="27"/>
  <c r="C368" i="27"/>
  <c r="D367" i="27"/>
  <c r="C367" i="27"/>
  <c r="D366" i="27"/>
  <c r="C366" i="27"/>
  <c r="D365" i="27"/>
  <c r="C365" i="27"/>
  <c r="D364" i="27"/>
  <c r="C364" i="27"/>
  <c r="H363" i="27"/>
  <c r="D363" i="27"/>
  <c r="C363" i="27"/>
  <c r="H362" i="27"/>
  <c r="D362" i="27"/>
  <c r="C362" i="27"/>
  <c r="H361" i="27"/>
  <c r="D361" i="27"/>
  <c r="C361" i="27"/>
  <c r="D360" i="27"/>
  <c r="C360" i="27"/>
  <c r="H359" i="27"/>
  <c r="D359" i="27"/>
  <c r="C359" i="27"/>
  <c r="H358" i="27"/>
  <c r="D358" i="27"/>
  <c r="C358" i="27"/>
  <c r="H357" i="27"/>
  <c r="D357" i="27"/>
  <c r="C357" i="27"/>
  <c r="D356" i="27"/>
  <c r="C356" i="27"/>
  <c r="H355" i="27"/>
  <c r="D355" i="27"/>
  <c r="C355" i="27"/>
  <c r="H354" i="27"/>
  <c r="D354" i="27"/>
  <c r="C354" i="27"/>
  <c r="D353" i="27"/>
  <c r="C353" i="27"/>
  <c r="D352" i="27"/>
  <c r="C352" i="27"/>
  <c r="D351" i="27"/>
  <c r="C351" i="27"/>
  <c r="H350" i="27"/>
  <c r="D350" i="27"/>
  <c r="C350" i="27"/>
  <c r="D349" i="27"/>
  <c r="C349" i="27"/>
  <c r="H348" i="27"/>
  <c r="D348" i="27"/>
  <c r="C348" i="27"/>
  <c r="D347" i="27"/>
  <c r="C347" i="27"/>
  <c r="D346" i="27"/>
  <c r="C346" i="27"/>
  <c r="H345" i="27"/>
  <c r="D345" i="27"/>
  <c r="C345" i="27"/>
  <c r="H344" i="27"/>
  <c r="D344" i="27"/>
  <c r="C344" i="27"/>
  <c r="D343" i="27"/>
  <c r="C343" i="27"/>
  <c r="D342" i="27"/>
  <c r="C342" i="27"/>
  <c r="D341" i="27"/>
  <c r="C341" i="27"/>
  <c r="D340" i="27"/>
  <c r="C340" i="27"/>
  <c r="H339" i="27"/>
  <c r="D339" i="27"/>
  <c r="C339" i="27"/>
  <c r="H338" i="27"/>
  <c r="D338" i="27"/>
  <c r="C338" i="27"/>
  <c r="H337" i="27"/>
  <c r="D337" i="27"/>
  <c r="C337" i="27"/>
  <c r="D336" i="27"/>
  <c r="C336" i="27"/>
  <c r="H335" i="27"/>
  <c r="D335" i="27"/>
  <c r="C335" i="27"/>
  <c r="H334" i="27"/>
  <c r="D334" i="27"/>
  <c r="C334" i="27"/>
  <c r="D333" i="27"/>
  <c r="C333" i="27"/>
  <c r="D332" i="27"/>
  <c r="C332" i="27"/>
  <c r="H331" i="27"/>
  <c r="D331" i="27"/>
  <c r="C331" i="27"/>
  <c r="H330" i="27"/>
  <c r="D330" i="27"/>
  <c r="C330" i="27"/>
  <c r="H329" i="27"/>
  <c r="D329" i="27"/>
  <c r="C329" i="27"/>
  <c r="D328" i="27"/>
  <c r="C328" i="27"/>
  <c r="D327" i="27"/>
  <c r="C327" i="27"/>
  <c r="D326" i="27"/>
  <c r="C326" i="27"/>
  <c r="D325" i="27"/>
  <c r="C325" i="27"/>
  <c r="H324" i="27"/>
  <c r="D324" i="27"/>
  <c r="C324" i="27"/>
  <c r="D323" i="27"/>
  <c r="C323" i="27"/>
  <c r="D322" i="27"/>
  <c r="C322" i="27"/>
  <c r="H321" i="27"/>
  <c r="D321" i="27"/>
  <c r="C321" i="27"/>
  <c r="H320" i="27"/>
  <c r="D320" i="27"/>
  <c r="C320" i="27"/>
  <c r="H319" i="27"/>
  <c r="D319" i="27"/>
  <c r="C319" i="27"/>
  <c r="D318" i="27"/>
  <c r="C318" i="27"/>
  <c r="D317" i="27"/>
  <c r="C317" i="27"/>
  <c r="D316" i="27"/>
  <c r="C316" i="27"/>
  <c r="H315" i="27"/>
  <c r="D315" i="27"/>
  <c r="C315" i="27"/>
  <c r="D314" i="27"/>
  <c r="C314" i="27"/>
  <c r="H313" i="27"/>
  <c r="D313" i="27"/>
  <c r="C313" i="27"/>
  <c r="H312" i="27"/>
  <c r="D312" i="27"/>
  <c r="C312" i="27"/>
  <c r="H311" i="27"/>
  <c r="D311" i="27"/>
  <c r="C311" i="27"/>
  <c r="H310" i="27"/>
  <c r="D310" i="27"/>
  <c r="C310" i="27"/>
  <c r="H309" i="27"/>
  <c r="D309" i="27"/>
  <c r="C309" i="27"/>
  <c r="D308" i="27"/>
  <c r="C308" i="27"/>
  <c r="H307" i="27"/>
  <c r="D307" i="27"/>
  <c r="C307" i="27"/>
  <c r="D306" i="27"/>
  <c r="C306" i="27"/>
  <c r="D305" i="27"/>
  <c r="C305" i="27"/>
  <c r="D304" i="27"/>
  <c r="C304" i="27"/>
  <c r="D303" i="27"/>
  <c r="C303" i="27"/>
  <c r="H302" i="27"/>
  <c r="D302" i="27"/>
  <c r="C302" i="27"/>
  <c r="D301" i="27"/>
  <c r="C301" i="27"/>
  <c r="H300" i="27"/>
  <c r="D300" i="27"/>
  <c r="C300" i="27"/>
  <c r="H299" i="27"/>
  <c r="D299" i="27"/>
  <c r="C299" i="27"/>
  <c r="D298" i="27"/>
  <c r="C298" i="27"/>
  <c r="H297" i="27"/>
  <c r="D297" i="27"/>
  <c r="C297" i="27"/>
  <c r="H296" i="27"/>
  <c r="D296" i="27"/>
  <c r="C296" i="27"/>
  <c r="D295" i="27"/>
  <c r="C295" i="27"/>
  <c r="D294" i="27"/>
  <c r="C294" i="27"/>
  <c r="D293" i="27"/>
  <c r="C293" i="27"/>
  <c r="D292" i="27"/>
  <c r="C292" i="27"/>
  <c r="D291" i="27"/>
  <c r="C291" i="27"/>
  <c r="D290" i="27"/>
  <c r="C290" i="27"/>
  <c r="D289" i="27"/>
  <c r="C289" i="27"/>
  <c r="D288" i="27"/>
  <c r="C288" i="27"/>
  <c r="D287" i="27"/>
  <c r="C287" i="27"/>
  <c r="D286" i="27"/>
  <c r="C286" i="27"/>
  <c r="H285" i="27"/>
  <c r="D285" i="27"/>
  <c r="C285" i="27"/>
  <c r="H284" i="27"/>
  <c r="D284" i="27"/>
  <c r="C284" i="27"/>
  <c r="H283" i="27"/>
  <c r="D283" i="27"/>
  <c r="C283" i="27"/>
  <c r="D282" i="27"/>
  <c r="C282" i="27"/>
  <c r="H281" i="27"/>
  <c r="D281" i="27"/>
  <c r="C281" i="27"/>
  <c r="D280" i="27"/>
  <c r="C280" i="27"/>
  <c r="H279" i="27"/>
  <c r="D279" i="27"/>
  <c r="C279" i="27"/>
  <c r="D278" i="27"/>
  <c r="C278" i="27"/>
  <c r="H277" i="27"/>
  <c r="D277" i="27"/>
  <c r="C277" i="27"/>
  <c r="H276" i="27"/>
  <c r="D276" i="27"/>
  <c r="C276" i="27"/>
  <c r="H275" i="27"/>
  <c r="D275" i="27"/>
  <c r="C275" i="27"/>
  <c r="D274" i="27"/>
  <c r="C274" i="27"/>
  <c r="D273" i="27"/>
  <c r="C273" i="27"/>
  <c r="D272" i="27"/>
  <c r="C272" i="27"/>
  <c r="D271" i="27"/>
  <c r="C271" i="27"/>
  <c r="D270" i="27"/>
  <c r="C270" i="27"/>
  <c r="H269" i="27"/>
  <c r="D269" i="27"/>
  <c r="C269" i="27"/>
  <c r="H268" i="27"/>
  <c r="D268" i="27"/>
  <c r="C268" i="27"/>
  <c r="H267" i="27"/>
  <c r="D267" i="27"/>
  <c r="C267" i="27"/>
  <c r="H266" i="27"/>
  <c r="D266" i="27"/>
  <c r="C266" i="27"/>
  <c r="H265" i="27"/>
  <c r="D265" i="27"/>
  <c r="C265" i="27"/>
  <c r="D264" i="27"/>
  <c r="C264" i="27"/>
  <c r="H263" i="27"/>
  <c r="D263" i="27"/>
  <c r="C263" i="27"/>
  <c r="H262" i="27"/>
  <c r="D262" i="27"/>
  <c r="C262" i="27"/>
  <c r="D261" i="27"/>
  <c r="C261" i="27"/>
  <c r="D260" i="27"/>
  <c r="C260" i="27"/>
  <c r="H259" i="27"/>
  <c r="D259" i="27"/>
  <c r="C259" i="27"/>
  <c r="D258" i="27"/>
  <c r="C258" i="27"/>
  <c r="H257" i="27"/>
  <c r="D257" i="27"/>
  <c r="C257" i="27"/>
  <c r="H256" i="27"/>
  <c r="D256" i="27"/>
  <c r="C256" i="27"/>
  <c r="H255" i="27"/>
  <c r="D255" i="27"/>
  <c r="C255" i="27"/>
  <c r="D254" i="27"/>
  <c r="C254" i="27"/>
  <c r="H253" i="27"/>
  <c r="D253" i="27"/>
  <c r="C253" i="27"/>
  <c r="D252" i="27"/>
  <c r="C252" i="27"/>
  <c r="D251" i="27"/>
  <c r="C251" i="27"/>
  <c r="H250" i="27"/>
  <c r="D250" i="27"/>
  <c r="C250" i="27"/>
  <c r="D249" i="27"/>
  <c r="C249" i="27"/>
  <c r="H248" i="27"/>
  <c r="D248" i="27"/>
  <c r="C248" i="27"/>
  <c r="H247" i="27"/>
  <c r="D247" i="27"/>
  <c r="C247" i="27"/>
  <c r="H246" i="27"/>
  <c r="D246" i="27"/>
  <c r="C246" i="27"/>
  <c r="D245" i="27"/>
  <c r="C245" i="27"/>
  <c r="D244" i="27"/>
  <c r="C244" i="27"/>
  <c r="H243" i="27"/>
  <c r="D243" i="27"/>
  <c r="C243" i="27"/>
  <c r="H242" i="27"/>
  <c r="D242" i="27"/>
  <c r="C242" i="27"/>
  <c r="D241" i="27"/>
  <c r="C241" i="27"/>
  <c r="H240" i="27"/>
  <c r="D240" i="27"/>
  <c r="C240" i="27"/>
  <c r="H239" i="27"/>
  <c r="D239" i="27"/>
  <c r="C239" i="27"/>
  <c r="H238" i="27"/>
  <c r="D238" i="27"/>
  <c r="C238" i="27"/>
  <c r="D237" i="27"/>
  <c r="C237" i="27"/>
  <c r="D236" i="27"/>
  <c r="C236" i="27"/>
  <c r="H235" i="27"/>
  <c r="D235" i="27"/>
  <c r="C235" i="27"/>
  <c r="D226" i="27"/>
  <c r="C226" i="27"/>
  <c r="H233" i="27"/>
  <c r="D233" i="27"/>
  <c r="C233" i="27"/>
  <c r="H232" i="27"/>
  <c r="D232" i="27"/>
  <c r="C232" i="27"/>
  <c r="D231" i="27"/>
  <c r="C231" i="27"/>
  <c r="D230" i="27"/>
  <c r="C230" i="27"/>
  <c r="H225" i="27"/>
  <c r="D225" i="27"/>
  <c r="C225" i="27"/>
  <c r="H228" i="27"/>
  <c r="D228" i="27"/>
  <c r="C228" i="27"/>
  <c r="H227" i="27"/>
  <c r="D227" i="27"/>
  <c r="C227" i="27"/>
  <c r="D217" i="27"/>
  <c r="C217" i="27"/>
  <c r="H219" i="27"/>
  <c r="D219" i="27"/>
  <c r="C219" i="27"/>
  <c r="H224" i="27"/>
  <c r="D224" i="27"/>
  <c r="C224" i="27"/>
  <c r="D213" i="27"/>
  <c r="C213" i="27"/>
  <c r="H222" i="27"/>
  <c r="D222" i="27"/>
  <c r="C222" i="27"/>
  <c r="H221" i="27"/>
  <c r="D221" i="27"/>
  <c r="C221" i="27"/>
  <c r="H220" i="27"/>
  <c r="D220" i="27"/>
  <c r="C220" i="27"/>
  <c r="H216" i="27"/>
  <c r="D216" i="27"/>
  <c r="C216" i="27"/>
  <c r="D218" i="27"/>
  <c r="C218" i="27"/>
  <c r="D209" i="27"/>
  <c r="C209" i="27"/>
  <c r="H207" i="27"/>
  <c r="D207" i="27"/>
  <c r="C207" i="27"/>
  <c r="D215" i="27"/>
  <c r="C215" i="27"/>
  <c r="D214" i="27"/>
  <c r="C214" i="27"/>
  <c r="D201" i="27"/>
  <c r="C201" i="27"/>
  <c r="D212" i="27"/>
  <c r="C212" i="27"/>
  <c r="H211" i="27"/>
  <c r="D211" i="27"/>
  <c r="C211" i="27"/>
  <c r="H210" i="27"/>
  <c r="D210" i="27"/>
  <c r="C210" i="27"/>
  <c r="C189" i="27"/>
  <c r="A189" i="27"/>
  <c r="D208" i="27"/>
  <c r="C208" i="27"/>
  <c r="H185" i="27"/>
  <c r="D185" i="27"/>
  <c r="C185" i="27"/>
  <c r="H206" i="27"/>
  <c r="D206" i="27"/>
  <c r="C206" i="27"/>
  <c r="H205" i="27"/>
  <c r="D205" i="27"/>
  <c r="C205" i="27"/>
  <c r="H176" i="27"/>
  <c r="D176" i="27"/>
  <c r="C176" i="27"/>
  <c r="D203" i="27"/>
  <c r="C203" i="27"/>
  <c r="D202" i="27"/>
  <c r="C202" i="27"/>
  <c r="D184" i="27"/>
  <c r="C184" i="27"/>
  <c r="H200" i="27"/>
  <c r="D200" i="27"/>
  <c r="C200" i="27"/>
  <c r="H199" i="27"/>
  <c r="D199" i="27"/>
  <c r="C199" i="27"/>
  <c r="H198" i="27"/>
  <c r="D198" i="27"/>
  <c r="C198" i="27"/>
  <c r="D197" i="27"/>
  <c r="C197" i="27"/>
  <c r="D196" i="27"/>
  <c r="C196" i="27"/>
  <c r="H168" i="27"/>
  <c r="D168" i="27"/>
  <c r="C168" i="27"/>
  <c r="D164" i="27"/>
  <c r="C164" i="27"/>
  <c r="H193" i="27"/>
  <c r="D193" i="27"/>
  <c r="C193" i="27"/>
  <c r="H192" i="27"/>
  <c r="D192" i="27"/>
  <c r="C192" i="27"/>
  <c r="D191" i="27"/>
  <c r="C191" i="27"/>
  <c r="H190" i="27"/>
  <c r="D190" i="27"/>
  <c r="C190" i="27"/>
  <c r="D181" i="27"/>
  <c r="C181" i="27"/>
  <c r="H188" i="27"/>
  <c r="D188" i="27"/>
  <c r="C188" i="27"/>
  <c r="H187" i="27"/>
  <c r="D187" i="27"/>
  <c r="C187" i="27"/>
  <c r="H186" i="27"/>
  <c r="D186" i="27"/>
  <c r="C186" i="27"/>
  <c r="D153" i="27"/>
  <c r="C153" i="27"/>
  <c r="D145" i="27"/>
  <c r="C145" i="27"/>
  <c r="H183" i="27"/>
  <c r="D183" i="27"/>
  <c r="C183" i="27"/>
  <c r="H182" i="27"/>
  <c r="D182" i="27"/>
  <c r="C182" i="27"/>
  <c r="D136" i="27"/>
  <c r="C136" i="27"/>
  <c r="H180" i="27"/>
  <c r="D180" i="27"/>
  <c r="C180" i="27"/>
  <c r="H135" i="27"/>
  <c r="D135" i="27"/>
  <c r="C135" i="27"/>
  <c r="D178" i="27"/>
  <c r="C178" i="27"/>
  <c r="D177" i="27"/>
  <c r="C177" i="27"/>
  <c r="H121" i="27"/>
  <c r="D121" i="27"/>
  <c r="C121" i="27"/>
  <c r="H175" i="27"/>
  <c r="D175" i="27"/>
  <c r="C175" i="27"/>
  <c r="H174" i="27"/>
  <c r="D174" i="27"/>
  <c r="C174" i="27"/>
  <c r="D234" i="27"/>
  <c r="C234" i="27"/>
  <c r="D229" i="27"/>
  <c r="C229" i="27"/>
  <c r="D171" i="27"/>
  <c r="C171" i="27"/>
  <c r="D223" i="27"/>
  <c r="C223" i="27"/>
  <c r="D169" i="27"/>
  <c r="C169" i="27"/>
  <c r="D204" i="27"/>
  <c r="C204" i="27"/>
  <c r="D195" i="27"/>
  <c r="C195" i="27"/>
  <c r="D194" i="27"/>
  <c r="C194" i="27"/>
  <c r="D165" i="27"/>
  <c r="C165" i="27"/>
  <c r="D179" i="27"/>
  <c r="C179" i="27"/>
  <c r="D163" i="27"/>
  <c r="C163" i="27"/>
  <c r="D162" i="27"/>
  <c r="C162" i="27"/>
  <c r="D172" i="27"/>
  <c r="C172" i="27"/>
  <c r="D160" i="27"/>
  <c r="C160" i="27"/>
  <c r="D159" i="27"/>
  <c r="C159" i="27"/>
  <c r="D158" i="27"/>
  <c r="C158" i="27"/>
  <c r="D157" i="27"/>
  <c r="C157" i="27"/>
  <c r="D167" i="27"/>
  <c r="C167" i="27"/>
  <c r="D155" i="27"/>
  <c r="C155" i="27"/>
  <c r="D154" i="27"/>
  <c r="C154" i="27"/>
  <c r="D166" i="27"/>
  <c r="C166" i="27"/>
  <c r="D152" i="27"/>
  <c r="C152" i="27"/>
  <c r="D161" i="27"/>
  <c r="C161" i="27"/>
  <c r="D150" i="27"/>
  <c r="C150" i="27"/>
  <c r="D149" i="27"/>
  <c r="C149" i="27"/>
  <c r="D148" i="27"/>
  <c r="C148" i="27"/>
  <c r="D147" i="27"/>
  <c r="C147" i="27"/>
  <c r="D146" i="27"/>
  <c r="C146" i="27"/>
  <c r="D173" i="27"/>
  <c r="C173" i="27"/>
  <c r="D144" i="27"/>
  <c r="C144" i="27"/>
  <c r="D156" i="27"/>
  <c r="C156" i="27"/>
  <c r="D142" i="27"/>
  <c r="C142" i="27"/>
  <c r="D141" i="27"/>
  <c r="C141" i="27"/>
  <c r="D170" i="27"/>
  <c r="C170" i="27"/>
  <c r="D139" i="27"/>
  <c r="C139" i="27"/>
  <c r="D138" i="27"/>
  <c r="C138" i="27"/>
  <c r="D137" i="27"/>
  <c r="C137" i="27"/>
  <c r="D140" i="27"/>
  <c r="C140" i="27"/>
  <c r="D151" i="27"/>
  <c r="C151" i="27"/>
  <c r="H143" i="27"/>
  <c r="D143" i="27"/>
  <c r="C143" i="27"/>
  <c r="D133" i="27"/>
  <c r="C133" i="27"/>
  <c r="H133" i="27"/>
  <c r="D132" i="27"/>
  <c r="C132" i="27"/>
  <c r="H132" i="27"/>
  <c r="D131" i="27"/>
  <c r="C131" i="27"/>
  <c r="H130" i="27"/>
  <c r="D130" i="27"/>
  <c r="C130" i="27"/>
  <c r="D129" i="27"/>
  <c r="C129" i="27"/>
  <c r="H129" i="27"/>
  <c r="D56" i="27"/>
  <c r="C56" i="27"/>
  <c r="D127" i="27"/>
  <c r="C127" i="27"/>
  <c r="D126" i="27"/>
  <c r="C126" i="27"/>
  <c r="D57" i="27"/>
  <c r="C57" i="27"/>
  <c r="D124" i="27"/>
  <c r="C124" i="27"/>
  <c r="H124" i="27" s="1"/>
  <c r="D134" i="27"/>
  <c r="C134" i="27"/>
  <c r="H134" i="27"/>
  <c r="D122" i="27"/>
  <c r="C122" i="27"/>
  <c r="H122" i="27"/>
  <c r="D128" i="27"/>
  <c r="C128" i="27"/>
  <c r="H128" i="27"/>
  <c r="D120" i="27"/>
  <c r="C120" i="27"/>
  <c r="D119" i="27"/>
  <c r="C119" i="27"/>
  <c r="D118" i="27"/>
  <c r="C118" i="27"/>
  <c r="D123" i="27"/>
  <c r="C123" i="27"/>
  <c r="D116" i="27"/>
  <c r="C116" i="27"/>
  <c r="D125" i="27"/>
  <c r="C125" i="27"/>
  <c r="D114" i="27"/>
  <c r="C114" i="27"/>
  <c r="D113" i="27"/>
  <c r="C113" i="27"/>
  <c r="D117" i="27"/>
  <c r="C117" i="27"/>
  <c r="D111" i="27"/>
  <c r="C111" i="27"/>
  <c r="D110" i="27"/>
  <c r="C110" i="27"/>
  <c r="D109" i="27"/>
  <c r="C109" i="27"/>
  <c r="H109" i="27"/>
  <c r="D108" i="27"/>
  <c r="C108" i="27"/>
  <c r="D107" i="27"/>
  <c r="C107" i="27"/>
  <c r="D115" i="27"/>
  <c r="C115" i="27"/>
  <c r="D105" i="27"/>
  <c r="C105" i="27"/>
  <c r="D104" i="27"/>
  <c r="C104" i="27"/>
  <c r="D112" i="27"/>
  <c r="C112" i="27"/>
  <c r="D102" i="27"/>
  <c r="C102" i="27"/>
  <c r="D106" i="27"/>
  <c r="C106" i="27"/>
  <c r="D100" i="27"/>
  <c r="C100" i="27"/>
  <c r="D99" i="27"/>
  <c r="C99" i="27"/>
  <c r="D103" i="27"/>
  <c r="C103" i="27"/>
  <c r="D97" i="27"/>
  <c r="C97" i="27"/>
  <c r="D96" i="27"/>
  <c r="C96" i="27"/>
  <c r="D101" i="27"/>
  <c r="C101" i="27"/>
  <c r="D98" i="27"/>
  <c r="C98" i="27"/>
  <c r="D93" i="27"/>
  <c r="C93" i="27"/>
  <c r="D92" i="27"/>
  <c r="C92" i="27"/>
  <c r="D91" i="27"/>
  <c r="C91" i="27"/>
  <c r="D90" i="27"/>
  <c r="C90" i="27"/>
  <c r="H90" i="27"/>
  <c r="D94" i="27"/>
  <c r="C94" i="27"/>
  <c r="D95" i="27"/>
  <c r="C95" i="27"/>
  <c r="D88" i="27"/>
  <c r="C88" i="27"/>
  <c r="H88" i="27" s="1"/>
  <c r="D89" i="27"/>
  <c r="C89" i="27"/>
  <c r="D85" i="27"/>
  <c r="C85" i="27"/>
  <c r="D84" i="27"/>
  <c r="C84" i="27"/>
  <c r="D83" i="27"/>
  <c r="C83" i="27"/>
  <c r="D82" i="27"/>
  <c r="C82" i="27"/>
  <c r="D86" i="27"/>
  <c r="C86" i="27"/>
  <c r="H86" i="27"/>
  <c r="D80" i="27"/>
  <c r="C80" i="27"/>
  <c r="D79" i="27"/>
  <c r="C79" i="27"/>
  <c r="H79" i="27"/>
  <c r="D78" i="27"/>
  <c r="C78" i="27"/>
  <c r="H78" i="27"/>
  <c r="D81" i="27"/>
  <c r="C81" i="27"/>
  <c r="D76" i="27"/>
  <c r="C76" i="27"/>
  <c r="D75" i="27"/>
  <c r="C75" i="27"/>
  <c r="D74" i="27"/>
  <c r="C74" i="27"/>
  <c r="D77" i="27"/>
  <c r="C77" i="27"/>
  <c r="D72" i="27"/>
  <c r="C72" i="27"/>
  <c r="D71" i="27"/>
  <c r="C71" i="27"/>
  <c r="D70" i="27"/>
  <c r="C70" i="27"/>
  <c r="D87" i="27"/>
  <c r="C87" i="27"/>
  <c r="D68" i="27"/>
  <c r="C68" i="27"/>
  <c r="D73" i="27"/>
  <c r="C73" i="27"/>
  <c r="D66" i="27"/>
  <c r="C66" i="27"/>
  <c r="D65" i="27"/>
  <c r="C65" i="27"/>
  <c r="D67" i="27"/>
  <c r="C67" i="27"/>
  <c r="D69" i="27"/>
  <c r="C69" i="27"/>
  <c r="D62" i="27"/>
  <c r="C62" i="27"/>
  <c r="H62" i="27"/>
  <c r="D61" i="27"/>
  <c r="C61" i="27"/>
  <c r="D60" i="27"/>
  <c r="C60" i="27"/>
  <c r="D59" i="27"/>
  <c r="C59" i="27"/>
  <c r="D58" i="27"/>
  <c r="C58" i="27"/>
  <c r="H58" i="27"/>
  <c r="D63" i="27"/>
  <c r="C63" i="27"/>
  <c r="H63" i="27"/>
  <c r="D64" i="27"/>
  <c r="C64" i="27"/>
  <c r="D55" i="27"/>
  <c r="C55" i="27"/>
  <c r="H55" i="27"/>
  <c r="D54" i="27"/>
  <c r="C54" i="27"/>
  <c r="D53" i="27"/>
  <c r="C53" i="27"/>
  <c r="D52" i="27"/>
  <c r="C52" i="27"/>
  <c r="D51" i="27"/>
  <c r="C51" i="27"/>
  <c r="D50" i="27"/>
  <c r="C50" i="27"/>
  <c r="D49" i="27"/>
  <c r="C49" i="27"/>
  <c r="D48" i="27"/>
  <c r="C48" i="27"/>
  <c r="D47" i="27"/>
  <c r="C47" i="27"/>
  <c r="D46" i="27"/>
  <c r="C46" i="27"/>
  <c r="D45" i="27"/>
  <c r="C45" i="27"/>
  <c r="D44" i="27"/>
  <c r="C44" i="27"/>
  <c r="D43" i="27"/>
  <c r="C43" i="27"/>
  <c r="H43" i="27" s="1"/>
  <c r="D42" i="27"/>
  <c r="C42" i="27"/>
  <c r="D41" i="27"/>
  <c r="C41" i="27"/>
  <c r="D40" i="27"/>
  <c r="C40" i="27"/>
  <c r="D39" i="27"/>
  <c r="C39" i="27"/>
  <c r="D38" i="27"/>
  <c r="C38" i="27"/>
  <c r="D37" i="27"/>
  <c r="C37" i="27"/>
  <c r="D36" i="27"/>
  <c r="C36" i="27"/>
  <c r="D35" i="27"/>
  <c r="C35" i="27"/>
  <c r="D34" i="27"/>
  <c r="C34" i="27"/>
  <c r="D33" i="27"/>
  <c r="C33" i="27"/>
  <c r="D32" i="27"/>
  <c r="C32" i="27"/>
  <c r="D31" i="27"/>
  <c r="C31" i="27"/>
  <c r="D30" i="27"/>
  <c r="C30" i="27"/>
  <c r="D29" i="27"/>
  <c r="C29" i="27"/>
  <c r="D28" i="27"/>
  <c r="C28" i="27"/>
  <c r="D27" i="27"/>
  <c r="C27" i="27"/>
  <c r="D26" i="27"/>
  <c r="C26" i="27"/>
  <c r="D25" i="27"/>
  <c r="C25" i="27"/>
  <c r="D24" i="27"/>
  <c r="C24" i="27"/>
  <c r="D23" i="27"/>
  <c r="C23" i="27"/>
  <c r="D22" i="27"/>
  <c r="C22" i="27"/>
  <c r="D21" i="27"/>
  <c r="C21" i="27"/>
  <c r="D20" i="27"/>
  <c r="C20" i="27"/>
  <c r="D19" i="27"/>
  <c r="C19" i="27"/>
  <c r="D18" i="27"/>
  <c r="C18" i="27"/>
  <c r="D17" i="27"/>
  <c r="C17" i="27"/>
  <c r="D16" i="27"/>
  <c r="C16" i="27"/>
  <c r="D15" i="27"/>
  <c r="C15" i="27"/>
  <c r="D14" i="27"/>
  <c r="C14" i="27"/>
  <c r="D13" i="27"/>
  <c r="C13" i="27"/>
  <c r="D12" i="27"/>
  <c r="C12" i="27"/>
  <c r="D11" i="27"/>
  <c r="C11" i="27"/>
  <c r="D10" i="27"/>
  <c r="C10" i="27"/>
  <c r="D9" i="27"/>
  <c r="C9" i="27"/>
  <c r="D8" i="27"/>
  <c r="C8" i="27"/>
  <c r="D7" i="27"/>
  <c r="C7" i="27"/>
  <c r="D6" i="27"/>
  <c r="C6" i="27"/>
  <c r="D5" i="27"/>
  <c r="C5" i="27"/>
  <c r="D4" i="27"/>
  <c r="C4" i="27"/>
  <c r="D3" i="27"/>
  <c r="C3" i="27"/>
  <c r="D2" i="27"/>
  <c r="C2" i="27"/>
  <c r="D2916" i="26"/>
  <c r="C2916" i="26"/>
  <c r="H2916" i="26" s="1"/>
  <c r="D2915" i="26"/>
  <c r="C2915" i="26"/>
  <c r="H2915" i="26" s="1"/>
  <c r="D2914" i="26"/>
  <c r="C2914" i="26"/>
  <c r="H2914" i="26" s="1"/>
  <c r="D2913" i="26"/>
  <c r="C2913" i="26"/>
  <c r="H2913" i="26" s="1"/>
  <c r="D2910" i="26"/>
  <c r="C2910" i="26"/>
  <c r="H2910" i="26" s="1"/>
  <c r="D2908" i="26"/>
  <c r="C2908" i="26"/>
  <c r="H2908" i="26" s="1"/>
  <c r="D2912" i="26"/>
  <c r="C2912" i="26"/>
  <c r="H2912" i="26" s="1"/>
  <c r="D2911" i="26"/>
  <c r="C2911" i="26"/>
  <c r="H2911" i="26" s="1"/>
  <c r="D2909" i="26"/>
  <c r="C2909" i="26"/>
  <c r="H2909" i="26" s="1"/>
  <c r="D2907" i="26"/>
  <c r="C2907" i="26"/>
  <c r="H2907" i="26" s="1"/>
  <c r="D2906" i="26"/>
  <c r="C2906" i="26"/>
  <c r="H2906" i="26" s="1"/>
  <c r="D2905" i="26"/>
  <c r="C2905" i="26"/>
  <c r="H2905" i="26" s="1"/>
  <c r="D2903" i="26"/>
  <c r="C2903" i="26"/>
  <c r="H2903" i="26" s="1"/>
  <c r="D2902" i="26"/>
  <c r="C2902" i="26"/>
  <c r="H2902" i="26" s="1"/>
  <c r="D2904" i="26"/>
  <c r="C2904" i="26"/>
  <c r="H2904" i="26" s="1"/>
  <c r="D2901" i="26"/>
  <c r="C2901" i="26"/>
  <c r="H2901" i="26" s="1"/>
  <c r="D2900" i="26"/>
  <c r="C2900" i="26"/>
  <c r="D2899" i="26"/>
  <c r="C2899" i="26"/>
  <c r="H2899" i="26" s="1"/>
  <c r="D2898" i="26"/>
  <c r="C2898" i="26"/>
  <c r="H2898" i="26" s="1"/>
  <c r="D2897" i="26"/>
  <c r="C2897" i="26"/>
  <c r="H2897" i="26" s="1"/>
  <c r="D2896" i="26"/>
  <c r="C2896" i="26"/>
  <c r="H2896" i="26" s="1"/>
  <c r="D2895" i="26"/>
  <c r="C2895" i="26"/>
  <c r="H2895" i="26" s="1"/>
  <c r="D2894" i="26"/>
  <c r="C2894" i="26"/>
  <c r="H2894" i="26" s="1"/>
  <c r="D2893" i="26"/>
  <c r="C2893" i="26"/>
  <c r="H2893" i="26" s="1"/>
  <c r="D2892" i="26"/>
  <c r="C2892" i="26"/>
  <c r="H2892" i="26" s="1"/>
  <c r="D2891" i="26"/>
  <c r="C2891" i="26"/>
  <c r="H2891" i="26" s="1"/>
  <c r="D2890" i="26"/>
  <c r="C2890" i="26"/>
  <c r="H2890" i="26" s="1"/>
  <c r="D2889" i="26"/>
  <c r="C2889" i="26"/>
  <c r="H2889" i="26" s="1"/>
  <c r="D561" i="1"/>
  <c r="C561" i="1"/>
  <c r="C560" i="1"/>
  <c r="D560" i="1"/>
  <c r="C558" i="1"/>
  <c r="D558" i="1"/>
  <c r="C559" i="1"/>
  <c r="D559" i="1"/>
  <c r="B53" i="18"/>
  <c r="B454" i="18"/>
  <c r="D2884" i="26"/>
  <c r="C2884" i="26"/>
  <c r="H2884" i="26" s="1"/>
  <c r="D2886" i="26"/>
  <c r="C2886" i="26"/>
  <c r="H2886" i="26" s="1"/>
  <c r="D2885" i="26"/>
  <c r="C2885" i="26"/>
  <c r="H2885" i="26" s="1"/>
  <c r="D2888" i="26"/>
  <c r="C2888" i="26"/>
  <c r="H2888" i="26" s="1"/>
  <c r="D2887" i="26"/>
  <c r="C2887" i="26"/>
  <c r="H2887" i="26" s="1"/>
  <c r="D2882" i="26"/>
  <c r="C2882" i="26"/>
  <c r="H2882" i="26" s="1"/>
  <c r="D2883" i="26"/>
  <c r="C2883" i="26"/>
  <c r="H2883" i="26" s="1"/>
  <c r="D2879" i="26"/>
  <c r="C2879" i="26"/>
  <c r="H2879" i="26" s="1"/>
  <c r="D2881" i="26"/>
  <c r="C2881" i="26"/>
  <c r="H2881" i="26" s="1"/>
  <c r="D2880" i="26"/>
  <c r="C2880" i="26"/>
  <c r="H2880" i="26" s="1"/>
  <c r="D2876" i="26"/>
  <c r="C2876" i="26"/>
  <c r="H2876" i="26" s="1"/>
  <c r="D2877" i="26"/>
  <c r="C2877" i="26"/>
  <c r="H2877" i="26" s="1"/>
  <c r="D2878" i="26"/>
  <c r="C2878" i="26"/>
  <c r="H2878" i="26" s="1"/>
  <c r="D2874" i="26"/>
  <c r="C2874" i="26"/>
  <c r="H2874" i="26" s="1"/>
  <c r="D2873" i="26"/>
  <c r="C2873" i="26"/>
  <c r="H2873" i="26" s="1"/>
  <c r="D2875" i="26"/>
  <c r="C2875" i="26"/>
  <c r="H2875" i="26" s="1"/>
  <c r="D2872" i="26"/>
  <c r="C2872" i="26"/>
  <c r="H2872" i="26" s="1"/>
  <c r="D2871" i="26"/>
  <c r="C2871" i="26"/>
  <c r="H2871" i="26" s="1"/>
  <c r="D2870" i="26"/>
  <c r="C2870" i="26"/>
  <c r="H2870" i="26" s="1"/>
  <c r="D453" i="18"/>
  <c r="B453" i="18" s="1"/>
  <c r="D452" i="18"/>
  <c r="B452" i="18" s="1"/>
  <c r="I448" i="18"/>
  <c r="B451" i="18"/>
  <c r="F1868" i="22"/>
  <c r="E2401" i="22" s="1"/>
  <c r="E1868" i="22"/>
  <c r="D2401" i="22" s="1"/>
  <c r="D1868" i="22"/>
  <c r="C2401" i="22" s="1"/>
  <c r="L1866" i="22"/>
  <c r="K1866" i="22"/>
  <c r="J1866" i="22"/>
  <c r="H1866" i="22" s="1"/>
  <c r="B1866" i="22"/>
  <c r="L1865" i="22"/>
  <c r="K1865" i="22"/>
  <c r="J1865" i="22"/>
  <c r="B1865" i="22"/>
  <c r="L1864" i="22"/>
  <c r="K1864" i="22"/>
  <c r="H1864" i="22" s="1"/>
  <c r="J1864" i="22"/>
  <c r="B1864" i="22"/>
  <c r="L1863" i="22"/>
  <c r="K1863" i="22"/>
  <c r="J1863" i="22"/>
  <c r="B1863" i="22"/>
  <c r="L1862" i="22"/>
  <c r="K1862" i="22"/>
  <c r="J1862" i="22"/>
  <c r="B1862" i="22"/>
  <c r="L1861" i="22"/>
  <c r="K1861" i="22"/>
  <c r="J1861" i="22"/>
  <c r="B1861" i="22"/>
  <c r="L1860" i="22"/>
  <c r="K1860" i="22"/>
  <c r="J1860" i="22"/>
  <c r="J1868" i="22" s="1"/>
  <c r="B1860" i="22"/>
  <c r="H1859" i="22"/>
  <c r="D501" i="1"/>
  <c r="C501" i="1"/>
  <c r="H501" i="1" s="1"/>
  <c r="D500" i="1"/>
  <c r="C500" i="1"/>
  <c r="H500" i="1" s="1"/>
  <c r="D499" i="1"/>
  <c r="C499" i="1"/>
  <c r="H499" i="1" s="1"/>
  <c r="D498" i="1"/>
  <c r="C498" i="1"/>
  <c r="D450" i="18"/>
  <c r="B450" i="18" s="1"/>
  <c r="D449" i="18"/>
  <c r="B449" i="18" s="1"/>
  <c r="B448" i="18"/>
  <c r="D2869" i="26"/>
  <c r="C2869" i="26"/>
  <c r="H2869" i="26" s="1"/>
  <c r="D2866" i="26"/>
  <c r="C2866" i="26"/>
  <c r="H2866" i="26" s="1"/>
  <c r="D2865" i="26"/>
  <c r="C2865" i="26"/>
  <c r="H2865" i="26" s="1"/>
  <c r="D2862" i="26"/>
  <c r="C2862" i="26"/>
  <c r="H2862" i="26" s="1"/>
  <c r="D2868" i="26"/>
  <c r="C2868" i="26"/>
  <c r="H2868" i="26" s="1"/>
  <c r="D2864" i="26"/>
  <c r="C2864" i="26"/>
  <c r="H2864" i="26" s="1"/>
  <c r="D2863" i="26"/>
  <c r="C2863" i="26"/>
  <c r="H2863" i="26" s="1"/>
  <c r="D2867" i="26"/>
  <c r="C2867" i="26"/>
  <c r="H2867" i="26" s="1"/>
  <c r="D2861" i="26"/>
  <c r="C2861" i="26"/>
  <c r="H2861" i="26" s="1"/>
  <c r="D2860" i="26"/>
  <c r="C2860" i="26"/>
  <c r="H2860" i="26" s="1"/>
  <c r="D2857" i="26"/>
  <c r="C2857" i="26"/>
  <c r="H2857" i="26" s="1"/>
  <c r="D2856" i="26"/>
  <c r="C2856" i="26"/>
  <c r="H2856" i="26" s="1"/>
  <c r="D2855" i="26"/>
  <c r="C2855" i="26"/>
  <c r="H2855" i="26" s="1"/>
  <c r="D2858" i="26"/>
  <c r="C2858" i="26"/>
  <c r="H2858" i="26" s="1"/>
  <c r="D2859" i="26"/>
  <c r="C2859" i="26"/>
  <c r="H2859" i="26" s="1"/>
  <c r="D2854" i="26"/>
  <c r="C2854" i="26"/>
  <c r="H2854" i="26" s="1"/>
  <c r="D2853" i="26"/>
  <c r="C2853" i="26"/>
  <c r="H2853" i="26" s="1"/>
  <c r="C2852" i="26"/>
  <c r="H2852" i="26" s="1"/>
  <c r="D2852" i="26"/>
  <c r="D2851" i="26"/>
  <c r="C2851" i="26"/>
  <c r="H2851" i="26" s="1"/>
  <c r="D2850" i="26"/>
  <c r="C2850" i="26"/>
  <c r="H2850" i="26" s="1"/>
  <c r="D2849" i="26"/>
  <c r="C2849" i="26"/>
  <c r="H2849" i="26" s="1"/>
  <c r="D2848" i="26"/>
  <c r="C2848" i="26"/>
  <c r="H2848" i="26" s="1"/>
  <c r="D2847" i="26"/>
  <c r="C2847" i="26"/>
  <c r="H2847" i="26" s="1"/>
  <c r="D2846" i="26"/>
  <c r="C2846" i="26"/>
  <c r="H2846" i="26" s="1"/>
  <c r="C2835" i="26"/>
  <c r="H2835" i="26" s="1"/>
  <c r="C2842" i="26"/>
  <c r="H2842" i="26" s="1"/>
  <c r="C2843" i="26"/>
  <c r="D2839" i="26"/>
  <c r="C2839" i="26"/>
  <c r="H2839" i="26" s="1"/>
  <c r="D2842" i="26"/>
  <c r="D2845" i="26"/>
  <c r="C2845" i="26"/>
  <c r="H2845" i="26" s="1"/>
  <c r="D2841" i="26"/>
  <c r="C2841" i="26"/>
  <c r="H2841" i="26" s="1"/>
  <c r="D2844" i="26"/>
  <c r="C2844" i="26"/>
  <c r="H2844" i="26" s="1"/>
  <c r="D2836" i="26"/>
  <c r="C2836" i="26"/>
  <c r="H2836" i="26" s="1"/>
  <c r="D2838" i="26"/>
  <c r="C2838" i="26"/>
  <c r="H2838" i="26" s="1"/>
  <c r="D2837" i="26"/>
  <c r="C2837" i="26"/>
  <c r="H2837" i="26" s="1"/>
  <c r="D2840" i="26"/>
  <c r="C2840" i="26"/>
  <c r="H2840" i="26" s="1"/>
  <c r="D2835" i="26"/>
  <c r="C2833" i="26"/>
  <c r="H2833" i="26" s="1"/>
  <c r="D2833" i="26"/>
  <c r="D2834" i="26"/>
  <c r="C2834" i="26"/>
  <c r="H2834" i="26" s="1"/>
  <c r="D2832" i="26"/>
  <c r="C2832" i="26"/>
  <c r="H2832" i="26" s="1"/>
  <c r="D2831" i="26"/>
  <c r="C2831" i="26"/>
  <c r="H2831" i="26" s="1"/>
  <c r="D2830" i="26"/>
  <c r="C2830" i="26"/>
  <c r="H2830" i="26" s="1"/>
  <c r="D2829" i="26"/>
  <c r="C2829" i="26"/>
  <c r="H2829" i="26" s="1"/>
  <c r="D2828" i="26"/>
  <c r="C2828" i="26"/>
  <c r="H2828" i="26" s="1"/>
  <c r="D2827" i="26"/>
  <c r="C2827" i="26"/>
  <c r="H2827" i="26" s="1"/>
  <c r="D2824" i="26"/>
  <c r="C2824" i="26"/>
  <c r="H2824" i="26" s="1"/>
  <c r="D2823" i="26"/>
  <c r="C2823" i="26"/>
  <c r="H2823" i="26" s="1"/>
  <c r="D2826" i="26"/>
  <c r="C2826" i="26"/>
  <c r="H2826" i="26" s="1"/>
  <c r="D2825" i="26"/>
  <c r="C2825" i="26"/>
  <c r="H2825" i="26" s="1"/>
  <c r="D2821" i="26"/>
  <c r="C2821" i="26"/>
  <c r="H2821" i="26" s="1"/>
  <c r="D2822" i="26"/>
  <c r="C2822" i="26"/>
  <c r="H2822" i="26" s="1"/>
  <c r="D2820" i="26"/>
  <c r="C2820" i="26"/>
  <c r="H2820" i="26" s="1"/>
  <c r="D2819" i="26"/>
  <c r="C2819" i="26"/>
  <c r="H2819" i="26" s="1"/>
  <c r="D2818" i="26"/>
  <c r="C2818" i="26"/>
  <c r="H2818" i="26" s="1"/>
  <c r="D2817" i="26"/>
  <c r="C2817" i="26"/>
  <c r="H2817" i="26" s="1"/>
  <c r="D2816" i="26"/>
  <c r="C2816" i="26"/>
  <c r="H2816" i="26" s="1"/>
  <c r="B445" i="18"/>
  <c r="D2809" i="26"/>
  <c r="C2809" i="26"/>
  <c r="H2809" i="26" s="1"/>
  <c r="D2812" i="26"/>
  <c r="C2812" i="26"/>
  <c r="H2812" i="26" s="1"/>
  <c r="D2815" i="26"/>
  <c r="C2815" i="26"/>
  <c r="H2815" i="26" s="1"/>
  <c r="D2814" i="26"/>
  <c r="C2814" i="26"/>
  <c r="H2814" i="26" s="1"/>
  <c r="D2813" i="26"/>
  <c r="C2813" i="26"/>
  <c r="H2813" i="26" s="1"/>
  <c r="D2811" i="26"/>
  <c r="C2811" i="26"/>
  <c r="H2811" i="26" s="1"/>
  <c r="D2810" i="26"/>
  <c r="C2810" i="26"/>
  <c r="H2810" i="26" s="1"/>
  <c r="D2808" i="26"/>
  <c r="C2808" i="26"/>
  <c r="H2808" i="26" s="1"/>
  <c r="D2807" i="26"/>
  <c r="C2807" i="26"/>
  <c r="H2807" i="26" s="1"/>
  <c r="H2680" i="26"/>
  <c r="D2680" i="26"/>
  <c r="C2680" i="26"/>
  <c r="D2800" i="26"/>
  <c r="C2800" i="26"/>
  <c r="H2800" i="26" s="1"/>
  <c r="D2797" i="26"/>
  <c r="C2797" i="26"/>
  <c r="H2797" i="26" s="1"/>
  <c r="D2799" i="26"/>
  <c r="C2799" i="26"/>
  <c r="H2799" i="26" s="1"/>
  <c r="D2798" i="26"/>
  <c r="C2798" i="26"/>
  <c r="H2798" i="26" s="1"/>
  <c r="D2801" i="26"/>
  <c r="C2801" i="26"/>
  <c r="H2801" i="26" s="1"/>
  <c r="D2805" i="26"/>
  <c r="C2805" i="26"/>
  <c r="H2805" i="26" s="1"/>
  <c r="D2806" i="26"/>
  <c r="C2806" i="26"/>
  <c r="H2806" i="26" s="1"/>
  <c r="D2804" i="26"/>
  <c r="C2804" i="26"/>
  <c r="H2804" i="26" s="1"/>
  <c r="D2803" i="26"/>
  <c r="C2803" i="26"/>
  <c r="H2803" i="26" s="1"/>
  <c r="D2802" i="26"/>
  <c r="C2802" i="26"/>
  <c r="H2802" i="26" s="1"/>
  <c r="D2796" i="26"/>
  <c r="C2796" i="26"/>
  <c r="H2796" i="26" s="1"/>
  <c r="D2795" i="26"/>
  <c r="C2795" i="26"/>
  <c r="H2795" i="26" s="1"/>
  <c r="D2794" i="26"/>
  <c r="C2794" i="26"/>
  <c r="H2794" i="26" s="1"/>
  <c r="D2792" i="26"/>
  <c r="C2792" i="26"/>
  <c r="H2792" i="26" s="1"/>
  <c r="D2793" i="26"/>
  <c r="C2793" i="26"/>
  <c r="H2793" i="26" s="1"/>
  <c r="D2791" i="26"/>
  <c r="C2791" i="26"/>
  <c r="H2791" i="26" s="1"/>
  <c r="D2790" i="26"/>
  <c r="C2790" i="26"/>
  <c r="H2790" i="26" s="1"/>
  <c r="D2789" i="26"/>
  <c r="C2789" i="26"/>
  <c r="H2789" i="26" s="1"/>
  <c r="D2788" i="26"/>
  <c r="C2788" i="26"/>
  <c r="H2788" i="26" s="1"/>
  <c r="B446" i="18"/>
  <c r="H2670" i="26"/>
  <c r="D2670" i="26"/>
  <c r="C2670" i="26"/>
  <c r="D2776" i="26"/>
  <c r="C2776" i="26"/>
  <c r="H2776" i="26" s="1"/>
  <c r="D2779" i="26"/>
  <c r="C2779" i="26"/>
  <c r="H2779" i="26" s="1"/>
  <c r="D2780" i="26"/>
  <c r="C2780" i="26"/>
  <c r="H2780" i="26" s="1"/>
  <c r="D2777" i="26"/>
  <c r="C2777" i="26"/>
  <c r="H2777" i="26" s="1"/>
  <c r="D2781" i="26"/>
  <c r="C2781" i="26"/>
  <c r="H2781" i="26" s="1"/>
  <c r="D2783" i="26"/>
  <c r="C2783" i="26"/>
  <c r="H2783" i="26" s="1"/>
  <c r="D2784" i="26"/>
  <c r="C2784" i="26"/>
  <c r="H2784" i="26" s="1"/>
  <c r="D2785" i="26"/>
  <c r="C2785" i="26"/>
  <c r="H2785" i="26" s="1"/>
  <c r="D2786" i="26"/>
  <c r="C2786" i="26"/>
  <c r="H2786" i="26" s="1"/>
  <c r="D2787" i="26"/>
  <c r="C2787" i="26"/>
  <c r="H2787" i="26" s="1"/>
  <c r="D2782" i="26"/>
  <c r="C2782" i="26"/>
  <c r="H2782" i="26" s="1"/>
  <c r="D2778" i="26"/>
  <c r="C2778" i="26"/>
  <c r="H2778" i="26" s="1"/>
  <c r="F1857" i="22"/>
  <c r="E2400" i="22" s="1"/>
  <c r="E1857" i="22"/>
  <c r="D2400" i="22" s="1"/>
  <c r="D1857" i="22"/>
  <c r="C2400" i="22" s="1"/>
  <c r="L1855" i="22"/>
  <c r="K1855" i="22"/>
  <c r="J1855" i="22"/>
  <c r="B1855" i="22"/>
  <c r="L1854" i="22"/>
  <c r="K1854" i="22"/>
  <c r="J1854" i="22"/>
  <c r="B1854" i="22"/>
  <c r="L1853" i="22"/>
  <c r="K1853" i="22"/>
  <c r="J1853" i="22"/>
  <c r="B1853" i="22"/>
  <c r="L1852" i="22"/>
  <c r="K1852" i="22"/>
  <c r="J1852" i="22"/>
  <c r="B1852" i="22"/>
  <c r="L1851" i="22"/>
  <c r="K1851" i="22"/>
  <c r="J1851" i="22"/>
  <c r="B1851" i="22"/>
  <c r="L1850" i="22"/>
  <c r="K1850" i="22"/>
  <c r="J1850" i="22"/>
  <c r="B1850" i="22"/>
  <c r="L1849" i="22"/>
  <c r="K1849" i="22"/>
  <c r="J1849" i="22"/>
  <c r="B1849" i="22"/>
  <c r="H1848" i="22"/>
  <c r="D497" i="1"/>
  <c r="C497" i="1"/>
  <c r="D496" i="1"/>
  <c r="C496" i="1"/>
  <c r="D495" i="1"/>
  <c r="C495" i="1"/>
  <c r="D494" i="1"/>
  <c r="C494" i="1"/>
  <c r="H2773" i="26"/>
  <c r="D2771" i="26"/>
  <c r="C2771" i="26"/>
  <c r="H2771" i="26" s="1"/>
  <c r="D2773" i="26"/>
  <c r="C2773" i="26"/>
  <c r="D2772" i="26"/>
  <c r="C2772" i="26"/>
  <c r="H2772" i="26" s="1"/>
  <c r="D2774" i="26"/>
  <c r="C2774" i="26"/>
  <c r="H2774" i="26" s="1"/>
  <c r="D2770" i="26"/>
  <c r="C2770" i="26"/>
  <c r="H2770" i="26" s="1"/>
  <c r="D2769" i="26"/>
  <c r="C2769" i="26"/>
  <c r="H2769" i="26" s="1"/>
  <c r="D2768" i="26"/>
  <c r="C2768" i="26"/>
  <c r="H2768" i="26" s="1"/>
  <c r="D2775" i="26"/>
  <c r="C2775" i="26"/>
  <c r="H2775" i="26" s="1"/>
  <c r="H2665" i="26"/>
  <c r="C2665" i="26"/>
  <c r="D2665" i="26"/>
  <c r="D2767" i="26"/>
  <c r="C2767" i="26"/>
  <c r="H2767" i="26" s="1"/>
  <c r="D2766" i="26"/>
  <c r="C2766" i="26"/>
  <c r="H2766" i="26" s="1"/>
  <c r="D421" i="18"/>
  <c r="B421" i="18" s="1"/>
  <c r="D422" i="18"/>
  <c r="B422" i="18" s="1"/>
  <c r="D425" i="18"/>
  <c r="B425" i="18" s="1"/>
  <c r="D424" i="18"/>
  <c r="B424" i="18" s="1"/>
  <c r="D430" i="18"/>
  <c r="B430" i="18" s="1"/>
  <c r="D429" i="18"/>
  <c r="B429" i="18" s="1"/>
  <c r="D433" i="18"/>
  <c r="B433" i="18" s="1"/>
  <c r="D432" i="18"/>
  <c r="B432" i="18" s="1"/>
  <c r="D439" i="18"/>
  <c r="B439" i="18" s="1"/>
  <c r="D440" i="18"/>
  <c r="B440" i="18" s="1"/>
  <c r="D442" i="18"/>
  <c r="B442" i="18" s="1"/>
  <c r="D443" i="18"/>
  <c r="B443" i="18" s="1"/>
  <c r="D444" i="18"/>
  <c r="B444" i="18" s="1"/>
  <c r="D441" i="18"/>
  <c r="B441" i="18" s="1"/>
  <c r="I436" i="18"/>
  <c r="D2765" i="26"/>
  <c r="C2765" i="26"/>
  <c r="H2765" i="26" s="1"/>
  <c r="D2764" i="26"/>
  <c r="C2764" i="26"/>
  <c r="H2764" i="26" s="1"/>
  <c r="D2761" i="26"/>
  <c r="C2761" i="26"/>
  <c r="H2761" i="26" s="1"/>
  <c r="D2763" i="26"/>
  <c r="C2763" i="26"/>
  <c r="H2763" i="26" s="1"/>
  <c r="D2762" i="26"/>
  <c r="C2762" i="26"/>
  <c r="H2762" i="26" s="1"/>
  <c r="H2655" i="26"/>
  <c r="H2653" i="26"/>
  <c r="H2656" i="26"/>
  <c r="D2657" i="26"/>
  <c r="C2657" i="26"/>
  <c r="D2656" i="26"/>
  <c r="C2656" i="26"/>
  <c r="D2655" i="26"/>
  <c r="C2655" i="26"/>
  <c r="D2653" i="26"/>
  <c r="C2653" i="26"/>
  <c r="D2652" i="26"/>
  <c r="C2652" i="26"/>
  <c r="D2756" i="26"/>
  <c r="C2756" i="26"/>
  <c r="H2756" i="26" s="1"/>
  <c r="D2755" i="26"/>
  <c r="C2755" i="26"/>
  <c r="H2755" i="26" s="1"/>
  <c r="D2759" i="26"/>
  <c r="C2759" i="26"/>
  <c r="H2759" i="26" s="1"/>
  <c r="D2760" i="26"/>
  <c r="C2760" i="26"/>
  <c r="H2760" i="26" s="1"/>
  <c r="D2757" i="26"/>
  <c r="C2757" i="26"/>
  <c r="H2757" i="26" s="1"/>
  <c r="D2758" i="26"/>
  <c r="C2758" i="26"/>
  <c r="H2758" i="26" s="1"/>
  <c r="I2663" i="26"/>
  <c r="I2662" i="26"/>
  <c r="I2660" i="26"/>
  <c r="I2752" i="26"/>
  <c r="D2672" i="26"/>
  <c r="C2672" i="26"/>
  <c r="D2674" i="26"/>
  <c r="C2674" i="26"/>
  <c r="D2673" i="26"/>
  <c r="C2673" i="26"/>
  <c r="D2669" i="26"/>
  <c r="C2669" i="26"/>
  <c r="D2664" i="26"/>
  <c r="C2664" i="26"/>
  <c r="H2664" i="26" s="1"/>
  <c r="D2663" i="26"/>
  <c r="C2663" i="26"/>
  <c r="J2663" i="26" s="1"/>
  <c r="D2662" i="26"/>
  <c r="C2662" i="26"/>
  <c r="H2662" i="26" s="1"/>
  <c r="D2661" i="26"/>
  <c r="C2661" i="26"/>
  <c r="H2661" i="26" s="1"/>
  <c r="D2660" i="26"/>
  <c r="C2660" i="26"/>
  <c r="J2660" i="26" s="1"/>
  <c r="D2749" i="26"/>
  <c r="C2749" i="26"/>
  <c r="H2749" i="26" s="1"/>
  <c r="D2754" i="26"/>
  <c r="C2754" i="26"/>
  <c r="H2754" i="26" s="1"/>
  <c r="D2752" i="26"/>
  <c r="C2752" i="26"/>
  <c r="D2748" i="26"/>
  <c r="C2748" i="26"/>
  <c r="D2751" i="26"/>
  <c r="C2751" i="26"/>
  <c r="H2751" i="26" s="1"/>
  <c r="D2750" i="26"/>
  <c r="C2750" i="26"/>
  <c r="H2750" i="26" s="1"/>
  <c r="D2753" i="26"/>
  <c r="C2753" i="26"/>
  <c r="H2753" i="26" s="1"/>
  <c r="D2747" i="26"/>
  <c r="C2747" i="26"/>
  <c r="D2745" i="26"/>
  <c r="C2745" i="26"/>
  <c r="H2745" i="26" s="1"/>
  <c r="D2648" i="26"/>
  <c r="C2648" i="26"/>
  <c r="D2668" i="26"/>
  <c r="C2668" i="26"/>
  <c r="D2667" i="26"/>
  <c r="C2667" i="26"/>
  <c r="H2667" i="26" s="1"/>
  <c r="D2740" i="26"/>
  <c r="C2740" i="26"/>
  <c r="H2740" i="26" s="1"/>
  <c r="D2738" i="26"/>
  <c r="C2738" i="26"/>
  <c r="D2744" i="26"/>
  <c r="C2744" i="26"/>
  <c r="D2741" i="26"/>
  <c r="C2741" i="26"/>
  <c r="H2741" i="26" s="1"/>
  <c r="D2739" i="26"/>
  <c r="C2739" i="26"/>
  <c r="H2739" i="26" s="1"/>
  <c r="D2743" i="26"/>
  <c r="C2743" i="26"/>
  <c r="D2746" i="26"/>
  <c r="C2746" i="26"/>
  <c r="H2746" i="26" s="1"/>
  <c r="D2647" i="26"/>
  <c r="C2647" i="26"/>
  <c r="D2646" i="26"/>
  <c r="C2646" i="26"/>
  <c r="D2671" i="26"/>
  <c r="C2671" i="26"/>
  <c r="D2742" i="26"/>
  <c r="C2742" i="26"/>
  <c r="H2742" i="26" s="1"/>
  <c r="D2658" i="26"/>
  <c r="C2658" i="26"/>
  <c r="D2679" i="26"/>
  <c r="C2679" i="26"/>
  <c r="D2677" i="26"/>
  <c r="C2677" i="26"/>
  <c r="D2659" i="26"/>
  <c r="C2659" i="26"/>
  <c r="D2651" i="26"/>
  <c r="C2651" i="26"/>
  <c r="H2651" i="26" s="1"/>
  <c r="D2654" i="26"/>
  <c r="C2654" i="26"/>
  <c r="H2654" i="26" s="1"/>
  <c r="D2732" i="26"/>
  <c r="C2732" i="26"/>
  <c r="H2732" i="26" s="1"/>
  <c r="D2734" i="26"/>
  <c r="C2734" i="26"/>
  <c r="H2734" i="26" s="1"/>
  <c r="D2737" i="26"/>
  <c r="C2737" i="26"/>
  <c r="H2737" i="26" s="1"/>
  <c r="D2736" i="26"/>
  <c r="C2736" i="26"/>
  <c r="H2736" i="26" s="1"/>
  <c r="D2735" i="26"/>
  <c r="C2735" i="26"/>
  <c r="H2735" i="26" s="1"/>
  <c r="D2733" i="26"/>
  <c r="C2733" i="26"/>
  <c r="H2733" i="26" s="1"/>
  <c r="D2729" i="26"/>
  <c r="C2729" i="26"/>
  <c r="H2729" i="26" s="1"/>
  <c r="D2731" i="26"/>
  <c r="C2731" i="26"/>
  <c r="H2731" i="26" s="1"/>
  <c r="D2730" i="26"/>
  <c r="C2730" i="26"/>
  <c r="H2730" i="26" s="1"/>
  <c r="B436" i="18"/>
  <c r="D2676" i="26"/>
  <c r="D2675" i="26"/>
  <c r="C2675" i="26"/>
  <c r="H2675" i="26" s="1"/>
  <c r="D2678" i="26"/>
  <c r="C2678" i="26"/>
  <c r="H2678" i="26" s="1"/>
  <c r="C2676" i="26"/>
  <c r="H2676" i="26" s="1"/>
  <c r="D2649" i="26"/>
  <c r="C2649" i="26"/>
  <c r="H2649" i="26" s="1"/>
  <c r="D2666" i="26"/>
  <c r="C2666" i="26"/>
  <c r="H2666" i="26" s="1"/>
  <c r="D2650" i="26"/>
  <c r="C2650" i="26"/>
  <c r="H2650" i="26" s="1"/>
  <c r="D2645" i="26"/>
  <c r="C2645" i="26"/>
  <c r="H2726" i="26"/>
  <c r="H2725" i="26"/>
  <c r="H2681" i="26"/>
  <c r="H2643" i="26"/>
  <c r="D2681" i="26"/>
  <c r="C2681" i="26"/>
  <c r="D2725" i="26"/>
  <c r="C2725" i="26"/>
  <c r="D2728" i="26"/>
  <c r="C2728" i="26"/>
  <c r="D2726" i="26"/>
  <c r="C2726" i="26"/>
  <c r="D2727" i="26"/>
  <c r="C2727" i="26"/>
  <c r="C2643" i="26"/>
  <c r="D2643" i="26"/>
  <c r="C2644" i="26"/>
  <c r="H2644" i="26" s="1"/>
  <c r="D2644" i="26"/>
  <c r="C2638" i="26"/>
  <c r="D2638" i="26"/>
  <c r="C2639" i="26"/>
  <c r="H2639" i="26" s="1"/>
  <c r="D2639" i="26"/>
  <c r="C2642" i="26"/>
  <c r="D2642" i="26"/>
  <c r="C2641" i="26"/>
  <c r="D2641" i="26"/>
  <c r="C2640" i="26"/>
  <c r="D2640" i="26"/>
  <c r="C2637" i="26"/>
  <c r="D2637" i="26"/>
  <c r="D2724" i="26"/>
  <c r="C2724" i="26"/>
  <c r="H2724" i="26" s="1"/>
  <c r="D2723" i="26"/>
  <c r="C2723" i="26"/>
  <c r="H2723" i="26" s="1"/>
  <c r="D2722" i="26"/>
  <c r="C2722" i="26"/>
  <c r="H2722" i="26" s="1"/>
  <c r="D2721" i="26"/>
  <c r="C2721" i="26"/>
  <c r="H2721" i="26" s="1"/>
  <c r="D2720" i="26"/>
  <c r="C2720" i="26"/>
  <c r="H2720" i="26" s="1"/>
  <c r="H2716" i="26"/>
  <c r="D2717" i="26"/>
  <c r="C2717" i="26"/>
  <c r="H2717" i="26" s="1"/>
  <c r="D2718" i="26"/>
  <c r="C2718" i="26"/>
  <c r="H2718" i="26" s="1"/>
  <c r="D2719" i="26"/>
  <c r="C2719" i="26"/>
  <c r="D2636" i="26"/>
  <c r="C2636" i="26"/>
  <c r="H2636" i="26" s="1"/>
  <c r="D2635" i="26"/>
  <c r="C2635" i="26"/>
  <c r="D2716" i="26"/>
  <c r="C2716" i="26"/>
  <c r="D2715" i="26"/>
  <c r="C2715" i="26"/>
  <c r="H2715" i="26" s="1"/>
  <c r="D2713" i="26"/>
  <c r="C2713" i="26"/>
  <c r="H2713" i="26" s="1"/>
  <c r="D2714" i="26"/>
  <c r="C2714" i="26"/>
  <c r="H2714" i="26" s="1"/>
  <c r="C2634" i="26"/>
  <c r="D2634" i="26"/>
  <c r="D2633" i="26"/>
  <c r="C2633" i="26"/>
  <c r="H2633" i="26" s="1"/>
  <c r="B437" i="18"/>
  <c r="D2632" i="26"/>
  <c r="C2632" i="26"/>
  <c r="H2627" i="26"/>
  <c r="H2628" i="26"/>
  <c r="H2626" i="26"/>
  <c r="H2625" i="26"/>
  <c r="H2624" i="26"/>
  <c r="H2711" i="26"/>
  <c r="H2623" i="26"/>
  <c r="D2712" i="26"/>
  <c r="C2712" i="26"/>
  <c r="C2627" i="26"/>
  <c r="D2627" i="26"/>
  <c r="C2629" i="26"/>
  <c r="D2629" i="26"/>
  <c r="C2626" i="26"/>
  <c r="D2626" i="26"/>
  <c r="C2631" i="26"/>
  <c r="D2631" i="26"/>
  <c r="C2628" i="26"/>
  <c r="D2628" i="26"/>
  <c r="C2630" i="26"/>
  <c r="D2630" i="26"/>
  <c r="C2625" i="26"/>
  <c r="D2625" i="26"/>
  <c r="C2623" i="26"/>
  <c r="D2623" i="26"/>
  <c r="C2624" i="26"/>
  <c r="D2624" i="26"/>
  <c r="D2709" i="26"/>
  <c r="C2709" i="26"/>
  <c r="H2709" i="26" s="1"/>
  <c r="D2708" i="26"/>
  <c r="C2708" i="26"/>
  <c r="H2708" i="26" s="1"/>
  <c r="D2707" i="26"/>
  <c r="C2707" i="26"/>
  <c r="H2707" i="26" s="1"/>
  <c r="D2711" i="26"/>
  <c r="C2711" i="26"/>
  <c r="D2710" i="26"/>
  <c r="C2710" i="26"/>
  <c r="H2710" i="26" s="1"/>
  <c r="D2706" i="26"/>
  <c r="C2706" i="26"/>
  <c r="H2706" i="26" s="1"/>
  <c r="F1846" i="22"/>
  <c r="E2399" i="22" s="1"/>
  <c r="E1846" i="22"/>
  <c r="D2399" i="22" s="1"/>
  <c r="D1846" i="22"/>
  <c r="C2399" i="22" s="1"/>
  <c r="L1844" i="22"/>
  <c r="K1844" i="22"/>
  <c r="J1844" i="22"/>
  <c r="B1844" i="22"/>
  <c r="L1843" i="22"/>
  <c r="K1843" i="22"/>
  <c r="J1843" i="22"/>
  <c r="B1843" i="22"/>
  <c r="L1842" i="22"/>
  <c r="K1842" i="22"/>
  <c r="J1842" i="22"/>
  <c r="B1842" i="22"/>
  <c r="L1841" i="22"/>
  <c r="K1841" i="22"/>
  <c r="J1841" i="22"/>
  <c r="B1841" i="22"/>
  <c r="L1840" i="22"/>
  <c r="K1840" i="22"/>
  <c r="J1840" i="22"/>
  <c r="B1840" i="22"/>
  <c r="L1839" i="22"/>
  <c r="L1846" i="22" s="1"/>
  <c r="K1839" i="22"/>
  <c r="J1839" i="22"/>
  <c r="B1839" i="22"/>
  <c r="L1838" i="22"/>
  <c r="K1838" i="22"/>
  <c r="J1838" i="22"/>
  <c r="B1838" i="22"/>
  <c r="H1837" i="22"/>
  <c r="H2702" i="26"/>
  <c r="H2701" i="26"/>
  <c r="D2704" i="26"/>
  <c r="C2704" i="26"/>
  <c r="D2705" i="26"/>
  <c r="C2705" i="26"/>
  <c r="H2705" i="26" s="1"/>
  <c r="D2703" i="26"/>
  <c r="C2703" i="26"/>
  <c r="D2622" i="26"/>
  <c r="C2622" i="26"/>
  <c r="H2622" i="26" s="1"/>
  <c r="D2621" i="26"/>
  <c r="C2621" i="26"/>
  <c r="H2621" i="26" s="1"/>
  <c r="D493" i="1"/>
  <c r="C493" i="1"/>
  <c r="D492" i="1"/>
  <c r="C492" i="1"/>
  <c r="D491" i="1"/>
  <c r="C491" i="1"/>
  <c r="D490" i="1"/>
  <c r="C490" i="1"/>
  <c r="D434" i="18"/>
  <c r="B434" i="18" s="1"/>
  <c r="D431" i="18"/>
  <c r="B431" i="18" s="1"/>
  <c r="I426" i="18"/>
  <c r="D2698" i="26"/>
  <c r="C2698" i="26"/>
  <c r="D2701" i="26"/>
  <c r="C2701" i="26"/>
  <c r="D2697" i="26"/>
  <c r="C2697" i="26"/>
  <c r="D2700" i="26"/>
  <c r="C2700" i="26"/>
  <c r="D2702" i="26"/>
  <c r="C2702" i="26"/>
  <c r="D2699" i="26"/>
  <c r="C2699" i="26"/>
  <c r="D2620" i="26"/>
  <c r="C2620" i="26"/>
  <c r="H2619" i="26"/>
  <c r="H2618" i="26"/>
  <c r="D2618" i="26"/>
  <c r="C2618" i="26"/>
  <c r="D2619" i="26"/>
  <c r="C2619" i="26"/>
  <c r="H2614" i="26"/>
  <c r="H2611" i="26"/>
  <c r="H2612" i="26"/>
  <c r="H2609" i="26"/>
  <c r="H2608" i="26"/>
  <c r="D2696" i="26"/>
  <c r="C2696" i="26"/>
  <c r="D2695" i="26"/>
  <c r="C2695" i="26"/>
  <c r="D2694" i="26"/>
  <c r="C2694" i="26"/>
  <c r="D2693" i="26"/>
  <c r="C2693" i="26"/>
  <c r="C2616" i="26"/>
  <c r="D2616" i="26"/>
  <c r="C2617" i="26"/>
  <c r="D2617" i="26"/>
  <c r="C2614" i="26"/>
  <c r="D2614" i="26"/>
  <c r="C2615" i="26"/>
  <c r="D2615" i="26"/>
  <c r="D2613" i="26"/>
  <c r="C2613" i="26"/>
  <c r="H2613" i="26" s="1"/>
  <c r="C2612" i="26"/>
  <c r="D2612" i="26"/>
  <c r="C2609" i="26"/>
  <c r="D2609" i="26"/>
  <c r="C2611" i="26"/>
  <c r="D2611" i="26"/>
  <c r="C2608" i="26"/>
  <c r="D2608" i="26"/>
  <c r="C2610" i="26"/>
  <c r="H2610" i="26" s="1"/>
  <c r="D2610" i="26"/>
  <c r="C2607" i="26"/>
  <c r="H2607" i="26" s="1"/>
  <c r="D2607" i="26"/>
  <c r="D2692" i="26"/>
  <c r="C2692" i="26"/>
  <c r="H2692" i="26" s="1"/>
  <c r="D2691" i="26"/>
  <c r="C2691" i="26"/>
  <c r="H2691" i="26" s="1"/>
  <c r="D2689" i="26"/>
  <c r="C2689" i="26"/>
  <c r="H2689" i="26" s="1"/>
  <c r="D2690" i="26"/>
  <c r="C2690" i="26"/>
  <c r="H2690" i="26" s="1"/>
  <c r="D2688" i="26"/>
  <c r="C2688" i="26"/>
  <c r="H2688" i="26" s="1"/>
  <c r="D2687" i="26"/>
  <c r="C2687" i="26"/>
  <c r="H2687" i="26" s="1"/>
  <c r="D2686" i="26"/>
  <c r="C2686" i="26"/>
  <c r="H2686" i="26" s="1"/>
  <c r="D2684" i="26"/>
  <c r="C2684" i="26"/>
  <c r="H2606" i="26"/>
  <c r="H2605" i="26"/>
  <c r="D2682" i="26"/>
  <c r="C2682" i="26"/>
  <c r="D2685" i="26"/>
  <c r="C2685" i="26"/>
  <c r="D2683" i="26"/>
  <c r="C2683" i="26"/>
  <c r="D2605" i="26"/>
  <c r="C2605" i="26"/>
  <c r="C2606" i="26"/>
  <c r="D2606" i="26"/>
  <c r="H2603" i="26"/>
  <c r="H2602" i="26"/>
  <c r="H2601" i="26"/>
  <c r="D2603" i="26"/>
  <c r="C2603" i="26"/>
  <c r="D2602" i="26"/>
  <c r="C2602" i="26"/>
  <c r="D2604" i="26"/>
  <c r="C2604" i="26"/>
  <c r="D2601" i="26"/>
  <c r="C2601" i="26"/>
  <c r="H2597" i="26"/>
  <c r="H2598" i="26"/>
  <c r="H2596" i="26"/>
  <c r="D2600" i="26"/>
  <c r="C2600" i="26"/>
  <c r="D2599" i="26"/>
  <c r="C2599" i="26"/>
  <c r="D2598" i="26"/>
  <c r="C2598" i="26"/>
  <c r="D2597" i="26"/>
  <c r="C2597" i="26"/>
  <c r="D2596" i="26"/>
  <c r="C2596" i="26"/>
  <c r="H2595" i="26"/>
  <c r="H2590" i="26"/>
  <c r="H2589" i="26"/>
  <c r="H2588" i="26"/>
  <c r="H2586" i="26"/>
  <c r="H2585" i="26"/>
  <c r="H2584" i="26"/>
  <c r="H2582" i="26"/>
  <c r="D2594" i="26"/>
  <c r="C2594" i="26"/>
  <c r="D2595" i="26"/>
  <c r="C2595" i="26"/>
  <c r="D2593" i="26"/>
  <c r="C2593" i="26"/>
  <c r="D2590" i="26"/>
  <c r="C2590" i="26"/>
  <c r="D2592" i="26"/>
  <c r="C2592" i="26"/>
  <c r="D2587" i="26"/>
  <c r="C2587" i="26"/>
  <c r="D2589" i="26"/>
  <c r="C2589" i="26"/>
  <c r="D2591" i="26"/>
  <c r="C2591" i="26"/>
  <c r="D2588" i="26"/>
  <c r="C2588" i="26"/>
  <c r="D2583" i="26"/>
  <c r="C2583" i="26"/>
  <c r="D2586" i="26"/>
  <c r="C2586" i="26"/>
  <c r="D2584" i="26"/>
  <c r="C2584" i="26"/>
  <c r="D2585" i="26"/>
  <c r="C2585" i="26"/>
  <c r="D2582" i="26"/>
  <c r="C2582" i="26"/>
  <c r="H2581" i="26"/>
  <c r="H2579" i="26"/>
  <c r="H2575" i="26"/>
  <c r="H2574" i="26"/>
  <c r="H2570" i="26"/>
  <c r="H2573" i="26"/>
  <c r="C2581" i="26"/>
  <c r="D2581" i="26"/>
  <c r="C2580" i="26"/>
  <c r="D2580" i="26"/>
  <c r="C2579" i="26"/>
  <c r="D2579" i="26"/>
  <c r="C2578" i="26"/>
  <c r="D2578" i="26"/>
  <c r="C2575" i="26"/>
  <c r="D2575" i="26"/>
  <c r="C2576" i="26"/>
  <c r="D2576" i="26"/>
  <c r="C2577" i="26"/>
  <c r="D2577" i="26"/>
  <c r="C2574" i="26"/>
  <c r="D2574" i="26"/>
  <c r="C2573" i="26"/>
  <c r="D2573" i="26"/>
  <c r="D2572" i="26"/>
  <c r="C2572" i="26"/>
  <c r="D2571" i="26"/>
  <c r="C2571" i="26"/>
  <c r="D2570" i="26"/>
  <c r="C2570" i="26"/>
  <c r="D2569" i="26"/>
  <c r="C2569" i="26"/>
  <c r="H2566" i="26"/>
  <c r="H2564" i="26"/>
  <c r="A2398" i="22"/>
  <c r="F1835" i="22"/>
  <c r="E2398" i="22" s="1"/>
  <c r="E1835" i="22"/>
  <c r="D2398" i="22" s="1"/>
  <c r="D1835" i="22"/>
  <c r="C2398" i="22" s="1"/>
  <c r="L1833" i="22"/>
  <c r="K1833" i="22"/>
  <c r="J1833" i="22"/>
  <c r="H1833" i="22" s="1"/>
  <c r="B1833" i="22"/>
  <c r="L1832" i="22"/>
  <c r="K1832" i="22"/>
  <c r="J1832" i="22"/>
  <c r="B1832" i="22"/>
  <c r="L1831" i="22"/>
  <c r="K1831" i="22"/>
  <c r="J1831" i="22"/>
  <c r="B1831" i="22"/>
  <c r="L1830" i="22"/>
  <c r="K1830" i="22"/>
  <c r="J1830" i="22"/>
  <c r="B1830" i="22"/>
  <c r="L1829" i="22"/>
  <c r="K1829" i="22"/>
  <c r="J1829" i="22"/>
  <c r="B1829" i="22"/>
  <c r="L1828" i="22"/>
  <c r="K1828" i="22"/>
  <c r="J1828" i="22"/>
  <c r="B1828" i="22"/>
  <c r="L1827" i="22"/>
  <c r="K1827" i="22"/>
  <c r="J1827" i="22"/>
  <c r="B1827" i="22"/>
  <c r="B1835" i="22" s="1"/>
  <c r="C1827" i="22" s="1"/>
  <c r="H1826" i="22"/>
  <c r="H2563" i="26"/>
  <c r="D2568" i="26"/>
  <c r="C2568" i="26"/>
  <c r="D2567" i="26"/>
  <c r="C2567" i="26"/>
  <c r="D2566" i="26"/>
  <c r="C2566" i="26"/>
  <c r="D2565" i="26"/>
  <c r="C2565" i="26"/>
  <c r="D2564" i="26"/>
  <c r="C2564" i="26"/>
  <c r="D2563" i="26"/>
  <c r="C2563" i="26"/>
  <c r="D489" i="1"/>
  <c r="C489" i="1"/>
  <c r="D488" i="1"/>
  <c r="C488" i="1"/>
  <c r="D487" i="1"/>
  <c r="C487" i="1"/>
  <c r="D486" i="1"/>
  <c r="C486" i="1"/>
  <c r="H2557" i="26"/>
  <c r="H2556" i="26"/>
  <c r="H2558" i="26"/>
  <c r="H2553" i="26"/>
  <c r="D2559" i="26"/>
  <c r="C2559" i="26"/>
  <c r="D2561" i="26"/>
  <c r="C2561" i="26"/>
  <c r="D2562" i="26"/>
  <c r="C2562" i="26"/>
  <c r="D2558" i="26"/>
  <c r="C2558" i="26"/>
  <c r="D2560" i="26"/>
  <c r="C2560" i="26"/>
  <c r="D2557" i="26"/>
  <c r="C2557" i="26"/>
  <c r="D2555" i="26"/>
  <c r="C2555" i="26"/>
  <c r="D2556" i="26"/>
  <c r="C2556" i="26"/>
  <c r="D2554" i="26"/>
  <c r="C2554" i="26"/>
  <c r="D2553" i="26"/>
  <c r="C2553" i="26"/>
  <c r="D426" i="18"/>
  <c r="B426" i="18" s="1"/>
  <c r="D423" i="18"/>
  <c r="B423" i="18" s="1"/>
  <c r="I418" i="18"/>
  <c r="H2545" i="26"/>
  <c r="H2544" i="26"/>
  <c r="C2548" i="26"/>
  <c r="D2548" i="26"/>
  <c r="C2547" i="26"/>
  <c r="D2547" i="26"/>
  <c r="D2545" i="26"/>
  <c r="C2545" i="26"/>
  <c r="D2546" i="26"/>
  <c r="C2546" i="26"/>
  <c r="D2544" i="26"/>
  <c r="C2544" i="26"/>
  <c r="H2543" i="26"/>
  <c r="H2542" i="26"/>
  <c r="H2540" i="26"/>
  <c r="C2542" i="26"/>
  <c r="D2542" i="26"/>
  <c r="C2541" i="26"/>
  <c r="D2541" i="26"/>
  <c r="D2543" i="26"/>
  <c r="C2543" i="26"/>
  <c r="H2538" i="26"/>
  <c r="H2537" i="26"/>
  <c r="D2540" i="26"/>
  <c r="C2540" i="26"/>
  <c r="C2537" i="26"/>
  <c r="D2537" i="26"/>
  <c r="C2539" i="26"/>
  <c r="D2539" i="26"/>
  <c r="D2538" i="26"/>
  <c r="C2538" i="26"/>
  <c r="H2533" i="26"/>
  <c r="C2536" i="26"/>
  <c r="D2536" i="26"/>
  <c r="H2529" i="26"/>
  <c r="H2530" i="26"/>
  <c r="D2533" i="26"/>
  <c r="C2533" i="26"/>
  <c r="C2535" i="26"/>
  <c r="D2535" i="26"/>
  <c r="C2534" i="26"/>
  <c r="D2534" i="26"/>
  <c r="D2532" i="26"/>
  <c r="C2532" i="26"/>
  <c r="D2530" i="26"/>
  <c r="C2530" i="26"/>
  <c r="C2529" i="26"/>
  <c r="D2529" i="26"/>
  <c r="C2531" i="26"/>
  <c r="D2531" i="26"/>
  <c r="B417" i="18"/>
  <c r="H2527" i="26"/>
  <c r="H2521" i="26"/>
  <c r="H2520" i="26"/>
  <c r="C2528" i="26"/>
  <c r="D2528" i="26"/>
  <c r="C2527" i="26"/>
  <c r="D2527" i="26"/>
  <c r="C2526" i="26"/>
  <c r="D2526" i="26"/>
  <c r="C2525" i="26"/>
  <c r="D2525" i="26"/>
  <c r="C2524" i="26"/>
  <c r="D2524" i="26"/>
  <c r="D2523" i="26"/>
  <c r="C2523" i="26"/>
  <c r="D2522" i="26"/>
  <c r="C2522" i="26"/>
  <c r="C2520" i="26"/>
  <c r="D2520" i="26"/>
  <c r="C2521" i="26"/>
  <c r="D2521" i="26"/>
  <c r="C2519" i="26"/>
  <c r="D2519" i="26"/>
  <c r="D2518" i="26"/>
  <c r="C2518" i="26"/>
  <c r="H2517" i="26"/>
  <c r="H2515" i="26"/>
  <c r="H2513" i="26"/>
  <c r="H2514" i="26"/>
  <c r="H2510" i="26"/>
  <c r="H2509" i="26"/>
  <c r="A2397" i="22"/>
  <c r="A2396" i="22"/>
  <c r="A2395" i="22"/>
  <c r="A2394" i="22"/>
  <c r="H2508" i="26"/>
  <c r="H2507" i="26"/>
  <c r="C2517" i="26"/>
  <c r="D2517" i="26"/>
  <c r="C2516" i="26"/>
  <c r="D2516" i="26"/>
  <c r="C2515" i="26"/>
  <c r="D2515" i="26"/>
  <c r="C2514" i="26"/>
  <c r="D2514" i="26"/>
  <c r="C2513" i="26"/>
  <c r="D2513" i="26"/>
  <c r="D2510" i="26"/>
  <c r="C2510" i="26"/>
  <c r="C2512" i="26"/>
  <c r="D2512" i="26"/>
  <c r="C2511" i="26"/>
  <c r="D2511" i="26"/>
  <c r="D2508" i="26"/>
  <c r="C2508" i="26"/>
  <c r="D2507" i="26"/>
  <c r="C2507" i="26"/>
  <c r="C2509" i="26"/>
  <c r="D2509" i="26"/>
  <c r="D482" i="1"/>
  <c r="C482" i="1"/>
  <c r="D481" i="1"/>
  <c r="C481" i="1"/>
  <c r="D480" i="1"/>
  <c r="C480" i="1"/>
  <c r="D479" i="1"/>
  <c r="C479" i="1"/>
  <c r="D416" i="18"/>
  <c r="B416" i="18" s="1"/>
  <c r="D415" i="18"/>
  <c r="B415" i="18" s="1"/>
  <c r="I411" i="18"/>
  <c r="I410" i="18"/>
  <c r="D414" i="18"/>
  <c r="B414" i="18" s="1"/>
  <c r="D413" i="18"/>
  <c r="B413" i="18" s="1"/>
  <c r="F1824" i="22"/>
  <c r="E2397" i="22" s="1"/>
  <c r="E1824" i="22"/>
  <c r="D2397" i="22" s="1"/>
  <c r="D1824" i="22"/>
  <c r="C2397" i="22" s="1"/>
  <c r="L1822" i="22"/>
  <c r="K1822" i="22"/>
  <c r="J1822" i="22"/>
  <c r="H1822" i="22" s="1"/>
  <c r="B1822" i="22"/>
  <c r="L1821" i="22"/>
  <c r="K1821" i="22"/>
  <c r="J1821" i="22"/>
  <c r="B1821" i="22"/>
  <c r="L1820" i="22"/>
  <c r="K1820" i="22"/>
  <c r="J1820" i="22"/>
  <c r="H1820" i="22" s="1"/>
  <c r="B1820" i="22"/>
  <c r="L1819" i="22"/>
  <c r="K1819" i="22"/>
  <c r="J1819" i="22"/>
  <c r="B1819" i="22"/>
  <c r="B1816" i="22"/>
  <c r="B1817" i="22"/>
  <c r="B1818" i="22"/>
  <c r="L1818" i="22"/>
  <c r="K1818" i="22"/>
  <c r="J1818" i="22"/>
  <c r="L1817" i="22"/>
  <c r="K1817" i="22"/>
  <c r="J1817" i="22"/>
  <c r="H1817" i="22" s="1"/>
  <c r="L1816" i="22"/>
  <c r="K1816" i="22"/>
  <c r="K1824" i="22" s="1"/>
  <c r="J1816" i="22"/>
  <c r="H1815" i="22"/>
  <c r="A2244" i="22"/>
  <c r="H2244" i="22"/>
  <c r="A2245" i="22"/>
  <c r="D2245" i="22"/>
  <c r="J2245" i="22"/>
  <c r="A2246" i="22"/>
  <c r="C2246" i="22"/>
  <c r="D2246" i="22"/>
  <c r="E2246" i="22"/>
  <c r="A2247" i="22"/>
  <c r="H2499" i="26"/>
  <c r="C2506" i="26"/>
  <c r="D2506" i="26"/>
  <c r="C2505" i="26"/>
  <c r="D2505" i="26"/>
  <c r="C2504" i="26"/>
  <c r="D2504" i="26"/>
  <c r="C2503" i="26"/>
  <c r="D2503" i="26"/>
  <c r="C2502" i="26"/>
  <c r="D2502" i="26"/>
  <c r="C2501" i="26"/>
  <c r="D2501" i="26"/>
  <c r="C2499" i="26"/>
  <c r="D2499" i="26"/>
  <c r="D2500" i="26"/>
  <c r="C2500" i="26"/>
  <c r="H2494" i="26"/>
  <c r="H2495" i="26"/>
  <c r="H2493" i="26"/>
  <c r="H2492" i="26"/>
  <c r="C2498" i="26"/>
  <c r="D2498" i="26"/>
  <c r="C2496" i="26"/>
  <c r="D2496" i="26"/>
  <c r="C2497" i="26"/>
  <c r="D2497" i="26"/>
  <c r="C2495" i="26"/>
  <c r="D2495" i="26"/>
  <c r="C2494" i="26"/>
  <c r="D2494" i="26"/>
  <c r="C2493" i="26"/>
  <c r="D2493" i="26"/>
  <c r="C2492" i="26"/>
  <c r="D2492" i="26"/>
  <c r="H2489" i="26"/>
  <c r="D2491" i="26"/>
  <c r="C2491" i="26"/>
  <c r="D2489" i="26"/>
  <c r="C2489" i="26"/>
  <c r="D2488" i="26"/>
  <c r="C2488" i="26"/>
  <c r="D2490" i="26"/>
  <c r="C2490" i="26"/>
  <c r="H2487" i="26"/>
  <c r="C419" i="18"/>
  <c r="B412" i="18"/>
  <c r="B410" i="18"/>
  <c r="H2483" i="26"/>
  <c r="H2482" i="26"/>
  <c r="H2481" i="26"/>
  <c r="D2486" i="26"/>
  <c r="C2486" i="26"/>
  <c r="D2487" i="26"/>
  <c r="C2487" i="26"/>
  <c r="D2485" i="26"/>
  <c r="C2485" i="26"/>
  <c r="D2483" i="26"/>
  <c r="C2483" i="26"/>
  <c r="D2484" i="26"/>
  <c r="C2484" i="26"/>
  <c r="D2480" i="26"/>
  <c r="C2480" i="26"/>
  <c r="D2482" i="26"/>
  <c r="C2482" i="26"/>
  <c r="D2479" i="26"/>
  <c r="C2479" i="26"/>
  <c r="D2481" i="26"/>
  <c r="C2481" i="26"/>
  <c r="B411" i="18"/>
  <c r="H2475" i="26"/>
  <c r="H2476" i="26"/>
  <c r="H2472" i="26"/>
  <c r="H2471" i="26"/>
  <c r="H2470" i="26"/>
  <c r="D2478" i="26"/>
  <c r="C2478" i="26"/>
  <c r="D2477" i="26"/>
  <c r="C2477" i="26"/>
  <c r="D2476" i="26"/>
  <c r="C2476" i="26"/>
  <c r="D2475" i="26"/>
  <c r="C2475" i="26"/>
  <c r="D2474" i="26"/>
  <c r="C2474" i="26"/>
  <c r="D2473" i="26"/>
  <c r="C2473" i="26"/>
  <c r="D2472" i="26"/>
  <c r="C2472" i="26"/>
  <c r="D2471" i="26"/>
  <c r="C2471" i="26"/>
  <c r="D2470" i="26"/>
  <c r="C2470" i="26"/>
  <c r="F1813" i="22"/>
  <c r="E2396" i="22" s="1"/>
  <c r="E1813" i="22"/>
  <c r="D2396" i="22" s="1"/>
  <c r="D1813" i="22"/>
  <c r="C2396" i="22" s="1"/>
  <c r="L1811" i="22"/>
  <c r="K1811" i="22"/>
  <c r="J1811" i="22"/>
  <c r="B1811" i="22"/>
  <c r="L1810" i="22"/>
  <c r="K1810" i="22"/>
  <c r="J1810" i="22"/>
  <c r="B1810" i="22"/>
  <c r="L1809" i="22"/>
  <c r="K1809" i="22"/>
  <c r="J1809" i="22"/>
  <c r="B1809" i="22"/>
  <c r="L1808" i="22"/>
  <c r="K1808" i="22"/>
  <c r="J1808" i="22"/>
  <c r="B1808" i="22"/>
  <c r="L1807" i="22"/>
  <c r="K1807" i="22"/>
  <c r="J1807" i="22"/>
  <c r="B1807" i="22"/>
  <c r="L1806" i="22"/>
  <c r="K1806" i="22"/>
  <c r="J1806" i="22"/>
  <c r="B1806" i="22"/>
  <c r="L1805" i="22"/>
  <c r="K1805" i="22"/>
  <c r="J1805" i="22"/>
  <c r="B1805" i="22"/>
  <c r="H1804" i="22"/>
  <c r="H2469" i="26"/>
  <c r="D478" i="1"/>
  <c r="C478" i="1"/>
  <c r="D477" i="1"/>
  <c r="C477" i="1"/>
  <c r="D476" i="1"/>
  <c r="C476" i="1"/>
  <c r="D475" i="1"/>
  <c r="C475" i="1"/>
  <c r="D409" i="18"/>
  <c r="B409" i="18" s="1"/>
  <c r="D408" i="18"/>
  <c r="B408" i="18" s="1"/>
  <c r="D407" i="18"/>
  <c r="B407" i="18" s="1"/>
  <c r="D406" i="18"/>
  <c r="B406" i="18" s="1"/>
  <c r="H2467" i="26"/>
  <c r="H2466" i="26"/>
  <c r="H2465" i="26"/>
  <c r="D2469" i="26"/>
  <c r="C2469" i="26"/>
  <c r="D2468" i="26"/>
  <c r="C2468" i="26"/>
  <c r="D2467" i="26"/>
  <c r="C2467" i="26"/>
  <c r="D2466" i="26"/>
  <c r="C2466" i="26"/>
  <c r="D2465" i="26"/>
  <c r="C2465" i="26"/>
  <c r="H2459" i="26"/>
  <c r="H2458" i="26"/>
  <c r="H2457" i="26"/>
  <c r="H2456" i="26"/>
  <c r="H2455" i="26"/>
  <c r="D2464" i="26"/>
  <c r="C2464" i="26"/>
  <c r="D2463" i="26"/>
  <c r="C2463" i="26"/>
  <c r="D2460" i="26"/>
  <c r="C2460" i="26"/>
  <c r="D2459" i="26"/>
  <c r="C2459" i="26"/>
  <c r="D2461" i="26"/>
  <c r="C2461" i="26"/>
  <c r="D2462" i="26"/>
  <c r="C2462" i="26"/>
  <c r="D2458" i="26"/>
  <c r="C2458" i="26"/>
  <c r="D2457" i="26"/>
  <c r="C2457" i="26"/>
  <c r="D2456" i="26"/>
  <c r="C2456" i="26"/>
  <c r="D2455" i="26"/>
  <c r="C2455" i="26"/>
  <c r="H2454" i="26"/>
  <c r="H2453" i="26"/>
  <c r="H2450" i="26"/>
  <c r="H2451" i="26"/>
  <c r="H2449" i="26"/>
  <c r="H2446" i="26"/>
  <c r="D2454" i="26"/>
  <c r="C2454" i="26"/>
  <c r="D2453" i="26"/>
  <c r="C2453" i="26"/>
  <c r="D2451" i="26"/>
  <c r="C2451" i="26"/>
  <c r="D2452" i="26"/>
  <c r="C2452" i="26"/>
  <c r="D2450" i="26"/>
  <c r="C2450" i="26"/>
  <c r="D2449" i="26"/>
  <c r="C2449" i="26"/>
  <c r="D2448" i="26"/>
  <c r="C2448" i="26"/>
  <c r="D2447" i="26"/>
  <c r="C2447" i="26"/>
  <c r="D2446" i="26"/>
  <c r="C2446" i="26"/>
  <c r="H2441" i="26"/>
  <c r="H2440" i="26"/>
  <c r="H2439" i="26"/>
  <c r="D2445" i="26"/>
  <c r="C2445" i="26"/>
  <c r="D2442" i="26"/>
  <c r="C2442" i="26"/>
  <c r="D2441" i="26"/>
  <c r="C2441" i="26"/>
  <c r="D2440" i="26"/>
  <c r="C2440" i="26"/>
  <c r="D2439" i="26"/>
  <c r="C2439" i="26"/>
  <c r="D2444" i="26"/>
  <c r="C2444" i="26"/>
  <c r="D2443" i="26"/>
  <c r="C2443" i="26"/>
  <c r="H2437" i="26"/>
  <c r="H2436" i="26"/>
  <c r="H2433" i="26"/>
  <c r="H2432" i="26"/>
  <c r="H2435" i="26"/>
  <c r="D2437" i="26"/>
  <c r="C2437" i="26"/>
  <c r="D2436" i="26"/>
  <c r="C2436" i="26"/>
  <c r="D2435" i="26"/>
  <c r="C2435" i="26"/>
  <c r="D2438" i="26"/>
  <c r="C2438" i="26"/>
  <c r="D2433" i="26"/>
  <c r="C2433" i="26"/>
  <c r="D2432" i="26"/>
  <c r="C2432" i="26"/>
  <c r="D2431" i="26"/>
  <c r="C2431" i="26"/>
  <c r="D2430" i="26"/>
  <c r="C2430" i="26"/>
  <c r="D2429" i="26"/>
  <c r="C2429" i="26"/>
  <c r="D2434" i="26"/>
  <c r="C2434" i="26"/>
  <c r="B405" i="18"/>
  <c r="H2428" i="26"/>
  <c r="D2428" i="26"/>
  <c r="C2428" i="26"/>
  <c r="H2426" i="26"/>
  <c r="D2426" i="26"/>
  <c r="C2426" i="26"/>
  <c r="D2427" i="26"/>
  <c r="C2427" i="26"/>
  <c r="D2425" i="26"/>
  <c r="C2425" i="26"/>
  <c r="H2423" i="26"/>
  <c r="H2422" i="26"/>
  <c r="D2424" i="26"/>
  <c r="C2424" i="26"/>
  <c r="D2423" i="26"/>
  <c r="C2423" i="26"/>
  <c r="D2422" i="26"/>
  <c r="C2422" i="26"/>
  <c r="D2420" i="26"/>
  <c r="C2420" i="26"/>
  <c r="D2419" i="26"/>
  <c r="C2419" i="26"/>
  <c r="D2421" i="26"/>
  <c r="C2421" i="26"/>
  <c r="H2417" i="26"/>
  <c r="H2416" i="26"/>
  <c r="H2415" i="26"/>
  <c r="D2416" i="26"/>
  <c r="C2416" i="26"/>
  <c r="D2417" i="26"/>
  <c r="C2417" i="26"/>
  <c r="D2418" i="26"/>
  <c r="C2418" i="26"/>
  <c r="D2415" i="26"/>
  <c r="C2415" i="26"/>
  <c r="D404" i="18"/>
  <c r="B404" i="18" s="1"/>
  <c r="D403" i="18"/>
  <c r="B403" i="18" s="1"/>
  <c r="D402" i="18"/>
  <c r="B402" i="18" s="1"/>
  <c r="D401" i="18"/>
  <c r="B401" i="18" s="1"/>
  <c r="H2413" i="26"/>
  <c r="H2412" i="26"/>
  <c r="D2413" i="26"/>
  <c r="C2413" i="26"/>
  <c r="D2414" i="26"/>
  <c r="C2414" i="26"/>
  <c r="D2412" i="26"/>
  <c r="C2412" i="26"/>
  <c r="C469" i="1"/>
  <c r="D469" i="1"/>
  <c r="D472" i="1"/>
  <c r="C472" i="1"/>
  <c r="D471" i="1"/>
  <c r="C471" i="1"/>
  <c r="D470" i="1"/>
  <c r="C470" i="1"/>
  <c r="F1802" i="22"/>
  <c r="E2395" i="22" s="1"/>
  <c r="E1802" i="22"/>
  <c r="D2395" i="22" s="1"/>
  <c r="D1802" i="22"/>
  <c r="C2395" i="22" s="1"/>
  <c r="L1800" i="22"/>
  <c r="K1800" i="22"/>
  <c r="J1800" i="22"/>
  <c r="B1800" i="22"/>
  <c r="L1799" i="22"/>
  <c r="K1799" i="22"/>
  <c r="J1799" i="22"/>
  <c r="B1799" i="22"/>
  <c r="L1798" i="22"/>
  <c r="K1798" i="22"/>
  <c r="J1798" i="22"/>
  <c r="B1798" i="22"/>
  <c r="L1797" i="22"/>
  <c r="K1797" i="22"/>
  <c r="J1797" i="22"/>
  <c r="B1797" i="22"/>
  <c r="L1796" i="22"/>
  <c r="K1796" i="22"/>
  <c r="J1796" i="22"/>
  <c r="H1796" i="22" s="1"/>
  <c r="B1796" i="22"/>
  <c r="L1795" i="22"/>
  <c r="K1795" i="22"/>
  <c r="J1795" i="22"/>
  <c r="B1795" i="22"/>
  <c r="L1794" i="22"/>
  <c r="K1794" i="22"/>
  <c r="J1794" i="22"/>
  <c r="B1794" i="22"/>
  <c r="H1793" i="22"/>
  <c r="H2409" i="26"/>
  <c r="H2408" i="26"/>
  <c r="H2407" i="26"/>
  <c r="H2402" i="26"/>
  <c r="D2410" i="26"/>
  <c r="C2410" i="26"/>
  <c r="D2411" i="26"/>
  <c r="C2411" i="26"/>
  <c r="D2409" i="26"/>
  <c r="C2409" i="26"/>
  <c r="D2402" i="26"/>
  <c r="C2402" i="26"/>
  <c r="D2406" i="26"/>
  <c r="C2406" i="26"/>
  <c r="D2407" i="26"/>
  <c r="C2407" i="26"/>
  <c r="D2405" i="26"/>
  <c r="C2405" i="26"/>
  <c r="D2404" i="26"/>
  <c r="C2404" i="26"/>
  <c r="D2403" i="26"/>
  <c r="C2403" i="26"/>
  <c r="D2408" i="26"/>
  <c r="C2408" i="26"/>
  <c r="D2401" i="26"/>
  <c r="C2401" i="26"/>
  <c r="B2077" i="26"/>
  <c r="H2399" i="26"/>
  <c r="H2398" i="26"/>
  <c r="H2397" i="26"/>
  <c r="D2399" i="26"/>
  <c r="C2399" i="26"/>
  <c r="D2397" i="26"/>
  <c r="C2397" i="26"/>
  <c r="D2398" i="26"/>
  <c r="C2398" i="26"/>
  <c r="D2400" i="26"/>
  <c r="C2400" i="26"/>
  <c r="D2396" i="26"/>
  <c r="C2396" i="26"/>
  <c r="H2393" i="26"/>
  <c r="H2391" i="26"/>
  <c r="H2390" i="26"/>
  <c r="D2395" i="26"/>
  <c r="C2395" i="26"/>
  <c r="D2390" i="26"/>
  <c r="C2390" i="26"/>
  <c r="D2392" i="26"/>
  <c r="C2392" i="26"/>
  <c r="D2393" i="26"/>
  <c r="C2393" i="26"/>
  <c r="D2394" i="26"/>
  <c r="C2394" i="26"/>
  <c r="D2391" i="26"/>
  <c r="C2391" i="26"/>
  <c r="H2388" i="26"/>
  <c r="H2389" i="26"/>
  <c r="H2387" i="26"/>
  <c r="D2389" i="26"/>
  <c r="C2389" i="26"/>
  <c r="D2388" i="26"/>
  <c r="C2388" i="26"/>
  <c r="D2387" i="26"/>
  <c r="C2387" i="26"/>
  <c r="H2385" i="26"/>
  <c r="D2386" i="26"/>
  <c r="C2386" i="26"/>
  <c r="D2385" i="26"/>
  <c r="C2385" i="26"/>
  <c r="D2382" i="26"/>
  <c r="C2382" i="26"/>
  <c r="D2383" i="26"/>
  <c r="C2383" i="26"/>
  <c r="D2384" i="26"/>
  <c r="C2384" i="26"/>
  <c r="H2380" i="26"/>
  <c r="H2378" i="26"/>
  <c r="H2377" i="26"/>
  <c r="D2381" i="26"/>
  <c r="C2381" i="26"/>
  <c r="D2380" i="26"/>
  <c r="C2380" i="26"/>
  <c r="D2379" i="26"/>
  <c r="C2379" i="26"/>
  <c r="D2378" i="26"/>
  <c r="C2378" i="26"/>
  <c r="D2377" i="26"/>
  <c r="C2377" i="26"/>
  <c r="H2375" i="26"/>
  <c r="D2376" i="26"/>
  <c r="C2376" i="26"/>
  <c r="D2375" i="26"/>
  <c r="C2375" i="26"/>
  <c r="H2374" i="26"/>
  <c r="D2374" i="26"/>
  <c r="C2374" i="26"/>
  <c r="D2373" i="26"/>
  <c r="C2373" i="26"/>
  <c r="D468" i="1"/>
  <c r="C468" i="1"/>
  <c r="D467" i="1"/>
  <c r="C467" i="1"/>
  <c r="F1791" i="22"/>
  <c r="E2394" i="22" s="1"/>
  <c r="E1791" i="22"/>
  <c r="D2394" i="22" s="1"/>
  <c r="D1791" i="22"/>
  <c r="C2394" i="22" s="1"/>
  <c r="L1789" i="22"/>
  <c r="K1789" i="22"/>
  <c r="J1789" i="22"/>
  <c r="B1789" i="22"/>
  <c r="L1788" i="22"/>
  <c r="K1788" i="22"/>
  <c r="J1788" i="22"/>
  <c r="H1788" i="22" s="1"/>
  <c r="B1788" i="22"/>
  <c r="L1787" i="22"/>
  <c r="K1787" i="22"/>
  <c r="J1787" i="22"/>
  <c r="B1787" i="22"/>
  <c r="L1786" i="22"/>
  <c r="K1786" i="22"/>
  <c r="J1786" i="22"/>
  <c r="B1786" i="22"/>
  <c r="L1785" i="22"/>
  <c r="K1785" i="22"/>
  <c r="J1785" i="22"/>
  <c r="B1785" i="22"/>
  <c r="L1784" i="22"/>
  <c r="K1784" i="22"/>
  <c r="H1784" i="22" s="1"/>
  <c r="J1784" i="22"/>
  <c r="B1784" i="22"/>
  <c r="L1783" i="22"/>
  <c r="K1783" i="22"/>
  <c r="J1783" i="22"/>
  <c r="B1783" i="22"/>
  <c r="H1782" i="22"/>
  <c r="D400" i="18"/>
  <c r="B400" i="18" s="1"/>
  <c r="D399" i="18"/>
  <c r="B399" i="18" s="1"/>
  <c r="D398" i="18"/>
  <c r="B398" i="18" s="1"/>
  <c r="D397" i="18"/>
  <c r="B397" i="18" s="1"/>
  <c r="C2372" i="26"/>
  <c r="D2372" i="26"/>
  <c r="C2370" i="26"/>
  <c r="D2370" i="26"/>
  <c r="C2371" i="26"/>
  <c r="D2371" i="26"/>
  <c r="D466" i="1"/>
  <c r="C466" i="1"/>
  <c r="D465" i="1"/>
  <c r="C465" i="1"/>
  <c r="D2369" i="26"/>
  <c r="C2369" i="26"/>
  <c r="D2367" i="26"/>
  <c r="C2367" i="26"/>
  <c r="D2368" i="26"/>
  <c r="C2368" i="26"/>
  <c r="H2363" i="26"/>
  <c r="H2362" i="26"/>
  <c r="H2361" i="26"/>
  <c r="D2366" i="26"/>
  <c r="C2366" i="26"/>
  <c r="D2361" i="26"/>
  <c r="C2361" i="26"/>
  <c r="D2363" i="26"/>
  <c r="C2363" i="26"/>
  <c r="D2364" i="26"/>
  <c r="C2364" i="26"/>
  <c r="D2362" i="26"/>
  <c r="C2362" i="26"/>
  <c r="D2365" i="26"/>
  <c r="C2365" i="26"/>
  <c r="H2359" i="26"/>
  <c r="D2360" i="26"/>
  <c r="C2360" i="26"/>
  <c r="D2359" i="26"/>
  <c r="C2359" i="26"/>
  <c r="D2358" i="26"/>
  <c r="C2358" i="26"/>
  <c r="H2357" i="26"/>
  <c r="D2357" i="26"/>
  <c r="C2357" i="26"/>
  <c r="H2355" i="26"/>
  <c r="H2354" i="26"/>
  <c r="H2353" i="26"/>
  <c r="D2356" i="26"/>
  <c r="C2356" i="26"/>
  <c r="D2355" i="26"/>
  <c r="C2355" i="26"/>
  <c r="D2353" i="26"/>
  <c r="C2353" i="26"/>
  <c r="D2354" i="26"/>
  <c r="C2354" i="26"/>
  <c r="D2352" i="26"/>
  <c r="C2352" i="26"/>
  <c r="D2351" i="26"/>
  <c r="C2351" i="26"/>
  <c r="D2350" i="26"/>
  <c r="C2350" i="26"/>
  <c r="D2349" i="26"/>
  <c r="C2349" i="26"/>
  <c r="H2347" i="26"/>
  <c r="D2348" i="26"/>
  <c r="C2348" i="26"/>
  <c r="D2347" i="26"/>
  <c r="C2347" i="26"/>
  <c r="H2346" i="26"/>
  <c r="D2346" i="26"/>
  <c r="C2346" i="26"/>
  <c r="H2345" i="26"/>
  <c r="H2344" i="26"/>
  <c r="D2345" i="26"/>
  <c r="C2345" i="26"/>
  <c r="D2344" i="26"/>
  <c r="C2344" i="26"/>
  <c r="H2343" i="26"/>
  <c r="D2343" i="26"/>
  <c r="C2343" i="26"/>
  <c r="A2393" i="22"/>
  <c r="B1778" i="22"/>
  <c r="B1777" i="22"/>
  <c r="B1776" i="22"/>
  <c r="B1775" i="22"/>
  <c r="B1774" i="22"/>
  <c r="B1773" i="22"/>
  <c r="B1772" i="22"/>
  <c r="H2341" i="26"/>
  <c r="H2340" i="26"/>
  <c r="D2332" i="26"/>
  <c r="C2332" i="26"/>
  <c r="D2340" i="26"/>
  <c r="C2340" i="26"/>
  <c r="D2341" i="26"/>
  <c r="C2341" i="26"/>
  <c r="D2342" i="26"/>
  <c r="C2342" i="26"/>
  <c r="D394" i="18"/>
  <c r="B394" i="18" s="1"/>
  <c r="D393" i="18"/>
  <c r="B393" i="18" s="1"/>
  <c r="D396" i="18"/>
  <c r="B396" i="18" s="1"/>
  <c r="D395" i="18"/>
  <c r="B395" i="18" s="1"/>
  <c r="H2337" i="26"/>
  <c r="D464" i="1"/>
  <c r="C464" i="1"/>
  <c r="D463" i="1"/>
  <c r="C463" i="1"/>
  <c r="D462" i="1"/>
  <c r="C462" i="1"/>
  <c r="D461" i="1"/>
  <c r="C461" i="1"/>
  <c r="H2335" i="26"/>
  <c r="H2334" i="26"/>
  <c r="D2336" i="26"/>
  <c r="C2336" i="26"/>
  <c r="D2337" i="26"/>
  <c r="C2337" i="26"/>
  <c r="D2339" i="26"/>
  <c r="C2339" i="26"/>
  <c r="D2338" i="26"/>
  <c r="C2338" i="26"/>
  <c r="D2335" i="26"/>
  <c r="C2335" i="26"/>
  <c r="D2334" i="26"/>
  <c r="C2334" i="26"/>
  <c r="H1749" i="22"/>
  <c r="H1760" i="22"/>
  <c r="H1727" i="22"/>
  <c r="F1780" i="22"/>
  <c r="E2393" i="22" s="1"/>
  <c r="E1780" i="22"/>
  <c r="D2393" i="22" s="1"/>
  <c r="D1780" i="22"/>
  <c r="C2393" i="22" s="1"/>
  <c r="L1778" i="22"/>
  <c r="K1778" i="22"/>
  <c r="J1778" i="22"/>
  <c r="L1777" i="22"/>
  <c r="K1777" i="22"/>
  <c r="J1777" i="22"/>
  <c r="L1776" i="22"/>
  <c r="K1776" i="22"/>
  <c r="J1776" i="22"/>
  <c r="L1775" i="22"/>
  <c r="K1775" i="22"/>
  <c r="J1775" i="22"/>
  <c r="L1774" i="22"/>
  <c r="K1774" i="22"/>
  <c r="J1774" i="22"/>
  <c r="L1773" i="22"/>
  <c r="K1773" i="22"/>
  <c r="J1773" i="22"/>
  <c r="L1772" i="22"/>
  <c r="K1772" i="22"/>
  <c r="J1772" i="22"/>
  <c r="H1771" i="22"/>
  <c r="H2331" i="26"/>
  <c r="D460" i="1"/>
  <c r="H2333" i="26"/>
  <c r="H2328" i="26"/>
  <c r="D2331" i="26"/>
  <c r="C2331" i="26"/>
  <c r="D2333" i="26"/>
  <c r="C2333" i="26"/>
  <c r="D2328" i="26"/>
  <c r="C2328" i="26"/>
  <c r="D2330" i="26"/>
  <c r="C2330" i="26"/>
  <c r="D2329" i="26"/>
  <c r="C2329" i="26"/>
  <c r="H2324" i="26"/>
  <c r="H2326" i="26"/>
  <c r="H2325" i="26"/>
  <c r="H2321" i="26"/>
  <c r="H2320" i="26"/>
  <c r="H2318" i="26"/>
  <c r="H2317" i="26"/>
  <c r="H2316" i="26"/>
  <c r="H2312" i="26"/>
  <c r="H2310" i="26"/>
  <c r="H2309" i="26"/>
  <c r="D2326" i="26"/>
  <c r="C2326" i="26"/>
  <c r="D2325" i="26"/>
  <c r="C2325" i="26"/>
  <c r="D2324" i="26"/>
  <c r="C2324" i="26"/>
  <c r="D2327" i="26"/>
  <c r="C2327" i="26"/>
  <c r="D2321" i="26"/>
  <c r="C2321" i="26"/>
  <c r="D2322" i="26"/>
  <c r="C2322" i="26"/>
  <c r="D2323" i="26"/>
  <c r="C2323" i="26"/>
  <c r="D2320" i="26"/>
  <c r="C2320" i="26"/>
  <c r="D2317" i="26"/>
  <c r="C2317" i="26"/>
  <c r="D2318" i="26"/>
  <c r="C2318" i="26"/>
  <c r="D2316" i="26"/>
  <c r="C2316" i="26"/>
  <c r="D2319" i="26"/>
  <c r="C2319" i="26"/>
  <c r="D2315" i="26"/>
  <c r="C2315" i="26"/>
  <c r="D2309" i="26"/>
  <c r="C2309" i="26"/>
  <c r="D2311" i="26"/>
  <c r="C2311" i="26"/>
  <c r="D2312" i="26"/>
  <c r="C2312" i="26"/>
  <c r="D2310" i="26"/>
  <c r="C2310" i="26"/>
  <c r="D2313" i="26"/>
  <c r="C2313" i="26"/>
  <c r="H2304" i="26"/>
  <c r="H2303" i="26"/>
  <c r="H2302" i="26"/>
  <c r="D2302" i="26"/>
  <c r="C2302" i="26"/>
  <c r="D2303" i="26"/>
  <c r="C2303" i="26"/>
  <c r="D2304" i="26"/>
  <c r="C2304" i="26"/>
  <c r="D2306" i="26"/>
  <c r="C2306" i="26"/>
  <c r="D2305" i="26"/>
  <c r="C2305" i="26"/>
  <c r="H2299" i="26"/>
  <c r="H2298" i="26"/>
  <c r="H2295" i="26"/>
  <c r="H2296" i="26"/>
  <c r="H2293" i="26"/>
  <c r="H2294" i="26"/>
  <c r="D2300" i="26"/>
  <c r="C2300" i="26"/>
  <c r="D2299" i="26"/>
  <c r="C2299" i="26"/>
  <c r="D2296" i="26"/>
  <c r="C2296" i="26"/>
  <c r="D2295" i="26"/>
  <c r="C2295" i="26"/>
  <c r="D2297" i="26"/>
  <c r="C2297" i="26"/>
  <c r="D2298" i="26"/>
  <c r="C2298" i="26"/>
  <c r="D2292" i="26"/>
  <c r="C2292" i="26"/>
  <c r="D2294" i="26"/>
  <c r="C2294" i="26"/>
  <c r="D2293" i="26"/>
  <c r="C2293" i="26"/>
  <c r="D2291" i="26"/>
  <c r="C2291" i="26"/>
  <c r="H2289" i="26"/>
  <c r="A2280" i="26"/>
  <c r="C2280" i="26"/>
  <c r="H2283" i="26"/>
  <c r="D2289" i="26"/>
  <c r="C2289" i="26"/>
  <c r="D2288" i="26"/>
  <c r="C2288" i="26"/>
  <c r="D2287" i="26"/>
  <c r="C2287" i="26"/>
  <c r="D2283" i="26"/>
  <c r="C2283" i="26"/>
  <c r="D2286" i="26"/>
  <c r="C2286" i="26"/>
  <c r="D2285" i="26"/>
  <c r="C2285" i="26"/>
  <c r="H2281" i="26"/>
  <c r="D2281" i="26"/>
  <c r="C2281" i="26"/>
  <c r="D2279" i="26"/>
  <c r="C2279" i="26"/>
  <c r="D392" i="18"/>
  <c r="B392" i="18" s="1"/>
  <c r="D391" i="18"/>
  <c r="B391" i="18" s="1"/>
  <c r="H2273" i="26"/>
  <c r="H2276" i="26"/>
  <c r="H2277" i="26"/>
  <c r="H2272" i="26"/>
  <c r="D2269" i="26"/>
  <c r="C2269" i="26"/>
  <c r="D2273" i="26"/>
  <c r="C2273" i="26"/>
  <c r="D2270" i="26"/>
  <c r="C2270" i="26"/>
  <c r="D2271" i="26"/>
  <c r="C2271" i="26"/>
  <c r="D2272" i="26"/>
  <c r="C2272" i="26"/>
  <c r="D2276" i="26"/>
  <c r="C2276" i="26"/>
  <c r="D2277" i="26"/>
  <c r="C2277" i="26"/>
  <c r="B1767" i="22"/>
  <c r="B1766" i="22"/>
  <c r="B1765" i="22"/>
  <c r="B1764" i="22"/>
  <c r="B1763" i="22"/>
  <c r="B1762" i="22"/>
  <c r="B1761" i="22"/>
  <c r="A2392" i="22"/>
  <c r="A2391" i="22"/>
  <c r="F1769" i="22"/>
  <c r="E2392" i="22" s="1"/>
  <c r="E1769" i="22"/>
  <c r="D2392" i="22" s="1"/>
  <c r="D1769" i="22"/>
  <c r="C2392" i="22" s="1"/>
  <c r="L1767" i="22"/>
  <c r="K1767" i="22"/>
  <c r="J1767" i="22"/>
  <c r="L1766" i="22"/>
  <c r="K1766" i="22"/>
  <c r="J1766" i="22"/>
  <c r="L1765" i="22"/>
  <c r="K1765" i="22"/>
  <c r="J1765" i="22"/>
  <c r="L1764" i="22"/>
  <c r="K1764" i="22"/>
  <c r="J1764" i="22"/>
  <c r="L1763" i="22"/>
  <c r="K1763" i="22"/>
  <c r="J1763" i="22"/>
  <c r="L1762" i="22"/>
  <c r="K1762" i="22"/>
  <c r="J1762" i="22"/>
  <c r="L1761" i="22"/>
  <c r="K1761" i="22"/>
  <c r="J1761" i="22"/>
  <c r="D459" i="1"/>
  <c r="C459" i="1"/>
  <c r="D458" i="1"/>
  <c r="C458" i="1"/>
  <c r="D390" i="18"/>
  <c r="B390" i="18" s="1"/>
  <c r="D389" i="18"/>
  <c r="B389" i="18" s="1"/>
  <c r="D457" i="1"/>
  <c r="C457" i="1"/>
  <c r="H2264" i="26"/>
  <c r="H2262" i="26"/>
  <c r="H2263" i="26"/>
  <c r="H2259" i="26"/>
  <c r="D2263" i="26"/>
  <c r="C2263" i="26"/>
  <c r="D2262" i="26"/>
  <c r="C2262" i="26"/>
  <c r="D2264" i="26"/>
  <c r="C2264" i="26"/>
  <c r="D2261" i="26"/>
  <c r="C2261" i="26"/>
  <c r="D2260" i="26"/>
  <c r="C2260" i="26"/>
  <c r="D2259" i="26"/>
  <c r="C2259" i="26"/>
  <c r="H2250" i="26"/>
  <c r="H2246" i="26"/>
  <c r="H2244" i="26"/>
  <c r="D2244" i="26"/>
  <c r="C2244" i="26"/>
  <c r="D2245" i="26"/>
  <c r="C2245" i="26"/>
  <c r="D2243" i="26"/>
  <c r="C2243" i="26"/>
  <c r="D2246" i="26"/>
  <c r="C2246" i="26"/>
  <c r="D2250" i="26"/>
  <c r="C2250" i="26"/>
  <c r="D2251" i="26"/>
  <c r="C2251" i="26"/>
  <c r="H2237" i="26"/>
  <c r="H2236" i="26"/>
  <c r="D2237" i="26"/>
  <c r="C2237" i="26"/>
  <c r="D2236" i="26"/>
  <c r="C2236" i="26"/>
  <c r="D456" i="1"/>
  <c r="C456" i="1"/>
  <c r="H2229" i="26"/>
  <c r="D2225" i="26"/>
  <c r="C2225" i="26"/>
  <c r="D2226" i="26"/>
  <c r="C2226" i="26"/>
  <c r="D2229" i="26"/>
  <c r="C2229" i="26"/>
  <c r="H2222" i="26"/>
  <c r="D2222" i="26"/>
  <c r="C2222" i="26"/>
  <c r="H2219" i="26"/>
  <c r="D2219" i="26"/>
  <c r="C2219" i="26"/>
  <c r="D2218" i="26"/>
  <c r="C2218" i="26"/>
  <c r="B388" i="18"/>
  <c r="D387" i="18"/>
  <c r="B387" i="18" s="1"/>
  <c r="D386" i="18"/>
  <c r="B386" i="18" s="1"/>
  <c r="H2215" i="26"/>
  <c r="H2212" i="26"/>
  <c r="D2215" i="26"/>
  <c r="C2215" i="26"/>
  <c r="D2212" i="26"/>
  <c r="C2212" i="26"/>
  <c r="D2207" i="26"/>
  <c r="C2207" i="26"/>
  <c r="D455" i="1"/>
  <c r="C455" i="1"/>
  <c r="D454" i="1"/>
  <c r="C454" i="1"/>
  <c r="D453" i="1"/>
  <c r="C453" i="1"/>
  <c r="D385" i="18"/>
  <c r="B385" i="18" s="1"/>
  <c r="D384" i="18"/>
  <c r="B384" i="18" s="1"/>
  <c r="D383" i="18"/>
  <c r="B383" i="18" s="1"/>
  <c r="D382" i="18"/>
  <c r="B382" i="18" s="1"/>
  <c r="B1739" i="22"/>
  <c r="F1758" i="22"/>
  <c r="E2391" i="22" s="1"/>
  <c r="E1758" i="22"/>
  <c r="D2391" i="22" s="1"/>
  <c r="D1758" i="22"/>
  <c r="C2391" i="22" s="1"/>
  <c r="L1756" i="22"/>
  <c r="K1756" i="22"/>
  <c r="J1756" i="22"/>
  <c r="B1756" i="22"/>
  <c r="L1755" i="22"/>
  <c r="K1755" i="22"/>
  <c r="J1755" i="22"/>
  <c r="B1755" i="22"/>
  <c r="L1754" i="22"/>
  <c r="K1754" i="22"/>
  <c r="J1754" i="22"/>
  <c r="B1754" i="22"/>
  <c r="L1753" i="22"/>
  <c r="K1753" i="22"/>
  <c r="J1753" i="22"/>
  <c r="B1753" i="22"/>
  <c r="L1752" i="22"/>
  <c r="L1750" i="22"/>
  <c r="L1751" i="22"/>
  <c r="K1752" i="22"/>
  <c r="J1752" i="22"/>
  <c r="B1752" i="22"/>
  <c r="K1751" i="22"/>
  <c r="J1751" i="22"/>
  <c r="B1751" i="22"/>
  <c r="K1750" i="22"/>
  <c r="J1750" i="22"/>
  <c r="B1750" i="22"/>
  <c r="H2199" i="26"/>
  <c r="H2198" i="26"/>
  <c r="H2197" i="26"/>
  <c r="D2198" i="26"/>
  <c r="C2198" i="26"/>
  <c r="D2197" i="26"/>
  <c r="C2197" i="26"/>
  <c r="D2199" i="26"/>
  <c r="C2199" i="26"/>
  <c r="D2200" i="26"/>
  <c r="C2200" i="26"/>
  <c r="D2308" i="26"/>
  <c r="C2308" i="26"/>
  <c r="D2307" i="26"/>
  <c r="C2307" i="26"/>
  <c r="D2314" i="26"/>
  <c r="C2314" i="26"/>
  <c r="D2301" i="26"/>
  <c r="C2301" i="26"/>
  <c r="D452" i="1"/>
  <c r="C452" i="1"/>
  <c r="D2290" i="26"/>
  <c r="C2290" i="26"/>
  <c r="D2284" i="26"/>
  <c r="C2284" i="26"/>
  <c r="D2282" i="26"/>
  <c r="C2282" i="26"/>
  <c r="D451" i="1"/>
  <c r="C451" i="1"/>
  <c r="D450" i="1"/>
  <c r="C450" i="1"/>
  <c r="D449" i="1"/>
  <c r="C449" i="1"/>
  <c r="D381" i="18"/>
  <c r="B381" i="18" s="1"/>
  <c r="D380" i="18"/>
  <c r="B380" i="18" s="1"/>
  <c r="D2278" i="26"/>
  <c r="C2278" i="26"/>
  <c r="D2275" i="26"/>
  <c r="C2275" i="26"/>
  <c r="D2274" i="26"/>
  <c r="C2274" i="26"/>
  <c r="D2267" i="26"/>
  <c r="C2267" i="26"/>
  <c r="D2265" i="26"/>
  <c r="C2265" i="26"/>
  <c r="D2268" i="26"/>
  <c r="C2268" i="26"/>
  <c r="D2266" i="26"/>
  <c r="C2266" i="26"/>
  <c r="D2254" i="26"/>
  <c r="C2254" i="26"/>
  <c r="D2256" i="26"/>
  <c r="C2256" i="26"/>
  <c r="D2258" i="26"/>
  <c r="C2258" i="26"/>
  <c r="D2255" i="26"/>
  <c r="C2255" i="26"/>
  <c r="D2257" i="26"/>
  <c r="C2257" i="26"/>
  <c r="A2390" i="22"/>
  <c r="F1747" i="22"/>
  <c r="E2390" i="22" s="1"/>
  <c r="E1747" i="22"/>
  <c r="D2390" i="22" s="1"/>
  <c r="D1747" i="22"/>
  <c r="C2390" i="22" s="1"/>
  <c r="L1745" i="22"/>
  <c r="K1745" i="22"/>
  <c r="J1745" i="22"/>
  <c r="B1745" i="22"/>
  <c r="L1744" i="22"/>
  <c r="K1744" i="22"/>
  <c r="J1744" i="22"/>
  <c r="B1744" i="22"/>
  <c r="L1743" i="22"/>
  <c r="K1743" i="22"/>
  <c r="J1743" i="22"/>
  <c r="B1743" i="22"/>
  <c r="L1742" i="22"/>
  <c r="K1742" i="22"/>
  <c r="J1742" i="22"/>
  <c r="B1742" i="22"/>
  <c r="L1741" i="22"/>
  <c r="K1741" i="22"/>
  <c r="J1741" i="22"/>
  <c r="B1741" i="22"/>
  <c r="L1740" i="22"/>
  <c r="K1740" i="22"/>
  <c r="J1740" i="22"/>
  <c r="B1740" i="22"/>
  <c r="L1739" i="22"/>
  <c r="K1739" i="22"/>
  <c r="J1739" i="22"/>
  <c r="H1738" i="22"/>
  <c r="D2252" i="26"/>
  <c r="C2252" i="26"/>
  <c r="D2253" i="26"/>
  <c r="C2253" i="26"/>
  <c r="D2242" i="26"/>
  <c r="C2242" i="26"/>
  <c r="D2247" i="26"/>
  <c r="C2247" i="26"/>
  <c r="D2249" i="26"/>
  <c r="C2249" i="26"/>
  <c r="D2248" i="26"/>
  <c r="C2248" i="26"/>
  <c r="D2239" i="26"/>
  <c r="C2239" i="26"/>
  <c r="D2240" i="26"/>
  <c r="C2240" i="26"/>
  <c r="D2238" i="26"/>
  <c r="C2238" i="26"/>
  <c r="D2241" i="26"/>
  <c r="C2241" i="26"/>
  <c r="D2234" i="26"/>
  <c r="C2234" i="26"/>
  <c r="D2233" i="26"/>
  <c r="C2233" i="26"/>
  <c r="D2232" i="26"/>
  <c r="C2232" i="26"/>
  <c r="D2231" i="26"/>
  <c r="C2231" i="26"/>
  <c r="D2230" i="26"/>
  <c r="C2230" i="26"/>
  <c r="D2235" i="26"/>
  <c r="C2235" i="26"/>
  <c r="D2228" i="26"/>
  <c r="C2228" i="26"/>
  <c r="D2227" i="26"/>
  <c r="C2227" i="26"/>
  <c r="D448" i="1"/>
  <c r="C448" i="1"/>
  <c r="D2224" i="26"/>
  <c r="C2224" i="26"/>
  <c r="D2223" i="26"/>
  <c r="C2223" i="26"/>
  <c r="H2221" i="26"/>
  <c r="H2214" i="26"/>
  <c r="D2130" i="26"/>
  <c r="C2130" i="26"/>
  <c r="D2133" i="26"/>
  <c r="C2133" i="26"/>
  <c r="D2131" i="26"/>
  <c r="C2131" i="26"/>
  <c r="D2132" i="26"/>
  <c r="C2132" i="26"/>
  <c r="D2216" i="26"/>
  <c r="C2216" i="26"/>
  <c r="D2213" i="26"/>
  <c r="C2213" i="26"/>
  <c r="H2213" i="26" s="1"/>
  <c r="D2217" i="26"/>
  <c r="C2217" i="26"/>
  <c r="H2217" i="26" s="1"/>
  <c r="D2221" i="26"/>
  <c r="C2221" i="26"/>
  <c r="D2220" i="26"/>
  <c r="C2220" i="26"/>
  <c r="H2220" i="26" s="1"/>
  <c r="D2214" i="26"/>
  <c r="C2214" i="26"/>
  <c r="D2210" i="26"/>
  <c r="C2210" i="26"/>
  <c r="H2210" i="26" s="1"/>
  <c r="D2211" i="26"/>
  <c r="C2211" i="26"/>
  <c r="H2211" i="26" s="1"/>
  <c r="D2209" i="26"/>
  <c r="C2209" i="26"/>
  <c r="H2209" i="26" s="1"/>
  <c r="A2389" i="22"/>
  <c r="A2388" i="22"/>
  <c r="D2208" i="26"/>
  <c r="C2208" i="26"/>
  <c r="H2208" i="26" s="1"/>
  <c r="D2201" i="26"/>
  <c r="C2201" i="26"/>
  <c r="D2204" i="26"/>
  <c r="C2204" i="26"/>
  <c r="D2205" i="26"/>
  <c r="C2205" i="26"/>
  <c r="D2206" i="26"/>
  <c r="C2206" i="26"/>
  <c r="D2202" i="26"/>
  <c r="C2202" i="26"/>
  <c r="D2203" i="26"/>
  <c r="C2203" i="26"/>
  <c r="F1736" i="22"/>
  <c r="E2389" i="22" s="1"/>
  <c r="E1736" i="22"/>
  <c r="D2389" i="22" s="1"/>
  <c r="D1736" i="22"/>
  <c r="C2389" i="22" s="1"/>
  <c r="L1734" i="22"/>
  <c r="K1734" i="22"/>
  <c r="J1734" i="22"/>
  <c r="B1734" i="22"/>
  <c r="L1733" i="22"/>
  <c r="K1733" i="22"/>
  <c r="J1733" i="22"/>
  <c r="B1733" i="22"/>
  <c r="L1732" i="22"/>
  <c r="K1732" i="22"/>
  <c r="J1732" i="22"/>
  <c r="B1732" i="22"/>
  <c r="L1731" i="22"/>
  <c r="K1731" i="22"/>
  <c r="J1731" i="22"/>
  <c r="B1731" i="22"/>
  <c r="L1730" i="22"/>
  <c r="K1730" i="22"/>
  <c r="J1730" i="22"/>
  <c r="B1730" i="22"/>
  <c r="L1729" i="22"/>
  <c r="K1729" i="22"/>
  <c r="J1729" i="22"/>
  <c r="B1729" i="22"/>
  <c r="L1728" i="22"/>
  <c r="K1728" i="22"/>
  <c r="J1728" i="22"/>
  <c r="B1728" i="22"/>
  <c r="D447" i="1"/>
  <c r="C447" i="1"/>
  <c r="D446" i="1"/>
  <c r="C446" i="1"/>
  <c r="D445" i="1"/>
  <c r="C445" i="1"/>
  <c r="D379" i="18"/>
  <c r="B379" i="18" s="1"/>
  <c r="D378" i="18"/>
  <c r="B378" i="18" s="1"/>
  <c r="D377" i="18"/>
  <c r="B377" i="18" s="1"/>
  <c r="D376" i="18"/>
  <c r="B376" i="18" s="1"/>
  <c r="D375" i="18"/>
  <c r="B375" i="18" s="1"/>
  <c r="D374" i="18"/>
  <c r="B374" i="18" s="1"/>
  <c r="D2193" i="26"/>
  <c r="C2193" i="26"/>
  <c r="D2192" i="26"/>
  <c r="C2192" i="26"/>
  <c r="D2194" i="26"/>
  <c r="C2194" i="26"/>
  <c r="D2196" i="26"/>
  <c r="C2196" i="26"/>
  <c r="D2195" i="26"/>
  <c r="C2195" i="26"/>
  <c r="D2191" i="26"/>
  <c r="C2191" i="26"/>
  <c r="H2191" i="26" s="1"/>
  <c r="D2189" i="26"/>
  <c r="C2189" i="26"/>
  <c r="D2190" i="26"/>
  <c r="C2190" i="26"/>
  <c r="D2186" i="26"/>
  <c r="C2186" i="26"/>
  <c r="D2187" i="26"/>
  <c r="C2187" i="26"/>
  <c r="D2185" i="26"/>
  <c r="C2185" i="26"/>
  <c r="D2188" i="26"/>
  <c r="C2188" i="26"/>
  <c r="D2184" i="26"/>
  <c r="C2184" i="26"/>
  <c r="D2183" i="26"/>
  <c r="C2183" i="26"/>
  <c r="D2181" i="26"/>
  <c r="C2181" i="26"/>
  <c r="D2182" i="26"/>
  <c r="C2182" i="26"/>
  <c r="D2180" i="26"/>
  <c r="C2180" i="26"/>
  <c r="D2179" i="26"/>
  <c r="C2179" i="26"/>
  <c r="D2178" i="26"/>
  <c r="C2178" i="26"/>
  <c r="D444" i="1"/>
  <c r="C444" i="1"/>
  <c r="D2177" i="26"/>
  <c r="C2177" i="26"/>
  <c r="D2176" i="26"/>
  <c r="C2176" i="26"/>
  <c r="D2175" i="26"/>
  <c r="C2175" i="26"/>
  <c r="D2174" i="26"/>
  <c r="C2174" i="26"/>
  <c r="D2170" i="26"/>
  <c r="C2170" i="26"/>
  <c r="D2169" i="26"/>
  <c r="C2169" i="26"/>
  <c r="H2169" i="26" s="1"/>
  <c r="D2168" i="26"/>
  <c r="C2168" i="26"/>
  <c r="D2173" i="26"/>
  <c r="C2173" i="26"/>
  <c r="D2172" i="26"/>
  <c r="C2172" i="26"/>
  <c r="H2172" i="26" s="1"/>
  <c r="D2171" i="26"/>
  <c r="C2171" i="26"/>
  <c r="D2167" i="26"/>
  <c r="C2167" i="26"/>
  <c r="D2166" i="26"/>
  <c r="C2166" i="26"/>
  <c r="D2160" i="26"/>
  <c r="C2160" i="26"/>
  <c r="H2160" i="26" s="1"/>
  <c r="D2164" i="26"/>
  <c r="C2164" i="26"/>
  <c r="D2161" i="26"/>
  <c r="C2161" i="26"/>
  <c r="H2161" i="26" s="1"/>
  <c r="D2163" i="26"/>
  <c r="C2163" i="26"/>
  <c r="H2163" i="26" s="1"/>
  <c r="D2165" i="26"/>
  <c r="C2165" i="26"/>
  <c r="D2162" i="26"/>
  <c r="C2162" i="26"/>
  <c r="F1725" i="22"/>
  <c r="E2388" i="22" s="1"/>
  <c r="E1725" i="22"/>
  <c r="D2388" i="22" s="1"/>
  <c r="D1725" i="22"/>
  <c r="C2388" i="22" s="1"/>
  <c r="L1723" i="22"/>
  <c r="K1723" i="22"/>
  <c r="J1723" i="22"/>
  <c r="B1723" i="22"/>
  <c r="L1722" i="22"/>
  <c r="K1722" i="22"/>
  <c r="J1722" i="22"/>
  <c r="H1722" i="22" s="1"/>
  <c r="B1722" i="22"/>
  <c r="L1721" i="22"/>
  <c r="K1721" i="22"/>
  <c r="J1721" i="22"/>
  <c r="B1721" i="22"/>
  <c r="L1720" i="22"/>
  <c r="K1720" i="22"/>
  <c r="J1720" i="22"/>
  <c r="B1720" i="22"/>
  <c r="L1719" i="22"/>
  <c r="K1719" i="22"/>
  <c r="J1719" i="22"/>
  <c r="B1719" i="22"/>
  <c r="L1718" i="22"/>
  <c r="K1718" i="22"/>
  <c r="J1718" i="22"/>
  <c r="B1718" i="22"/>
  <c r="L1717" i="22"/>
  <c r="K1717" i="22"/>
  <c r="J1717" i="22"/>
  <c r="B1717" i="22"/>
  <c r="H1716" i="22"/>
  <c r="D373" i="18"/>
  <c r="B373" i="18" s="1"/>
  <c r="D372" i="18"/>
  <c r="B372" i="18" s="1"/>
  <c r="D371" i="18"/>
  <c r="B371" i="18" s="1"/>
  <c r="D370" i="18"/>
  <c r="B370" i="18" s="1"/>
  <c r="D2155" i="26"/>
  <c r="C2155" i="26"/>
  <c r="D2156" i="26"/>
  <c r="C2156" i="26"/>
  <c r="D2154" i="26"/>
  <c r="C2154" i="26"/>
  <c r="D2159" i="26"/>
  <c r="C2159" i="26"/>
  <c r="D2157" i="26"/>
  <c r="C2157" i="26"/>
  <c r="D2158" i="26"/>
  <c r="C2158" i="26"/>
  <c r="D2153" i="26"/>
  <c r="C2153" i="26"/>
  <c r="D2148" i="26"/>
  <c r="C2148" i="26"/>
  <c r="D2147" i="26"/>
  <c r="C2147" i="26"/>
  <c r="D2150" i="26"/>
  <c r="C2150" i="26"/>
  <c r="D2152" i="26"/>
  <c r="C2152" i="26"/>
  <c r="D2149" i="26"/>
  <c r="C2149" i="26"/>
  <c r="D2151" i="26"/>
  <c r="C2151" i="26"/>
  <c r="D2146" i="26"/>
  <c r="C2146" i="26"/>
  <c r="D2142" i="26"/>
  <c r="C2142" i="26"/>
  <c r="D2145" i="26"/>
  <c r="C2145" i="26"/>
  <c r="D2144" i="26"/>
  <c r="C2144" i="26"/>
  <c r="H2144" i="26" s="1"/>
  <c r="D2143" i="26"/>
  <c r="C2143" i="26"/>
  <c r="D2140" i="26"/>
  <c r="C2140" i="26"/>
  <c r="H2140" i="26" s="1"/>
  <c r="D2141" i="26"/>
  <c r="C2141" i="26"/>
  <c r="D443" i="1"/>
  <c r="C443" i="1"/>
  <c r="D2139" i="26"/>
  <c r="C2139" i="26"/>
  <c r="H2139" i="26" s="1"/>
  <c r="D2137" i="26"/>
  <c r="C2137" i="26"/>
  <c r="H2137" i="26" s="1"/>
  <c r="D2138" i="26"/>
  <c r="C2138" i="26"/>
  <c r="D2136" i="26"/>
  <c r="C2136" i="26"/>
  <c r="D2134" i="26"/>
  <c r="C2134" i="26"/>
  <c r="D2135" i="26"/>
  <c r="C2135" i="26"/>
  <c r="C441" i="1"/>
  <c r="D442" i="1"/>
  <c r="C442" i="1"/>
  <c r="D441" i="1"/>
  <c r="D2127" i="26"/>
  <c r="C2127" i="26"/>
  <c r="D2128" i="26"/>
  <c r="C2128" i="26"/>
  <c r="D2129" i="26"/>
  <c r="C2129" i="26"/>
  <c r="D440" i="1"/>
  <c r="C440" i="1"/>
  <c r="D2126" i="26"/>
  <c r="C2126" i="26"/>
  <c r="D2125" i="26"/>
  <c r="C2125" i="26"/>
  <c r="D2122" i="26"/>
  <c r="C2122" i="26"/>
  <c r="C2121" i="26"/>
  <c r="H2121" i="26" s="1"/>
  <c r="D2121" i="26"/>
  <c r="A2387" i="22"/>
  <c r="A2386" i="22"/>
  <c r="A2385" i="22"/>
  <c r="F1714" i="22"/>
  <c r="E2387" i="22" s="1"/>
  <c r="E1714" i="22"/>
  <c r="D2387" i="22" s="1"/>
  <c r="D1714" i="22"/>
  <c r="C2387" i="22" s="1"/>
  <c r="L1712" i="22"/>
  <c r="K1712" i="22"/>
  <c r="J1712" i="22"/>
  <c r="B1712" i="22"/>
  <c r="L1711" i="22"/>
  <c r="K1711" i="22"/>
  <c r="J1711" i="22"/>
  <c r="B1711" i="22"/>
  <c r="L1710" i="22"/>
  <c r="K1710" i="22"/>
  <c r="J1710" i="22"/>
  <c r="B1710" i="22"/>
  <c r="L1709" i="22"/>
  <c r="K1709" i="22"/>
  <c r="J1709" i="22"/>
  <c r="B1709" i="22"/>
  <c r="L1708" i="22"/>
  <c r="K1708" i="22"/>
  <c r="J1708" i="22"/>
  <c r="B1708" i="22"/>
  <c r="L1707" i="22"/>
  <c r="K1707" i="22"/>
  <c r="J1707" i="22"/>
  <c r="B1707" i="22"/>
  <c r="L1706" i="22"/>
  <c r="K1706" i="22"/>
  <c r="J1706" i="22"/>
  <c r="B1706" i="22"/>
  <c r="H1705" i="22"/>
  <c r="D2123" i="26"/>
  <c r="C2123" i="26"/>
  <c r="D2124" i="26"/>
  <c r="C2124" i="26"/>
  <c r="D2120" i="26"/>
  <c r="C2120" i="26"/>
  <c r="D2119" i="26"/>
  <c r="C2119" i="26"/>
  <c r="D369" i="18"/>
  <c r="B369" i="18" s="1"/>
  <c r="D368" i="18"/>
  <c r="B368" i="18" s="1"/>
  <c r="D367" i="18"/>
  <c r="B367" i="18" s="1"/>
  <c r="D366" i="18"/>
  <c r="B366" i="18" s="1"/>
  <c r="C359" i="18"/>
  <c r="D2118" i="26"/>
  <c r="C2118" i="26"/>
  <c r="D2117" i="26"/>
  <c r="C2117" i="26"/>
  <c r="D2114" i="26"/>
  <c r="C2114" i="26"/>
  <c r="D2116" i="26"/>
  <c r="C2116" i="26"/>
  <c r="D2115" i="26"/>
  <c r="C2115" i="26"/>
  <c r="D2113" i="26"/>
  <c r="C2113" i="26"/>
  <c r="D2108" i="26"/>
  <c r="C2108" i="26"/>
  <c r="D2109" i="26"/>
  <c r="C2109" i="26"/>
  <c r="D2107" i="26"/>
  <c r="C2107" i="26"/>
  <c r="D2112" i="26"/>
  <c r="C2112" i="26"/>
  <c r="D2111" i="26"/>
  <c r="C2111" i="26"/>
  <c r="D2110" i="26"/>
  <c r="C2110" i="26"/>
  <c r="D2103" i="26"/>
  <c r="C2103" i="26"/>
  <c r="D2106" i="26"/>
  <c r="C2106" i="26"/>
  <c r="D2105" i="26"/>
  <c r="C2105" i="26"/>
  <c r="D2104" i="26"/>
  <c r="C2104" i="26"/>
  <c r="D439" i="1"/>
  <c r="C439" i="1"/>
  <c r="D2101" i="26"/>
  <c r="C2101" i="26"/>
  <c r="D2102" i="26"/>
  <c r="C2102" i="26"/>
  <c r="D2100" i="26"/>
  <c r="C2100" i="26"/>
  <c r="D2097" i="26"/>
  <c r="C2097" i="26"/>
  <c r="D2098" i="26"/>
  <c r="C2098" i="26"/>
  <c r="D2099" i="26"/>
  <c r="C2099" i="26"/>
  <c r="D2091" i="26"/>
  <c r="C2091" i="26"/>
  <c r="D2094" i="26"/>
  <c r="C2094" i="26"/>
  <c r="D2096" i="26"/>
  <c r="C2096" i="26"/>
  <c r="D2092" i="26"/>
  <c r="C2092" i="26"/>
  <c r="D2095" i="26"/>
  <c r="C2095" i="26"/>
  <c r="D2093" i="26"/>
  <c r="C2093" i="26"/>
  <c r="D438" i="1"/>
  <c r="C438" i="1"/>
  <c r="D437" i="1"/>
  <c r="C437" i="1"/>
  <c r="D2089" i="26"/>
  <c r="C2089" i="26"/>
  <c r="D2090" i="26"/>
  <c r="C2090" i="26"/>
  <c r="D2088" i="26"/>
  <c r="C2088" i="26"/>
  <c r="D2087" i="26"/>
  <c r="C2087" i="26"/>
  <c r="D436" i="1"/>
  <c r="C436" i="1"/>
  <c r="F1703" i="22"/>
  <c r="E2386" i="22" s="1"/>
  <c r="E1703" i="22"/>
  <c r="D2386" i="22" s="1"/>
  <c r="D1703" i="22"/>
  <c r="C2386" i="22" s="1"/>
  <c r="L1701" i="22"/>
  <c r="K1701" i="22"/>
  <c r="J1701" i="22"/>
  <c r="B1701" i="22"/>
  <c r="L1700" i="22"/>
  <c r="K1700" i="22"/>
  <c r="J1700" i="22"/>
  <c r="B1700" i="22"/>
  <c r="L1699" i="22"/>
  <c r="K1699" i="22"/>
  <c r="J1699" i="22"/>
  <c r="H1699" i="22" s="1"/>
  <c r="B1699" i="22"/>
  <c r="L1698" i="22"/>
  <c r="K1698" i="22"/>
  <c r="J1698" i="22"/>
  <c r="B1698" i="22"/>
  <c r="L1697" i="22"/>
  <c r="K1697" i="22"/>
  <c r="J1697" i="22"/>
  <c r="B1697" i="22"/>
  <c r="L1696" i="22"/>
  <c r="K1696" i="22"/>
  <c r="J1696" i="22"/>
  <c r="B1696" i="22"/>
  <c r="L1695" i="22"/>
  <c r="K1695" i="22"/>
  <c r="J1695" i="22"/>
  <c r="B1695" i="22"/>
  <c r="H1694" i="22"/>
  <c r="D2085" i="26"/>
  <c r="C2085" i="26"/>
  <c r="D2086" i="26"/>
  <c r="C2086" i="26"/>
  <c r="D2083" i="26"/>
  <c r="C2083" i="26"/>
  <c r="D2084" i="26"/>
  <c r="C2084" i="26"/>
  <c r="D365" i="18"/>
  <c r="B365" i="18" s="1"/>
  <c r="D364" i="18"/>
  <c r="B364" i="18" s="1"/>
  <c r="D363" i="18"/>
  <c r="B363" i="18" s="1"/>
  <c r="D362" i="18"/>
  <c r="B362" i="18" s="1"/>
  <c r="D2082" i="26"/>
  <c r="C2082" i="26"/>
  <c r="D2080" i="26"/>
  <c r="C2080" i="26"/>
  <c r="D2081" i="26"/>
  <c r="C2081" i="26"/>
  <c r="D2074" i="26"/>
  <c r="C2074" i="26"/>
  <c r="D2073" i="26"/>
  <c r="C2073" i="26"/>
  <c r="D2072" i="26"/>
  <c r="C2072" i="26"/>
  <c r="D2075" i="26"/>
  <c r="C2075" i="26"/>
  <c r="D2071" i="26"/>
  <c r="C2071" i="26"/>
  <c r="C2069" i="26"/>
  <c r="D2067" i="26"/>
  <c r="C2067" i="26"/>
  <c r="D2062" i="26"/>
  <c r="C2062" i="26"/>
  <c r="D2059" i="26"/>
  <c r="C2059" i="26"/>
  <c r="D2064" i="26"/>
  <c r="C2064" i="26"/>
  <c r="D2061" i="26"/>
  <c r="C2061" i="26"/>
  <c r="D2066" i="26"/>
  <c r="C2066" i="26"/>
  <c r="D2068" i="26"/>
  <c r="C2068" i="26"/>
  <c r="D2063" i="26"/>
  <c r="C2063" i="26"/>
  <c r="D2057" i="26"/>
  <c r="C2057" i="26"/>
  <c r="D2070" i="26"/>
  <c r="C2070" i="26"/>
  <c r="D2065" i="26"/>
  <c r="C2065" i="26"/>
  <c r="D2069" i="26"/>
  <c r="D2060" i="26"/>
  <c r="C2060" i="26"/>
  <c r="D2058" i="26"/>
  <c r="C2058" i="26"/>
  <c r="D2054" i="26"/>
  <c r="C2054" i="26"/>
  <c r="D2056" i="26"/>
  <c r="C2056" i="26"/>
  <c r="D2055" i="26"/>
  <c r="C2055" i="26"/>
  <c r="D435" i="1"/>
  <c r="C435" i="1"/>
  <c r="D2052" i="26"/>
  <c r="C2052" i="26"/>
  <c r="D2050" i="26"/>
  <c r="C2050" i="26"/>
  <c r="D2051" i="26"/>
  <c r="C2051" i="26"/>
  <c r="D2053" i="26"/>
  <c r="C2053" i="26"/>
  <c r="D2049" i="26"/>
  <c r="C2049" i="26"/>
  <c r="D2047" i="26"/>
  <c r="C2047" i="26"/>
  <c r="D2048" i="26"/>
  <c r="C2048" i="26"/>
  <c r="D2046" i="26"/>
  <c r="C2046" i="26"/>
  <c r="D2045" i="26"/>
  <c r="C2045" i="26"/>
  <c r="D434" i="1"/>
  <c r="C434" i="1"/>
  <c r="D433" i="1"/>
  <c r="C433" i="1"/>
  <c r="D2044" i="26"/>
  <c r="C2044" i="26"/>
  <c r="D2042" i="26"/>
  <c r="C2042" i="26"/>
  <c r="D2043" i="26"/>
  <c r="C2043" i="26"/>
  <c r="D2041" i="26"/>
  <c r="C2041" i="26"/>
  <c r="D432" i="1"/>
  <c r="C432" i="1"/>
  <c r="D357" i="18"/>
  <c r="B357" i="18" s="1"/>
  <c r="D356" i="18"/>
  <c r="B356" i="18" s="1"/>
  <c r="D2038" i="26"/>
  <c r="C2038" i="26"/>
  <c r="D2040" i="26"/>
  <c r="C2040" i="26"/>
  <c r="D2039" i="26"/>
  <c r="C2039" i="26"/>
  <c r="F1692" i="22"/>
  <c r="E2385" i="22" s="1"/>
  <c r="E1692" i="22"/>
  <c r="D2385" i="22" s="1"/>
  <c r="D1692" i="22"/>
  <c r="C2385" i="22" s="1"/>
  <c r="L1690" i="22"/>
  <c r="K1690" i="22"/>
  <c r="J1690" i="22"/>
  <c r="B1690" i="22"/>
  <c r="L1689" i="22"/>
  <c r="K1689" i="22"/>
  <c r="J1689" i="22"/>
  <c r="B1689" i="22"/>
  <c r="L1688" i="22"/>
  <c r="K1688" i="22"/>
  <c r="J1688" i="22"/>
  <c r="B1688" i="22"/>
  <c r="L1687" i="22"/>
  <c r="K1687" i="22"/>
  <c r="J1687" i="22"/>
  <c r="B1687" i="22"/>
  <c r="L1686" i="22"/>
  <c r="K1686" i="22"/>
  <c r="J1686" i="22"/>
  <c r="B1686" i="22"/>
  <c r="L1685" i="22"/>
  <c r="K1685" i="22"/>
  <c r="J1685" i="22"/>
  <c r="B1685" i="22"/>
  <c r="L1684" i="22"/>
  <c r="K1684" i="22"/>
  <c r="J1684" i="22"/>
  <c r="B1684" i="22"/>
  <c r="H1683" i="22"/>
  <c r="D355" i="18"/>
  <c r="B355" i="18" s="1"/>
  <c r="D354" i="18"/>
  <c r="B354" i="18" s="1"/>
  <c r="D2036" i="26"/>
  <c r="C2036" i="26"/>
  <c r="D2037" i="26"/>
  <c r="C2037" i="26"/>
  <c r="D2035" i="26"/>
  <c r="C2035" i="26"/>
  <c r="C2026" i="26"/>
  <c r="H2005" i="26"/>
  <c r="H1998" i="26"/>
  <c r="D2033" i="26"/>
  <c r="C2033" i="26"/>
  <c r="D2034" i="26"/>
  <c r="C2034" i="26"/>
  <c r="D2032" i="26"/>
  <c r="C2032" i="26"/>
  <c r="D2027" i="26"/>
  <c r="C2027" i="26"/>
  <c r="D2028" i="26"/>
  <c r="C2028" i="26"/>
  <c r="D2029" i="26"/>
  <c r="C2029" i="26"/>
  <c r="D2030" i="26"/>
  <c r="C2030" i="26"/>
  <c r="D2031" i="26"/>
  <c r="C2031" i="26"/>
  <c r="D2026" i="26"/>
  <c r="D2025" i="26"/>
  <c r="C2025" i="26"/>
  <c r="D2024" i="26"/>
  <c r="C2024" i="26"/>
  <c r="D2023" i="26"/>
  <c r="C2023" i="26"/>
  <c r="D2021" i="26"/>
  <c r="C2021" i="26"/>
  <c r="D2022" i="26"/>
  <c r="C2022" i="26"/>
  <c r="D2019" i="26"/>
  <c r="C2019" i="26"/>
  <c r="D2020" i="26"/>
  <c r="C2020" i="26"/>
  <c r="D2015" i="26"/>
  <c r="C2015" i="26"/>
  <c r="D2018" i="26"/>
  <c r="C2018" i="26"/>
  <c r="D2016" i="26"/>
  <c r="C2016" i="26"/>
  <c r="D2017" i="26"/>
  <c r="C2017" i="26"/>
  <c r="D2014" i="26"/>
  <c r="C2014" i="26"/>
  <c r="D2013" i="26"/>
  <c r="C2013" i="26"/>
  <c r="D2012" i="26"/>
  <c r="C2012" i="26"/>
  <c r="D2010" i="26"/>
  <c r="C2010" i="26"/>
  <c r="D2011" i="26"/>
  <c r="C2011" i="26"/>
  <c r="D2009" i="26"/>
  <c r="C2009" i="26"/>
  <c r="D2008" i="26"/>
  <c r="C2008" i="26"/>
  <c r="D2006" i="26"/>
  <c r="C2006" i="26"/>
  <c r="D2005" i="26"/>
  <c r="C2005" i="26"/>
  <c r="D2003" i="26"/>
  <c r="C2003" i="26"/>
  <c r="D2007" i="26"/>
  <c r="C2007" i="26"/>
  <c r="D2004" i="26"/>
  <c r="C2004" i="26"/>
  <c r="D2001" i="26"/>
  <c r="C2001" i="26"/>
  <c r="D2002" i="26"/>
  <c r="C2002" i="26"/>
  <c r="D2000" i="26"/>
  <c r="C2000" i="26"/>
  <c r="D1999" i="26"/>
  <c r="C1999" i="26"/>
  <c r="D1998" i="26"/>
  <c r="C1998" i="26"/>
  <c r="D431" i="1"/>
  <c r="C431" i="1"/>
  <c r="D430" i="1"/>
  <c r="C430" i="1"/>
  <c r="D429" i="1"/>
  <c r="C429" i="1"/>
  <c r="A2384" i="22"/>
  <c r="F1681" i="22"/>
  <c r="E2384" i="22" s="1"/>
  <c r="E1681" i="22"/>
  <c r="D2384" i="22" s="1"/>
  <c r="D1681" i="22"/>
  <c r="C2384" i="22" s="1"/>
  <c r="L1679" i="22"/>
  <c r="K1679" i="22"/>
  <c r="J1679" i="22"/>
  <c r="B1679" i="22"/>
  <c r="L1678" i="22"/>
  <c r="K1678" i="22"/>
  <c r="J1678" i="22"/>
  <c r="B1678" i="22"/>
  <c r="L1677" i="22"/>
  <c r="K1677" i="22"/>
  <c r="J1677" i="22"/>
  <c r="B1677" i="22"/>
  <c r="L1676" i="22"/>
  <c r="K1676" i="22"/>
  <c r="J1676" i="22"/>
  <c r="B1676" i="22"/>
  <c r="L1675" i="22"/>
  <c r="K1675" i="22"/>
  <c r="J1675" i="22"/>
  <c r="B1675" i="22"/>
  <c r="L1674" i="22"/>
  <c r="K1674" i="22"/>
  <c r="J1674" i="22"/>
  <c r="B1674" i="22"/>
  <c r="L1673" i="22"/>
  <c r="K1673" i="22"/>
  <c r="J1673" i="22"/>
  <c r="B1673" i="22"/>
  <c r="H1672" i="22"/>
  <c r="H1990" i="26"/>
  <c r="D1995" i="26"/>
  <c r="C1995" i="26"/>
  <c r="D1997" i="26"/>
  <c r="C1997" i="26"/>
  <c r="D1996" i="26"/>
  <c r="C1996" i="26"/>
  <c r="D1994" i="26"/>
  <c r="C1994" i="26"/>
  <c r="D1992" i="26"/>
  <c r="C1992" i="26"/>
  <c r="D1993" i="26"/>
  <c r="C1993" i="26"/>
  <c r="D1991" i="26"/>
  <c r="C1991" i="26"/>
  <c r="D1990" i="26"/>
  <c r="C1990" i="26"/>
  <c r="D353" i="18"/>
  <c r="B353" i="18" s="1"/>
  <c r="D352" i="18"/>
  <c r="B352" i="18" s="1"/>
  <c r="H1976" i="26"/>
  <c r="H1977" i="26"/>
  <c r="H1969" i="26"/>
  <c r="H1967" i="26"/>
  <c r="H1965" i="26"/>
  <c r="D428" i="1"/>
  <c r="C428" i="1"/>
  <c r="H1952" i="26"/>
  <c r="H1949" i="26"/>
  <c r="H1946" i="26"/>
  <c r="H1943" i="26"/>
  <c r="H1941" i="26"/>
  <c r="H1942" i="26"/>
  <c r="H1938" i="26"/>
  <c r="H1939" i="26"/>
  <c r="H1934" i="26"/>
  <c r="D427" i="1"/>
  <c r="C427" i="1"/>
  <c r="D426" i="1"/>
  <c r="C426" i="1"/>
  <c r="D425" i="1"/>
  <c r="C425" i="1"/>
  <c r="H1926" i="26"/>
  <c r="H1922" i="26"/>
  <c r="A2383" i="22"/>
  <c r="F1670" i="22"/>
  <c r="E2383" i="22" s="1"/>
  <c r="E1670" i="22"/>
  <c r="D2383" i="22" s="1"/>
  <c r="D1670" i="22"/>
  <c r="C2383" i="22" s="1"/>
  <c r="L1668" i="22"/>
  <c r="K1668" i="22"/>
  <c r="J1668" i="22"/>
  <c r="B1668" i="22"/>
  <c r="L1667" i="22"/>
  <c r="K1667" i="22"/>
  <c r="J1667" i="22"/>
  <c r="B1667" i="22"/>
  <c r="L1666" i="22"/>
  <c r="K1666" i="22"/>
  <c r="J1666" i="22"/>
  <c r="B1666" i="22"/>
  <c r="L1665" i="22"/>
  <c r="K1665" i="22"/>
  <c r="J1665" i="22"/>
  <c r="B1665" i="22"/>
  <c r="L1664" i="22"/>
  <c r="K1664" i="22"/>
  <c r="J1664" i="22"/>
  <c r="B1664" i="22"/>
  <c r="L1663" i="22"/>
  <c r="K1663" i="22"/>
  <c r="J1663" i="22"/>
  <c r="B1663" i="22"/>
  <c r="L1662" i="22"/>
  <c r="K1662" i="22"/>
  <c r="J1662" i="22"/>
  <c r="B1662" i="22"/>
  <c r="H1661" i="22"/>
  <c r="D1988" i="26"/>
  <c r="C1988" i="26"/>
  <c r="D1989" i="26"/>
  <c r="C1989" i="26"/>
  <c r="D1987" i="26"/>
  <c r="C1987" i="26"/>
  <c r="D1985" i="26"/>
  <c r="C1985" i="26"/>
  <c r="D1986" i="26"/>
  <c r="C1986" i="26"/>
  <c r="D1982" i="26"/>
  <c r="C1982" i="26"/>
  <c r="D1983" i="26"/>
  <c r="C1983" i="26"/>
  <c r="D1980" i="26"/>
  <c r="C1980" i="26"/>
  <c r="D1981" i="26"/>
  <c r="C1981" i="26"/>
  <c r="D1984" i="26"/>
  <c r="C1984" i="26"/>
  <c r="D1979" i="26"/>
  <c r="C1979" i="26"/>
  <c r="D1978" i="26"/>
  <c r="C1978" i="26"/>
  <c r="D1977" i="26"/>
  <c r="C1977" i="26"/>
  <c r="D1976" i="26"/>
  <c r="C1976" i="26"/>
  <c r="D1970" i="26"/>
  <c r="C1970" i="26"/>
  <c r="D1971" i="26"/>
  <c r="C1971" i="26"/>
  <c r="D1975" i="26"/>
  <c r="C1975" i="26"/>
  <c r="D1972" i="26"/>
  <c r="C1972" i="26"/>
  <c r="D1969" i="26"/>
  <c r="C1969" i="26"/>
  <c r="D1974" i="26"/>
  <c r="C1974" i="26"/>
  <c r="D1973" i="26"/>
  <c r="C1973" i="26"/>
  <c r="D1967" i="26"/>
  <c r="C1967" i="26"/>
  <c r="D1968" i="26"/>
  <c r="C1968" i="26"/>
  <c r="D1964" i="26"/>
  <c r="C1964" i="26"/>
  <c r="D1963" i="26"/>
  <c r="C1963" i="26"/>
  <c r="D1966" i="26"/>
  <c r="C1966" i="26"/>
  <c r="D1965" i="26"/>
  <c r="C1965" i="26"/>
  <c r="D1959" i="26"/>
  <c r="C1959" i="26"/>
  <c r="D1960" i="26"/>
  <c r="C1960" i="26"/>
  <c r="D1958" i="26"/>
  <c r="C1958" i="26"/>
  <c r="D1962" i="26"/>
  <c r="C1962" i="26"/>
  <c r="D1961" i="26"/>
  <c r="C1961" i="26"/>
  <c r="D1955" i="26"/>
  <c r="C1955" i="26"/>
  <c r="D1956" i="26"/>
  <c r="C1956" i="26"/>
  <c r="D1957" i="26"/>
  <c r="C1957" i="26"/>
  <c r="D1954" i="26"/>
  <c r="C1954" i="26"/>
  <c r="D1953" i="26"/>
  <c r="C1953" i="26"/>
  <c r="D1950" i="26"/>
  <c r="C1950" i="26"/>
  <c r="D1951" i="26"/>
  <c r="C1951" i="26"/>
  <c r="D1952" i="26"/>
  <c r="C1952" i="26"/>
  <c r="D1947" i="26"/>
  <c r="C1947" i="26"/>
  <c r="D1948" i="26"/>
  <c r="C1948" i="26"/>
  <c r="D1949" i="26"/>
  <c r="C1949" i="26"/>
  <c r="D1946" i="26"/>
  <c r="C1946" i="26"/>
  <c r="D1933" i="26"/>
  <c r="C1933" i="26"/>
  <c r="D1936" i="26"/>
  <c r="C1936" i="26"/>
  <c r="D1932" i="26"/>
  <c r="C1932" i="26"/>
  <c r="D1940" i="26"/>
  <c r="C1940" i="26"/>
  <c r="D1931" i="26"/>
  <c r="C1931" i="26"/>
  <c r="D1937" i="26"/>
  <c r="C1937" i="26"/>
  <c r="D1935" i="26"/>
  <c r="C1935" i="26"/>
  <c r="D1944" i="26"/>
  <c r="C1944" i="26"/>
  <c r="D1938" i="26"/>
  <c r="C1938" i="26"/>
  <c r="D1934" i="26"/>
  <c r="C1934" i="26"/>
  <c r="D1942" i="26"/>
  <c r="C1942" i="26"/>
  <c r="D1939" i="26"/>
  <c r="C1939" i="26"/>
  <c r="D1943" i="26"/>
  <c r="C1943" i="26"/>
  <c r="D1945" i="26"/>
  <c r="C1945" i="26"/>
  <c r="D1941" i="26"/>
  <c r="C1941" i="26"/>
  <c r="D1928" i="26"/>
  <c r="C1928" i="26"/>
  <c r="D1925" i="26"/>
  <c r="C1925" i="26"/>
  <c r="D1930" i="26"/>
  <c r="C1930" i="26"/>
  <c r="D1927" i="26"/>
  <c r="C1927" i="26"/>
  <c r="D1929" i="26"/>
  <c r="C1929" i="26"/>
  <c r="D1926" i="26"/>
  <c r="C1926" i="26"/>
  <c r="D1924" i="26"/>
  <c r="C1924" i="26"/>
  <c r="D1921" i="26"/>
  <c r="C1921" i="26"/>
  <c r="D1920" i="26"/>
  <c r="C1920" i="26"/>
  <c r="D1923" i="26"/>
  <c r="C1923" i="26"/>
  <c r="D1922" i="26"/>
  <c r="C1922" i="26"/>
  <c r="D351" i="18"/>
  <c r="B351" i="18" s="1"/>
  <c r="D350" i="18"/>
  <c r="B350" i="18" s="1"/>
  <c r="H1914" i="26"/>
  <c r="H1907" i="26"/>
  <c r="H1911" i="26"/>
  <c r="H1910" i="26"/>
  <c r="H1909" i="26"/>
  <c r="H1908" i="26"/>
  <c r="C1904" i="26"/>
  <c r="C1905" i="26"/>
  <c r="H1904" i="26"/>
  <c r="H1905" i="26"/>
  <c r="H1902" i="26"/>
  <c r="H1901" i="26"/>
  <c r="H1900" i="26"/>
  <c r="H1899" i="26"/>
  <c r="H1897" i="26"/>
  <c r="H1898" i="26"/>
  <c r="H1896" i="26"/>
  <c r="D424" i="1"/>
  <c r="C424" i="1"/>
  <c r="H1888" i="26"/>
  <c r="H1885" i="26"/>
  <c r="H1883" i="26"/>
  <c r="H1882" i="26"/>
  <c r="H1880" i="26"/>
  <c r="H1876" i="26"/>
  <c r="H1874" i="26"/>
  <c r="H1873" i="26"/>
  <c r="H1872" i="26"/>
  <c r="D423" i="1"/>
  <c r="C423" i="1"/>
  <c r="D422" i="1"/>
  <c r="C422" i="1"/>
  <c r="D421" i="1"/>
  <c r="C421" i="1"/>
  <c r="D349" i="18"/>
  <c r="B349" i="18" s="1"/>
  <c r="D348" i="18"/>
  <c r="B348" i="18" s="1"/>
  <c r="H1869" i="26"/>
  <c r="H1868" i="26"/>
  <c r="A2382" i="22"/>
  <c r="F1659" i="22"/>
  <c r="E2382" i="22" s="1"/>
  <c r="E1659" i="22"/>
  <c r="D2382" i="22" s="1"/>
  <c r="D1659" i="22"/>
  <c r="C2382" i="22" s="1"/>
  <c r="L1657" i="22"/>
  <c r="K1657" i="22"/>
  <c r="J1657" i="22"/>
  <c r="B1657" i="22"/>
  <c r="L1656" i="22"/>
  <c r="K1656" i="22"/>
  <c r="J1656" i="22"/>
  <c r="H1656" i="22" s="1"/>
  <c r="B1656" i="22"/>
  <c r="L1655" i="22"/>
  <c r="K1655" i="22"/>
  <c r="J1655" i="22"/>
  <c r="B1655" i="22"/>
  <c r="L1654" i="22"/>
  <c r="K1654" i="22"/>
  <c r="J1654" i="22"/>
  <c r="B1654" i="22"/>
  <c r="L1653" i="22"/>
  <c r="K1653" i="22"/>
  <c r="J1653" i="22"/>
  <c r="H1653" i="22" s="1"/>
  <c r="B1653" i="22"/>
  <c r="L1652" i="22"/>
  <c r="K1652" i="22"/>
  <c r="J1652" i="22"/>
  <c r="B1652" i="22"/>
  <c r="L1651" i="22"/>
  <c r="K1651" i="22"/>
  <c r="J1651" i="22"/>
  <c r="B1651" i="22"/>
  <c r="H1650" i="22"/>
  <c r="H1862" i="26"/>
  <c r="H1861" i="26"/>
  <c r="D1862" i="26"/>
  <c r="C1862" i="26"/>
  <c r="D1861" i="26"/>
  <c r="C1861" i="26"/>
  <c r="D347" i="18"/>
  <c r="B347" i="18" s="1"/>
  <c r="D346" i="18"/>
  <c r="B346" i="18" s="1"/>
  <c r="D1919" i="26"/>
  <c r="C1919" i="26"/>
  <c r="D1918" i="26"/>
  <c r="C1918" i="26"/>
  <c r="D1914" i="26"/>
  <c r="C1914" i="26"/>
  <c r="D1917" i="26"/>
  <c r="C1917" i="26"/>
  <c r="D1916" i="26"/>
  <c r="C1916" i="26"/>
  <c r="D1915" i="26"/>
  <c r="C1915" i="26"/>
  <c r="D1913" i="26"/>
  <c r="C1913" i="26"/>
  <c r="D1907" i="26"/>
  <c r="C1907" i="26"/>
  <c r="D1912" i="26"/>
  <c r="C1912" i="26"/>
  <c r="D1909" i="26"/>
  <c r="C1909" i="26"/>
  <c r="D1908" i="26"/>
  <c r="C1908" i="26"/>
  <c r="D1910" i="26"/>
  <c r="C1910" i="26"/>
  <c r="D1911" i="26"/>
  <c r="C1911" i="26"/>
  <c r="D1906" i="26"/>
  <c r="C1906" i="26"/>
  <c r="D1903" i="26"/>
  <c r="C1903" i="26"/>
  <c r="D1905" i="26"/>
  <c r="D1904" i="26"/>
  <c r="D1902" i="26"/>
  <c r="C1902" i="26"/>
  <c r="D1899" i="26"/>
  <c r="C1899" i="26"/>
  <c r="D1901" i="26"/>
  <c r="C1901" i="26"/>
  <c r="D1900" i="26"/>
  <c r="C1900" i="26"/>
  <c r="D1895" i="26"/>
  <c r="C1895" i="26"/>
  <c r="D1898" i="26"/>
  <c r="C1898" i="26"/>
  <c r="D1897" i="26"/>
  <c r="C1897" i="26"/>
  <c r="D1896" i="26"/>
  <c r="C1896" i="26"/>
  <c r="D1894" i="26"/>
  <c r="C1894" i="26"/>
  <c r="D1893" i="26"/>
  <c r="C1893" i="26"/>
  <c r="D1892" i="26"/>
  <c r="C1892" i="26"/>
  <c r="D1891" i="26"/>
  <c r="C1891" i="26"/>
  <c r="D1890" i="26"/>
  <c r="C1890" i="26"/>
  <c r="D1885" i="26"/>
  <c r="C1885" i="26"/>
  <c r="D1888" i="26"/>
  <c r="C1888" i="26"/>
  <c r="D1886" i="26"/>
  <c r="C1886" i="26"/>
  <c r="D1889" i="26"/>
  <c r="C1889" i="26"/>
  <c r="D1884" i="26"/>
  <c r="C1884" i="26"/>
  <c r="D1887" i="26"/>
  <c r="C1887" i="26"/>
  <c r="D1881" i="26"/>
  <c r="C1881" i="26"/>
  <c r="D1882" i="26"/>
  <c r="C1882" i="26"/>
  <c r="D1883" i="26"/>
  <c r="C1883" i="26"/>
  <c r="D1880" i="26"/>
  <c r="C1880" i="26"/>
  <c r="D1876" i="26"/>
  <c r="C1876" i="26"/>
  <c r="D1878" i="26"/>
  <c r="C1878" i="26"/>
  <c r="D1879" i="26"/>
  <c r="C1879" i="26"/>
  <c r="D1877" i="26"/>
  <c r="C1877" i="26"/>
  <c r="D1875" i="26"/>
  <c r="C1875" i="26"/>
  <c r="D1873" i="26"/>
  <c r="C1873" i="26"/>
  <c r="D1874" i="26"/>
  <c r="C1874" i="26"/>
  <c r="D1872" i="26"/>
  <c r="C1872" i="26"/>
  <c r="D1871" i="26"/>
  <c r="C1871" i="26"/>
  <c r="D1870" i="26"/>
  <c r="C1870" i="26"/>
  <c r="D1869" i="26"/>
  <c r="C1869" i="26"/>
  <c r="D1868" i="26"/>
  <c r="C1868" i="26"/>
  <c r="D1867" i="26"/>
  <c r="C1867" i="26"/>
  <c r="H1866" i="26"/>
  <c r="H1865" i="26"/>
  <c r="H1863" i="26"/>
  <c r="H1859" i="26"/>
  <c r="H1858" i="26"/>
  <c r="D420" i="1"/>
  <c r="C420" i="1"/>
  <c r="H1856" i="26"/>
  <c r="H1855" i="26"/>
  <c r="H1853" i="26"/>
  <c r="H1852" i="26"/>
  <c r="H1851" i="26"/>
  <c r="H1849" i="26"/>
  <c r="H1848" i="26"/>
  <c r="H1847" i="26"/>
  <c r="H1844" i="26"/>
  <c r="H1843" i="26"/>
  <c r="D1864" i="26"/>
  <c r="C1864" i="26"/>
  <c r="D1866" i="26"/>
  <c r="C1866" i="26"/>
  <c r="D1865" i="26"/>
  <c r="C1865" i="26"/>
  <c r="D1863" i="26"/>
  <c r="C1863" i="26"/>
  <c r="D1860" i="26"/>
  <c r="C1860" i="26"/>
  <c r="D1859" i="26"/>
  <c r="C1859" i="26"/>
  <c r="D1858" i="26"/>
  <c r="C1858" i="26"/>
  <c r="H1841" i="26"/>
  <c r="D419" i="1"/>
  <c r="C419" i="1"/>
  <c r="D418" i="1"/>
  <c r="C418" i="1"/>
  <c r="D417" i="1"/>
  <c r="C417" i="1"/>
  <c r="D345" i="18"/>
  <c r="B345" i="18" s="1"/>
  <c r="D344" i="18"/>
  <c r="B344" i="18" s="1"/>
  <c r="H1840" i="26"/>
  <c r="H1839" i="26"/>
  <c r="H1837" i="26"/>
  <c r="H1834" i="26"/>
  <c r="H1836" i="26"/>
  <c r="H1835" i="26"/>
  <c r="H1833" i="26"/>
  <c r="D1648" i="22"/>
  <c r="C2381" i="22" s="1"/>
  <c r="A2381" i="22"/>
  <c r="A2380" i="22"/>
  <c r="F1648" i="22"/>
  <c r="E2381" i="22" s="1"/>
  <c r="E1648" i="22"/>
  <c r="D2381" i="22" s="1"/>
  <c r="L1646" i="22"/>
  <c r="K1646" i="22"/>
  <c r="J1646" i="22"/>
  <c r="H1646" i="22" s="1"/>
  <c r="B1646" i="22"/>
  <c r="L1645" i="22"/>
  <c r="K1645" i="22"/>
  <c r="J1645" i="22"/>
  <c r="B1645" i="22"/>
  <c r="L1644" i="22"/>
  <c r="K1644" i="22"/>
  <c r="J1644" i="22"/>
  <c r="B1644" i="22"/>
  <c r="L1643" i="22"/>
  <c r="K1643" i="22"/>
  <c r="J1643" i="22"/>
  <c r="B1643" i="22"/>
  <c r="L1642" i="22"/>
  <c r="K1642" i="22"/>
  <c r="K1648" i="22" s="1"/>
  <c r="J1642" i="22"/>
  <c r="B1642" i="22"/>
  <c r="L1641" i="22"/>
  <c r="H1641" i="22" s="1"/>
  <c r="K1641" i="22"/>
  <c r="J1641" i="22"/>
  <c r="B1641" i="22"/>
  <c r="L1640" i="22"/>
  <c r="K1640" i="22"/>
  <c r="J1640" i="22"/>
  <c r="B1640" i="22"/>
  <c r="H1639" i="22"/>
  <c r="D1853" i="26"/>
  <c r="C1853" i="26"/>
  <c r="D1836" i="26"/>
  <c r="C1836" i="26"/>
  <c r="D1834" i="26"/>
  <c r="C1834" i="26"/>
  <c r="D1857" i="26"/>
  <c r="C1857" i="26"/>
  <c r="D1856" i="26"/>
  <c r="C1856" i="26"/>
  <c r="D1855" i="26"/>
  <c r="C1855" i="26"/>
  <c r="D1854" i="26"/>
  <c r="C1854" i="26"/>
  <c r="D1851" i="26"/>
  <c r="C1851" i="26"/>
  <c r="D1850" i="26"/>
  <c r="C1850" i="26"/>
  <c r="D1852" i="26"/>
  <c r="C1852" i="26"/>
  <c r="D1847" i="26"/>
  <c r="C1847" i="26"/>
  <c r="D1848" i="26"/>
  <c r="C1848" i="26"/>
  <c r="D1849" i="26"/>
  <c r="C1849" i="26"/>
  <c r="D1844" i="26"/>
  <c r="C1844" i="26"/>
  <c r="D1841" i="26"/>
  <c r="C1841" i="26"/>
  <c r="D1843" i="26"/>
  <c r="C1843" i="26"/>
  <c r="D1842" i="26"/>
  <c r="C1842" i="26"/>
  <c r="D1846" i="26"/>
  <c r="C1846" i="26"/>
  <c r="D1845" i="26"/>
  <c r="C1845" i="26"/>
  <c r="D1840" i="26"/>
  <c r="C1840" i="26"/>
  <c r="D1839" i="26"/>
  <c r="C1839" i="26"/>
  <c r="D1837" i="26"/>
  <c r="C1837" i="26"/>
  <c r="D1835" i="26"/>
  <c r="C1835" i="26"/>
  <c r="D1838" i="26"/>
  <c r="C1838" i="26"/>
  <c r="D1833" i="26"/>
  <c r="C1833" i="26"/>
  <c r="H1830" i="26"/>
  <c r="H1831" i="26"/>
  <c r="H1827" i="26"/>
  <c r="H1825" i="26"/>
  <c r="D416" i="1"/>
  <c r="C416" i="1"/>
  <c r="H1820" i="26"/>
  <c r="H1819" i="26"/>
  <c r="H1822" i="26"/>
  <c r="H1821" i="26"/>
  <c r="D1818" i="26"/>
  <c r="C1818" i="26"/>
  <c r="H1818" i="26"/>
  <c r="D1832" i="26"/>
  <c r="C1832" i="26"/>
  <c r="D1831" i="26"/>
  <c r="C1831" i="26"/>
  <c r="D1830" i="26"/>
  <c r="C1830" i="26"/>
  <c r="D1829" i="26"/>
  <c r="C1829" i="26"/>
  <c r="D1828" i="26"/>
  <c r="C1828" i="26"/>
  <c r="D1827" i="26"/>
  <c r="C1827" i="26"/>
  <c r="D1826" i="26"/>
  <c r="C1826" i="26"/>
  <c r="D1825" i="26"/>
  <c r="C1825" i="26"/>
  <c r="D1824" i="26"/>
  <c r="C1824" i="26"/>
  <c r="I1824" i="26" s="1"/>
  <c r="D1822" i="26"/>
  <c r="C1822" i="26"/>
  <c r="D1823" i="26"/>
  <c r="C1823" i="26"/>
  <c r="I1823" i="26" s="1"/>
  <c r="D1821" i="26"/>
  <c r="C1821" i="26"/>
  <c r="D1820" i="26"/>
  <c r="C1820" i="26"/>
  <c r="D1819" i="26"/>
  <c r="C1819" i="26"/>
  <c r="H1815" i="26"/>
  <c r="H1816" i="26"/>
  <c r="H1811" i="26"/>
  <c r="H1814" i="26"/>
  <c r="D415" i="1"/>
  <c r="C415" i="1"/>
  <c r="D414" i="1"/>
  <c r="C414" i="1"/>
  <c r="D413" i="1"/>
  <c r="C413" i="1"/>
  <c r="H1810" i="26"/>
  <c r="D1817" i="26"/>
  <c r="C1817" i="26"/>
  <c r="D1816" i="26"/>
  <c r="C1816" i="26"/>
  <c r="D1815" i="26"/>
  <c r="C1815" i="26"/>
  <c r="D1812" i="26"/>
  <c r="C1812" i="26"/>
  <c r="D1814" i="26"/>
  <c r="C1814" i="26"/>
  <c r="D1811" i="26"/>
  <c r="C1811" i="26"/>
  <c r="D1813" i="26"/>
  <c r="C1813" i="26"/>
  <c r="D1810" i="26"/>
  <c r="C1810" i="26"/>
  <c r="F1637" i="22"/>
  <c r="E2380" i="22" s="1"/>
  <c r="E1637" i="22"/>
  <c r="D2380" i="22" s="1"/>
  <c r="D1637" i="22"/>
  <c r="C2380" i="22" s="1"/>
  <c r="L1635" i="22"/>
  <c r="K1635" i="22"/>
  <c r="H1635" i="22" s="1"/>
  <c r="J1635" i="22"/>
  <c r="B1635" i="22"/>
  <c r="L1634" i="22"/>
  <c r="K1634" i="22"/>
  <c r="J1634" i="22"/>
  <c r="B1634" i="22"/>
  <c r="L1633" i="22"/>
  <c r="K1633" i="22"/>
  <c r="J1633" i="22"/>
  <c r="B1633" i="22"/>
  <c r="L1632" i="22"/>
  <c r="K1632" i="22"/>
  <c r="J1632" i="22"/>
  <c r="B1632" i="22"/>
  <c r="L1631" i="22"/>
  <c r="K1631" i="22"/>
  <c r="J1631" i="22"/>
  <c r="B1631" i="22"/>
  <c r="L1630" i="22"/>
  <c r="K1630" i="22"/>
  <c r="J1630" i="22"/>
  <c r="B1630" i="22"/>
  <c r="L1629" i="22"/>
  <c r="K1629" i="22"/>
  <c r="J1629" i="22"/>
  <c r="B1629" i="22"/>
  <c r="H1628" i="22"/>
  <c r="D343" i="18"/>
  <c r="B343" i="18" s="1"/>
  <c r="D342" i="18"/>
  <c r="B342" i="18" s="1"/>
  <c r="H1809" i="26"/>
  <c r="H1807" i="26"/>
  <c r="H1806" i="26"/>
  <c r="H1805" i="26"/>
  <c r="H1802" i="26"/>
  <c r="H1804" i="26"/>
  <c r="H1803" i="26"/>
  <c r="H1799" i="26"/>
  <c r="H1798" i="26"/>
  <c r="H1797" i="26"/>
  <c r="H1800" i="26"/>
  <c r="D412" i="1"/>
  <c r="C412" i="1"/>
  <c r="H1795" i="26"/>
  <c r="A2379" i="22"/>
  <c r="H1794" i="26"/>
  <c r="H1793" i="26"/>
  <c r="H1792" i="26"/>
  <c r="D411" i="1"/>
  <c r="C411" i="1"/>
  <c r="D410" i="1"/>
  <c r="C410" i="1"/>
  <c r="D409" i="1"/>
  <c r="C409" i="1"/>
  <c r="D341" i="18"/>
  <c r="B341" i="18" s="1"/>
  <c r="D340" i="18"/>
  <c r="B340" i="18" s="1"/>
  <c r="D1809" i="26"/>
  <c r="C1809" i="26"/>
  <c r="D1808" i="26"/>
  <c r="C1808" i="26"/>
  <c r="D1807" i="26"/>
  <c r="C1807" i="26"/>
  <c r="D1805" i="26"/>
  <c r="C1805" i="26"/>
  <c r="D1806" i="26"/>
  <c r="C1806" i="26"/>
  <c r="D1804" i="26"/>
  <c r="C1804" i="26"/>
  <c r="D1803" i="26"/>
  <c r="C1803" i="26"/>
  <c r="D1802" i="26"/>
  <c r="C1802" i="26"/>
  <c r="D1798" i="26"/>
  <c r="C1798" i="26"/>
  <c r="D1800" i="26"/>
  <c r="C1800" i="26"/>
  <c r="D1801" i="26"/>
  <c r="C1801" i="26"/>
  <c r="D1799" i="26"/>
  <c r="C1799" i="26"/>
  <c r="D1797" i="26"/>
  <c r="C1797" i="26"/>
  <c r="D1796" i="26"/>
  <c r="C1796" i="26"/>
  <c r="D1795" i="26"/>
  <c r="C1795" i="26"/>
  <c r="D1794" i="26"/>
  <c r="C1794" i="26"/>
  <c r="D1793" i="26"/>
  <c r="C1793" i="26"/>
  <c r="D1792" i="26"/>
  <c r="C1792" i="26"/>
  <c r="H1790" i="26"/>
  <c r="F1626" i="22"/>
  <c r="E2379" i="22" s="1"/>
  <c r="E1626" i="22"/>
  <c r="D2379" i="22" s="1"/>
  <c r="D1626" i="22"/>
  <c r="C2379" i="22" s="1"/>
  <c r="L1624" i="22"/>
  <c r="K1624" i="22"/>
  <c r="J1624" i="22"/>
  <c r="B1624" i="22"/>
  <c r="L1623" i="22"/>
  <c r="K1623" i="22"/>
  <c r="J1623" i="22"/>
  <c r="B1623" i="22"/>
  <c r="L1622" i="22"/>
  <c r="K1622" i="22"/>
  <c r="J1622" i="22"/>
  <c r="B1622" i="22"/>
  <c r="L1621" i="22"/>
  <c r="K1621" i="22"/>
  <c r="J1621" i="22"/>
  <c r="B1621" i="22"/>
  <c r="L1620" i="22"/>
  <c r="K1620" i="22"/>
  <c r="J1620" i="22"/>
  <c r="B1620" i="22"/>
  <c r="L1619" i="22"/>
  <c r="K1619" i="22"/>
  <c r="J1619" i="22"/>
  <c r="B1619" i="22"/>
  <c r="L1618" i="22"/>
  <c r="K1618" i="22"/>
  <c r="J1618" i="22"/>
  <c r="B1618" i="22"/>
  <c r="H1617" i="22"/>
  <c r="H1791" i="26"/>
  <c r="H1788" i="26"/>
  <c r="H1786" i="26"/>
  <c r="H1784" i="26"/>
  <c r="H1783" i="26"/>
  <c r="H1781" i="26"/>
  <c r="H1780" i="26"/>
  <c r="H1779" i="26"/>
  <c r="D408" i="1"/>
  <c r="C408" i="1"/>
  <c r="D407" i="1"/>
  <c r="C407" i="1"/>
  <c r="D406" i="1"/>
  <c r="C406" i="1"/>
  <c r="D405" i="1"/>
  <c r="C405" i="1"/>
  <c r="H1776" i="26"/>
  <c r="H1777" i="26"/>
  <c r="D339" i="18"/>
  <c r="B339" i="18" s="1"/>
  <c r="D338" i="18"/>
  <c r="B338" i="18" s="1"/>
  <c r="D337" i="18"/>
  <c r="B337" i="18" s="1"/>
  <c r="D336" i="18"/>
  <c r="B336" i="18" s="1"/>
  <c r="A2378" i="22"/>
  <c r="A2377" i="22"/>
  <c r="H1774" i="26"/>
  <c r="H1775" i="26"/>
  <c r="B1607" i="22"/>
  <c r="F1615" i="22"/>
  <c r="E2378" i="22" s="1"/>
  <c r="E1615" i="22"/>
  <c r="D2378" i="22" s="1"/>
  <c r="D1615" i="22"/>
  <c r="C2378" i="22" s="1"/>
  <c r="L1613" i="22"/>
  <c r="K1613" i="22"/>
  <c r="J1613" i="22"/>
  <c r="B1613" i="22"/>
  <c r="L1612" i="22"/>
  <c r="K1612" i="22"/>
  <c r="J1612" i="22"/>
  <c r="B1612" i="22"/>
  <c r="L1611" i="22"/>
  <c r="K1611" i="22"/>
  <c r="J1611" i="22"/>
  <c r="B1611" i="22"/>
  <c r="L1610" i="22"/>
  <c r="K1610" i="22"/>
  <c r="J1610" i="22"/>
  <c r="B1610" i="22"/>
  <c r="L1609" i="22"/>
  <c r="K1609" i="22"/>
  <c r="J1609" i="22"/>
  <c r="B1609" i="22"/>
  <c r="L1608" i="22"/>
  <c r="K1608" i="22"/>
  <c r="J1608" i="22"/>
  <c r="B1608" i="22"/>
  <c r="L1607" i="22"/>
  <c r="K1607" i="22"/>
  <c r="J1607" i="22"/>
  <c r="H1606" i="22"/>
  <c r="D1790" i="26"/>
  <c r="C1790" i="26"/>
  <c r="D1791" i="26"/>
  <c r="C1791" i="26"/>
  <c r="D1789" i="26"/>
  <c r="C1789" i="26"/>
  <c r="D1788" i="26"/>
  <c r="C1788" i="26"/>
  <c r="D1787" i="26"/>
  <c r="C1787" i="26"/>
  <c r="D1786" i="26"/>
  <c r="C1786" i="26"/>
  <c r="D1785" i="26"/>
  <c r="C1785" i="26"/>
  <c r="D1784" i="26"/>
  <c r="C1784" i="26"/>
  <c r="D1783" i="26"/>
  <c r="C1783" i="26"/>
  <c r="D1782" i="26"/>
  <c r="C1782" i="26"/>
  <c r="D1781" i="26"/>
  <c r="C1781" i="26"/>
  <c r="D1780" i="26"/>
  <c r="C1780" i="26"/>
  <c r="D1779" i="26"/>
  <c r="C1779" i="26"/>
  <c r="D1778" i="26"/>
  <c r="C1778" i="26"/>
  <c r="D1777" i="26"/>
  <c r="C1777" i="26"/>
  <c r="D1776" i="26"/>
  <c r="C1776" i="26"/>
  <c r="K1775" i="26"/>
  <c r="D1775" i="26"/>
  <c r="C1775" i="26"/>
  <c r="K1774" i="26"/>
  <c r="D1774" i="26"/>
  <c r="C1774" i="26"/>
  <c r="H1771" i="26"/>
  <c r="H1772" i="26"/>
  <c r="H1770" i="26"/>
  <c r="H1768" i="26"/>
  <c r="H1766" i="26"/>
  <c r="H1765" i="26"/>
  <c r="D1773" i="26"/>
  <c r="C1773" i="26"/>
  <c r="D1772" i="26"/>
  <c r="C1772" i="26"/>
  <c r="D1771" i="26"/>
  <c r="C1771" i="26"/>
  <c r="D1769" i="26"/>
  <c r="C1769" i="26"/>
  <c r="D1770" i="26"/>
  <c r="C1770" i="26"/>
  <c r="D1768" i="26"/>
  <c r="C1768" i="26"/>
  <c r="H1763" i="26"/>
  <c r="H1762" i="26"/>
  <c r="H1761" i="26"/>
  <c r="D404" i="1"/>
  <c r="C404" i="1"/>
  <c r="C1575" i="26"/>
  <c r="D1767" i="26"/>
  <c r="C1767" i="26"/>
  <c r="D1765" i="26"/>
  <c r="C1765" i="26"/>
  <c r="D1766" i="26"/>
  <c r="C1766" i="26"/>
  <c r="D1764" i="26"/>
  <c r="C1764" i="26"/>
  <c r="D1763" i="26"/>
  <c r="C1763" i="26"/>
  <c r="D1762" i="26"/>
  <c r="C1762" i="26"/>
  <c r="E1576" i="26"/>
  <c r="C1576" i="26"/>
  <c r="E1575" i="26"/>
  <c r="C401" i="1"/>
  <c r="D401" i="1"/>
  <c r="C402" i="1"/>
  <c r="D402" i="1"/>
  <c r="C403" i="1"/>
  <c r="D403" i="1"/>
  <c r="F1604" i="22"/>
  <c r="E2377" i="22" s="1"/>
  <c r="E1604" i="22"/>
  <c r="D2377" i="22" s="1"/>
  <c r="D1604" i="22"/>
  <c r="C2377" i="22" s="1"/>
  <c r="L1602" i="22"/>
  <c r="K1602" i="22"/>
  <c r="J1602" i="22"/>
  <c r="B1602" i="22"/>
  <c r="L1601" i="22"/>
  <c r="K1601" i="22"/>
  <c r="J1601" i="22"/>
  <c r="B1601" i="22"/>
  <c r="L1600" i="22"/>
  <c r="K1600" i="22"/>
  <c r="J1600" i="22"/>
  <c r="B1600" i="22"/>
  <c r="L1599" i="22"/>
  <c r="K1599" i="22"/>
  <c r="J1599" i="22"/>
  <c r="B1599" i="22"/>
  <c r="L1598" i="22"/>
  <c r="K1598" i="22"/>
  <c r="J1598" i="22"/>
  <c r="B1598" i="22"/>
  <c r="L1597" i="22"/>
  <c r="K1597" i="22"/>
  <c r="J1597" i="22"/>
  <c r="B1597" i="22"/>
  <c r="L1596" i="22"/>
  <c r="K1596" i="22"/>
  <c r="J1596" i="22"/>
  <c r="B1596" i="22"/>
  <c r="H1595" i="22"/>
  <c r="H1759" i="26"/>
  <c r="H1758" i="26"/>
  <c r="H1757" i="26"/>
  <c r="H1752" i="26"/>
  <c r="H1751" i="26"/>
  <c r="H1749" i="26"/>
  <c r="H1748" i="26"/>
  <c r="H1745" i="26"/>
  <c r="D400" i="1"/>
  <c r="C400" i="1"/>
  <c r="H1584" i="22"/>
  <c r="H1573" i="22"/>
  <c r="D1761" i="26"/>
  <c r="C1761" i="26"/>
  <c r="D1759" i="26"/>
  <c r="C1759" i="26"/>
  <c r="D1758" i="26"/>
  <c r="C1758" i="26"/>
  <c r="D1760" i="26"/>
  <c r="C1760" i="26"/>
  <c r="D1755" i="26"/>
  <c r="C1755" i="26"/>
  <c r="D1756" i="26"/>
  <c r="C1756" i="26"/>
  <c r="D1757" i="26"/>
  <c r="C1757" i="26"/>
  <c r="D1754" i="26"/>
  <c r="C1754" i="26"/>
  <c r="D1751" i="26"/>
  <c r="C1751" i="26"/>
  <c r="D1752" i="26"/>
  <c r="C1752" i="26"/>
  <c r="D1753" i="26"/>
  <c r="C1753" i="26"/>
  <c r="D1750" i="26"/>
  <c r="C1750" i="26"/>
  <c r="D1746" i="26"/>
  <c r="C1746" i="26"/>
  <c r="D1747" i="26"/>
  <c r="C1747" i="26"/>
  <c r="D1748" i="26"/>
  <c r="C1748" i="26"/>
  <c r="D1749" i="26"/>
  <c r="C1749" i="26"/>
  <c r="D1744" i="26"/>
  <c r="C1744" i="26"/>
  <c r="D1745" i="26"/>
  <c r="C1745" i="26"/>
  <c r="A2376" i="22"/>
  <c r="A2375" i="22"/>
  <c r="J1586" i="22"/>
  <c r="J1587" i="22"/>
  <c r="J1588" i="22"/>
  <c r="J1589" i="22"/>
  <c r="J1590" i="22"/>
  <c r="J1591" i="22"/>
  <c r="J1585" i="22"/>
  <c r="K1586" i="22"/>
  <c r="L1586" i="22"/>
  <c r="K1587" i="22"/>
  <c r="L1587" i="22"/>
  <c r="K1588" i="22"/>
  <c r="L1588" i="22"/>
  <c r="K1589" i="22"/>
  <c r="L1589" i="22"/>
  <c r="K1590" i="22"/>
  <c r="H1590" i="22" s="1"/>
  <c r="L1590" i="22"/>
  <c r="K1591" i="22"/>
  <c r="L1591" i="22"/>
  <c r="L1585" i="22"/>
  <c r="K1585" i="22"/>
  <c r="F1593" i="22"/>
  <c r="E2376" i="22" s="1"/>
  <c r="E1593" i="22"/>
  <c r="D2376" i="22" s="1"/>
  <c r="D1593" i="22"/>
  <c r="C2376" i="22" s="1"/>
  <c r="B1591" i="22"/>
  <c r="B1590" i="22"/>
  <c r="B1589" i="22"/>
  <c r="B1588" i="22"/>
  <c r="B1587" i="22"/>
  <c r="B1586" i="22"/>
  <c r="B1585" i="22"/>
  <c r="D1737" i="26"/>
  <c r="C1737" i="26"/>
  <c r="D399" i="1"/>
  <c r="C399" i="1"/>
  <c r="D398" i="1"/>
  <c r="C398" i="1"/>
  <c r="D397" i="1"/>
  <c r="C397" i="1"/>
  <c r="D396" i="1"/>
  <c r="C396" i="1"/>
  <c r="D335" i="18"/>
  <c r="B335" i="18" s="1"/>
  <c r="D334" i="18"/>
  <c r="B334" i="18" s="1"/>
  <c r="D333" i="18"/>
  <c r="B333" i="18" s="1"/>
  <c r="D332" i="18"/>
  <c r="B332" i="18" s="1"/>
  <c r="D1743" i="26"/>
  <c r="C1743" i="26"/>
  <c r="D1742" i="26"/>
  <c r="C1742" i="26"/>
  <c r="D1741" i="26"/>
  <c r="C1741" i="26"/>
  <c r="D1736" i="26"/>
  <c r="C1736" i="26"/>
  <c r="D1740" i="26"/>
  <c r="C1740" i="26"/>
  <c r="D1739" i="26"/>
  <c r="C1739" i="26"/>
  <c r="D1738" i="26"/>
  <c r="C1738" i="26"/>
  <c r="D1734" i="26"/>
  <c r="C1734" i="26"/>
  <c r="D1735" i="26"/>
  <c r="C1735" i="26"/>
  <c r="D1730" i="26"/>
  <c r="C1730" i="26"/>
  <c r="D1729" i="26"/>
  <c r="C1729" i="26"/>
  <c r="D1731" i="26"/>
  <c r="C1731" i="26"/>
  <c r="D1733" i="26"/>
  <c r="C1733" i="26"/>
  <c r="D1732" i="26"/>
  <c r="C1732" i="26"/>
  <c r="D1727" i="26"/>
  <c r="C1727" i="26"/>
  <c r="D1728" i="26"/>
  <c r="C1728" i="26"/>
  <c r="F1582" i="22"/>
  <c r="E2375" i="22" s="1"/>
  <c r="E1582" i="22"/>
  <c r="D2375" i="22" s="1"/>
  <c r="D1582" i="22"/>
  <c r="C2375" i="22" s="1"/>
  <c r="L1580" i="22"/>
  <c r="K1580" i="22"/>
  <c r="J1580" i="22"/>
  <c r="B1580" i="22"/>
  <c r="L1579" i="22"/>
  <c r="K1579" i="22"/>
  <c r="J1579" i="22"/>
  <c r="B1579" i="22"/>
  <c r="L1578" i="22"/>
  <c r="K1578" i="22"/>
  <c r="J1578" i="22"/>
  <c r="B1578" i="22"/>
  <c r="L1577" i="22"/>
  <c r="K1577" i="22"/>
  <c r="J1577" i="22"/>
  <c r="H1577" i="22" s="1"/>
  <c r="B1577" i="22"/>
  <c r="L1576" i="22"/>
  <c r="K1576" i="22"/>
  <c r="J1576" i="22"/>
  <c r="B1576" i="22"/>
  <c r="L1575" i="22"/>
  <c r="K1575" i="22"/>
  <c r="J1575" i="22"/>
  <c r="B1575" i="22"/>
  <c r="L1574" i="22"/>
  <c r="K1574" i="22"/>
  <c r="J1574" i="22"/>
  <c r="B1574" i="22"/>
  <c r="D1722" i="26"/>
  <c r="C1722" i="26"/>
  <c r="D1721" i="26"/>
  <c r="C1721" i="26"/>
  <c r="D1720" i="26"/>
  <c r="C1720" i="26"/>
  <c r="D1723" i="26"/>
  <c r="C1723" i="26"/>
  <c r="D1725" i="26"/>
  <c r="C1725" i="26"/>
  <c r="D1724" i="26"/>
  <c r="C1724" i="26"/>
  <c r="D1719" i="26"/>
  <c r="C1719" i="26"/>
  <c r="D1718" i="26"/>
  <c r="C1718" i="26"/>
  <c r="D1717" i="26"/>
  <c r="C1717" i="26"/>
  <c r="D1716" i="26"/>
  <c r="C1716" i="26"/>
  <c r="D1715" i="26"/>
  <c r="C1715" i="26"/>
  <c r="D1714" i="26"/>
  <c r="C1714" i="26"/>
  <c r="D1713" i="26"/>
  <c r="C1713" i="26"/>
  <c r="D1712" i="26"/>
  <c r="C1712" i="26"/>
  <c r="D1710" i="26"/>
  <c r="C1710" i="26"/>
  <c r="D1709" i="26"/>
  <c r="C1709" i="26"/>
  <c r="D1711" i="26"/>
  <c r="C1711" i="26"/>
  <c r="D395" i="1"/>
  <c r="C395" i="1"/>
  <c r="D394" i="1"/>
  <c r="C394" i="1"/>
  <c r="D393" i="1"/>
  <c r="C393" i="1"/>
  <c r="D392" i="1"/>
  <c r="C392" i="1"/>
  <c r="D1708" i="26"/>
  <c r="C1708" i="26"/>
  <c r="D1707" i="26"/>
  <c r="C1707" i="26"/>
  <c r="C328" i="18"/>
  <c r="D331" i="18"/>
  <c r="B331" i="18" s="1"/>
  <c r="D330" i="18"/>
  <c r="B330" i="18" s="1"/>
  <c r="D1705" i="26"/>
  <c r="C1705" i="26"/>
  <c r="D1706" i="26"/>
  <c r="C1706" i="26"/>
  <c r="D1703" i="26"/>
  <c r="C1703" i="26"/>
  <c r="D1704" i="26"/>
  <c r="C1704" i="26"/>
  <c r="A2374" i="22"/>
  <c r="F1571" i="22"/>
  <c r="E2374" i="22" s="1"/>
  <c r="E1571" i="22"/>
  <c r="D2374" i="22" s="1"/>
  <c r="D1571" i="22"/>
  <c r="C2374" i="22" s="1"/>
  <c r="L1569" i="22"/>
  <c r="K1569" i="22"/>
  <c r="J1569" i="22"/>
  <c r="B1569" i="22"/>
  <c r="L1568" i="22"/>
  <c r="K1568" i="22"/>
  <c r="J1568" i="22"/>
  <c r="B1568" i="22"/>
  <c r="L1567" i="22"/>
  <c r="K1567" i="22"/>
  <c r="J1567" i="22"/>
  <c r="B1567" i="22"/>
  <c r="L1566" i="22"/>
  <c r="K1566" i="22"/>
  <c r="J1566" i="22"/>
  <c r="B1566" i="22"/>
  <c r="L1565" i="22"/>
  <c r="K1565" i="22"/>
  <c r="J1565" i="22"/>
  <c r="B1565" i="22"/>
  <c r="L1564" i="22"/>
  <c r="K1564" i="22"/>
  <c r="J1564" i="22"/>
  <c r="H1564" i="22" s="1"/>
  <c r="B1564" i="22"/>
  <c r="L1563" i="22"/>
  <c r="K1563" i="22"/>
  <c r="J1563" i="22"/>
  <c r="B1563" i="22"/>
  <c r="D1701" i="26"/>
  <c r="C1701" i="26"/>
  <c r="D1700" i="26"/>
  <c r="C1700" i="26"/>
  <c r="D1702" i="26"/>
  <c r="C1702" i="26"/>
  <c r="D1699" i="26"/>
  <c r="C1699" i="26"/>
  <c r="D1698" i="26"/>
  <c r="C1698" i="26"/>
  <c r="D1697" i="26"/>
  <c r="C1697" i="26"/>
  <c r="D1696" i="26"/>
  <c r="C1696" i="26"/>
  <c r="D1695" i="26"/>
  <c r="C1695" i="26"/>
  <c r="D1694" i="26"/>
  <c r="C1694" i="26"/>
  <c r="D1693" i="26"/>
  <c r="C1693" i="26"/>
  <c r="D1692" i="26"/>
  <c r="C1692" i="26"/>
  <c r="D1690" i="26"/>
  <c r="C1690" i="26"/>
  <c r="D1691" i="26"/>
  <c r="C1691" i="26"/>
  <c r="D1689" i="26"/>
  <c r="C1689" i="26"/>
  <c r="D1687" i="26"/>
  <c r="C1687" i="26"/>
  <c r="D1688" i="26"/>
  <c r="C1688" i="26"/>
  <c r="D1686" i="26"/>
  <c r="C1686" i="26"/>
  <c r="D1685" i="26"/>
  <c r="C1685" i="26"/>
  <c r="A2373" i="22"/>
  <c r="A2372" i="22"/>
  <c r="B1553" i="22"/>
  <c r="B1554" i="22"/>
  <c r="B1555" i="22"/>
  <c r="B1556" i="22"/>
  <c r="B1557" i="22"/>
  <c r="B1558" i="22"/>
  <c r="B1552" i="22"/>
  <c r="D1684" i="26"/>
  <c r="C1684" i="26"/>
  <c r="D1683" i="26"/>
  <c r="C1683" i="26"/>
  <c r="D1682" i="26"/>
  <c r="C1682" i="26"/>
  <c r="D1681" i="26"/>
  <c r="C1681" i="26"/>
  <c r="D326" i="18"/>
  <c r="B326" i="18" s="1"/>
  <c r="D325" i="18"/>
  <c r="B325" i="18" s="1"/>
  <c r="D1680" i="26"/>
  <c r="C1680" i="26"/>
  <c r="D1679" i="26"/>
  <c r="C1679" i="26"/>
  <c r="D1678" i="26"/>
  <c r="C1678" i="26"/>
  <c r="F1560" i="22"/>
  <c r="E2373" i="22" s="1"/>
  <c r="E1560" i="22"/>
  <c r="D2373" i="22" s="1"/>
  <c r="D1560" i="22"/>
  <c r="C2373" i="22"/>
  <c r="L1558" i="22"/>
  <c r="K1558" i="22"/>
  <c r="J1558" i="22"/>
  <c r="L1557" i="22"/>
  <c r="K1557" i="22"/>
  <c r="J1557" i="22"/>
  <c r="L1556" i="22"/>
  <c r="K1556" i="22"/>
  <c r="J1556" i="22"/>
  <c r="L1555" i="22"/>
  <c r="K1555" i="22"/>
  <c r="J1555" i="22"/>
  <c r="L1554" i="22"/>
  <c r="K1554" i="22"/>
  <c r="J1554" i="22"/>
  <c r="L1553" i="22"/>
  <c r="K1553" i="22"/>
  <c r="J1553" i="22"/>
  <c r="L1552" i="22"/>
  <c r="K1552" i="22"/>
  <c r="J1552" i="22"/>
  <c r="B1551" i="22"/>
  <c r="H1562" i="22" s="1"/>
  <c r="D1676" i="26"/>
  <c r="C1676" i="26"/>
  <c r="D1675" i="26"/>
  <c r="C1675" i="26"/>
  <c r="D1677" i="26"/>
  <c r="C1677" i="26"/>
  <c r="D1673" i="26"/>
  <c r="C1673" i="26"/>
  <c r="D1674" i="26"/>
  <c r="C1674" i="26"/>
  <c r="D1672" i="26"/>
  <c r="C1672" i="26"/>
  <c r="D1671" i="26"/>
  <c r="C1671" i="26"/>
  <c r="D1670" i="26"/>
  <c r="C1670" i="26"/>
  <c r="D1669" i="26"/>
  <c r="C1669" i="26"/>
  <c r="D1666" i="26"/>
  <c r="C1666" i="26"/>
  <c r="D1664" i="26"/>
  <c r="C1664" i="26"/>
  <c r="D1663" i="26"/>
  <c r="C1663" i="26"/>
  <c r="D1665" i="26"/>
  <c r="C1665" i="26"/>
  <c r="D1662" i="26"/>
  <c r="C1662" i="26"/>
  <c r="D1667" i="26"/>
  <c r="C1667" i="26"/>
  <c r="D1668" i="26"/>
  <c r="C1668" i="26"/>
  <c r="D1660" i="26"/>
  <c r="C1660" i="26"/>
  <c r="D1661" i="26"/>
  <c r="C1661" i="26"/>
  <c r="D1659" i="26"/>
  <c r="C1659" i="26"/>
  <c r="D1658" i="26"/>
  <c r="C1658" i="26"/>
  <c r="D390" i="1"/>
  <c r="C390" i="1"/>
  <c r="D389" i="1"/>
  <c r="C389" i="1"/>
  <c r="D388" i="1"/>
  <c r="C388" i="1"/>
  <c r="D324" i="18"/>
  <c r="B324" i="18" s="1"/>
  <c r="D323" i="18"/>
  <c r="B323" i="18" s="1"/>
  <c r="L1547" i="22"/>
  <c r="K1547" i="22"/>
  <c r="J1547" i="22"/>
  <c r="H1547" i="22" s="1"/>
  <c r="L1546" i="22"/>
  <c r="K1546" i="22"/>
  <c r="J1546" i="22"/>
  <c r="L1545" i="22"/>
  <c r="K1545" i="22"/>
  <c r="J1545" i="22"/>
  <c r="L1544" i="22"/>
  <c r="K1544" i="22"/>
  <c r="J1544" i="22"/>
  <c r="L1543" i="22"/>
  <c r="K1543" i="22"/>
  <c r="J1543" i="22"/>
  <c r="L1542" i="22"/>
  <c r="K1542" i="22"/>
  <c r="J1542" i="22"/>
  <c r="L1541" i="22"/>
  <c r="K1541" i="22"/>
  <c r="J1541" i="22"/>
  <c r="H1540" i="22"/>
  <c r="F1549" i="22"/>
  <c r="E2372" i="22" s="1"/>
  <c r="E1549" i="22"/>
  <c r="D2372" i="22" s="1"/>
  <c r="B1548" i="22"/>
  <c r="B1547" i="22"/>
  <c r="B1546" i="22"/>
  <c r="B1545" i="22"/>
  <c r="B1544" i="22"/>
  <c r="B1543" i="22"/>
  <c r="B1542" i="22"/>
  <c r="D1549" i="22"/>
  <c r="C2372" i="22" s="1"/>
  <c r="B1541" i="22"/>
  <c r="C1584" i="26"/>
  <c r="C1586" i="26"/>
  <c r="C1587" i="26"/>
  <c r="C1588" i="26"/>
  <c r="C1589" i="26"/>
  <c r="C1590" i="26"/>
  <c r="C1591" i="26"/>
  <c r="C1592" i="26"/>
  <c r="C1593" i="26"/>
  <c r="C1594" i="26"/>
  <c r="C1595" i="26"/>
  <c r="C1596" i="26"/>
  <c r="C1597" i="26"/>
  <c r="C1598" i="26"/>
  <c r="C1601" i="26"/>
  <c r="C1599" i="26"/>
  <c r="C1600" i="26"/>
  <c r="C1602" i="26"/>
  <c r="C1603" i="26"/>
  <c r="C1604" i="26"/>
  <c r="C1605" i="26"/>
  <c r="C1607" i="26"/>
  <c r="C1606" i="26"/>
  <c r="C1608" i="26"/>
  <c r="C1609" i="26"/>
  <c r="C1610" i="26"/>
  <c r="C1611" i="26"/>
  <c r="C1612" i="26"/>
  <c r="C1613" i="26"/>
  <c r="C1614" i="26"/>
  <c r="H1614" i="26" s="1"/>
  <c r="C1615" i="26"/>
  <c r="C1616" i="26"/>
  <c r="C1617" i="26"/>
  <c r="C1618" i="26"/>
  <c r="C1619" i="26"/>
  <c r="C1620" i="26"/>
  <c r="C1621" i="26"/>
  <c r="C1624" i="26"/>
  <c r="C1623" i="26"/>
  <c r="C1622" i="26"/>
  <c r="C1625" i="26"/>
  <c r="C1626" i="26"/>
  <c r="C1627" i="26"/>
  <c r="C1629" i="26"/>
  <c r="C1630" i="26"/>
  <c r="C1628" i="26"/>
  <c r="C1631" i="26"/>
  <c r="C1632" i="26"/>
  <c r="C1633" i="26"/>
  <c r="C1634" i="26"/>
  <c r="C1635" i="26"/>
  <c r="C1636" i="26"/>
  <c r="C1638" i="26"/>
  <c r="C1637" i="26"/>
  <c r="C1641" i="26"/>
  <c r="C1644" i="26"/>
  <c r="C1642" i="26"/>
  <c r="C1643" i="26"/>
  <c r="C1640" i="26"/>
  <c r="C1639" i="26"/>
  <c r="C1645" i="26"/>
  <c r="C1646" i="26"/>
  <c r="C1647" i="26"/>
  <c r="C1648" i="26"/>
  <c r="C1650" i="26"/>
  <c r="C1649" i="26"/>
  <c r="C1651" i="26"/>
  <c r="C1653" i="26"/>
  <c r="C1654" i="26"/>
  <c r="C1652" i="26"/>
  <c r="C1656" i="26"/>
  <c r="C1655" i="26"/>
  <c r="C1657" i="26"/>
  <c r="D1657" i="26"/>
  <c r="C1585" i="26"/>
  <c r="D1655" i="26"/>
  <c r="D1656" i="26"/>
  <c r="D1652" i="26"/>
  <c r="D1654" i="26"/>
  <c r="D1653" i="26"/>
  <c r="D1651" i="26"/>
  <c r="D1649" i="26"/>
  <c r="D1650" i="26"/>
  <c r="D1648" i="26"/>
  <c r="D1647" i="26"/>
  <c r="D1646" i="26"/>
  <c r="D1645" i="26"/>
  <c r="D1639" i="26"/>
  <c r="D1640" i="26"/>
  <c r="D1643" i="26"/>
  <c r="D1642" i="26"/>
  <c r="D1644" i="26"/>
  <c r="D1641" i="26"/>
  <c r="D1638" i="26"/>
  <c r="D1637" i="26"/>
  <c r="D322" i="18"/>
  <c r="B322" i="18" s="1"/>
  <c r="D321" i="18"/>
  <c r="B321" i="18" s="1"/>
  <c r="D320" i="18"/>
  <c r="B320" i="18" s="1"/>
  <c r="D319" i="18"/>
  <c r="B319" i="18" s="1"/>
  <c r="D387" i="1"/>
  <c r="C387" i="1"/>
  <c r="D386" i="1"/>
  <c r="C386" i="1"/>
  <c r="D385" i="1"/>
  <c r="C385" i="1"/>
  <c r="A2371" i="22"/>
  <c r="F1538" i="22"/>
  <c r="E2371" i="22" s="1"/>
  <c r="E1538" i="22"/>
  <c r="D2371" i="22" s="1"/>
  <c r="D1538" i="22"/>
  <c r="C2371" i="22" s="1"/>
  <c r="B1537" i="22"/>
  <c r="L1536" i="22"/>
  <c r="K1536" i="22"/>
  <c r="J1536" i="22"/>
  <c r="B1536" i="22"/>
  <c r="L1535" i="22"/>
  <c r="K1535" i="22"/>
  <c r="J1535" i="22"/>
  <c r="B1535" i="22"/>
  <c r="L1534" i="22"/>
  <c r="K1534" i="22"/>
  <c r="J1534" i="22"/>
  <c r="B1534" i="22"/>
  <c r="L1533" i="22"/>
  <c r="K1533" i="22"/>
  <c r="J1533" i="22"/>
  <c r="B1533" i="22"/>
  <c r="L1532" i="22"/>
  <c r="K1532" i="22"/>
  <c r="J1532" i="22"/>
  <c r="B1532" i="22"/>
  <c r="L1531" i="22"/>
  <c r="K1531" i="22"/>
  <c r="J1531" i="22"/>
  <c r="B1531" i="22"/>
  <c r="L1530" i="22"/>
  <c r="K1530" i="22"/>
  <c r="J1530" i="22"/>
  <c r="B1530" i="22"/>
  <c r="H1529" i="22"/>
  <c r="D1636" i="26"/>
  <c r="D1635" i="26"/>
  <c r="D1634" i="26"/>
  <c r="D1633" i="26"/>
  <c r="D1632" i="26"/>
  <c r="D1631" i="26"/>
  <c r="D1628" i="26"/>
  <c r="D1630" i="26"/>
  <c r="D1629" i="26"/>
  <c r="D1627" i="26"/>
  <c r="A2370" i="22"/>
  <c r="A2369" i="22"/>
  <c r="A2368" i="22"/>
  <c r="D1625" i="26"/>
  <c r="D1626" i="26"/>
  <c r="D384" i="1"/>
  <c r="C384" i="1"/>
  <c r="D383" i="1"/>
  <c r="C383" i="1"/>
  <c r="D382" i="1"/>
  <c r="C382" i="1"/>
  <c r="D1622" i="26"/>
  <c r="D1623" i="26"/>
  <c r="D1624" i="26"/>
  <c r="D318" i="18"/>
  <c r="B318" i="18" s="1"/>
  <c r="D317" i="18"/>
  <c r="B317" i="18" s="1"/>
  <c r="D316" i="18"/>
  <c r="B316" i="18" s="1"/>
  <c r="D1621" i="26"/>
  <c r="L1525" i="22"/>
  <c r="K1525" i="22"/>
  <c r="J1525" i="22"/>
  <c r="L1524" i="22"/>
  <c r="K1524" i="22"/>
  <c r="J1524" i="22"/>
  <c r="L1523" i="22"/>
  <c r="K1523" i="22"/>
  <c r="J1523" i="22"/>
  <c r="H1523" i="22" s="1"/>
  <c r="L1522" i="22"/>
  <c r="K1522" i="22"/>
  <c r="J1522" i="22"/>
  <c r="L1521" i="22"/>
  <c r="K1521" i="22"/>
  <c r="J1521" i="22"/>
  <c r="L1520" i="22"/>
  <c r="K1520" i="22"/>
  <c r="J1520" i="22"/>
  <c r="L1519" i="22"/>
  <c r="J1519" i="22"/>
  <c r="H1518" i="22"/>
  <c r="F1527" i="22"/>
  <c r="E2370" i="22" s="1"/>
  <c r="B1526" i="22"/>
  <c r="B1525" i="22"/>
  <c r="B1524" i="22"/>
  <c r="B1523" i="22"/>
  <c r="B1522" i="22"/>
  <c r="B1521" i="22"/>
  <c r="B1520" i="22"/>
  <c r="B1519" i="22"/>
  <c r="D1527" i="22"/>
  <c r="C2370" i="22" s="1"/>
  <c r="E1527" i="22"/>
  <c r="D2370" i="22" s="1"/>
  <c r="D381" i="1"/>
  <c r="C381" i="1"/>
  <c r="D1620" i="26"/>
  <c r="D1619" i="26"/>
  <c r="D1618" i="26"/>
  <c r="D1617" i="26"/>
  <c r="D1616" i="26"/>
  <c r="D315" i="18"/>
  <c r="B315" i="18" s="1"/>
  <c r="D314" i="18"/>
  <c r="B314" i="18" s="1"/>
  <c r="D313" i="18"/>
  <c r="B313" i="18" s="1"/>
  <c r="D312" i="18"/>
  <c r="B312" i="18" s="1"/>
  <c r="D380" i="1"/>
  <c r="C380" i="1"/>
  <c r="D379" i="1"/>
  <c r="C379" i="1"/>
  <c r="D378" i="1"/>
  <c r="C378" i="1"/>
  <c r="E1508" i="22"/>
  <c r="K1519" i="22" s="1"/>
  <c r="F1516" i="22"/>
  <c r="E2369" i="22" s="1"/>
  <c r="D1516" i="22"/>
  <c r="C2369" i="22" s="1"/>
  <c r="B1515" i="22"/>
  <c r="L1514" i="22"/>
  <c r="K1514" i="22"/>
  <c r="J1514" i="22"/>
  <c r="B1514" i="22"/>
  <c r="L1513" i="22"/>
  <c r="K1513" i="22"/>
  <c r="J1513" i="22"/>
  <c r="B1513" i="22"/>
  <c r="L1512" i="22"/>
  <c r="K1512" i="22"/>
  <c r="J1512" i="22"/>
  <c r="B1512" i="22"/>
  <c r="L1511" i="22"/>
  <c r="K1511" i="22"/>
  <c r="J1511" i="22"/>
  <c r="B1511" i="22"/>
  <c r="L1510" i="22"/>
  <c r="K1510" i="22"/>
  <c r="J1510" i="22"/>
  <c r="B1510" i="22"/>
  <c r="L1509" i="22"/>
  <c r="K1509" i="22"/>
  <c r="J1509" i="22"/>
  <c r="B1509" i="22"/>
  <c r="L1508" i="22"/>
  <c r="J1508" i="22"/>
  <c r="H1507" i="22"/>
  <c r="D1615" i="26"/>
  <c r="D1614" i="26"/>
  <c r="D1613" i="26"/>
  <c r="D1612" i="26"/>
  <c r="D377" i="1"/>
  <c r="C377" i="1"/>
  <c r="D1611" i="26"/>
  <c r="D1610" i="26"/>
  <c r="D1609" i="26"/>
  <c r="D1608" i="26"/>
  <c r="D1606" i="26"/>
  <c r="D1607" i="26"/>
  <c r="D376" i="1"/>
  <c r="C376" i="1"/>
  <c r="D375" i="1"/>
  <c r="C375" i="1"/>
  <c r="D374" i="1"/>
  <c r="C374" i="1"/>
  <c r="D311" i="18"/>
  <c r="B311" i="18" s="1"/>
  <c r="L1503" i="22"/>
  <c r="K1503" i="22"/>
  <c r="J1503" i="22"/>
  <c r="L1502" i="22"/>
  <c r="K1502" i="22"/>
  <c r="J1502" i="22"/>
  <c r="L1501" i="22"/>
  <c r="K1501" i="22"/>
  <c r="J1501" i="22"/>
  <c r="L1500" i="22"/>
  <c r="K1500" i="22"/>
  <c r="J1500" i="22"/>
  <c r="L1499" i="22"/>
  <c r="K1499" i="22"/>
  <c r="J1499" i="22"/>
  <c r="L1498" i="22"/>
  <c r="K1498" i="22"/>
  <c r="J1498" i="22"/>
  <c r="L1497" i="22"/>
  <c r="K1497" i="22"/>
  <c r="J1497" i="22"/>
  <c r="H1496" i="22"/>
  <c r="F1505" i="22"/>
  <c r="E2368" i="22" s="1"/>
  <c r="E1505" i="22"/>
  <c r="D2367" i="22" s="1"/>
  <c r="B1504" i="22"/>
  <c r="B1503" i="22"/>
  <c r="B1502" i="22"/>
  <c r="B1501" i="22"/>
  <c r="B1500" i="22"/>
  <c r="B1499" i="22"/>
  <c r="B1498" i="22"/>
  <c r="D1505" i="22"/>
  <c r="C2368" i="22" s="1"/>
  <c r="B1497" i="22"/>
  <c r="D1605" i="26"/>
  <c r="D310" i="18"/>
  <c r="B310" i="18" s="1"/>
  <c r="D309" i="18"/>
  <c r="B309" i="18" s="1"/>
  <c r="D1604" i="26"/>
  <c r="D1603" i="26"/>
  <c r="D373" i="1"/>
  <c r="C373" i="1"/>
  <c r="D1602" i="26"/>
  <c r="D1600" i="26"/>
  <c r="D1599" i="26"/>
  <c r="D1601" i="26"/>
  <c r="D1598" i="26"/>
  <c r="D1597" i="26"/>
  <c r="D1595" i="26"/>
  <c r="D1596" i="26"/>
  <c r="E765" i="18"/>
  <c r="D1594" i="26"/>
  <c r="D372" i="1"/>
  <c r="C372" i="1"/>
  <c r="D371" i="1"/>
  <c r="C371" i="1"/>
  <c r="D370" i="1"/>
  <c r="C370" i="1"/>
  <c r="D308" i="18"/>
  <c r="B308" i="18" s="1"/>
  <c r="D307" i="18"/>
  <c r="B307" i="18" s="1"/>
  <c r="D306" i="18"/>
  <c r="B306" i="18" s="1"/>
  <c r="D305" i="18"/>
  <c r="B305" i="18" s="1"/>
  <c r="A2367" i="22"/>
  <c r="A2366" i="22"/>
  <c r="L1492" i="22"/>
  <c r="K1492" i="22"/>
  <c r="J1492" i="22"/>
  <c r="L1491" i="22"/>
  <c r="K1491" i="22"/>
  <c r="J1491" i="22"/>
  <c r="L1490" i="22"/>
  <c r="K1490" i="22"/>
  <c r="J1490" i="22"/>
  <c r="L1489" i="22"/>
  <c r="K1489" i="22"/>
  <c r="H1489" i="22" s="1"/>
  <c r="J1489" i="22"/>
  <c r="L1488" i="22"/>
  <c r="K1488" i="22"/>
  <c r="J1488" i="22"/>
  <c r="L1487" i="22"/>
  <c r="K1487" i="22"/>
  <c r="J1487" i="22"/>
  <c r="L1486" i="22"/>
  <c r="K1486" i="22"/>
  <c r="J1486" i="22"/>
  <c r="H1485" i="22"/>
  <c r="F1494" i="22"/>
  <c r="E2367" i="22" s="1"/>
  <c r="E1494" i="22"/>
  <c r="B1493" i="22"/>
  <c r="B1492" i="22"/>
  <c r="B1491" i="22"/>
  <c r="B1490" i="22"/>
  <c r="B1489" i="22"/>
  <c r="B1488" i="22"/>
  <c r="B1487" i="22"/>
  <c r="D1494" i="22"/>
  <c r="C2367" i="22" s="1"/>
  <c r="B1486" i="22"/>
  <c r="D1593" i="26"/>
  <c r="D1592" i="26"/>
  <c r="D1591" i="26"/>
  <c r="D1590" i="26"/>
  <c r="D1589" i="26"/>
  <c r="D1588" i="26"/>
  <c r="D1587" i="26"/>
  <c r="E369" i="1"/>
  <c r="C369" i="1"/>
  <c r="D1585" i="26"/>
  <c r="C1583" i="26"/>
  <c r="I1581" i="26"/>
  <c r="D1586" i="26"/>
  <c r="I299" i="18"/>
  <c r="D304" i="18"/>
  <c r="B304" i="18" s="1"/>
  <c r="D303" i="18"/>
  <c r="B303" i="18" s="1"/>
  <c r="D302" i="18"/>
  <c r="B302" i="18" s="1"/>
  <c r="D301" i="18"/>
  <c r="B301" i="18" s="1"/>
  <c r="E368" i="1"/>
  <c r="C368" i="1"/>
  <c r="L1481" i="22"/>
  <c r="K1481" i="22"/>
  <c r="J1481" i="22"/>
  <c r="L1480" i="22"/>
  <c r="K1480" i="22"/>
  <c r="J1480" i="22"/>
  <c r="L1479" i="22"/>
  <c r="K1479" i="22"/>
  <c r="J1479" i="22"/>
  <c r="L1478" i="22"/>
  <c r="K1478" i="22"/>
  <c r="J1478" i="22"/>
  <c r="L1477" i="22"/>
  <c r="K1477" i="22"/>
  <c r="J1477" i="22"/>
  <c r="L1476" i="22"/>
  <c r="K1476" i="22"/>
  <c r="J1476" i="22"/>
  <c r="L1475" i="22"/>
  <c r="K1475" i="22"/>
  <c r="J1475" i="22"/>
  <c r="H1475" i="22" s="1"/>
  <c r="H1474" i="22"/>
  <c r="F1483" i="22"/>
  <c r="E2366" i="22" s="1"/>
  <c r="E1483" i="22"/>
  <c r="D2366" i="22" s="1"/>
  <c r="B1482" i="22"/>
  <c r="B1481" i="22"/>
  <c r="B1480" i="22"/>
  <c r="B1479" i="22"/>
  <c r="B1478" i="22"/>
  <c r="B1476" i="22"/>
  <c r="E367" i="1"/>
  <c r="C367" i="1"/>
  <c r="D300" i="18"/>
  <c r="B300" i="18" s="1"/>
  <c r="D299" i="18"/>
  <c r="B299" i="18" s="1"/>
  <c r="I294" i="18"/>
  <c r="D1584" i="26"/>
  <c r="I293" i="18"/>
  <c r="D298" i="18"/>
  <c r="B298" i="18" s="1"/>
  <c r="D297" i="18"/>
  <c r="B297" i="18" s="1"/>
  <c r="I292" i="18"/>
  <c r="D1583" i="26"/>
  <c r="D295" i="18"/>
  <c r="B295" i="18" s="1"/>
  <c r="D296" i="18"/>
  <c r="B296" i="18" s="1"/>
  <c r="D294" i="18"/>
  <c r="B294" i="18" s="1"/>
  <c r="D293" i="18"/>
  <c r="B293" i="18" s="1"/>
  <c r="D292" i="18"/>
  <c r="B292" i="18" s="1"/>
  <c r="D291" i="18"/>
  <c r="B291" i="18" s="1"/>
  <c r="A2365" i="22"/>
  <c r="A2364" i="22"/>
  <c r="A2363" i="22"/>
  <c r="L1470" i="22"/>
  <c r="K1470" i="22"/>
  <c r="J1470" i="22"/>
  <c r="L1469" i="22"/>
  <c r="K1469" i="22"/>
  <c r="J1469" i="22"/>
  <c r="L1468" i="22"/>
  <c r="K1468" i="22"/>
  <c r="J1468" i="22"/>
  <c r="L1467" i="22"/>
  <c r="K1467" i="22"/>
  <c r="J1467" i="22"/>
  <c r="L1466" i="22"/>
  <c r="K1466" i="22"/>
  <c r="J1466" i="22"/>
  <c r="L1465" i="22"/>
  <c r="K1465" i="22"/>
  <c r="J1465" i="22"/>
  <c r="H1465" i="22" s="1"/>
  <c r="L1464" i="22"/>
  <c r="K1464" i="22"/>
  <c r="J1464" i="22"/>
  <c r="H1463" i="22"/>
  <c r="F1472" i="22"/>
  <c r="E2365" i="22" s="1"/>
  <c r="E1472" i="22"/>
  <c r="D2365" i="22" s="1"/>
  <c r="D1472" i="22"/>
  <c r="C2365" i="22" s="1"/>
  <c r="B1471" i="22"/>
  <c r="B1470" i="22"/>
  <c r="B1469" i="22"/>
  <c r="B1468" i="22"/>
  <c r="B1467" i="22"/>
  <c r="B1466" i="22"/>
  <c r="B1465" i="22"/>
  <c r="B1464" i="22"/>
  <c r="D1582" i="26"/>
  <c r="C1582" i="26"/>
  <c r="E366" i="1"/>
  <c r="C366" i="1"/>
  <c r="E365" i="1"/>
  <c r="C365" i="1"/>
  <c r="E364" i="1"/>
  <c r="C364" i="1"/>
  <c r="E363" i="1"/>
  <c r="C363" i="1"/>
  <c r="B1453" i="22"/>
  <c r="B1454" i="22"/>
  <c r="B1455" i="22"/>
  <c r="B1456" i="22"/>
  <c r="B1457" i="22"/>
  <c r="B1458" i="22"/>
  <c r="B1459" i="22"/>
  <c r="B1460" i="22"/>
  <c r="F1461" i="22"/>
  <c r="E2364" i="22" s="1"/>
  <c r="E1461" i="22"/>
  <c r="D2364" i="22" s="1"/>
  <c r="D1461" i="22"/>
  <c r="C2364" i="22" s="1"/>
  <c r="L1459" i="22"/>
  <c r="K1459" i="22"/>
  <c r="J1459" i="22"/>
  <c r="L1458" i="22"/>
  <c r="K1458" i="22"/>
  <c r="J1458" i="22"/>
  <c r="L1457" i="22"/>
  <c r="K1457" i="22"/>
  <c r="J1457" i="22"/>
  <c r="L1456" i="22"/>
  <c r="K1456" i="22"/>
  <c r="J1456" i="22"/>
  <c r="L1455" i="22"/>
  <c r="K1455" i="22"/>
  <c r="J1455" i="22"/>
  <c r="L1454" i="22"/>
  <c r="K1454" i="22"/>
  <c r="J1454" i="22"/>
  <c r="L1453" i="22"/>
  <c r="K1453" i="22"/>
  <c r="J1453" i="22"/>
  <c r="H1452" i="22"/>
  <c r="E362" i="1"/>
  <c r="C362" i="1"/>
  <c r="D1581" i="26"/>
  <c r="C1581" i="26"/>
  <c r="D1580" i="26"/>
  <c r="B1580" i="26"/>
  <c r="C1580" i="26" s="1"/>
  <c r="D1579" i="26"/>
  <c r="C1579" i="26"/>
  <c r="D1578" i="26"/>
  <c r="C1578" i="26"/>
  <c r="D1577" i="26"/>
  <c r="C1577" i="26"/>
  <c r="F1450" i="22"/>
  <c r="E2363" i="22" s="1"/>
  <c r="E1450" i="22"/>
  <c r="D2363" i="22" s="1"/>
  <c r="D1450" i="22"/>
  <c r="C2363" i="22" s="1"/>
  <c r="B1449" i="22"/>
  <c r="L1448" i="22"/>
  <c r="K1448" i="22"/>
  <c r="J1448" i="22"/>
  <c r="B1448" i="22"/>
  <c r="L1447" i="22"/>
  <c r="K1447" i="22"/>
  <c r="J1447" i="22"/>
  <c r="B1447" i="22"/>
  <c r="L1446" i="22"/>
  <c r="K1446" i="22"/>
  <c r="J1446" i="22"/>
  <c r="B1446" i="22"/>
  <c r="L1445" i="22"/>
  <c r="K1445" i="22"/>
  <c r="J1445" i="22"/>
  <c r="B1445" i="22"/>
  <c r="L1444" i="22"/>
  <c r="K1444" i="22"/>
  <c r="J1444" i="22"/>
  <c r="B1444" i="22"/>
  <c r="L1443" i="22"/>
  <c r="K1443" i="22"/>
  <c r="J1443" i="22"/>
  <c r="B1443" i="22"/>
  <c r="L1442" i="22"/>
  <c r="K1442" i="22"/>
  <c r="J1442" i="22"/>
  <c r="B1442" i="22"/>
  <c r="H1441" i="22"/>
  <c r="D1567" i="26"/>
  <c r="C1567" i="26"/>
  <c r="D1566" i="26"/>
  <c r="C1566" i="26"/>
  <c r="E361" i="1"/>
  <c r="C361" i="1"/>
  <c r="E360" i="1"/>
  <c r="C360" i="1"/>
  <c r="C1565" i="26"/>
  <c r="D1565" i="26"/>
  <c r="D1564" i="26"/>
  <c r="C1564" i="26"/>
  <c r="D1563" i="26"/>
  <c r="C1563" i="26"/>
  <c r="A2360" i="22"/>
  <c r="A2362" i="22"/>
  <c r="A2361" i="22"/>
  <c r="A2359" i="22"/>
  <c r="A2358" i="22"/>
  <c r="L1437" i="22"/>
  <c r="K1437" i="22"/>
  <c r="J1437" i="22"/>
  <c r="L1436" i="22"/>
  <c r="K1436" i="22"/>
  <c r="J1436" i="22"/>
  <c r="L1435" i="22"/>
  <c r="K1435" i="22"/>
  <c r="J1435" i="22"/>
  <c r="L1434" i="22"/>
  <c r="K1434" i="22"/>
  <c r="J1434" i="22"/>
  <c r="L1433" i="22"/>
  <c r="K1433" i="22"/>
  <c r="J1433" i="22"/>
  <c r="L1432" i="22"/>
  <c r="K1432" i="22"/>
  <c r="J1432" i="22"/>
  <c r="L1431" i="22"/>
  <c r="K1431" i="22"/>
  <c r="J1431" i="22"/>
  <c r="H1430" i="22"/>
  <c r="F1439" i="22"/>
  <c r="E2362" i="22" s="1"/>
  <c r="E1439" i="22"/>
  <c r="D2362" i="22" s="1"/>
  <c r="B1438" i="22"/>
  <c r="B1437" i="22"/>
  <c r="B1436" i="22"/>
  <c r="B1435" i="22"/>
  <c r="B1434" i="22"/>
  <c r="B1433" i="22"/>
  <c r="B1432" i="22"/>
  <c r="D1439" i="22"/>
  <c r="C2362" i="22" s="1"/>
  <c r="B1431" i="22"/>
  <c r="D1562" i="26"/>
  <c r="C1562" i="26"/>
  <c r="D1561" i="26"/>
  <c r="C1561" i="26"/>
  <c r="D1560" i="26"/>
  <c r="C1560" i="26"/>
  <c r="B287" i="18"/>
  <c r="B285" i="18"/>
  <c r="D1559" i="26"/>
  <c r="C1559" i="26"/>
  <c r="D1558" i="26"/>
  <c r="C1558" i="26"/>
  <c r="L1426" i="22"/>
  <c r="K1426" i="22"/>
  <c r="J1426" i="22"/>
  <c r="L1425" i="22"/>
  <c r="K1425" i="22"/>
  <c r="J1425" i="22"/>
  <c r="L1424" i="22"/>
  <c r="K1424" i="22"/>
  <c r="J1424" i="22"/>
  <c r="L1423" i="22"/>
  <c r="K1423" i="22"/>
  <c r="J1423" i="22"/>
  <c r="L1422" i="22"/>
  <c r="K1422" i="22"/>
  <c r="J1422" i="22"/>
  <c r="L1421" i="22"/>
  <c r="K1421" i="22"/>
  <c r="J1421" i="22"/>
  <c r="L1420" i="22"/>
  <c r="K1420" i="22"/>
  <c r="J1420" i="22"/>
  <c r="H1419" i="22"/>
  <c r="F1428" i="22"/>
  <c r="E2361" i="22" s="1"/>
  <c r="E1428" i="22"/>
  <c r="D2361" i="22" s="1"/>
  <c r="B1427" i="22"/>
  <c r="B1426" i="22"/>
  <c r="B1425" i="22"/>
  <c r="B1424" i="22"/>
  <c r="B1423" i="22"/>
  <c r="B1422" i="22"/>
  <c r="B1421" i="22"/>
  <c r="D1428" i="22"/>
  <c r="C2361" i="22" s="1"/>
  <c r="B1420" i="22"/>
  <c r="B286" i="18"/>
  <c r="B284" i="18"/>
  <c r="B283" i="18"/>
  <c r="B282" i="18"/>
  <c r="B281" i="18"/>
  <c r="B280" i="18"/>
  <c r="B279" i="18"/>
  <c r="B277" i="18"/>
  <c r="J1411" i="22"/>
  <c r="D1557" i="26"/>
  <c r="C1557" i="26"/>
  <c r="L1415" i="22"/>
  <c r="K1415" i="22"/>
  <c r="J1415" i="22"/>
  <c r="L1414" i="22"/>
  <c r="K1414" i="22"/>
  <c r="L1413" i="22"/>
  <c r="K1413" i="22"/>
  <c r="J1413" i="22"/>
  <c r="L1412" i="22"/>
  <c r="K1412" i="22"/>
  <c r="J1412" i="22"/>
  <c r="L1411" i="22"/>
  <c r="K1411" i="22"/>
  <c r="L1410" i="22"/>
  <c r="K1410" i="22"/>
  <c r="J1410" i="22"/>
  <c r="L1409" i="22"/>
  <c r="K1409" i="22"/>
  <c r="J1409" i="22"/>
  <c r="H1409" i="22" s="1"/>
  <c r="H1408" i="22"/>
  <c r="F1417" i="22"/>
  <c r="E2360" i="22" s="1"/>
  <c r="E1417" i="22"/>
  <c r="D2360" i="22" s="1"/>
  <c r="B1416" i="22"/>
  <c r="B1415" i="22"/>
  <c r="J1414" i="22"/>
  <c r="B1414" i="22"/>
  <c r="B1413" i="22"/>
  <c r="B1412" i="22"/>
  <c r="B1411" i="22"/>
  <c r="B1410" i="22"/>
  <c r="D1417" i="22"/>
  <c r="C2360" i="22" s="1"/>
  <c r="B1409" i="22"/>
  <c r="B276" i="18"/>
  <c r="B278" i="18"/>
  <c r="D274" i="18"/>
  <c r="B274" i="18" s="1"/>
  <c r="D1556" i="26"/>
  <c r="C1556" i="26"/>
  <c r="B273" i="18"/>
  <c r="B275" i="18"/>
  <c r="B272" i="18"/>
  <c r="D271" i="18"/>
  <c r="B271" i="18" s="1"/>
  <c r="B270" i="18"/>
  <c r="D268" i="18"/>
  <c r="B268" i="18" s="1"/>
  <c r="D269" i="18"/>
  <c r="B269" i="18" s="1"/>
  <c r="D267" i="18"/>
  <c r="B267" i="18" s="1"/>
  <c r="D1555" i="26"/>
  <c r="C1555" i="26"/>
  <c r="D266" i="18"/>
  <c r="B266" i="18" s="1"/>
  <c r="F1406" i="22"/>
  <c r="E2359" i="22" s="1"/>
  <c r="E1406" i="22"/>
  <c r="D2359" i="22" s="1"/>
  <c r="D1406" i="22"/>
  <c r="C2359" i="22" s="1"/>
  <c r="J1387" i="22"/>
  <c r="K1387" i="22"/>
  <c r="L1387" i="22"/>
  <c r="J1388" i="22"/>
  <c r="K1388" i="22"/>
  <c r="L1388" i="22"/>
  <c r="J1389" i="22"/>
  <c r="K1389" i="22"/>
  <c r="L1389" i="22"/>
  <c r="J1390" i="22"/>
  <c r="K1390" i="22"/>
  <c r="L1390" i="22"/>
  <c r="J1391" i="22"/>
  <c r="K1391" i="22"/>
  <c r="L1391" i="22"/>
  <c r="J1392" i="22"/>
  <c r="K1392" i="22"/>
  <c r="L1392" i="22"/>
  <c r="J1393" i="22"/>
  <c r="K1393" i="22"/>
  <c r="L1393" i="22"/>
  <c r="B1405" i="22"/>
  <c r="B1387" i="22"/>
  <c r="B1388" i="22"/>
  <c r="B1389" i="22"/>
  <c r="B1390" i="22"/>
  <c r="B1391" i="22"/>
  <c r="B1392" i="22"/>
  <c r="B1393" i="22"/>
  <c r="B1394" i="22"/>
  <c r="L1404" i="22"/>
  <c r="K1404" i="22"/>
  <c r="J1404" i="22"/>
  <c r="B1404" i="22"/>
  <c r="L1403" i="22"/>
  <c r="K1403" i="22"/>
  <c r="J1403" i="22"/>
  <c r="B1403" i="22"/>
  <c r="L1402" i="22"/>
  <c r="K1402" i="22"/>
  <c r="J1402" i="22"/>
  <c r="B1402" i="22"/>
  <c r="L1401" i="22"/>
  <c r="K1401" i="22"/>
  <c r="J1401" i="22"/>
  <c r="B1401" i="22"/>
  <c r="L1400" i="22"/>
  <c r="K1400" i="22"/>
  <c r="J1400" i="22"/>
  <c r="B1400" i="22"/>
  <c r="L1399" i="22"/>
  <c r="K1399" i="22"/>
  <c r="J1399" i="22"/>
  <c r="B1399" i="22"/>
  <c r="L1398" i="22"/>
  <c r="K1398" i="22"/>
  <c r="J1398" i="22"/>
  <c r="B1398" i="22"/>
  <c r="H1397" i="22"/>
  <c r="J289" i="18"/>
  <c r="B265" i="18"/>
  <c r="D1554" i="26"/>
  <c r="C1554" i="26"/>
  <c r="B264" i="18"/>
  <c r="D1553" i="26"/>
  <c r="C1553" i="26"/>
  <c r="B263" i="18"/>
  <c r="B260" i="18"/>
  <c r="B262" i="18"/>
  <c r="B261" i="18"/>
  <c r="D1552" i="26"/>
  <c r="C1552" i="26"/>
  <c r="D1551" i="26"/>
  <c r="C1551" i="26"/>
  <c r="B259" i="18"/>
  <c r="L1550" i="26"/>
  <c r="K1549" i="26" s="1"/>
  <c r="D1549" i="26"/>
  <c r="C1549" i="26"/>
  <c r="F1395" i="22"/>
  <c r="E2358" i="22" s="1"/>
  <c r="E1395" i="22"/>
  <c r="D2358" i="22" s="1"/>
  <c r="D1395" i="22"/>
  <c r="C2358" i="22" s="1"/>
  <c r="H1386" i="22"/>
  <c r="D1548" i="26"/>
  <c r="C1548" i="26"/>
  <c r="D1547" i="26"/>
  <c r="C1547" i="26"/>
  <c r="D1546" i="26"/>
  <c r="C1546" i="26"/>
  <c r="D1545" i="26"/>
  <c r="C1545" i="26"/>
  <c r="D258" i="18"/>
  <c r="D1544" i="26"/>
  <c r="C1544" i="26"/>
  <c r="A2357" i="22"/>
  <c r="B1376" i="22"/>
  <c r="B1377" i="22"/>
  <c r="B1378" i="22"/>
  <c r="B1379" i="22"/>
  <c r="B1380" i="22"/>
  <c r="B1381" i="22"/>
  <c r="B1382" i="22"/>
  <c r="F1384" i="22"/>
  <c r="E2357" i="22" s="1"/>
  <c r="E1384" i="22"/>
  <c r="D2357" i="22"/>
  <c r="D1384" i="22"/>
  <c r="C2357" i="22" s="1"/>
  <c r="J1101" i="22"/>
  <c r="K1101" i="22"/>
  <c r="F1090" i="22"/>
  <c r="L1101" i="22" s="1"/>
  <c r="J1102" i="22"/>
  <c r="K1102" i="22"/>
  <c r="L1102" i="22"/>
  <c r="J1103" i="22"/>
  <c r="K1103" i="22"/>
  <c r="L1103" i="22"/>
  <c r="J1104" i="22"/>
  <c r="K1104" i="22"/>
  <c r="L1104" i="22"/>
  <c r="J1105" i="22"/>
  <c r="K1105" i="22"/>
  <c r="L1105" i="22"/>
  <c r="J1106" i="22"/>
  <c r="K1106" i="22"/>
  <c r="L1106" i="22"/>
  <c r="J1107" i="22"/>
  <c r="K1107" i="22"/>
  <c r="L1107" i="22"/>
  <c r="B1383" i="22"/>
  <c r="B1343" i="22"/>
  <c r="B1344" i="22"/>
  <c r="B1345" i="22"/>
  <c r="B1346" i="22"/>
  <c r="B1347" i="22"/>
  <c r="B1348" i="22"/>
  <c r="B1349" i="22"/>
  <c r="B1350" i="22"/>
  <c r="L1382" i="22"/>
  <c r="K1382" i="22"/>
  <c r="J1382" i="22"/>
  <c r="L1381" i="22"/>
  <c r="K1381" i="22"/>
  <c r="J1381" i="22"/>
  <c r="L1380" i="22"/>
  <c r="K1380" i="22"/>
  <c r="J1380" i="22"/>
  <c r="L1379" i="22"/>
  <c r="K1379" i="22"/>
  <c r="J1379" i="22"/>
  <c r="L1378" i="22"/>
  <c r="L1376" i="22"/>
  <c r="L1377" i="22"/>
  <c r="K1378" i="22"/>
  <c r="J1378" i="22"/>
  <c r="K1377" i="22"/>
  <c r="J1377" i="22"/>
  <c r="K1376" i="22"/>
  <c r="J1376" i="22"/>
  <c r="H1375" i="22"/>
  <c r="D1543" i="26"/>
  <c r="C1543" i="26"/>
  <c r="F1362" i="22"/>
  <c r="E2355" i="22" s="1"/>
  <c r="E1362" i="22"/>
  <c r="D2355" i="22" s="1"/>
  <c r="D1362" i="22"/>
  <c r="C2355" i="22" s="1"/>
  <c r="F1351" i="22"/>
  <c r="E2354" i="22" s="1"/>
  <c r="E1351" i="22"/>
  <c r="D2354" i="22" s="1"/>
  <c r="D1351" i="22"/>
  <c r="C2354" i="22" s="1"/>
  <c r="A2356" i="22"/>
  <c r="A2355" i="22"/>
  <c r="A2354" i="22"/>
  <c r="F1373" i="22"/>
  <c r="E2356" i="22" s="1"/>
  <c r="E1373" i="22"/>
  <c r="D2356" i="22" s="1"/>
  <c r="D1373" i="22"/>
  <c r="C2356" i="22"/>
  <c r="B1372" i="22"/>
  <c r="L1371" i="22"/>
  <c r="K1371" i="22"/>
  <c r="J1371" i="22"/>
  <c r="B1371" i="22"/>
  <c r="L1370" i="22"/>
  <c r="K1370" i="22"/>
  <c r="J1370" i="22"/>
  <c r="B1370" i="22"/>
  <c r="L1369" i="22"/>
  <c r="K1369" i="22"/>
  <c r="J1369" i="22"/>
  <c r="B1369" i="22"/>
  <c r="L1368" i="22"/>
  <c r="K1368" i="22"/>
  <c r="J1368" i="22"/>
  <c r="B1368" i="22"/>
  <c r="L1367" i="22"/>
  <c r="L1365" i="22"/>
  <c r="L1366" i="22"/>
  <c r="K1367" i="22"/>
  <c r="J1367" i="22"/>
  <c r="B1367" i="22"/>
  <c r="B1365" i="22"/>
  <c r="B1366" i="22"/>
  <c r="K1366" i="22"/>
  <c r="J1366" i="22"/>
  <c r="J1365" i="22"/>
  <c r="K1365" i="22"/>
  <c r="H1364" i="22"/>
  <c r="D1541" i="26"/>
  <c r="B1541" i="26"/>
  <c r="B1570" i="26" s="1"/>
  <c r="B1361" i="22"/>
  <c r="L1360" i="22"/>
  <c r="K1360" i="22"/>
  <c r="J1360" i="22"/>
  <c r="H1360" i="22" s="1"/>
  <c r="B1360" i="22"/>
  <c r="L1359" i="22"/>
  <c r="K1359" i="22"/>
  <c r="J1359" i="22"/>
  <c r="B1359" i="22"/>
  <c r="L1358" i="22"/>
  <c r="K1358" i="22"/>
  <c r="J1358" i="22"/>
  <c r="B1358" i="22"/>
  <c r="L1357" i="22"/>
  <c r="K1357" i="22"/>
  <c r="J1357" i="22"/>
  <c r="B1357" i="22"/>
  <c r="L1356" i="22"/>
  <c r="L1354" i="22"/>
  <c r="L1355" i="22"/>
  <c r="K1356" i="22"/>
  <c r="J1356" i="22"/>
  <c r="B1356" i="22"/>
  <c r="K1355" i="22"/>
  <c r="J1355" i="22"/>
  <c r="B1355" i="22"/>
  <c r="K1354" i="22"/>
  <c r="J1354" i="22"/>
  <c r="B1354" i="22"/>
  <c r="H1353" i="22"/>
  <c r="B1496" i="26"/>
  <c r="C1496" i="26" s="1"/>
  <c r="B1497" i="26"/>
  <c r="C1497" i="26" s="1"/>
  <c r="B1498" i="26"/>
  <c r="C1498" i="26" s="1"/>
  <c r="B1499" i="26"/>
  <c r="C1499" i="26" s="1"/>
  <c r="B1500" i="26"/>
  <c r="C1500" i="26" s="1"/>
  <c r="B1501" i="26"/>
  <c r="C1501" i="26" s="1"/>
  <c r="B1502" i="26"/>
  <c r="C1502" i="26" s="1"/>
  <c r="B1503" i="26"/>
  <c r="C1503" i="26" s="1"/>
  <c r="B1504" i="26"/>
  <c r="C1504" i="26" s="1"/>
  <c r="B1505" i="26"/>
  <c r="C1505" i="26" s="1"/>
  <c r="B1506" i="26"/>
  <c r="C1506" i="26" s="1"/>
  <c r="B1507" i="26"/>
  <c r="C1507" i="26" s="1"/>
  <c r="C1508" i="26"/>
  <c r="C1509" i="26"/>
  <c r="C1510" i="26"/>
  <c r="C1511" i="26"/>
  <c r="C1512" i="26"/>
  <c r="C1513" i="26"/>
  <c r="C1514" i="26"/>
  <c r="C1515" i="26"/>
  <c r="C1516" i="26"/>
  <c r="C1517" i="26"/>
  <c r="D1540" i="26"/>
  <c r="C1540" i="26"/>
  <c r="D1539" i="26"/>
  <c r="C1539" i="26"/>
  <c r="B1530" i="26"/>
  <c r="E619" i="18"/>
  <c r="D257" i="18"/>
  <c r="L1349" i="22"/>
  <c r="K1349" i="22"/>
  <c r="J1349" i="22"/>
  <c r="L1348" i="22"/>
  <c r="K1348" i="22"/>
  <c r="J1348" i="22"/>
  <c r="L1347" i="22"/>
  <c r="K1347" i="22"/>
  <c r="J1347" i="22"/>
  <c r="L1346" i="22"/>
  <c r="K1346" i="22"/>
  <c r="J1346" i="22"/>
  <c r="L1345" i="22"/>
  <c r="K1345" i="22"/>
  <c r="J1345" i="22"/>
  <c r="H1345" i="22" s="1"/>
  <c r="J1343" i="22"/>
  <c r="J1344" i="22"/>
  <c r="L1344" i="22"/>
  <c r="K1344" i="22"/>
  <c r="L1343" i="22"/>
  <c r="K1343" i="22"/>
  <c r="H1342" i="22"/>
  <c r="A2353" i="22"/>
  <c r="B1332" i="22"/>
  <c r="F1340" i="22"/>
  <c r="E2353" i="22" s="1"/>
  <c r="E1340" i="22"/>
  <c r="D2353" i="22" s="1"/>
  <c r="D1340" i="22"/>
  <c r="C2353" i="22" s="1"/>
  <c r="B1339" i="22"/>
  <c r="L1338" i="22"/>
  <c r="K1338" i="22"/>
  <c r="J1338" i="22"/>
  <c r="B1338" i="22"/>
  <c r="L1337" i="22"/>
  <c r="K1337" i="22"/>
  <c r="J1337" i="22"/>
  <c r="B1337" i="22"/>
  <c r="L1336" i="22"/>
  <c r="K1336" i="22"/>
  <c r="J1336" i="22"/>
  <c r="B1336" i="22"/>
  <c r="L1335" i="22"/>
  <c r="K1335" i="22"/>
  <c r="J1335" i="22"/>
  <c r="B1335" i="22"/>
  <c r="L1334" i="22"/>
  <c r="L1332" i="22"/>
  <c r="L1333" i="22"/>
  <c r="K1334" i="22"/>
  <c r="J1334" i="22"/>
  <c r="B1334" i="22"/>
  <c r="K1333" i="22"/>
  <c r="J1333" i="22"/>
  <c r="B1333" i="22"/>
  <c r="K1332" i="22"/>
  <c r="J1332" i="22"/>
  <c r="H1331" i="22"/>
  <c r="C256" i="18"/>
  <c r="C255" i="18"/>
  <c r="B1321" i="22"/>
  <c r="B1322" i="22"/>
  <c r="B1323" i="22"/>
  <c r="B1324" i="22"/>
  <c r="B1325" i="22"/>
  <c r="B1326" i="22"/>
  <c r="B1327" i="22"/>
  <c r="B1328" i="22"/>
  <c r="A2352" i="22"/>
  <c r="B1310" i="22"/>
  <c r="B1311" i="22"/>
  <c r="B1312" i="22"/>
  <c r="B1313" i="22"/>
  <c r="B1314" i="22"/>
  <c r="B1315" i="22"/>
  <c r="B1316" i="22"/>
  <c r="B1317" i="22"/>
  <c r="L1327" i="22"/>
  <c r="K1327" i="22"/>
  <c r="J1327" i="22"/>
  <c r="L1326" i="22"/>
  <c r="K1326" i="22"/>
  <c r="J1326" i="22"/>
  <c r="L1325" i="22"/>
  <c r="K1325" i="22"/>
  <c r="J1325" i="22"/>
  <c r="L1324" i="22"/>
  <c r="K1324" i="22"/>
  <c r="J1324" i="22"/>
  <c r="L1323" i="22"/>
  <c r="K1323" i="22"/>
  <c r="J1323" i="22"/>
  <c r="L1322" i="22"/>
  <c r="K1322" i="22"/>
  <c r="J1322" i="22"/>
  <c r="L1321" i="22"/>
  <c r="K1321" i="22"/>
  <c r="J1321" i="22"/>
  <c r="H1320" i="22"/>
  <c r="F1329" i="22"/>
  <c r="E2352" i="22" s="1"/>
  <c r="E1329" i="22"/>
  <c r="D2352" i="22" s="1"/>
  <c r="D1329" i="22"/>
  <c r="C2352" i="22" s="1"/>
  <c r="G619" i="18"/>
  <c r="J1311" i="22"/>
  <c r="K1311" i="22"/>
  <c r="L1311" i="22"/>
  <c r="J1310" i="22"/>
  <c r="K1310" i="22"/>
  <c r="L1310" i="22"/>
  <c r="J1312" i="22"/>
  <c r="K1312" i="22"/>
  <c r="L1312" i="22"/>
  <c r="J1313" i="22"/>
  <c r="K1313" i="22"/>
  <c r="L1313" i="22"/>
  <c r="J1314" i="22"/>
  <c r="K1314" i="22"/>
  <c r="L1314" i="22"/>
  <c r="J1315" i="22"/>
  <c r="K1315" i="22"/>
  <c r="L1315" i="22"/>
  <c r="J1316" i="22"/>
  <c r="K1316" i="22"/>
  <c r="L1316" i="22"/>
  <c r="F1318" i="22"/>
  <c r="E2351" i="22" s="1"/>
  <c r="A2351" i="22"/>
  <c r="H1309" i="22"/>
  <c r="E1318" i="22"/>
  <c r="D2351" i="22" s="1"/>
  <c r="D1318" i="22"/>
  <c r="C2351" i="22" s="1"/>
  <c r="B1299" i="22"/>
  <c r="B1300" i="22"/>
  <c r="B1301" i="22"/>
  <c r="B1302" i="22"/>
  <c r="B1303" i="22"/>
  <c r="B1304" i="22"/>
  <c r="B1305" i="22"/>
  <c r="B1306" i="22"/>
  <c r="D1528" i="26"/>
  <c r="C1528" i="26"/>
  <c r="D1527" i="26"/>
  <c r="C1527" i="26"/>
  <c r="D1526" i="26"/>
  <c r="C1526" i="26"/>
  <c r="D1525" i="26"/>
  <c r="C1525" i="26"/>
  <c r="B144" i="22"/>
  <c r="B145" i="22"/>
  <c r="B146" i="22"/>
  <c r="B147" i="22"/>
  <c r="B148" i="22"/>
  <c r="B149" i="22"/>
  <c r="B150" i="22"/>
  <c r="B133" i="22"/>
  <c r="B134" i="22"/>
  <c r="B135" i="22"/>
  <c r="B136" i="22"/>
  <c r="B137" i="22"/>
  <c r="B138" i="22"/>
  <c r="B139" i="22"/>
  <c r="B155" i="22"/>
  <c r="B156" i="22"/>
  <c r="B157" i="22"/>
  <c r="B158" i="22"/>
  <c r="B159" i="22"/>
  <c r="B160" i="22"/>
  <c r="B161" i="22"/>
  <c r="B166" i="22"/>
  <c r="B167" i="22"/>
  <c r="E168" i="22"/>
  <c r="F168" i="22"/>
  <c r="F169" i="22"/>
  <c r="L169" i="22" s="1"/>
  <c r="B170" i="22"/>
  <c r="B171" i="22"/>
  <c r="B172" i="22"/>
  <c r="B177" i="22"/>
  <c r="B178" i="22"/>
  <c r="B179" i="22"/>
  <c r="B180" i="22"/>
  <c r="B181" i="22"/>
  <c r="B182" i="22"/>
  <c r="B183" i="22"/>
  <c r="B188" i="22"/>
  <c r="B189" i="22"/>
  <c r="B190" i="22"/>
  <c r="B191" i="22"/>
  <c r="B192" i="22"/>
  <c r="B193" i="22"/>
  <c r="B194" i="22"/>
  <c r="B199" i="22"/>
  <c r="B200" i="22"/>
  <c r="B201" i="22"/>
  <c r="B202" i="22"/>
  <c r="B203" i="22"/>
  <c r="B204" i="22"/>
  <c r="B205" i="22"/>
  <c r="B210" i="22"/>
  <c r="B211" i="22"/>
  <c r="B212" i="22"/>
  <c r="B213" i="22"/>
  <c r="B214" i="22"/>
  <c r="B215" i="22"/>
  <c r="B216" i="22"/>
  <c r="B229" i="22"/>
  <c r="B240" i="22"/>
  <c r="B243" i="22"/>
  <c r="B244" i="22"/>
  <c r="B245" i="22"/>
  <c r="B246" i="22"/>
  <c r="B247" i="22"/>
  <c r="B248" i="22"/>
  <c r="B249" i="22"/>
  <c r="B254" i="22"/>
  <c r="B255" i="22"/>
  <c r="B256" i="22"/>
  <c r="B257" i="22"/>
  <c r="B258" i="22"/>
  <c r="B259" i="22"/>
  <c r="B260" i="22"/>
  <c r="B265" i="22"/>
  <c r="B266" i="22"/>
  <c r="B267" i="22"/>
  <c r="B268" i="22"/>
  <c r="B269" i="22"/>
  <c r="B270" i="22"/>
  <c r="B271" i="22"/>
  <c r="B276" i="22"/>
  <c r="B277" i="22"/>
  <c r="B278" i="22"/>
  <c r="B279" i="22"/>
  <c r="E280" i="22"/>
  <c r="F280" i="22"/>
  <c r="L280" i="22" s="1"/>
  <c r="B281" i="22"/>
  <c r="B282" i="22"/>
  <c r="B287" i="22"/>
  <c r="B288" i="22"/>
  <c r="B289" i="22"/>
  <c r="B290" i="22"/>
  <c r="B291" i="22"/>
  <c r="B292" i="22"/>
  <c r="B293" i="22"/>
  <c r="B298" i="22"/>
  <c r="B299" i="22"/>
  <c r="B300" i="22"/>
  <c r="B301" i="22"/>
  <c r="B302" i="22"/>
  <c r="B303" i="22"/>
  <c r="B304" i="22"/>
  <c r="B305" i="22"/>
  <c r="B309" i="22"/>
  <c r="B310" i="22"/>
  <c r="B311" i="22"/>
  <c r="B312" i="22"/>
  <c r="B313" i="22"/>
  <c r="B314" i="22"/>
  <c r="B315" i="22"/>
  <c r="B320" i="22"/>
  <c r="B321" i="22"/>
  <c r="B322" i="22"/>
  <c r="B323" i="22"/>
  <c r="B324" i="22"/>
  <c r="B325" i="22"/>
  <c r="B326" i="22"/>
  <c r="B331" i="22"/>
  <c r="B332" i="22"/>
  <c r="B333" i="22"/>
  <c r="B334" i="22"/>
  <c r="B335" i="22"/>
  <c r="B336" i="22"/>
  <c r="B337" i="22"/>
  <c r="B342" i="22"/>
  <c r="B343" i="22"/>
  <c r="B344" i="22"/>
  <c r="B345" i="22"/>
  <c r="B346" i="22"/>
  <c r="B347" i="22"/>
  <c r="B348" i="22"/>
  <c r="B353" i="22"/>
  <c r="B354" i="22"/>
  <c r="B355" i="22"/>
  <c r="B356" i="22"/>
  <c r="B357" i="22"/>
  <c r="B358" i="22"/>
  <c r="B359" i="22"/>
  <c r="B360" i="22"/>
  <c r="B364" i="22"/>
  <c r="B365" i="22"/>
  <c r="B366" i="22"/>
  <c r="B367" i="22"/>
  <c r="B368" i="22"/>
  <c r="B369" i="22"/>
  <c r="B370" i="22"/>
  <c r="D375" i="22"/>
  <c r="B376" i="22"/>
  <c r="D377" i="22"/>
  <c r="B377" i="22" s="1"/>
  <c r="B378" i="22"/>
  <c r="B379" i="22"/>
  <c r="B380" i="22"/>
  <c r="B381" i="22"/>
  <c r="B382" i="22"/>
  <c r="B386" i="22"/>
  <c r="B387" i="22"/>
  <c r="B388" i="22"/>
  <c r="B389" i="22"/>
  <c r="B390" i="22"/>
  <c r="B391" i="22"/>
  <c r="B392" i="22"/>
  <c r="B393" i="22"/>
  <c r="B397" i="22"/>
  <c r="B398" i="22"/>
  <c r="B399" i="22"/>
  <c r="B400" i="22"/>
  <c r="B401" i="22"/>
  <c r="B402" i="22"/>
  <c r="B403" i="22"/>
  <c r="B404" i="22"/>
  <c r="B408" i="22"/>
  <c r="B409" i="22"/>
  <c r="B410" i="22"/>
  <c r="B411" i="22"/>
  <c r="B412" i="22"/>
  <c r="B413" i="22"/>
  <c r="B414" i="22"/>
  <c r="B415" i="22"/>
  <c r="B419" i="22"/>
  <c r="B420" i="22"/>
  <c r="B421" i="22"/>
  <c r="B422" i="22"/>
  <c r="B423" i="22"/>
  <c r="B424" i="22"/>
  <c r="B425" i="22"/>
  <c r="B426" i="22"/>
  <c r="B430" i="22"/>
  <c r="B431" i="22"/>
  <c r="B432" i="22"/>
  <c r="B433" i="22"/>
  <c r="B434" i="22"/>
  <c r="B435" i="22"/>
  <c r="B436" i="22"/>
  <c r="B437" i="22"/>
  <c r="B441" i="22"/>
  <c r="B442" i="22"/>
  <c r="B443" i="22"/>
  <c r="B444" i="22"/>
  <c r="B445" i="22"/>
  <c r="B446" i="22"/>
  <c r="B447" i="22"/>
  <c r="B448" i="22"/>
  <c r="B452" i="22"/>
  <c r="B453" i="22"/>
  <c r="B454" i="22"/>
  <c r="B455" i="22"/>
  <c r="B456" i="22"/>
  <c r="B457" i="22"/>
  <c r="B458" i="22"/>
  <c r="B463" i="22"/>
  <c r="B464" i="22"/>
  <c r="B465" i="22"/>
  <c r="B466" i="22"/>
  <c r="B467" i="22"/>
  <c r="B468" i="22"/>
  <c r="B469" i="22"/>
  <c r="B470" i="22"/>
  <c r="B474" i="22"/>
  <c r="B475" i="22"/>
  <c r="B476" i="22"/>
  <c r="B477" i="22"/>
  <c r="B478" i="22"/>
  <c r="B479" i="22"/>
  <c r="B480" i="22"/>
  <c r="B481" i="22"/>
  <c r="B485" i="22"/>
  <c r="B486" i="22"/>
  <c r="B487" i="22"/>
  <c r="B488" i="22"/>
  <c r="B489" i="22"/>
  <c r="B490" i="22"/>
  <c r="B491" i="22"/>
  <c r="B492" i="22"/>
  <c r="B496" i="22"/>
  <c r="B497" i="22"/>
  <c r="B498" i="22"/>
  <c r="B499" i="22"/>
  <c r="B500" i="22"/>
  <c r="B501" i="22"/>
  <c r="B502" i="22"/>
  <c r="B503" i="22"/>
  <c r="B507" i="22"/>
  <c r="B508" i="22"/>
  <c r="B509" i="22"/>
  <c r="B510" i="22"/>
  <c r="B511" i="22"/>
  <c r="B512" i="22"/>
  <c r="B513" i="22"/>
  <c r="B514" i="22"/>
  <c r="B518" i="22"/>
  <c r="B519" i="22"/>
  <c r="B520" i="22"/>
  <c r="B521" i="22"/>
  <c r="B522" i="22"/>
  <c r="B523" i="22"/>
  <c r="B524" i="22"/>
  <c r="B529" i="22"/>
  <c r="B530" i="22"/>
  <c r="B531" i="22"/>
  <c r="B532" i="22"/>
  <c r="B533" i="22"/>
  <c r="B534" i="22"/>
  <c r="B535" i="22"/>
  <c r="B540" i="22"/>
  <c r="B541" i="22"/>
  <c r="B542" i="22"/>
  <c r="B543" i="22"/>
  <c r="B544" i="22"/>
  <c r="B545" i="22"/>
  <c r="B546" i="22"/>
  <c r="B551" i="22"/>
  <c r="B552" i="22"/>
  <c r="B553" i="22"/>
  <c r="B554" i="22"/>
  <c r="B555" i="22"/>
  <c r="B556" i="22"/>
  <c r="B557" i="22"/>
  <c r="B562" i="22"/>
  <c r="B563" i="22"/>
  <c r="B564" i="22"/>
  <c r="B565" i="22"/>
  <c r="B566" i="22"/>
  <c r="B567" i="22"/>
  <c r="B568" i="22"/>
  <c r="B569" i="22"/>
  <c r="B573" i="22"/>
  <c r="B574" i="22"/>
  <c r="B575" i="22"/>
  <c r="B576" i="22"/>
  <c r="B577" i="22"/>
  <c r="B578" i="22"/>
  <c r="B579" i="22"/>
  <c r="B580" i="22"/>
  <c r="B584" i="22"/>
  <c r="B585" i="22"/>
  <c r="B586" i="22"/>
  <c r="B587" i="22"/>
  <c r="B588" i="22"/>
  <c r="B589" i="22"/>
  <c r="B590" i="22"/>
  <c r="B591" i="22"/>
  <c r="B595" i="22"/>
  <c r="B596" i="22"/>
  <c r="B597" i="22"/>
  <c r="B598" i="22"/>
  <c r="B599" i="22"/>
  <c r="B600" i="22"/>
  <c r="B601" i="22"/>
  <c r="B602" i="22"/>
  <c r="B606" i="22"/>
  <c r="B607" i="22"/>
  <c r="B608" i="22"/>
  <c r="B609" i="22"/>
  <c r="B610" i="22"/>
  <c r="B611" i="22"/>
  <c r="B612" i="22"/>
  <c r="B613" i="22"/>
  <c r="B617" i="22"/>
  <c r="B618" i="22"/>
  <c r="B619" i="22"/>
  <c r="B620" i="22"/>
  <c r="B621" i="22"/>
  <c r="B622" i="22"/>
  <c r="B623" i="22"/>
  <c r="B628" i="22"/>
  <c r="B629" i="22"/>
  <c r="B630" i="22"/>
  <c r="B631" i="22"/>
  <c r="B632" i="22"/>
  <c r="B633" i="22"/>
  <c r="B634" i="22"/>
  <c r="B635" i="22"/>
  <c r="B639" i="22"/>
  <c r="B640" i="22"/>
  <c r="B641" i="22"/>
  <c r="B642" i="22"/>
  <c r="B643" i="22"/>
  <c r="B644" i="22"/>
  <c r="B645" i="22"/>
  <c r="B646" i="22"/>
  <c r="B650" i="22"/>
  <c r="B651" i="22"/>
  <c r="B652" i="22"/>
  <c r="B653" i="22"/>
  <c r="B654" i="22"/>
  <c r="B655" i="22"/>
  <c r="B656" i="22"/>
  <c r="B661" i="22"/>
  <c r="B662" i="22"/>
  <c r="B663" i="22"/>
  <c r="B664" i="22"/>
  <c r="B665" i="22"/>
  <c r="B666" i="22"/>
  <c r="B667" i="22"/>
  <c r="B672" i="22"/>
  <c r="B673" i="22"/>
  <c r="B674" i="22"/>
  <c r="B675" i="22"/>
  <c r="B676" i="22"/>
  <c r="B677" i="22"/>
  <c r="B678" i="22"/>
  <c r="B683" i="22"/>
  <c r="B684" i="22"/>
  <c r="B685" i="22"/>
  <c r="B686" i="22"/>
  <c r="B687" i="22"/>
  <c r="B688" i="22"/>
  <c r="B689" i="22"/>
  <c r="B690" i="22"/>
  <c r="B694" i="22"/>
  <c r="B695" i="22"/>
  <c r="B696" i="22"/>
  <c r="B697" i="22"/>
  <c r="B698" i="22"/>
  <c r="B699" i="22"/>
  <c r="B700" i="22"/>
  <c r="B701" i="22"/>
  <c r="B705" i="22"/>
  <c r="B706" i="22"/>
  <c r="B707" i="22"/>
  <c r="B708" i="22"/>
  <c r="B709" i="22"/>
  <c r="B710" i="22"/>
  <c r="B711" i="22"/>
  <c r="B712" i="22"/>
  <c r="B716" i="22"/>
  <c r="B717" i="22"/>
  <c r="B718" i="22"/>
  <c r="B719" i="22"/>
  <c r="B720" i="22"/>
  <c r="B721" i="22"/>
  <c r="B722" i="22"/>
  <c r="B723" i="22"/>
  <c r="B727" i="22"/>
  <c r="B728" i="22"/>
  <c r="B729" i="22"/>
  <c r="B730" i="22"/>
  <c r="B731" i="22"/>
  <c r="B732" i="22"/>
  <c r="B733" i="22"/>
  <c r="B734" i="22"/>
  <c r="B738" i="22"/>
  <c r="B739" i="22"/>
  <c r="B740" i="22"/>
  <c r="B741" i="22"/>
  <c r="B742" i="22"/>
  <c r="B743" i="22"/>
  <c r="B744" i="22"/>
  <c r="B745" i="22"/>
  <c r="B749" i="22"/>
  <c r="B750" i="22"/>
  <c r="B751" i="22"/>
  <c r="B752" i="22"/>
  <c r="B753" i="22"/>
  <c r="B754" i="22"/>
  <c r="B755" i="22"/>
  <c r="B756" i="22"/>
  <c r="B760" i="22"/>
  <c r="B761" i="22"/>
  <c r="B762" i="22"/>
  <c r="B763" i="22"/>
  <c r="B764" i="22"/>
  <c r="B765" i="22"/>
  <c r="B766" i="22"/>
  <c r="B767" i="22"/>
  <c r="B2302" i="22"/>
  <c r="I2302" i="22" s="1"/>
  <c r="B782" i="22"/>
  <c r="B783" i="22"/>
  <c r="B784" i="22"/>
  <c r="B785" i="22"/>
  <c r="B786" i="22"/>
  <c r="B787" i="22"/>
  <c r="B788" i="22"/>
  <c r="B789" i="22"/>
  <c r="B793" i="22"/>
  <c r="B794" i="22"/>
  <c r="B795" i="22"/>
  <c r="B796" i="22"/>
  <c r="B797" i="22"/>
  <c r="B798" i="22"/>
  <c r="B799" i="22"/>
  <c r="B800" i="22"/>
  <c r="B804" i="22"/>
  <c r="B805" i="22"/>
  <c r="B806" i="22"/>
  <c r="B807" i="22"/>
  <c r="B808" i="22"/>
  <c r="B809" i="22"/>
  <c r="B810" i="22"/>
  <c r="B811" i="22"/>
  <c r="B815" i="22"/>
  <c r="B816" i="22"/>
  <c r="B817" i="22"/>
  <c r="B818" i="22"/>
  <c r="B819" i="22"/>
  <c r="B820" i="22"/>
  <c r="B821" i="22"/>
  <c r="B822" i="22"/>
  <c r="B826" i="22"/>
  <c r="B827" i="22"/>
  <c r="B828" i="22"/>
  <c r="B829" i="22"/>
  <c r="B830" i="22"/>
  <c r="B831" i="22"/>
  <c r="B832" i="22"/>
  <c r="B833" i="22"/>
  <c r="B837" i="22"/>
  <c r="B838" i="22"/>
  <c r="B839" i="22"/>
  <c r="B840" i="22"/>
  <c r="B841" i="22"/>
  <c r="B842" i="22"/>
  <c r="B843" i="22"/>
  <c r="B844" i="22"/>
  <c r="B848" i="22"/>
  <c r="B849" i="22"/>
  <c r="B850" i="22"/>
  <c r="B851" i="22"/>
  <c r="B852" i="22"/>
  <c r="B853" i="22"/>
  <c r="B854" i="22"/>
  <c r="B855" i="22"/>
  <c r="B859" i="22"/>
  <c r="B860" i="22"/>
  <c r="B861" i="22"/>
  <c r="B862" i="22"/>
  <c r="B863" i="22"/>
  <c r="B864" i="22"/>
  <c r="B865" i="22"/>
  <c r="B866" i="22"/>
  <c r="B870" i="22"/>
  <c r="B871" i="22"/>
  <c r="B872" i="22"/>
  <c r="B873" i="22"/>
  <c r="B874" i="22"/>
  <c r="B875" i="22"/>
  <c r="B876" i="22"/>
  <c r="B877" i="22"/>
  <c r="B881" i="22"/>
  <c r="B882" i="22"/>
  <c r="B883" i="22"/>
  <c r="B884" i="22"/>
  <c r="B885" i="22"/>
  <c r="B886" i="22"/>
  <c r="B887" i="22"/>
  <c r="B888" i="22"/>
  <c r="B892" i="22"/>
  <c r="B893" i="22"/>
  <c r="B894" i="22"/>
  <c r="B895" i="22"/>
  <c r="B896" i="22"/>
  <c r="B897" i="22"/>
  <c r="B898" i="22"/>
  <c r="B899" i="22"/>
  <c r="B903" i="22"/>
  <c r="B904" i="22"/>
  <c r="B905" i="22"/>
  <c r="B906" i="22"/>
  <c r="B907" i="22"/>
  <c r="B908" i="22"/>
  <c r="B909" i="22"/>
  <c r="B910" i="22"/>
  <c r="B914" i="22"/>
  <c r="B915" i="22"/>
  <c r="B916" i="22"/>
  <c r="B917" i="22"/>
  <c r="B918" i="22"/>
  <c r="B919" i="22"/>
  <c r="B920" i="22"/>
  <c r="B925" i="22"/>
  <c r="B926" i="22"/>
  <c r="B927" i="22"/>
  <c r="B928" i="22"/>
  <c r="B929" i="22"/>
  <c r="B930" i="22"/>
  <c r="B931" i="22"/>
  <c r="B936" i="22"/>
  <c r="B937" i="22"/>
  <c r="B938" i="22"/>
  <c r="B939" i="22"/>
  <c r="B940" i="22"/>
  <c r="B941" i="22"/>
  <c r="B942" i="22"/>
  <c r="B943" i="22"/>
  <c r="B947" i="22"/>
  <c r="B948" i="22"/>
  <c r="B949" i="22"/>
  <c r="B950" i="22"/>
  <c r="B951" i="22"/>
  <c r="B952" i="22"/>
  <c r="B953" i="22"/>
  <c r="B954" i="22"/>
  <c r="B2319" i="22"/>
  <c r="B969" i="22"/>
  <c r="B970" i="22"/>
  <c r="B971" i="22"/>
  <c r="B972" i="22"/>
  <c r="B973" i="22"/>
  <c r="B974" i="22"/>
  <c r="B975" i="22"/>
  <c r="B976" i="22"/>
  <c r="B980" i="22"/>
  <c r="B981" i="22"/>
  <c r="B982" i="22"/>
  <c r="B983" i="22"/>
  <c r="B984" i="22"/>
  <c r="B985" i="22"/>
  <c r="B986" i="22"/>
  <c r="B987" i="22"/>
  <c r="B991" i="22"/>
  <c r="B992" i="22"/>
  <c r="B993" i="22"/>
  <c r="B994" i="22"/>
  <c r="B995" i="22"/>
  <c r="B996" i="22"/>
  <c r="B997" i="22"/>
  <c r="B998" i="22"/>
  <c r="F1002" i="22"/>
  <c r="L1013" i="22" s="1"/>
  <c r="B1003" i="22"/>
  <c r="B1004" i="22"/>
  <c r="B1005" i="22"/>
  <c r="B1006" i="22"/>
  <c r="B1007" i="22"/>
  <c r="B1008" i="22"/>
  <c r="B1009" i="22"/>
  <c r="B1013" i="22"/>
  <c r="B1014" i="22"/>
  <c r="B1015" i="22"/>
  <c r="B1016" i="22"/>
  <c r="B1017" i="22"/>
  <c r="B1018" i="22"/>
  <c r="B1019" i="22"/>
  <c r="B1020" i="22"/>
  <c r="B1024" i="22"/>
  <c r="B1025" i="22"/>
  <c r="B1026" i="22"/>
  <c r="B1027" i="22"/>
  <c r="B1028" i="22"/>
  <c r="B1029" i="22"/>
  <c r="B1030" i="22"/>
  <c r="B1031" i="22"/>
  <c r="B1035" i="22"/>
  <c r="B1036" i="22"/>
  <c r="B1037" i="22"/>
  <c r="B1038" i="22"/>
  <c r="B1039" i="22"/>
  <c r="B1040" i="22"/>
  <c r="B1041" i="22"/>
  <c r="B1042" i="22"/>
  <c r="B1046" i="22"/>
  <c r="B1047" i="22"/>
  <c r="B1048" i="22"/>
  <c r="B1049" i="22"/>
  <c r="B1050" i="22"/>
  <c r="B1051" i="22"/>
  <c r="B1052" i="22"/>
  <c r="B1053" i="22"/>
  <c r="B1057" i="22"/>
  <c r="B1058" i="22"/>
  <c r="B1059" i="22"/>
  <c r="B1060" i="22"/>
  <c r="B1061" i="22"/>
  <c r="B1062" i="22"/>
  <c r="B1063" i="22"/>
  <c r="B1064" i="22"/>
  <c r="B1068" i="22"/>
  <c r="B1069" i="22"/>
  <c r="B1070" i="22"/>
  <c r="B1071" i="22"/>
  <c r="B1072" i="22"/>
  <c r="B1073" i="22"/>
  <c r="B1074" i="22"/>
  <c r="F1079" i="22"/>
  <c r="B1080" i="22"/>
  <c r="B1081" i="22"/>
  <c r="B1082" i="22"/>
  <c r="B1083" i="22"/>
  <c r="B1084" i="22"/>
  <c r="B1085" i="22"/>
  <c r="B1086" i="22"/>
  <c r="B1091" i="22"/>
  <c r="B1092" i="22"/>
  <c r="B1093" i="22"/>
  <c r="B1094" i="22"/>
  <c r="B1095" i="22"/>
  <c r="B1096" i="22"/>
  <c r="B1101" i="22"/>
  <c r="B1102" i="22"/>
  <c r="B1103" i="22"/>
  <c r="B1104" i="22"/>
  <c r="B1105" i="22"/>
  <c r="B1106" i="22"/>
  <c r="B1107" i="22"/>
  <c r="B1108" i="22"/>
  <c r="B1112" i="22"/>
  <c r="B1113" i="22"/>
  <c r="B1114" i="22"/>
  <c r="B1115" i="22"/>
  <c r="B1116" i="22"/>
  <c r="B1117" i="22"/>
  <c r="B1118" i="22"/>
  <c r="B1119" i="22"/>
  <c r="B1123" i="22"/>
  <c r="B1124" i="22"/>
  <c r="B1125" i="22"/>
  <c r="B1126" i="22"/>
  <c r="B1127" i="22"/>
  <c r="B1128" i="22"/>
  <c r="B1129" i="22"/>
  <c r="B1130" i="22"/>
  <c r="B1134" i="22"/>
  <c r="B1135" i="22"/>
  <c r="B1136" i="22"/>
  <c r="B1137" i="22"/>
  <c r="B1138" i="22"/>
  <c r="B1139" i="22"/>
  <c r="B1140" i="22"/>
  <c r="B1141" i="22"/>
  <c r="B1145" i="22"/>
  <c r="B1146" i="22"/>
  <c r="B1147" i="22"/>
  <c r="B1148" i="22"/>
  <c r="B1149" i="22"/>
  <c r="B1150" i="22"/>
  <c r="B1151" i="22"/>
  <c r="B1152" i="22"/>
  <c r="B1156" i="22"/>
  <c r="B1157" i="22"/>
  <c r="B1158" i="22"/>
  <c r="B1159" i="22"/>
  <c r="B1160" i="22"/>
  <c r="B1161" i="22"/>
  <c r="B1162" i="22"/>
  <c r="B1163" i="22"/>
  <c r="B1167" i="22"/>
  <c r="B1168" i="22"/>
  <c r="B1169" i="22"/>
  <c r="B1170" i="22"/>
  <c r="B1171" i="22"/>
  <c r="B1172" i="22"/>
  <c r="B1173" i="22"/>
  <c r="B1174" i="22"/>
  <c r="B1178" i="22"/>
  <c r="B1179" i="22"/>
  <c r="B1180" i="22"/>
  <c r="B1181" i="22"/>
  <c r="B1182" i="22"/>
  <c r="B1183" i="22"/>
  <c r="B1184" i="22"/>
  <c r="B1185" i="22"/>
  <c r="B1189" i="22"/>
  <c r="B1190" i="22"/>
  <c r="B1191" i="22"/>
  <c r="B1192" i="22"/>
  <c r="B1193" i="22"/>
  <c r="B1194" i="22"/>
  <c r="B1195" i="22"/>
  <c r="B1196" i="22"/>
  <c r="B1200" i="22"/>
  <c r="B1201" i="22"/>
  <c r="B1202" i="22"/>
  <c r="B1203" i="22"/>
  <c r="B1204" i="22"/>
  <c r="B1205" i="22"/>
  <c r="B1206" i="22"/>
  <c r="B1207" i="22"/>
  <c r="B1211" i="22"/>
  <c r="B1212" i="22"/>
  <c r="B1213" i="22"/>
  <c r="B1214" i="22"/>
  <c r="B1215" i="22"/>
  <c r="B1216" i="22"/>
  <c r="B1217" i="22"/>
  <c r="B1218" i="22"/>
  <c r="B1222" i="22"/>
  <c r="B1223" i="22"/>
  <c r="B1224" i="22"/>
  <c r="B1225" i="22"/>
  <c r="B1226" i="22"/>
  <c r="B1227" i="22"/>
  <c r="B1228" i="22"/>
  <c r="B1229" i="22"/>
  <c r="B1233" i="22"/>
  <c r="B1234" i="22"/>
  <c r="B1235" i="22"/>
  <c r="B1236" i="22"/>
  <c r="B1237" i="22"/>
  <c r="B1238" i="22"/>
  <c r="B1239" i="22"/>
  <c r="B1244" i="22"/>
  <c r="B1245" i="22"/>
  <c r="B1246" i="22"/>
  <c r="B1247" i="22"/>
  <c r="B1248" i="22"/>
  <c r="B1249" i="22"/>
  <c r="B1250" i="22"/>
  <c r="B1255" i="22"/>
  <c r="B1256" i="22"/>
  <c r="B1257" i="22"/>
  <c r="B1258" i="22"/>
  <c r="B1263" i="22" s="1"/>
  <c r="B2346" i="22" s="1"/>
  <c r="B1259" i="22"/>
  <c r="B1260" i="22"/>
  <c r="B1261" i="22"/>
  <c r="B1266" i="22"/>
  <c r="B1267" i="22"/>
  <c r="B1268" i="22"/>
  <c r="B1269" i="22"/>
  <c r="B1270" i="22"/>
  <c r="B1271" i="22"/>
  <c r="B1272" i="22"/>
  <c r="B1277" i="22"/>
  <c r="B1278" i="22"/>
  <c r="B1279" i="22"/>
  <c r="B1280" i="22"/>
  <c r="B1281" i="22"/>
  <c r="B1282" i="22"/>
  <c r="B1283" i="22"/>
  <c r="B1284" i="22"/>
  <c r="B1288" i="22"/>
  <c r="B1289" i="22"/>
  <c r="B1290" i="22"/>
  <c r="B1291" i="22"/>
  <c r="B1292" i="22"/>
  <c r="B1293" i="22"/>
  <c r="B1294" i="22"/>
  <c r="B1295" i="22"/>
  <c r="A2350" i="22"/>
  <c r="F1307" i="22"/>
  <c r="E2350" i="22" s="1"/>
  <c r="E1307" i="22"/>
  <c r="D2350" i="22" s="1"/>
  <c r="D1307" i="22"/>
  <c r="C2350" i="22" s="1"/>
  <c r="L1305" i="22"/>
  <c r="K1305" i="22"/>
  <c r="J1305" i="22"/>
  <c r="L1304" i="22"/>
  <c r="K1304" i="22"/>
  <c r="J1304" i="22"/>
  <c r="H1304" i="22" s="1"/>
  <c r="L1303" i="22"/>
  <c r="K1303" i="22"/>
  <c r="J1303" i="22"/>
  <c r="L1302" i="22"/>
  <c r="K1302" i="22"/>
  <c r="J1302" i="22"/>
  <c r="L1301" i="22"/>
  <c r="L1299" i="22"/>
  <c r="L1300" i="22"/>
  <c r="K1301" i="22"/>
  <c r="J1301" i="22"/>
  <c r="K1300" i="22"/>
  <c r="K1299" i="22"/>
  <c r="J1300" i="22"/>
  <c r="J1299" i="22"/>
  <c r="H1298" i="22"/>
  <c r="D1517" i="26"/>
  <c r="A2349" i="22"/>
  <c r="F1296" i="22"/>
  <c r="E2349" i="22" s="1"/>
  <c r="E1296" i="22"/>
  <c r="D2349" i="22" s="1"/>
  <c r="D1296" i="22"/>
  <c r="C2349" i="22" s="1"/>
  <c r="J1289" i="22"/>
  <c r="K1289" i="22"/>
  <c r="L1289" i="22"/>
  <c r="J1288" i="22"/>
  <c r="K1288" i="22"/>
  <c r="L1288" i="22"/>
  <c r="J1290" i="22"/>
  <c r="K1290" i="22"/>
  <c r="L1290" i="22"/>
  <c r="J1291" i="22"/>
  <c r="K1291" i="22"/>
  <c r="L1291" i="22"/>
  <c r="J1292" i="22"/>
  <c r="K1292" i="22"/>
  <c r="L1292" i="22"/>
  <c r="J1293" i="22"/>
  <c r="K1293" i="22"/>
  <c r="L1293" i="22"/>
  <c r="J1294" i="22"/>
  <c r="K1294" i="22"/>
  <c r="L1294" i="22"/>
  <c r="K606" i="22"/>
  <c r="K607" i="22"/>
  <c r="K608" i="22"/>
  <c r="K609" i="22"/>
  <c r="K610" i="22"/>
  <c r="J610" i="22"/>
  <c r="L610" i="22"/>
  <c r="K611" i="22"/>
  <c r="K612" i="22"/>
  <c r="J612" i="22"/>
  <c r="L612" i="22"/>
  <c r="H1287" i="22"/>
  <c r="C652" i="18"/>
  <c r="A2348" i="22"/>
  <c r="L1283" i="22"/>
  <c r="K1283" i="22"/>
  <c r="J1283" i="22"/>
  <c r="L1282" i="22"/>
  <c r="K1282" i="22"/>
  <c r="K1277" i="22"/>
  <c r="K1278" i="22"/>
  <c r="K1279" i="22"/>
  <c r="K1280" i="22"/>
  <c r="K1281" i="22"/>
  <c r="J1282" i="22"/>
  <c r="L1281" i="22"/>
  <c r="J1281" i="22"/>
  <c r="L1280" i="22"/>
  <c r="L1277" i="22"/>
  <c r="L1278" i="22"/>
  <c r="L1279" i="22"/>
  <c r="J1280" i="22"/>
  <c r="J1279" i="22"/>
  <c r="J1278" i="22"/>
  <c r="J1277" i="22"/>
  <c r="H1276" i="22"/>
  <c r="F1285" i="22"/>
  <c r="E2348" i="22" s="1"/>
  <c r="E1285" i="22"/>
  <c r="D2348" i="22" s="1"/>
  <c r="D1285" i="22"/>
  <c r="C2348" i="22" s="1"/>
  <c r="D1516" i="26"/>
  <c r="D1515" i="26"/>
  <c r="D1514" i="26"/>
  <c r="A2347" i="22"/>
  <c r="F1274" i="22"/>
  <c r="E2347" i="22" s="1"/>
  <c r="E1274" i="22"/>
  <c r="D2347" i="22" s="1"/>
  <c r="D1274" i="22"/>
  <c r="C2347" i="22" s="1"/>
  <c r="L1272" i="22"/>
  <c r="K1272" i="22"/>
  <c r="J1272" i="22"/>
  <c r="L1271" i="22"/>
  <c r="K1271" i="22"/>
  <c r="J1271" i="22"/>
  <c r="L1270" i="22"/>
  <c r="K1270" i="22"/>
  <c r="J1270" i="22"/>
  <c r="L1269" i="22"/>
  <c r="K1269" i="22"/>
  <c r="J1269" i="22"/>
  <c r="L1268" i="22"/>
  <c r="L1266" i="22"/>
  <c r="L1267" i="22"/>
  <c r="K1268" i="22"/>
  <c r="J1268" i="22"/>
  <c r="K1267" i="22"/>
  <c r="H1267" i="22" s="1"/>
  <c r="J1267" i="22"/>
  <c r="K1266" i="22"/>
  <c r="J1266" i="22"/>
  <c r="H1265" i="22"/>
  <c r="B252" i="18"/>
  <c r="D252" i="18" s="1"/>
  <c r="D251" i="18"/>
  <c r="D1513" i="26"/>
  <c r="D1512" i="26"/>
  <c r="D1511" i="26"/>
  <c r="A2346" i="22"/>
  <c r="F1263" i="22"/>
  <c r="E2346" i="22" s="1"/>
  <c r="E1263" i="22"/>
  <c r="D2346" i="22" s="1"/>
  <c r="D1263" i="22"/>
  <c r="C2346" i="22" s="1"/>
  <c r="L1261" i="22"/>
  <c r="K1261" i="22"/>
  <c r="J1261" i="22"/>
  <c r="L1260" i="22"/>
  <c r="K1260" i="22"/>
  <c r="J1260" i="22"/>
  <c r="L1259" i="22"/>
  <c r="K1259" i="22"/>
  <c r="J1259" i="22"/>
  <c r="L1258" i="22"/>
  <c r="K1258" i="22"/>
  <c r="J1258" i="22"/>
  <c r="L1257" i="22"/>
  <c r="K1257" i="22"/>
  <c r="J1257" i="22"/>
  <c r="L1256" i="22"/>
  <c r="K1256" i="22"/>
  <c r="J1256" i="22"/>
  <c r="L1255" i="22"/>
  <c r="K1255" i="22"/>
  <c r="J1255" i="22"/>
  <c r="H1254" i="22"/>
  <c r="D1510" i="26"/>
  <c r="A2345" i="22"/>
  <c r="F1252" i="22"/>
  <c r="E2345" i="22" s="1"/>
  <c r="E1252" i="22"/>
  <c r="D2345" i="22" s="1"/>
  <c r="D1252" i="22"/>
  <c r="C2345" i="22" s="1"/>
  <c r="L1250" i="22"/>
  <c r="K1250" i="22"/>
  <c r="J1250" i="22"/>
  <c r="L1249" i="22"/>
  <c r="K1249" i="22"/>
  <c r="J1249" i="22"/>
  <c r="L1248" i="22"/>
  <c r="K1248" i="22"/>
  <c r="J1248" i="22"/>
  <c r="L1247" i="22"/>
  <c r="K1247" i="22"/>
  <c r="J1247" i="22"/>
  <c r="L1246" i="22"/>
  <c r="K1246" i="22"/>
  <c r="J1246" i="22"/>
  <c r="L1245" i="22"/>
  <c r="K1245" i="22"/>
  <c r="J1245" i="22"/>
  <c r="H1245" i="22" s="1"/>
  <c r="L1244" i="22"/>
  <c r="K1244" i="22"/>
  <c r="J1244" i="22"/>
  <c r="H1243" i="22"/>
  <c r="J1242" i="22"/>
  <c r="H1242" i="22"/>
  <c r="C16" i="18"/>
  <c r="D1509" i="26"/>
  <c r="D1508" i="26"/>
  <c r="A2344" i="22"/>
  <c r="A2343" i="22"/>
  <c r="F1241" i="22"/>
  <c r="E2344" i="22" s="1"/>
  <c r="E1241" i="22"/>
  <c r="D2344" i="22" s="1"/>
  <c r="D1241" i="22"/>
  <c r="C2344" i="22" s="1"/>
  <c r="L1239" i="22"/>
  <c r="K1239" i="22"/>
  <c r="J1239" i="22"/>
  <c r="L1238" i="22"/>
  <c r="K1238" i="22"/>
  <c r="J1238" i="22"/>
  <c r="L1237" i="22"/>
  <c r="K1237" i="22"/>
  <c r="J1237" i="22"/>
  <c r="L1236" i="22"/>
  <c r="L1233" i="22"/>
  <c r="L1234" i="22"/>
  <c r="L1235" i="22"/>
  <c r="K1236" i="22"/>
  <c r="J1236" i="22"/>
  <c r="K1235" i="22"/>
  <c r="J1235" i="22"/>
  <c r="K1234" i="22"/>
  <c r="J1234" i="22"/>
  <c r="K1233" i="22"/>
  <c r="J1233" i="22"/>
  <c r="H1232" i="22"/>
  <c r="J1231" i="22"/>
  <c r="H1231" i="22"/>
  <c r="J1223" i="22"/>
  <c r="K1223" i="22"/>
  <c r="L1223" i="22"/>
  <c r="J1222" i="22"/>
  <c r="K1222" i="22"/>
  <c r="L1222" i="22"/>
  <c r="J1224" i="22"/>
  <c r="K1224" i="22"/>
  <c r="L1224" i="22"/>
  <c r="J1225" i="22"/>
  <c r="K1225" i="22"/>
  <c r="L1225" i="22"/>
  <c r="J1226" i="22"/>
  <c r="K1226" i="22"/>
  <c r="L1226" i="22"/>
  <c r="J1227" i="22"/>
  <c r="K1227" i="22"/>
  <c r="L1227" i="22"/>
  <c r="J1228" i="22"/>
  <c r="K1228" i="22"/>
  <c r="L1228" i="22"/>
  <c r="H1221" i="22"/>
  <c r="J1220" i="22"/>
  <c r="H1220" i="22"/>
  <c r="D59" i="22"/>
  <c r="B5" i="22"/>
  <c r="B8" i="22"/>
  <c r="C637" i="18"/>
  <c r="B11" i="22"/>
  <c r="D1230" i="22"/>
  <c r="C2343" i="22" s="1"/>
  <c r="E1230" i="22"/>
  <c r="D2343" i="22" s="1"/>
  <c r="F1230" i="22"/>
  <c r="E2343" i="22" s="1"/>
  <c r="D1507" i="26"/>
  <c r="D1506" i="26"/>
  <c r="B1424" i="26"/>
  <c r="C1424" i="26" s="1"/>
  <c r="C1425" i="26"/>
  <c r="C1426" i="26"/>
  <c r="C1427" i="26"/>
  <c r="C1428" i="26"/>
  <c r="C1429" i="26"/>
  <c r="B1430" i="26"/>
  <c r="C1431" i="26"/>
  <c r="C1432" i="26"/>
  <c r="C1433" i="26"/>
  <c r="C1434" i="26"/>
  <c r="C1435" i="26"/>
  <c r="C1436" i="26"/>
  <c r="B1437" i="26"/>
  <c r="C1437" i="26" s="1"/>
  <c r="C1438" i="26"/>
  <c r="C1439" i="26"/>
  <c r="C1440" i="26"/>
  <c r="C1441" i="26"/>
  <c r="B1442" i="26"/>
  <c r="C1442" i="26" s="1"/>
  <c r="C1443" i="26"/>
  <c r="C1444" i="26"/>
  <c r="C1445" i="26"/>
  <c r="C1446" i="26"/>
  <c r="C1447" i="26"/>
  <c r="C1448" i="26"/>
  <c r="C1449" i="26"/>
  <c r="C1450" i="26"/>
  <c r="C1451" i="26"/>
  <c r="C1452" i="26"/>
  <c r="C1453" i="26"/>
  <c r="C1454" i="26"/>
  <c r="C1455" i="26"/>
  <c r="C1456" i="26"/>
  <c r="C1457" i="26"/>
  <c r="C1458" i="26"/>
  <c r="C1459" i="26"/>
  <c r="C1460" i="26"/>
  <c r="C1461" i="26"/>
  <c r="H1461" i="26" s="1"/>
  <c r="C1462" i="26"/>
  <c r="H1462" i="26" s="1"/>
  <c r="C1463" i="26"/>
  <c r="C1464" i="26"/>
  <c r="C1465" i="26"/>
  <c r="C1466" i="26"/>
  <c r="C1467" i="26"/>
  <c r="C1468" i="26"/>
  <c r="H1468" i="26" s="1"/>
  <c r="B1469" i="26"/>
  <c r="C1469" i="26" s="1"/>
  <c r="H1469" i="26" s="1"/>
  <c r="C1412" i="26"/>
  <c r="C1413" i="26"/>
  <c r="C1414" i="26"/>
  <c r="C1415" i="26"/>
  <c r="C1416" i="26"/>
  <c r="C1417" i="26"/>
  <c r="C1418" i="26"/>
  <c r="B1419" i="26"/>
  <c r="C1419" i="26" s="1"/>
  <c r="C1420" i="26"/>
  <c r="C1421" i="26"/>
  <c r="C1422" i="26"/>
  <c r="B1423" i="26"/>
  <c r="C1423" i="26" s="1"/>
  <c r="C1473" i="26"/>
  <c r="C1474" i="26"/>
  <c r="C1475" i="26"/>
  <c r="C1476" i="26"/>
  <c r="I1476" i="26" s="1"/>
  <c r="C1477" i="26"/>
  <c r="I1477" i="26" s="1"/>
  <c r="C1478" i="26"/>
  <c r="C1479" i="26"/>
  <c r="C1480" i="26"/>
  <c r="C1481" i="26"/>
  <c r="I1481" i="26" s="1"/>
  <c r="C1482" i="26"/>
  <c r="I1482" i="26" s="1"/>
  <c r="C1483" i="26"/>
  <c r="I1483" i="26" s="1"/>
  <c r="C1484" i="26"/>
  <c r="I1484" i="26" s="1"/>
  <c r="C1485" i="26"/>
  <c r="C1486" i="26"/>
  <c r="C1487" i="26"/>
  <c r="C1488" i="26"/>
  <c r="C1489" i="26"/>
  <c r="B1490" i="26"/>
  <c r="C1490" i="26" s="1"/>
  <c r="B1491" i="26"/>
  <c r="C1491" i="26" s="1"/>
  <c r="B1492" i="26"/>
  <c r="C1492" i="26" s="1"/>
  <c r="B1493" i="26"/>
  <c r="C1493" i="26" s="1"/>
  <c r="B1494" i="26"/>
  <c r="C1494" i="26" s="1"/>
  <c r="B1495" i="26"/>
  <c r="C1495" i="26" s="1"/>
  <c r="B1521" i="26"/>
  <c r="F693" i="18"/>
  <c r="E693" i="18"/>
  <c r="D693" i="18" s="1"/>
  <c r="F671" i="18"/>
  <c r="E671" i="18"/>
  <c r="D671" i="18" s="1"/>
  <c r="D248" i="18"/>
  <c r="L1217" i="22"/>
  <c r="K1217" i="22"/>
  <c r="J1217" i="22"/>
  <c r="H1217" i="22" s="1"/>
  <c r="L1216" i="22"/>
  <c r="K1216" i="22"/>
  <c r="J1216" i="22"/>
  <c r="L1215" i="22"/>
  <c r="K1215" i="22"/>
  <c r="J1215" i="22"/>
  <c r="L1214" i="22"/>
  <c r="K1214" i="22"/>
  <c r="H1214" i="22" s="1"/>
  <c r="J1214" i="22"/>
  <c r="L1213" i="22"/>
  <c r="K1213" i="22"/>
  <c r="J1213" i="22"/>
  <c r="L1212" i="22"/>
  <c r="K1212" i="22"/>
  <c r="J1212" i="22"/>
  <c r="J1211" i="22"/>
  <c r="L1211" i="22"/>
  <c r="K1211" i="22"/>
  <c r="H1210" i="22"/>
  <c r="J1209" i="22"/>
  <c r="H1209" i="22"/>
  <c r="A2342" i="22"/>
  <c r="F1219" i="22"/>
  <c r="E2342" i="22" s="1"/>
  <c r="E1219" i="22"/>
  <c r="D2342" i="22" s="1"/>
  <c r="B673" i="18"/>
  <c r="F670" i="18"/>
  <c r="E670" i="18"/>
  <c r="D670" i="18" s="1"/>
  <c r="D247" i="18"/>
  <c r="D250" i="18"/>
  <c r="B245" i="18"/>
  <c r="D245" i="18" s="1"/>
  <c r="A2341" i="22"/>
  <c r="A2340" i="22"/>
  <c r="A2339" i="22"/>
  <c r="D1208" i="22"/>
  <c r="C2341" i="22" s="1"/>
  <c r="L1206" i="22"/>
  <c r="K1206" i="22"/>
  <c r="J1206" i="22"/>
  <c r="L1205" i="22"/>
  <c r="K1205" i="22"/>
  <c r="J1205" i="22"/>
  <c r="L1204" i="22"/>
  <c r="K1204" i="22"/>
  <c r="J1204" i="22"/>
  <c r="L1203" i="22"/>
  <c r="K1203" i="22"/>
  <c r="J1203" i="22"/>
  <c r="L1202" i="22"/>
  <c r="K1202" i="22"/>
  <c r="J1202" i="22"/>
  <c r="L1201" i="22"/>
  <c r="H1201" i="22" s="1"/>
  <c r="K1201" i="22"/>
  <c r="J1201" i="22"/>
  <c r="L1200" i="22"/>
  <c r="K1200" i="22"/>
  <c r="J1200" i="22"/>
  <c r="H1199" i="22"/>
  <c r="J1198" i="22"/>
  <c r="H1198" i="22"/>
  <c r="F1208" i="22"/>
  <c r="E2341" i="22" s="1"/>
  <c r="E1208" i="22"/>
  <c r="D2341" i="22" s="1"/>
  <c r="B231" i="18"/>
  <c r="D231" i="18" s="1"/>
  <c r="B232" i="18"/>
  <c r="D232" i="18" s="1"/>
  <c r="B233" i="18"/>
  <c r="D233" i="18" s="1"/>
  <c r="B234" i="18"/>
  <c r="D234" i="18" s="1"/>
  <c r="B236" i="18"/>
  <c r="B237" i="18"/>
  <c r="D237" i="18" s="1"/>
  <c r="B238" i="18"/>
  <c r="D238" i="18" s="1"/>
  <c r="D246" i="18"/>
  <c r="D1505" i="26"/>
  <c r="D1504" i="26"/>
  <c r="D1503" i="26"/>
  <c r="D1502" i="26"/>
  <c r="B344" i="1"/>
  <c r="C344" i="1" s="1"/>
  <c r="C341" i="1"/>
  <c r="C342" i="1"/>
  <c r="C343" i="1"/>
  <c r="C345" i="1"/>
  <c r="C346" i="1"/>
  <c r="C354" i="1"/>
  <c r="L1195" i="22"/>
  <c r="K1195" i="22"/>
  <c r="J1195" i="22"/>
  <c r="H1195" i="22" s="1"/>
  <c r="L1194" i="22"/>
  <c r="K1194" i="22"/>
  <c r="J1194" i="22"/>
  <c r="L1193" i="22"/>
  <c r="K1193" i="22"/>
  <c r="J1193" i="22"/>
  <c r="L1192" i="22"/>
  <c r="K1192" i="22"/>
  <c r="J1192" i="22"/>
  <c r="L1191" i="22"/>
  <c r="K1191" i="22"/>
  <c r="J1191" i="22"/>
  <c r="H1191" i="22" s="1"/>
  <c r="L1190" i="22"/>
  <c r="K1190" i="22"/>
  <c r="J1190" i="22"/>
  <c r="L1189" i="22"/>
  <c r="K1189" i="22"/>
  <c r="J1189" i="22"/>
  <c r="H1188" i="22"/>
  <c r="J1187" i="22"/>
  <c r="H1187" i="22"/>
  <c r="F1197" i="22"/>
  <c r="E2340" i="22" s="1"/>
  <c r="E1197" i="22"/>
  <c r="D2340" i="22" s="1"/>
  <c r="D1197" i="22"/>
  <c r="C2340" i="22" s="1"/>
  <c r="A1500" i="26"/>
  <c r="D1500" i="26" s="1"/>
  <c r="D1499" i="26"/>
  <c r="D1501" i="26"/>
  <c r="F692" i="18"/>
  <c r="E692" i="18"/>
  <c r="D692" i="18" s="1"/>
  <c r="F1186" i="22"/>
  <c r="E2339" i="22" s="1"/>
  <c r="E1186" i="22"/>
  <c r="D2339" i="22" s="1"/>
  <c r="D1186" i="22"/>
  <c r="C2339" i="22" s="1"/>
  <c r="L1184" i="22"/>
  <c r="K1184" i="22"/>
  <c r="J1184" i="22"/>
  <c r="L1183" i="22"/>
  <c r="K1183" i="22"/>
  <c r="J1183" i="22"/>
  <c r="L1182" i="22"/>
  <c r="K1182" i="22"/>
  <c r="J1182" i="22"/>
  <c r="L1181" i="22"/>
  <c r="K1181" i="22"/>
  <c r="J1181" i="22"/>
  <c r="L1180" i="22"/>
  <c r="K1180" i="22"/>
  <c r="J1180" i="22"/>
  <c r="L1179" i="22"/>
  <c r="K1179" i="22"/>
  <c r="J1179" i="22"/>
  <c r="L1178" i="22"/>
  <c r="K1178" i="22"/>
  <c r="J1178" i="22"/>
  <c r="H1177" i="22"/>
  <c r="J1176" i="22"/>
  <c r="H1176" i="22"/>
  <c r="B695" i="18"/>
  <c r="F669" i="18"/>
  <c r="E669" i="18"/>
  <c r="D669" i="18" s="1"/>
  <c r="E354" i="1"/>
  <c r="D1498" i="26"/>
  <c r="D1497" i="26"/>
  <c r="D1496" i="26"/>
  <c r="A2338" i="22"/>
  <c r="L1173" i="22"/>
  <c r="K1173" i="22"/>
  <c r="J1173" i="22"/>
  <c r="L1172" i="22"/>
  <c r="K1172" i="22"/>
  <c r="J1172" i="22"/>
  <c r="L1171" i="22"/>
  <c r="K1171" i="22"/>
  <c r="J1171" i="22"/>
  <c r="L1170" i="22"/>
  <c r="K1170" i="22"/>
  <c r="J1170" i="22"/>
  <c r="L1169" i="22"/>
  <c r="K1169" i="22"/>
  <c r="J1169" i="22"/>
  <c r="L1168" i="22"/>
  <c r="K1168" i="22"/>
  <c r="J1168" i="22"/>
  <c r="L1167" i="22"/>
  <c r="K1167" i="22"/>
  <c r="J1167" i="22"/>
  <c r="H1166" i="22"/>
  <c r="J1165" i="22"/>
  <c r="H1165" i="22"/>
  <c r="F1175" i="22"/>
  <c r="E2338" i="22" s="1"/>
  <c r="E1175" i="22"/>
  <c r="D2338" i="22" s="1"/>
  <c r="D1175" i="22"/>
  <c r="C2338" i="22" s="1"/>
  <c r="D1495" i="26"/>
  <c r="D1494" i="26"/>
  <c r="D1493" i="26"/>
  <c r="A2337" i="22"/>
  <c r="L1162" i="22"/>
  <c r="K1162" i="22"/>
  <c r="J1162" i="22"/>
  <c r="L1161" i="22"/>
  <c r="K1161" i="22"/>
  <c r="J1161" i="22"/>
  <c r="L1160" i="22"/>
  <c r="K1160" i="22"/>
  <c r="J1160" i="22"/>
  <c r="L1159" i="22"/>
  <c r="K1159" i="22"/>
  <c r="J1159" i="22"/>
  <c r="L1158" i="22"/>
  <c r="K1158" i="22"/>
  <c r="J1158" i="22"/>
  <c r="L1157" i="22"/>
  <c r="K1157" i="22"/>
  <c r="J1157" i="22"/>
  <c r="L1156" i="22"/>
  <c r="K1156" i="22"/>
  <c r="J1156" i="22"/>
  <c r="H1155" i="22"/>
  <c r="J1154" i="22"/>
  <c r="H1154" i="22"/>
  <c r="F1164" i="22"/>
  <c r="E2337" i="22" s="1"/>
  <c r="E1164" i="22"/>
  <c r="D2337" i="22" s="1"/>
  <c r="D1164" i="22"/>
  <c r="C2337" i="22" s="1"/>
  <c r="F706" i="18"/>
  <c r="D1492" i="26"/>
  <c r="D1491" i="26"/>
  <c r="B706" i="18"/>
  <c r="B710" i="18" s="1"/>
  <c r="E706" i="18"/>
  <c r="D706" i="18" s="1"/>
  <c r="F691" i="18"/>
  <c r="E691" i="18"/>
  <c r="D691" i="18" s="1"/>
  <c r="F667" i="18"/>
  <c r="E667" i="18"/>
  <c r="D667" i="18" s="1"/>
  <c r="A2336" i="22"/>
  <c r="H1143" i="22"/>
  <c r="J1147" i="22"/>
  <c r="D1153" i="22"/>
  <c r="C2336" i="22" s="1"/>
  <c r="E1153" i="22"/>
  <c r="D2336" i="22" s="1"/>
  <c r="F1153" i="22"/>
  <c r="E2336" i="22" s="1"/>
  <c r="K1148" i="22"/>
  <c r="L1147" i="22"/>
  <c r="L1151" i="22"/>
  <c r="K1151" i="22"/>
  <c r="J1151" i="22"/>
  <c r="L1150" i="22"/>
  <c r="K1150" i="22"/>
  <c r="J1150" i="22"/>
  <c r="L1149" i="22"/>
  <c r="K1149" i="22"/>
  <c r="J1149" i="22"/>
  <c r="L1148" i="22"/>
  <c r="J1148" i="22"/>
  <c r="K1147" i="22"/>
  <c r="L1146" i="22"/>
  <c r="K1146" i="22"/>
  <c r="J1146" i="22"/>
  <c r="L1145" i="22"/>
  <c r="K1145" i="22"/>
  <c r="J1145" i="22"/>
  <c r="H1144" i="22"/>
  <c r="J1143" i="22"/>
  <c r="A358" i="1"/>
  <c r="D1490" i="26"/>
  <c r="A2335" i="22"/>
  <c r="H1132" i="22"/>
  <c r="H1121" i="22"/>
  <c r="J1132" i="22"/>
  <c r="L1140" i="22"/>
  <c r="K1140" i="22"/>
  <c r="J1140" i="22"/>
  <c r="L1139" i="22"/>
  <c r="K1139" i="22"/>
  <c r="J1139" i="22"/>
  <c r="L1138" i="22"/>
  <c r="K1138" i="22"/>
  <c r="J1138" i="22"/>
  <c r="L1137" i="22"/>
  <c r="K1137" i="22"/>
  <c r="J1137" i="22"/>
  <c r="L1136" i="22"/>
  <c r="K1136" i="22"/>
  <c r="J1136" i="22"/>
  <c r="L1135" i="22"/>
  <c r="K1135" i="22"/>
  <c r="J1135" i="22"/>
  <c r="L1134" i="22"/>
  <c r="K1134" i="22"/>
  <c r="J1134" i="22"/>
  <c r="H1133" i="22"/>
  <c r="F1142" i="22"/>
  <c r="E2335" i="22" s="1"/>
  <c r="E1142" i="22"/>
  <c r="D2335" i="22" s="1"/>
  <c r="D1142" i="22"/>
  <c r="C2335" i="22" s="1"/>
  <c r="I1489" i="26"/>
  <c r="D1489" i="26"/>
  <c r="A2334" i="22"/>
  <c r="F1131" i="22"/>
  <c r="E2334" i="22" s="1"/>
  <c r="E1131" i="22"/>
  <c r="D2334" i="22" s="1"/>
  <c r="D1131" i="22"/>
  <c r="C2334" i="22" s="1"/>
  <c r="L1129" i="22"/>
  <c r="K1129" i="22"/>
  <c r="J1129" i="22"/>
  <c r="L1128" i="22"/>
  <c r="K1128" i="22"/>
  <c r="J1128" i="22"/>
  <c r="L1127" i="22"/>
  <c r="K1127" i="22"/>
  <c r="J1127" i="22"/>
  <c r="L1126" i="22"/>
  <c r="K1126" i="22"/>
  <c r="J1126" i="22"/>
  <c r="L1125" i="22"/>
  <c r="K1125" i="22"/>
  <c r="J1125" i="22"/>
  <c r="L1124" i="22"/>
  <c r="K1124" i="22"/>
  <c r="J1124" i="22"/>
  <c r="L1123" i="22"/>
  <c r="K1123" i="22"/>
  <c r="J1123" i="22"/>
  <c r="H1122" i="22"/>
  <c r="J1121" i="22"/>
  <c r="AF1488" i="26"/>
  <c r="D1488" i="26"/>
  <c r="F108" i="22"/>
  <c r="A2333" i="22"/>
  <c r="J1117" i="22"/>
  <c r="L1118" i="22"/>
  <c r="K1118" i="22"/>
  <c r="J1118" i="22"/>
  <c r="L1117" i="22"/>
  <c r="K1117" i="22"/>
  <c r="L1116" i="22"/>
  <c r="K1116" i="22"/>
  <c r="J1116" i="22"/>
  <c r="L1115" i="22"/>
  <c r="K1115" i="22"/>
  <c r="J1115" i="22"/>
  <c r="L1114" i="22"/>
  <c r="K1114" i="22"/>
  <c r="L1113" i="22"/>
  <c r="K1113" i="22"/>
  <c r="J1113" i="22"/>
  <c r="H1113" i="22" s="1"/>
  <c r="L1112" i="22"/>
  <c r="K1112" i="22"/>
  <c r="H1111" i="22"/>
  <c r="J1110" i="22"/>
  <c r="H1110" i="22"/>
  <c r="F1120" i="22"/>
  <c r="E2333" i="22" s="1"/>
  <c r="E1120" i="22"/>
  <c r="D2333" i="22" s="1"/>
  <c r="D1487" i="26"/>
  <c r="A2332" i="22"/>
  <c r="H1100" i="22"/>
  <c r="J1099" i="22"/>
  <c r="H1099" i="22"/>
  <c r="F1109" i="22"/>
  <c r="E2332" i="22"/>
  <c r="E1109" i="22"/>
  <c r="D2332" i="22" s="1"/>
  <c r="F690" i="18"/>
  <c r="E690" i="18"/>
  <c r="D690" i="18" s="1"/>
  <c r="I353" i="1"/>
  <c r="E353" i="1"/>
  <c r="B353" i="1"/>
  <c r="B356" i="1" s="1"/>
  <c r="D1486" i="26"/>
  <c r="S1485" i="26"/>
  <c r="S1488" i="26" s="1"/>
  <c r="D1485" i="26"/>
  <c r="C3" i="1"/>
  <c r="E3" i="1"/>
  <c r="H3" i="1"/>
  <c r="I3" i="1"/>
  <c r="M3" i="1"/>
  <c r="N3" i="1"/>
  <c r="C4" i="1"/>
  <c r="E4" i="1"/>
  <c r="H4" i="1"/>
  <c r="I4" i="1"/>
  <c r="M4" i="1"/>
  <c r="N4" i="1"/>
  <c r="C5" i="1"/>
  <c r="E5" i="1"/>
  <c r="H5" i="1"/>
  <c r="I5" i="1"/>
  <c r="M5" i="1"/>
  <c r="N5" i="1"/>
  <c r="C6" i="1"/>
  <c r="E6" i="1"/>
  <c r="H6" i="1"/>
  <c r="I6" i="1"/>
  <c r="L6" i="1"/>
  <c r="M6" i="1"/>
  <c r="N6" i="1"/>
  <c r="C7" i="1"/>
  <c r="E7" i="1"/>
  <c r="H7" i="1"/>
  <c r="I7" i="1"/>
  <c r="L7" i="1"/>
  <c r="M7" i="1"/>
  <c r="N7" i="1"/>
  <c r="C8" i="1"/>
  <c r="E8" i="1"/>
  <c r="H8" i="1"/>
  <c r="I8" i="1"/>
  <c r="J8" i="1"/>
  <c r="O8" i="1" s="1"/>
  <c r="K8" i="1"/>
  <c r="L8" i="1"/>
  <c r="M8" i="1"/>
  <c r="N8" i="1"/>
  <c r="C9" i="1"/>
  <c r="E9" i="1"/>
  <c r="H9" i="1"/>
  <c r="I9" i="1"/>
  <c r="J9" i="1"/>
  <c r="O9" i="1"/>
  <c r="K9" i="1"/>
  <c r="L9" i="1"/>
  <c r="M9" i="1"/>
  <c r="N9" i="1"/>
  <c r="C10" i="1"/>
  <c r="E10" i="1"/>
  <c r="H10" i="1"/>
  <c r="I10" i="1"/>
  <c r="L10" i="1"/>
  <c r="M10" i="1"/>
  <c r="N10" i="1"/>
  <c r="C11" i="1"/>
  <c r="E11" i="1"/>
  <c r="H11" i="1"/>
  <c r="I11" i="1"/>
  <c r="L11" i="1"/>
  <c r="M11" i="1"/>
  <c r="N11" i="1"/>
  <c r="C12" i="1"/>
  <c r="E12" i="1"/>
  <c r="H12" i="1"/>
  <c r="I12" i="1"/>
  <c r="L12" i="1"/>
  <c r="M12" i="1"/>
  <c r="N12" i="1"/>
  <c r="C13" i="1"/>
  <c r="E13" i="1"/>
  <c r="H13" i="1"/>
  <c r="I13" i="1"/>
  <c r="J13" i="1"/>
  <c r="K13" i="1"/>
  <c r="L13" i="1"/>
  <c r="M13" i="1"/>
  <c r="N13" i="1"/>
  <c r="C14" i="1"/>
  <c r="E14" i="1"/>
  <c r="H14" i="1"/>
  <c r="I14" i="1"/>
  <c r="J14" i="1"/>
  <c r="K14" i="1"/>
  <c r="L14" i="1"/>
  <c r="M14" i="1"/>
  <c r="N14" i="1"/>
  <c r="C15" i="1"/>
  <c r="E15" i="1"/>
  <c r="H15" i="1"/>
  <c r="I15" i="1"/>
  <c r="L15" i="1"/>
  <c r="M15" i="1"/>
  <c r="N15" i="1"/>
  <c r="C16" i="1"/>
  <c r="E16" i="1"/>
  <c r="H16" i="1"/>
  <c r="I16" i="1"/>
  <c r="L16" i="1"/>
  <c r="M16" i="1"/>
  <c r="N16" i="1"/>
  <c r="C17" i="1"/>
  <c r="E17" i="1"/>
  <c r="H17" i="1"/>
  <c r="I17" i="1"/>
  <c r="K17" i="1"/>
  <c r="L17" i="1"/>
  <c r="M17" i="1"/>
  <c r="N17" i="1"/>
  <c r="C18" i="1"/>
  <c r="E18" i="1"/>
  <c r="H18" i="1"/>
  <c r="I18" i="1"/>
  <c r="L18" i="1"/>
  <c r="M18" i="1"/>
  <c r="N18" i="1"/>
  <c r="C19" i="1"/>
  <c r="E19" i="1"/>
  <c r="H19" i="1"/>
  <c r="I19" i="1"/>
  <c r="J19" i="1"/>
  <c r="O19" i="1" s="1"/>
  <c r="K19" i="1"/>
  <c r="L19" i="1"/>
  <c r="M19" i="1"/>
  <c r="N19" i="1"/>
  <c r="C20" i="1"/>
  <c r="E20" i="1"/>
  <c r="H20" i="1"/>
  <c r="I20" i="1"/>
  <c r="J20" i="1"/>
  <c r="K20" i="1"/>
  <c r="L20" i="1"/>
  <c r="M20" i="1"/>
  <c r="N20" i="1"/>
  <c r="C21" i="1"/>
  <c r="E21" i="1"/>
  <c r="H21" i="1"/>
  <c r="I21" i="1"/>
  <c r="L21" i="1"/>
  <c r="M21" i="1"/>
  <c r="N21" i="1"/>
  <c r="C22" i="1"/>
  <c r="E22" i="1"/>
  <c r="H22" i="1"/>
  <c r="I22" i="1"/>
  <c r="L22" i="1"/>
  <c r="M22" i="1"/>
  <c r="N22" i="1"/>
  <c r="C23" i="1"/>
  <c r="E23" i="1"/>
  <c r="H23" i="1"/>
  <c r="I23" i="1"/>
  <c r="L23" i="1"/>
  <c r="M23" i="1"/>
  <c r="N23" i="1"/>
  <c r="C24" i="1"/>
  <c r="E24" i="1"/>
  <c r="H24" i="1"/>
  <c r="I24" i="1"/>
  <c r="J24" i="1"/>
  <c r="K24" i="1"/>
  <c r="L24" i="1"/>
  <c r="M24" i="1"/>
  <c r="N24" i="1"/>
  <c r="C25" i="1"/>
  <c r="E25" i="1"/>
  <c r="C26" i="1"/>
  <c r="E26" i="1"/>
  <c r="C27" i="1"/>
  <c r="E27" i="1"/>
  <c r="C28" i="1"/>
  <c r="E28" i="1"/>
  <c r="C29" i="1"/>
  <c r="E29" i="1"/>
  <c r="C30" i="1"/>
  <c r="E30" i="1"/>
  <c r="C31" i="1"/>
  <c r="E31" i="1"/>
  <c r="C32" i="1"/>
  <c r="E32" i="1"/>
  <c r="C33" i="1"/>
  <c r="E33" i="1"/>
  <c r="C34" i="1"/>
  <c r="E34" i="1"/>
  <c r="C35" i="1"/>
  <c r="E35" i="1"/>
  <c r="C36" i="1"/>
  <c r="E36" i="1"/>
  <c r="B37" i="1"/>
  <c r="C38" i="1"/>
  <c r="E38" i="1"/>
  <c r="E39" i="1"/>
  <c r="F39" i="1"/>
  <c r="C39" i="1" s="1"/>
  <c r="C40" i="1"/>
  <c r="E40" i="1"/>
  <c r="C41" i="1"/>
  <c r="E41" i="1"/>
  <c r="C42" i="1"/>
  <c r="E42" i="1"/>
  <c r="C43" i="1"/>
  <c r="E43" i="1"/>
  <c r="C44" i="1"/>
  <c r="E44" i="1"/>
  <c r="C2" i="26"/>
  <c r="D2" i="26"/>
  <c r="C3" i="26"/>
  <c r="D3" i="26"/>
  <c r="C4" i="26"/>
  <c r="D4" i="26"/>
  <c r="C5" i="26"/>
  <c r="D5" i="26"/>
  <c r="C6" i="26"/>
  <c r="D6" i="26"/>
  <c r="C7" i="26"/>
  <c r="D7" i="26"/>
  <c r="C8" i="26"/>
  <c r="D8" i="26"/>
  <c r="C9" i="26"/>
  <c r="D9" i="26"/>
  <c r="C10" i="26"/>
  <c r="D10" i="26"/>
  <c r="C11" i="26"/>
  <c r="D11" i="26"/>
  <c r="C12" i="26"/>
  <c r="D12" i="26"/>
  <c r="C13" i="26"/>
  <c r="D13" i="26"/>
  <c r="C14" i="26"/>
  <c r="D14" i="26"/>
  <c r="C15" i="26"/>
  <c r="D15" i="26"/>
  <c r="C16" i="26"/>
  <c r="D16" i="26"/>
  <c r="C17" i="26"/>
  <c r="D17" i="26"/>
  <c r="C18" i="26"/>
  <c r="D18" i="26"/>
  <c r="C19" i="26"/>
  <c r="D19" i="26"/>
  <c r="C20" i="26"/>
  <c r="D20" i="26"/>
  <c r="C21" i="26"/>
  <c r="D21" i="26"/>
  <c r="C22" i="26"/>
  <c r="D22" i="26"/>
  <c r="C23" i="26"/>
  <c r="D23" i="26"/>
  <c r="C24" i="26"/>
  <c r="D24" i="26"/>
  <c r="C25" i="26"/>
  <c r="D25" i="26"/>
  <c r="B26" i="26"/>
  <c r="C28" i="26"/>
  <c r="D28" i="26"/>
  <c r="C29" i="26"/>
  <c r="D29" i="26"/>
  <c r="C30" i="26"/>
  <c r="D30" i="26"/>
  <c r="C31" i="26"/>
  <c r="D31" i="26"/>
  <c r="C32" i="26"/>
  <c r="D32" i="26"/>
  <c r="C33" i="26"/>
  <c r="D33" i="26"/>
  <c r="C34" i="26"/>
  <c r="D34" i="26"/>
  <c r="C35" i="26"/>
  <c r="D35" i="26"/>
  <c r="C36" i="26"/>
  <c r="D36" i="26"/>
  <c r="C37" i="26"/>
  <c r="D37" i="26"/>
  <c r="C38" i="26"/>
  <c r="D38" i="26"/>
  <c r="C39" i="26"/>
  <c r="D39" i="26"/>
  <c r="C40" i="26"/>
  <c r="D40" i="26"/>
  <c r="C41" i="26"/>
  <c r="D41" i="26"/>
  <c r="C42" i="26"/>
  <c r="D42" i="26"/>
  <c r="C43" i="26"/>
  <c r="D43" i="26"/>
  <c r="C44" i="26"/>
  <c r="D44" i="26"/>
  <c r="C45" i="26"/>
  <c r="D45" i="26"/>
  <c r="C46" i="26"/>
  <c r="D46" i="26"/>
  <c r="C47" i="26"/>
  <c r="D47" i="26"/>
  <c r="C48" i="26"/>
  <c r="D48" i="26"/>
  <c r="C49" i="26"/>
  <c r="D49" i="26"/>
  <c r="C50" i="26"/>
  <c r="D50" i="26"/>
  <c r="C51" i="26"/>
  <c r="D51" i="26"/>
  <c r="C52" i="26"/>
  <c r="D52" i="26"/>
  <c r="C53" i="26"/>
  <c r="D53" i="26"/>
  <c r="C54" i="26"/>
  <c r="D54" i="26"/>
  <c r="C55" i="26"/>
  <c r="D55" i="26"/>
  <c r="C56" i="26"/>
  <c r="D56" i="26"/>
  <c r="C57" i="26"/>
  <c r="D57" i="26"/>
  <c r="C58" i="26"/>
  <c r="D58" i="26"/>
  <c r="C59" i="26"/>
  <c r="D59" i="26"/>
  <c r="C60" i="26"/>
  <c r="D60" i="26"/>
  <c r="C61" i="26"/>
  <c r="D61" i="26"/>
  <c r="C62" i="26"/>
  <c r="D62" i="26"/>
  <c r="C63" i="26"/>
  <c r="D63" i="26"/>
  <c r="C64" i="26"/>
  <c r="D64" i="26"/>
  <c r="C65" i="26"/>
  <c r="D65" i="26"/>
  <c r="C66" i="26"/>
  <c r="D66" i="26"/>
  <c r="C67" i="26"/>
  <c r="D67" i="26"/>
  <c r="C68" i="26"/>
  <c r="D68" i="26"/>
  <c r="C69" i="26"/>
  <c r="D69" i="26"/>
  <c r="C70" i="26"/>
  <c r="D70" i="26"/>
  <c r="C71" i="26"/>
  <c r="D71" i="26"/>
  <c r="C72" i="26"/>
  <c r="D72" i="26"/>
  <c r="C73" i="26"/>
  <c r="D73" i="26"/>
  <c r="C74" i="26"/>
  <c r="D74" i="26"/>
  <c r="C75" i="26"/>
  <c r="D75" i="26"/>
  <c r="C76" i="26"/>
  <c r="D76" i="26"/>
  <c r="C77" i="26"/>
  <c r="D77" i="26"/>
  <c r="C78" i="26"/>
  <c r="D78" i="26"/>
  <c r="C79" i="26"/>
  <c r="D79" i="26"/>
  <c r="C80" i="26"/>
  <c r="D80" i="26"/>
  <c r="C81" i="26"/>
  <c r="D81" i="26"/>
  <c r="C82" i="26"/>
  <c r="D82" i="26"/>
  <c r="C83" i="26"/>
  <c r="D83" i="26"/>
  <c r="C84" i="26"/>
  <c r="D84" i="26"/>
  <c r="C85" i="26"/>
  <c r="D85" i="26"/>
  <c r="C86" i="26"/>
  <c r="D86" i="26"/>
  <c r="C87" i="26"/>
  <c r="D87" i="26"/>
  <c r="C88" i="26"/>
  <c r="D88" i="26"/>
  <c r="C89" i="26"/>
  <c r="D89" i="26"/>
  <c r="C90" i="26"/>
  <c r="D90" i="26"/>
  <c r="C91" i="26"/>
  <c r="D91" i="26"/>
  <c r="C92" i="26"/>
  <c r="D92" i="26"/>
  <c r="C93" i="26"/>
  <c r="D93" i="26"/>
  <c r="C94" i="26"/>
  <c r="D94" i="26"/>
  <c r="C95" i="26"/>
  <c r="D95" i="26"/>
  <c r="C96" i="26"/>
  <c r="D96" i="26"/>
  <c r="C97" i="26"/>
  <c r="D97" i="26"/>
  <c r="C98" i="26"/>
  <c r="D98" i="26"/>
  <c r="C99" i="26"/>
  <c r="D99" i="26"/>
  <c r="C100" i="26"/>
  <c r="D100" i="26"/>
  <c r="C101" i="26"/>
  <c r="D101" i="26"/>
  <c r="C102" i="26"/>
  <c r="D102" i="26"/>
  <c r="C103" i="26"/>
  <c r="D103" i="26"/>
  <c r="C104" i="26"/>
  <c r="D104" i="26"/>
  <c r="C105" i="26"/>
  <c r="D105" i="26"/>
  <c r="C106" i="26"/>
  <c r="D106" i="26"/>
  <c r="C107" i="26"/>
  <c r="D107" i="26"/>
  <c r="C108" i="26"/>
  <c r="D108" i="26"/>
  <c r="C109" i="26"/>
  <c r="D109" i="26"/>
  <c r="C110" i="26"/>
  <c r="D110" i="26"/>
  <c r="C111" i="26"/>
  <c r="D111" i="26"/>
  <c r="C112" i="26"/>
  <c r="D112" i="26"/>
  <c r="C113" i="26"/>
  <c r="D113" i="26"/>
  <c r="C114" i="26"/>
  <c r="D114" i="26"/>
  <c r="C115" i="26"/>
  <c r="D115" i="26"/>
  <c r="C116" i="26"/>
  <c r="D116" i="26"/>
  <c r="C117" i="26"/>
  <c r="D117" i="26"/>
  <c r="C118" i="26"/>
  <c r="D118" i="26"/>
  <c r="C119" i="26"/>
  <c r="D119" i="26"/>
  <c r="B120" i="26"/>
  <c r="D120" i="26"/>
  <c r="C121" i="26"/>
  <c r="D121" i="26"/>
  <c r="C122" i="26"/>
  <c r="D122" i="26"/>
  <c r="C123" i="26"/>
  <c r="D123" i="26"/>
  <c r="C124" i="26"/>
  <c r="D124" i="26"/>
  <c r="C125" i="26"/>
  <c r="D125" i="26"/>
  <c r="C126" i="26"/>
  <c r="D126" i="26"/>
  <c r="C127" i="26"/>
  <c r="D127" i="26"/>
  <c r="C128" i="26"/>
  <c r="D128" i="26"/>
  <c r="C129" i="26"/>
  <c r="D129" i="26"/>
  <c r="C130" i="26"/>
  <c r="D130" i="26"/>
  <c r="C131" i="26"/>
  <c r="D131" i="26"/>
  <c r="C132" i="26"/>
  <c r="D132" i="26"/>
  <c r="C133" i="26"/>
  <c r="D133" i="26"/>
  <c r="C134" i="26"/>
  <c r="D134" i="26"/>
  <c r="C135" i="26"/>
  <c r="D135" i="26"/>
  <c r="C136" i="26"/>
  <c r="D136" i="26"/>
  <c r="C137" i="26"/>
  <c r="D137" i="26"/>
  <c r="C138" i="26"/>
  <c r="D138" i="26"/>
  <c r="C139" i="26"/>
  <c r="D139" i="26"/>
  <c r="C140" i="26"/>
  <c r="D140" i="26"/>
  <c r="C141" i="26"/>
  <c r="D141" i="26"/>
  <c r="C142" i="26"/>
  <c r="D142" i="26"/>
  <c r="C143" i="26"/>
  <c r="D143" i="26"/>
  <c r="C144" i="26"/>
  <c r="D144" i="26"/>
  <c r="C145" i="26"/>
  <c r="D145" i="26"/>
  <c r="C146" i="26"/>
  <c r="D146" i="26"/>
  <c r="C147" i="26"/>
  <c r="D147" i="26"/>
  <c r="C148" i="26"/>
  <c r="D148" i="26"/>
  <c r="C149" i="26"/>
  <c r="D149" i="26"/>
  <c r="C150" i="26"/>
  <c r="D150" i="26"/>
  <c r="C151" i="26"/>
  <c r="D151" i="26"/>
  <c r="C152" i="26"/>
  <c r="D152" i="26"/>
  <c r="C153" i="26"/>
  <c r="D153" i="26"/>
  <c r="C154" i="26"/>
  <c r="D154" i="26"/>
  <c r="C155" i="26"/>
  <c r="D155" i="26"/>
  <c r="C156" i="26"/>
  <c r="D156" i="26"/>
  <c r="C157" i="26"/>
  <c r="D157" i="26"/>
  <c r="C158" i="26"/>
  <c r="D158" i="26"/>
  <c r="C159" i="26"/>
  <c r="D159" i="26"/>
  <c r="C160" i="26"/>
  <c r="D160" i="26"/>
  <c r="C161" i="26"/>
  <c r="D161" i="26"/>
  <c r="C162" i="26"/>
  <c r="D162" i="26"/>
  <c r="C163" i="26"/>
  <c r="D163" i="26"/>
  <c r="C164" i="26"/>
  <c r="D164" i="26"/>
  <c r="C165" i="26"/>
  <c r="D165" i="26"/>
  <c r="C166" i="26"/>
  <c r="D166" i="26"/>
  <c r="C167" i="26"/>
  <c r="D167" i="26"/>
  <c r="C168" i="26"/>
  <c r="D168" i="26"/>
  <c r="C169" i="26"/>
  <c r="D169" i="26"/>
  <c r="C170" i="26"/>
  <c r="D170" i="26"/>
  <c r="C171" i="26"/>
  <c r="D171" i="26"/>
  <c r="C172" i="26"/>
  <c r="D172" i="26"/>
  <c r="C173" i="26"/>
  <c r="D173" i="26"/>
  <c r="C174" i="26"/>
  <c r="D174" i="26"/>
  <c r="C175" i="26"/>
  <c r="D175" i="26"/>
  <c r="C176" i="26"/>
  <c r="D176" i="26"/>
  <c r="C177" i="26"/>
  <c r="D177" i="26"/>
  <c r="C178" i="26"/>
  <c r="D178" i="26"/>
  <c r="C179" i="26"/>
  <c r="D179" i="26"/>
  <c r="C180" i="26"/>
  <c r="D180" i="26"/>
  <c r="C181" i="26"/>
  <c r="D181" i="26"/>
  <c r="C182" i="26"/>
  <c r="D182" i="26"/>
  <c r="C183" i="26"/>
  <c r="D183" i="26"/>
  <c r="C184" i="26"/>
  <c r="D184" i="26"/>
  <c r="C185" i="26"/>
  <c r="D185" i="26"/>
  <c r="C186" i="26"/>
  <c r="D186" i="26"/>
  <c r="C187" i="26"/>
  <c r="D187" i="26"/>
  <c r="C188" i="26"/>
  <c r="D188" i="26"/>
  <c r="C189" i="26"/>
  <c r="D189" i="26"/>
  <c r="C190" i="26"/>
  <c r="D190" i="26"/>
  <c r="B191" i="26"/>
  <c r="C191" i="26" s="1"/>
  <c r="D191" i="26"/>
  <c r="C192" i="26"/>
  <c r="D192" i="26"/>
  <c r="B193" i="26"/>
  <c r="C193" i="26" s="1"/>
  <c r="D193" i="26"/>
  <c r="B194" i="26"/>
  <c r="C194" i="26" s="1"/>
  <c r="D194" i="26"/>
  <c r="C195" i="26"/>
  <c r="D195" i="26"/>
  <c r="C196" i="26"/>
  <c r="D196" i="26"/>
  <c r="C197" i="26"/>
  <c r="D197" i="26"/>
  <c r="B198" i="26"/>
  <c r="C198" i="26" s="1"/>
  <c r="D198" i="26"/>
  <c r="C199" i="26"/>
  <c r="D199" i="26"/>
  <c r="C200" i="26"/>
  <c r="D200" i="26"/>
  <c r="C201" i="26"/>
  <c r="D201" i="26"/>
  <c r="C202" i="26"/>
  <c r="D202" i="26"/>
  <c r="C203" i="26"/>
  <c r="D203" i="26"/>
  <c r="C204" i="26"/>
  <c r="D204" i="26"/>
  <c r="C205" i="26"/>
  <c r="D205" i="26"/>
  <c r="C206" i="26"/>
  <c r="D206" i="26"/>
  <c r="C207" i="26"/>
  <c r="D207" i="26"/>
  <c r="C208" i="26"/>
  <c r="D208" i="26"/>
  <c r="C209" i="26"/>
  <c r="D209" i="26"/>
  <c r="C210" i="26"/>
  <c r="D210" i="26"/>
  <c r="C211" i="26"/>
  <c r="D211" i="26"/>
  <c r="C212" i="26"/>
  <c r="D212" i="26"/>
  <c r="C213" i="26"/>
  <c r="D213" i="26"/>
  <c r="C214" i="26"/>
  <c r="D214" i="26"/>
  <c r="C215" i="26"/>
  <c r="D215" i="26"/>
  <c r="C216" i="26"/>
  <c r="D216" i="26"/>
  <c r="C217" i="26"/>
  <c r="D217" i="26"/>
  <c r="B218" i="26"/>
  <c r="C218" i="26" s="1"/>
  <c r="D218" i="26"/>
  <c r="B219" i="26"/>
  <c r="C219" i="26" s="1"/>
  <c r="D219" i="26"/>
  <c r="B220" i="26"/>
  <c r="C220" i="26" s="1"/>
  <c r="D220" i="26"/>
  <c r="C221" i="26"/>
  <c r="D221" i="26"/>
  <c r="D222" i="26"/>
  <c r="C223" i="26"/>
  <c r="D223" i="26"/>
  <c r="C224" i="26"/>
  <c r="D224" i="26"/>
  <c r="C225" i="26"/>
  <c r="D225" i="26"/>
  <c r="C226" i="26"/>
  <c r="D226" i="26"/>
  <c r="C227" i="26"/>
  <c r="D227" i="26"/>
  <c r="C228" i="26"/>
  <c r="D228" i="26"/>
  <c r="C229" i="26"/>
  <c r="D229" i="26"/>
  <c r="C230" i="26"/>
  <c r="D230" i="26"/>
  <c r="C231" i="26"/>
  <c r="D231" i="26"/>
  <c r="C232" i="26"/>
  <c r="D232" i="26"/>
  <c r="B233" i="26"/>
  <c r="C233" i="26" s="1"/>
  <c r="D233" i="26"/>
  <c r="C234" i="26"/>
  <c r="D234" i="26"/>
  <c r="C235" i="26"/>
  <c r="D235" i="26"/>
  <c r="C236" i="26"/>
  <c r="D236" i="26"/>
  <c r="C237" i="26"/>
  <c r="D237" i="26"/>
  <c r="C238" i="26"/>
  <c r="D238" i="26"/>
  <c r="C239" i="26"/>
  <c r="D239" i="26"/>
  <c r="C240" i="26"/>
  <c r="D240" i="26"/>
  <c r="C241" i="26"/>
  <c r="D241" i="26"/>
  <c r="C242" i="26"/>
  <c r="D242" i="26"/>
  <c r="C243" i="26"/>
  <c r="D243" i="26"/>
  <c r="D246" i="26"/>
  <c r="D247" i="26"/>
  <c r="D248" i="26"/>
  <c r="D249" i="26"/>
  <c r="D250" i="26"/>
  <c r="D251" i="26"/>
  <c r="D252" i="26"/>
  <c r="C253" i="26"/>
  <c r="D253" i="26"/>
  <c r="C254" i="26"/>
  <c r="D254" i="26"/>
  <c r="C256" i="26"/>
  <c r="D256" i="26"/>
  <c r="C257" i="26"/>
  <c r="D257" i="26"/>
  <c r="C258" i="26"/>
  <c r="D258" i="26"/>
  <c r="C259" i="26"/>
  <c r="D259" i="26"/>
  <c r="C260" i="26"/>
  <c r="D260" i="26"/>
  <c r="C261" i="26"/>
  <c r="D261" i="26"/>
  <c r="C262" i="26"/>
  <c r="D262" i="26"/>
  <c r="C263" i="26"/>
  <c r="D263" i="26"/>
  <c r="C264" i="26"/>
  <c r="D264" i="26"/>
  <c r="C265" i="26"/>
  <c r="D265" i="26"/>
  <c r="C266" i="26"/>
  <c r="D266" i="26"/>
  <c r="C267" i="26"/>
  <c r="D267" i="26"/>
  <c r="C268" i="26"/>
  <c r="D268" i="26"/>
  <c r="C269" i="26"/>
  <c r="D269" i="26"/>
  <c r="C270" i="26"/>
  <c r="D270" i="26"/>
  <c r="C271" i="26"/>
  <c r="D271" i="26"/>
  <c r="C272" i="26"/>
  <c r="D272" i="26"/>
  <c r="C273" i="26"/>
  <c r="D273" i="26"/>
  <c r="C274" i="26"/>
  <c r="D274" i="26"/>
  <c r="C275" i="26"/>
  <c r="D275" i="26"/>
  <c r="C276" i="26"/>
  <c r="D276" i="26"/>
  <c r="C277" i="26"/>
  <c r="D277" i="26"/>
  <c r="C278" i="26"/>
  <c r="D278" i="26"/>
  <c r="C279" i="26"/>
  <c r="D279" i="26"/>
  <c r="C280" i="26"/>
  <c r="D280" i="26"/>
  <c r="C281" i="26"/>
  <c r="D281" i="26"/>
  <c r="C282" i="26"/>
  <c r="D282" i="26"/>
  <c r="C283" i="26"/>
  <c r="D283" i="26"/>
  <c r="C284" i="26"/>
  <c r="D284" i="26"/>
  <c r="C285" i="26"/>
  <c r="D285" i="26"/>
  <c r="C286" i="26"/>
  <c r="D286" i="26"/>
  <c r="C287" i="26"/>
  <c r="D287" i="26"/>
  <c r="C288" i="26"/>
  <c r="D288" i="26"/>
  <c r="C289" i="26"/>
  <c r="D289" i="26"/>
  <c r="C290" i="26"/>
  <c r="D290" i="26"/>
  <c r="C291" i="26"/>
  <c r="D291" i="26"/>
  <c r="C292" i="26"/>
  <c r="D292" i="26"/>
  <c r="C293" i="26"/>
  <c r="D293" i="26"/>
  <c r="C294" i="26"/>
  <c r="D294" i="26"/>
  <c r="C295" i="26"/>
  <c r="D295" i="26"/>
  <c r="C296" i="26"/>
  <c r="D296" i="26"/>
  <c r="C297" i="26"/>
  <c r="D297" i="26"/>
  <c r="C298" i="26"/>
  <c r="D298" i="26"/>
  <c r="C299" i="26"/>
  <c r="D299" i="26"/>
  <c r="C300" i="26"/>
  <c r="D300" i="26"/>
  <c r="C301" i="26"/>
  <c r="D301" i="26"/>
  <c r="C302" i="26"/>
  <c r="D302" i="26"/>
  <c r="C303" i="26"/>
  <c r="D303" i="26"/>
  <c r="C304" i="26"/>
  <c r="D304" i="26"/>
  <c r="C305" i="26"/>
  <c r="D305" i="26"/>
  <c r="C306" i="26"/>
  <c r="D306" i="26"/>
  <c r="C307" i="26"/>
  <c r="D307" i="26"/>
  <c r="C308" i="26"/>
  <c r="D308" i="26"/>
  <c r="C309" i="26"/>
  <c r="D309" i="26"/>
  <c r="C310" i="26"/>
  <c r="D310" i="26"/>
  <c r="C311" i="26"/>
  <c r="D311" i="26"/>
  <c r="C312" i="26"/>
  <c r="D312" i="26"/>
  <c r="C313" i="26"/>
  <c r="D313" i="26"/>
  <c r="C314" i="26"/>
  <c r="D314" i="26"/>
  <c r="C315" i="26"/>
  <c r="D315" i="26"/>
  <c r="C316" i="26"/>
  <c r="D316" i="26"/>
  <c r="C317" i="26"/>
  <c r="D317" i="26"/>
  <c r="C318" i="26"/>
  <c r="D318" i="26"/>
  <c r="C319" i="26"/>
  <c r="D319" i="26"/>
  <c r="C320" i="26"/>
  <c r="D320" i="26"/>
  <c r="C321" i="26"/>
  <c r="D321" i="26"/>
  <c r="C322" i="26"/>
  <c r="D322" i="26"/>
  <c r="C323" i="26"/>
  <c r="D323" i="26"/>
  <c r="C324" i="26"/>
  <c r="D324" i="26"/>
  <c r="C325" i="26"/>
  <c r="D325" i="26"/>
  <c r="C326" i="26"/>
  <c r="D326" i="26"/>
  <c r="C327" i="26"/>
  <c r="D327" i="26"/>
  <c r="C328" i="26"/>
  <c r="D328" i="26"/>
  <c r="C329" i="26"/>
  <c r="D329" i="26"/>
  <c r="C330" i="26"/>
  <c r="D330" i="26"/>
  <c r="C331" i="26"/>
  <c r="D331" i="26"/>
  <c r="C332" i="26"/>
  <c r="D332" i="26"/>
  <c r="C333" i="26"/>
  <c r="D333" i="26"/>
  <c r="C334" i="26"/>
  <c r="D334" i="26"/>
  <c r="C335" i="26"/>
  <c r="D335" i="26"/>
  <c r="C336" i="26"/>
  <c r="D336" i="26"/>
  <c r="B337" i="26"/>
  <c r="C337" i="26" s="1"/>
  <c r="D337" i="26"/>
  <c r="D338" i="26"/>
  <c r="C339" i="26"/>
  <c r="D339" i="26"/>
  <c r="D340" i="26"/>
  <c r="C341" i="26"/>
  <c r="D341" i="26"/>
  <c r="C342" i="26"/>
  <c r="D342" i="26"/>
  <c r="C343" i="26"/>
  <c r="D343" i="26"/>
  <c r="C344" i="26"/>
  <c r="D344" i="26"/>
  <c r="C345" i="26"/>
  <c r="D345" i="26"/>
  <c r="C346" i="26"/>
  <c r="D346" i="26"/>
  <c r="C347" i="26"/>
  <c r="D347" i="26"/>
  <c r="B348" i="26"/>
  <c r="C348" i="26" s="1"/>
  <c r="D348" i="26"/>
  <c r="C349" i="26"/>
  <c r="D349" i="26"/>
  <c r="C350" i="26"/>
  <c r="D350" i="26"/>
  <c r="C351" i="26"/>
  <c r="D351" i="26"/>
  <c r="C352" i="26"/>
  <c r="D352" i="26"/>
  <c r="C353" i="26"/>
  <c r="D353" i="26"/>
  <c r="C354" i="26"/>
  <c r="D354" i="26"/>
  <c r="C355" i="26"/>
  <c r="D355" i="26"/>
  <c r="C356" i="26"/>
  <c r="D356" i="26"/>
  <c r="C357" i="26"/>
  <c r="D357" i="26"/>
  <c r="C358" i="26"/>
  <c r="D358" i="26"/>
  <c r="C359" i="26"/>
  <c r="D359" i="26"/>
  <c r="C360" i="26"/>
  <c r="D360" i="26"/>
  <c r="C361" i="26"/>
  <c r="D361" i="26"/>
  <c r="C362" i="26"/>
  <c r="D362" i="26"/>
  <c r="C363" i="26"/>
  <c r="D363" i="26"/>
  <c r="C364" i="26"/>
  <c r="D364" i="26"/>
  <c r="C365" i="26"/>
  <c r="D365" i="26"/>
  <c r="C366" i="26"/>
  <c r="D366" i="26"/>
  <c r="C367" i="26"/>
  <c r="D367" i="26"/>
  <c r="C368" i="26"/>
  <c r="D368" i="26"/>
  <c r="C369" i="26"/>
  <c r="D369" i="26"/>
  <c r="C370" i="26"/>
  <c r="D370" i="26"/>
  <c r="C371" i="26"/>
  <c r="D371" i="26"/>
  <c r="B372" i="26"/>
  <c r="C372" i="26" s="1"/>
  <c r="D372" i="26"/>
  <c r="C373" i="26"/>
  <c r="D373" i="26"/>
  <c r="C374" i="26"/>
  <c r="D374" i="26"/>
  <c r="C375" i="26"/>
  <c r="D375" i="26"/>
  <c r="C376" i="26"/>
  <c r="D376" i="26"/>
  <c r="C377" i="26"/>
  <c r="D377" i="26"/>
  <c r="C378" i="26"/>
  <c r="D378" i="26"/>
  <c r="C379" i="26"/>
  <c r="D379" i="26"/>
  <c r="C380" i="26"/>
  <c r="D380" i="26"/>
  <c r="C381" i="26"/>
  <c r="D381" i="26"/>
  <c r="C382" i="26"/>
  <c r="D382" i="26"/>
  <c r="C383" i="26"/>
  <c r="D383" i="26"/>
  <c r="C384" i="26"/>
  <c r="D384" i="26"/>
  <c r="C385" i="26"/>
  <c r="D385" i="26"/>
  <c r="C386" i="26"/>
  <c r="D386" i="26"/>
  <c r="C387" i="26"/>
  <c r="D387" i="26"/>
  <c r="C388" i="26"/>
  <c r="D388" i="26"/>
  <c r="C389" i="26"/>
  <c r="D389" i="26"/>
  <c r="C390" i="26"/>
  <c r="D390" i="26"/>
  <c r="C391" i="26"/>
  <c r="D391" i="26"/>
  <c r="C392" i="26"/>
  <c r="D392" i="26"/>
  <c r="C393" i="26"/>
  <c r="D393" i="26"/>
  <c r="C394" i="26"/>
  <c r="D394" i="26"/>
  <c r="C395" i="26"/>
  <c r="D395" i="26"/>
  <c r="C396" i="26"/>
  <c r="D396" i="26"/>
  <c r="C397" i="26"/>
  <c r="D397" i="26"/>
  <c r="C398" i="26"/>
  <c r="D398" i="26"/>
  <c r="C399" i="26"/>
  <c r="D399" i="26"/>
  <c r="B400" i="26"/>
  <c r="C400" i="26" s="1"/>
  <c r="D400" i="26"/>
  <c r="C401" i="26"/>
  <c r="D401" i="26"/>
  <c r="B402" i="26"/>
  <c r="C402" i="26" s="1"/>
  <c r="D402" i="26"/>
  <c r="C403" i="26"/>
  <c r="D403" i="26"/>
  <c r="C404" i="26"/>
  <c r="D404" i="26"/>
  <c r="C405" i="26"/>
  <c r="D405" i="26"/>
  <c r="C406" i="26"/>
  <c r="D406" i="26"/>
  <c r="B407" i="26"/>
  <c r="C407" i="26" s="1"/>
  <c r="D407" i="26"/>
  <c r="C408" i="26"/>
  <c r="D408" i="26"/>
  <c r="C409" i="26"/>
  <c r="D409" i="26"/>
  <c r="C410" i="26"/>
  <c r="D410" i="26"/>
  <c r="B411" i="26"/>
  <c r="C411" i="26" s="1"/>
  <c r="D411" i="26"/>
  <c r="C412" i="26"/>
  <c r="D412" i="26"/>
  <c r="C413" i="26"/>
  <c r="D413" i="26"/>
  <c r="C414" i="26"/>
  <c r="D414" i="26"/>
  <c r="B415" i="26"/>
  <c r="C415" i="26" s="1"/>
  <c r="D415" i="26"/>
  <c r="C416" i="26"/>
  <c r="D416" i="26"/>
  <c r="C417" i="26"/>
  <c r="D417" i="26"/>
  <c r="C418" i="26"/>
  <c r="D418" i="26"/>
  <c r="C419" i="26"/>
  <c r="D419" i="26"/>
  <c r="C420" i="26"/>
  <c r="D420" i="26"/>
  <c r="C421" i="26"/>
  <c r="D421" i="26"/>
  <c r="C422" i="26"/>
  <c r="D422" i="26"/>
  <c r="C423" i="26"/>
  <c r="D423" i="26"/>
  <c r="C424" i="26"/>
  <c r="D424" i="26"/>
  <c r="C425" i="26"/>
  <c r="D425" i="26"/>
  <c r="B426" i="26"/>
  <c r="C426" i="26" s="1"/>
  <c r="D426" i="26"/>
  <c r="C427" i="26"/>
  <c r="D427" i="26"/>
  <c r="C428" i="26"/>
  <c r="D428" i="26"/>
  <c r="C429" i="26"/>
  <c r="D429" i="26"/>
  <c r="C430" i="26"/>
  <c r="D430" i="26"/>
  <c r="C431" i="26"/>
  <c r="D431" i="26"/>
  <c r="C432" i="26"/>
  <c r="D432" i="26"/>
  <c r="C433" i="26"/>
  <c r="D433" i="26"/>
  <c r="C434" i="26"/>
  <c r="D434" i="26"/>
  <c r="C435" i="26"/>
  <c r="D435" i="26"/>
  <c r="C436" i="26"/>
  <c r="D436" i="26"/>
  <c r="C437" i="26"/>
  <c r="D437" i="26"/>
  <c r="C438" i="26"/>
  <c r="D438" i="26"/>
  <c r="C439" i="26"/>
  <c r="D439" i="26"/>
  <c r="B440" i="26"/>
  <c r="C440" i="26" s="1"/>
  <c r="D440" i="26"/>
  <c r="C441" i="26"/>
  <c r="D441" i="26"/>
  <c r="C442" i="26"/>
  <c r="D442" i="26"/>
  <c r="C443" i="26"/>
  <c r="D443" i="26"/>
  <c r="C444" i="26"/>
  <c r="D444" i="26"/>
  <c r="B445" i="26"/>
  <c r="C445" i="26" s="1"/>
  <c r="D445" i="26"/>
  <c r="C446" i="26"/>
  <c r="D446" i="26"/>
  <c r="C447" i="26"/>
  <c r="D447" i="26"/>
  <c r="C448" i="26"/>
  <c r="D448" i="26"/>
  <c r="C449" i="26"/>
  <c r="D449" i="26"/>
  <c r="C450" i="26"/>
  <c r="D450" i="26"/>
  <c r="C451" i="26"/>
  <c r="D451" i="26"/>
  <c r="C452" i="26"/>
  <c r="D452" i="26"/>
  <c r="C453" i="26"/>
  <c r="D453" i="26"/>
  <c r="C454" i="26"/>
  <c r="D454" i="26"/>
  <c r="C455" i="26"/>
  <c r="D455" i="26"/>
  <c r="C456" i="26"/>
  <c r="D456" i="26"/>
  <c r="C457" i="26"/>
  <c r="D457" i="26"/>
  <c r="C458" i="26"/>
  <c r="D458" i="26"/>
  <c r="C459" i="26"/>
  <c r="D459" i="26"/>
  <c r="C460" i="26"/>
  <c r="D460" i="26"/>
  <c r="C461" i="26"/>
  <c r="D461" i="26"/>
  <c r="C462" i="26"/>
  <c r="D462" i="26"/>
  <c r="C463" i="26"/>
  <c r="D463" i="26"/>
  <c r="C464" i="26"/>
  <c r="D464" i="26"/>
  <c r="C465" i="26"/>
  <c r="D465" i="26"/>
  <c r="C466" i="26"/>
  <c r="D466" i="26"/>
  <c r="C467" i="26"/>
  <c r="D467" i="26"/>
  <c r="C468" i="26"/>
  <c r="D468" i="26"/>
  <c r="C469" i="26"/>
  <c r="D469" i="26"/>
  <c r="C470" i="26"/>
  <c r="D470" i="26"/>
  <c r="C471" i="26"/>
  <c r="D471" i="26"/>
  <c r="C472" i="26"/>
  <c r="D472" i="26"/>
  <c r="C473" i="26"/>
  <c r="D473" i="26"/>
  <c r="C474" i="26"/>
  <c r="D474" i="26"/>
  <c r="C475" i="26"/>
  <c r="D475" i="26"/>
  <c r="C476" i="26"/>
  <c r="D476" i="26"/>
  <c r="C477" i="26"/>
  <c r="D477" i="26"/>
  <c r="C478" i="26"/>
  <c r="D478" i="26"/>
  <c r="C479" i="26"/>
  <c r="D479" i="26"/>
  <c r="C480" i="26"/>
  <c r="D480" i="26"/>
  <c r="C481" i="26"/>
  <c r="D481" i="26"/>
  <c r="C482" i="26"/>
  <c r="D482" i="26"/>
  <c r="B483" i="26"/>
  <c r="C483" i="26" s="1"/>
  <c r="D483" i="26"/>
  <c r="C484" i="26"/>
  <c r="D484" i="26"/>
  <c r="C485" i="26"/>
  <c r="D485" i="26"/>
  <c r="C486" i="26"/>
  <c r="D486" i="26"/>
  <c r="C487" i="26"/>
  <c r="D487" i="26"/>
  <c r="C488" i="26"/>
  <c r="D488" i="26"/>
  <c r="C489" i="26"/>
  <c r="D489" i="26"/>
  <c r="B490" i="26"/>
  <c r="C490" i="26" s="1"/>
  <c r="D490" i="26"/>
  <c r="C491" i="26"/>
  <c r="D491" i="26"/>
  <c r="C492" i="26"/>
  <c r="D492" i="26"/>
  <c r="C493" i="26"/>
  <c r="D493" i="26"/>
  <c r="C494" i="26"/>
  <c r="D494" i="26"/>
  <c r="C495" i="26"/>
  <c r="D495" i="26"/>
  <c r="C496" i="26"/>
  <c r="D496" i="26"/>
  <c r="C497" i="26"/>
  <c r="D497" i="26"/>
  <c r="C498" i="26"/>
  <c r="D498" i="26"/>
  <c r="C499" i="26"/>
  <c r="D499" i="26"/>
  <c r="C500" i="26"/>
  <c r="D500" i="26"/>
  <c r="C501" i="26"/>
  <c r="D501" i="26"/>
  <c r="C502" i="26"/>
  <c r="D502" i="26"/>
  <c r="C503" i="26"/>
  <c r="D503" i="26"/>
  <c r="C504" i="26"/>
  <c r="D504" i="26"/>
  <c r="C505" i="26"/>
  <c r="D505" i="26"/>
  <c r="C506" i="26"/>
  <c r="D506" i="26"/>
  <c r="C507" i="26"/>
  <c r="D507" i="26"/>
  <c r="C509" i="26"/>
  <c r="D509" i="26"/>
  <c r="C514" i="26"/>
  <c r="D514" i="26"/>
  <c r="C515" i="26"/>
  <c r="D515" i="26"/>
  <c r="C516" i="26"/>
  <c r="D516" i="26"/>
  <c r="C517" i="26"/>
  <c r="D517" i="26"/>
  <c r="C518" i="26"/>
  <c r="D518" i="26"/>
  <c r="C519" i="26"/>
  <c r="D519" i="26"/>
  <c r="C520" i="26"/>
  <c r="D520" i="26"/>
  <c r="C521" i="26"/>
  <c r="D521" i="26"/>
  <c r="C522" i="26"/>
  <c r="D522" i="26"/>
  <c r="C523" i="26"/>
  <c r="D523" i="26"/>
  <c r="C524" i="26"/>
  <c r="D524" i="26"/>
  <c r="C525" i="26"/>
  <c r="D525" i="26"/>
  <c r="C526" i="26"/>
  <c r="D526" i="26"/>
  <c r="C527" i="26"/>
  <c r="D527" i="26"/>
  <c r="C528" i="26"/>
  <c r="D528" i="26"/>
  <c r="C529" i="26"/>
  <c r="D529" i="26"/>
  <c r="C530" i="26"/>
  <c r="D530" i="26"/>
  <c r="C531" i="26"/>
  <c r="D531" i="26"/>
  <c r="C532" i="26"/>
  <c r="D532" i="26"/>
  <c r="C533" i="26"/>
  <c r="D533" i="26"/>
  <c r="C534" i="26"/>
  <c r="D534" i="26"/>
  <c r="C535" i="26"/>
  <c r="D535" i="26"/>
  <c r="C536" i="26"/>
  <c r="D536" i="26"/>
  <c r="C537" i="26"/>
  <c r="D537" i="26"/>
  <c r="C538" i="26"/>
  <c r="D538" i="26"/>
  <c r="C539" i="26"/>
  <c r="D539" i="26"/>
  <c r="C540" i="26"/>
  <c r="D540" i="26"/>
  <c r="C541" i="26"/>
  <c r="D541" i="26"/>
  <c r="C542" i="26"/>
  <c r="D542" i="26"/>
  <c r="C543" i="26"/>
  <c r="D543" i="26"/>
  <c r="C544" i="26"/>
  <c r="D544" i="26"/>
  <c r="C545" i="26"/>
  <c r="D545" i="26"/>
  <c r="C546" i="26"/>
  <c r="D546" i="26"/>
  <c r="C547" i="26"/>
  <c r="D547" i="26"/>
  <c r="C548" i="26"/>
  <c r="D548" i="26"/>
  <c r="C549" i="26"/>
  <c r="D549" i="26"/>
  <c r="C550" i="26"/>
  <c r="D550" i="26"/>
  <c r="C551" i="26"/>
  <c r="D551" i="26"/>
  <c r="C552" i="26"/>
  <c r="D552" i="26"/>
  <c r="C553" i="26"/>
  <c r="D553" i="26"/>
  <c r="C554" i="26"/>
  <c r="D554" i="26"/>
  <c r="C555" i="26"/>
  <c r="D555" i="26"/>
  <c r="C556" i="26"/>
  <c r="D556" i="26"/>
  <c r="C557" i="26"/>
  <c r="D557" i="26"/>
  <c r="C558" i="26"/>
  <c r="D558" i="26"/>
  <c r="C559" i="26"/>
  <c r="D559" i="26"/>
  <c r="C560" i="26"/>
  <c r="D560" i="26"/>
  <c r="C561" i="26"/>
  <c r="D561" i="26"/>
  <c r="C562" i="26"/>
  <c r="D562" i="26"/>
  <c r="B563" i="26"/>
  <c r="C563" i="26" s="1"/>
  <c r="D563" i="26"/>
  <c r="C564" i="26"/>
  <c r="D564" i="26"/>
  <c r="C565" i="26"/>
  <c r="D565" i="26"/>
  <c r="C566" i="26"/>
  <c r="D566" i="26"/>
  <c r="C567" i="26"/>
  <c r="D567" i="26"/>
  <c r="C568" i="26"/>
  <c r="D568" i="26"/>
  <c r="C569" i="26"/>
  <c r="D569" i="26"/>
  <c r="C570" i="26"/>
  <c r="D570" i="26"/>
  <c r="C571" i="26"/>
  <c r="D571" i="26"/>
  <c r="C572" i="26"/>
  <c r="D572" i="26"/>
  <c r="C573" i="26"/>
  <c r="D573" i="26"/>
  <c r="C574" i="26"/>
  <c r="D574" i="26"/>
  <c r="C575" i="26"/>
  <c r="D575" i="26"/>
  <c r="C576" i="26"/>
  <c r="D576" i="26"/>
  <c r="C577" i="26"/>
  <c r="D577" i="26"/>
  <c r="C578" i="26"/>
  <c r="D578" i="26"/>
  <c r="C579" i="26"/>
  <c r="D579" i="26"/>
  <c r="C580" i="26"/>
  <c r="D580" i="26"/>
  <c r="C581" i="26"/>
  <c r="D581" i="26"/>
  <c r="C582" i="26"/>
  <c r="D582" i="26"/>
  <c r="C583" i="26"/>
  <c r="D583" i="26"/>
  <c r="C584" i="26"/>
  <c r="D584" i="26"/>
  <c r="C585" i="26"/>
  <c r="D585" i="26"/>
  <c r="C586" i="26"/>
  <c r="D586" i="26"/>
  <c r="C587" i="26"/>
  <c r="D587" i="26"/>
  <c r="C588" i="26"/>
  <c r="D588" i="26"/>
  <c r="C589" i="26"/>
  <c r="D589" i="26"/>
  <c r="C590" i="26"/>
  <c r="D590" i="26"/>
  <c r="C591" i="26"/>
  <c r="D591" i="26"/>
  <c r="C592" i="26"/>
  <c r="D592" i="26"/>
  <c r="C593" i="26"/>
  <c r="D593" i="26"/>
  <c r="C594" i="26"/>
  <c r="D594" i="26"/>
  <c r="C595" i="26"/>
  <c r="D595" i="26"/>
  <c r="C596" i="26"/>
  <c r="D596" i="26"/>
  <c r="C597" i="26"/>
  <c r="D597" i="26"/>
  <c r="C598" i="26"/>
  <c r="D598" i="26"/>
  <c r="C599" i="26"/>
  <c r="D599" i="26"/>
  <c r="C600" i="26"/>
  <c r="D600" i="26"/>
  <c r="C601" i="26"/>
  <c r="D601" i="26"/>
  <c r="C602" i="26"/>
  <c r="D602" i="26"/>
  <c r="C603" i="26"/>
  <c r="D603" i="26"/>
  <c r="C604" i="26"/>
  <c r="D604" i="26"/>
  <c r="C605" i="26"/>
  <c r="D605" i="26"/>
  <c r="C606" i="26"/>
  <c r="D606" i="26"/>
  <c r="C607" i="26"/>
  <c r="D607" i="26"/>
  <c r="C608" i="26"/>
  <c r="D608" i="26"/>
  <c r="C609" i="26"/>
  <c r="D609" i="26"/>
  <c r="C610" i="26"/>
  <c r="D610" i="26"/>
  <c r="C611" i="26"/>
  <c r="D611" i="26"/>
  <c r="C612" i="26"/>
  <c r="D612" i="26"/>
  <c r="C613" i="26"/>
  <c r="D613" i="26"/>
  <c r="C614" i="26"/>
  <c r="D614" i="26"/>
  <c r="C615" i="26"/>
  <c r="D615" i="26"/>
  <c r="C616" i="26"/>
  <c r="D616" i="26"/>
  <c r="C617" i="26"/>
  <c r="D617" i="26"/>
  <c r="C618" i="26"/>
  <c r="D618" i="26"/>
  <c r="C619" i="26"/>
  <c r="D619" i="26"/>
  <c r="C620" i="26"/>
  <c r="D620" i="26"/>
  <c r="C621" i="26"/>
  <c r="D621" i="26"/>
  <c r="C622" i="26"/>
  <c r="D622" i="26"/>
  <c r="C623" i="26"/>
  <c r="D623" i="26"/>
  <c r="C624" i="26"/>
  <c r="D624" i="26"/>
  <c r="C625" i="26"/>
  <c r="D625" i="26"/>
  <c r="C626" i="26"/>
  <c r="D626" i="26"/>
  <c r="C627" i="26"/>
  <c r="D627" i="26"/>
  <c r="C628" i="26"/>
  <c r="D628" i="26"/>
  <c r="C629" i="26"/>
  <c r="D629" i="26"/>
  <c r="C630" i="26"/>
  <c r="D630" i="26"/>
  <c r="C631" i="26"/>
  <c r="D631" i="26"/>
  <c r="C632" i="26"/>
  <c r="D632" i="26"/>
  <c r="C633" i="26"/>
  <c r="D633" i="26"/>
  <c r="C634" i="26"/>
  <c r="D634" i="26"/>
  <c r="C635" i="26"/>
  <c r="D635" i="26"/>
  <c r="C636" i="26"/>
  <c r="D636" i="26"/>
  <c r="C637" i="26"/>
  <c r="D637" i="26"/>
  <c r="C638" i="26"/>
  <c r="D638" i="26"/>
  <c r="C639" i="26"/>
  <c r="D639" i="26"/>
  <c r="C640" i="26"/>
  <c r="D640" i="26"/>
  <c r="C641" i="26"/>
  <c r="D641" i="26"/>
  <c r="C642" i="26"/>
  <c r="D642" i="26"/>
  <c r="C643" i="26"/>
  <c r="D643" i="26"/>
  <c r="C644" i="26"/>
  <c r="D644" i="26"/>
  <c r="C645" i="26"/>
  <c r="D645" i="26"/>
  <c r="C648" i="26"/>
  <c r="D648" i="26"/>
  <c r="C649" i="26"/>
  <c r="D649" i="26"/>
  <c r="C650" i="26"/>
  <c r="D650" i="26"/>
  <c r="C651" i="26"/>
  <c r="D651" i="26"/>
  <c r="C652" i="26"/>
  <c r="D652" i="26"/>
  <c r="C653" i="26"/>
  <c r="D653" i="26"/>
  <c r="C654" i="26"/>
  <c r="D654" i="26"/>
  <c r="B655" i="26"/>
  <c r="C655" i="26" s="1"/>
  <c r="D655" i="26"/>
  <c r="C656" i="26"/>
  <c r="D656" i="26"/>
  <c r="C657" i="26"/>
  <c r="D657" i="26"/>
  <c r="C658" i="26"/>
  <c r="D658" i="26"/>
  <c r="C659" i="26"/>
  <c r="D659" i="26"/>
  <c r="C660" i="26"/>
  <c r="D660" i="26"/>
  <c r="C661" i="26"/>
  <c r="D661" i="26"/>
  <c r="C662" i="26"/>
  <c r="D662" i="26"/>
  <c r="C663" i="26"/>
  <c r="D663" i="26"/>
  <c r="P663" i="26"/>
  <c r="C664" i="26"/>
  <c r="D664" i="26"/>
  <c r="C665" i="26"/>
  <c r="D665" i="26"/>
  <c r="C666" i="26"/>
  <c r="D666" i="26"/>
  <c r="C667" i="26"/>
  <c r="D667" i="26"/>
  <c r="C668" i="26"/>
  <c r="D668" i="26"/>
  <c r="C669" i="26"/>
  <c r="D669" i="26"/>
  <c r="C670" i="26"/>
  <c r="D670" i="26"/>
  <c r="C671" i="26"/>
  <c r="D671" i="26"/>
  <c r="C672" i="26"/>
  <c r="D672" i="26"/>
  <c r="C673" i="26"/>
  <c r="D673" i="26"/>
  <c r="C674" i="26"/>
  <c r="D674" i="26"/>
  <c r="C675" i="26"/>
  <c r="D675" i="26"/>
  <c r="C676" i="26"/>
  <c r="D676" i="26"/>
  <c r="C677" i="26"/>
  <c r="D677" i="26"/>
  <c r="C678" i="26"/>
  <c r="D678" i="26"/>
  <c r="C679" i="26"/>
  <c r="D679" i="26"/>
  <c r="C680" i="26"/>
  <c r="D680" i="26"/>
  <c r="C681" i="26"/>
  <c r="D681" i="26"/>
  <c r="C682" i="26"/>
  <c r="D682" i="26"/>
  <c r="C683" i="26"/>
  <c r="D683" i="26"/>
  <c r="C684" i="26"/>
  <c r="D684" i="26"/>
  <c r="C685" i="26"/>
  <c r="D685" i="26"/>
  <c r="C686" i="26"/>
  <c r="D686" i="26"/>
  <c r="C687" i="26"/>
  <c r="D687" i="26"/>
  <c r="C688" i="26"/>
  <c r="D688" i="26"/>
  <c r="C689" i="26"/>
  <c r="D689" i="26"/>
  <c r="C690" i="26"/>
  <c r="D690" i="26"/>
  <c r="C691" i="26"/>
  <c r="D691" i="26"/>
  <c r="C692" i="26"/>
  <c r="D692" i="26"/>
  <c r="C693" i="26"/>
  <c r="D693" i="26"/>
  <c r="C694" i="26"/>
  <c r="D694" i="26"/>
  <c r="C695" i="26"/>
  <c r="D695" i="26"/>
  <c r="C696" i="26"/>
  <c r="D696" i="26"/>
  <c r="C697" i="26"/>
  <c r="D697" i="26"/>
  <c r="C698" i="26"/>
  <c r="D698" i="26"/>
  <c r="C699" i="26"/>
  <c r="D699" i="26"/>
  <c r="C700" i="26"/>
  <c r="D700" i="26"/>
  <c r="C701" i="26"/>
  <c r="D701" i="26"/>
  <c r="C702" i="26"/>
  <c r="D702" i="26"/>
  <c r="C703" i="26"/>
  <c r="D703" i="26"/>
  <c r="C704" i="26"/>
  <c r="D704" i="26"/>
  <c r="C705" i="26"/>
  <c r="D705" i="26"/>
  <c r="C706" i="26"/>
  <c r="D706" i="26"/>
  <c r="C707" i="26"/>
  <c r="D707" i="26"/>
  <c r="C708" i="26"/>
  <c r="I708" i="26" s="1"/>
  <c r="D708" i="26"/>
  <c r="H708" i="26" s="1"/>
  <c r="C709" i="26"/>
  <c r="I709" i="26" s="1"/>
  <c r="D709" i="26"/>
  <c r="H709" i="26" s="1"/>
  <c r="C710" i="26"/>
  <c r="I710" i="26" s="1"/>
  <c r="D710" i="26"/>
  <c r="H710" i="26" s="1"/>
  <c r="C711" i="26"/>
  <c r="I711" i="26" s="1"/>
  <c r="D711" i="26"/>
  <c r="H711" i="26" s="1"/>
  <c r="C712" i="26"/>
  <c r="I712" i="26" s="1"/>
  <c r="D712" i="26"/>
  <c r="H712" i="26" s="1"/>
  <c r="C713" i="26"/>
  <c r="I713" i="26" s="1"/>
  <c r="D713" i="26"/>
  <c r="H713" i="26" s="1"/>
  <c r="C714" i="26"/>
  <c r="I714" i="26" s="1"/>
  <c r="D714" i="26"/>
  <c r="H714" i="26" s="1"/>
  <c r="C715" i="26"/>
  <c r="I715" i="26" s="1"/>
  <c r="D715" i="26"/>
  <c r="H715" i="26" s="1"/>
  <c r="C716" i="26"/>
  <c r="I716" i="26" s="1"/>
  <c r="D716" i="26"/>
  <c r="H716" i="26" s="1"/>
  <c r="C717" i="26"/>
  <c r="D717" i="26"/>
  <c r="M717" i="26"/>
  <c r="C718" i="26"/>
  <c r="I718" i="26" s="1"/>
  <c r="D718" i="26"/>
  <c r="H718" i="26" s="1"/>
  <c r="C719" i="26"/>
  <c r="I719" i="26" s="1"/>
  <c r="D719" i="26"/>
  <c r="H719" i="26" s="1"/>
  <c r="C720" i="26"/>
  <c r="I720" i="26" s="1"/>
  <c r="D720" i="26"/>
  <c r="H720" i="26" s="1"/>
  <c r="C721" i="26"/>
  <c r="I721" i="26" s="1"/>
  <c r="D721" i="26"/>
  <c r="H721" i="26" s="1"/>
  <c r="C722" i="26"/>
  <c r="I722" i="26" s="1"/>
  <c r="D722" i="26"/>
  <c r="H722" i="26" s="1"/>
  <c r="C723" i="26"/>
  <c r="I723" i="26" s="1"/>
  <c r="D723" i="26"/>
  <c r="H723" i="26" s="1"/>
  <c r="C724" i="26"/>
  <c r="I724" i="26" s="1"/>
  <c r="D724" i="26"/>
  <c r="H724" i="26" s="1"/>
  <c r="C725" i="26"/>
  <c r="I725" i="26" s="1"/>
  <c r="D725" i="26"/>
  <c r="H725" i="26" s="1"/>
  <c r="C726" i="26"/>
  <c r="I726" i="26" s="1"/>
  <c r="D726" i="26"/>
  <c r="H726" i="26" s="1"/>
  <c r="C727" i="26"/>
  <c r="I727" i="26" s="1"/>
  <c r="D727" i="26"/>
  <c r="H727" i="26" s="1"/>
  <c r="C728" i="26"/>
  <c r="I728" i="26" s="1"/>
  <c r="D728" i="26"/>
  <c r="H728" i="26" s="1"/>
  <c r="C729" i="26"/>
  <c r="I729" i="26" s="1"/>
  <c r="D729" i="26"/>
  <c r="H729" i="26" s="1"/>
  <c r="C730" i="26"/>
  <c r="D730" i="26"/>
  <c r="C731" i="26"/>
  <c r="I731" i="26" s="1"/>
  <c r="D731" i="26"/>
  <c r="H731" i="26" s="1"/>
  <c r="C732" i="26"/>
  <c r="D732" i="26"/>
  <c r="C733" i="26"/>
  <c r="D733" i="26"/>
  <c r="C734" i="26"/>
  <c r="D734" i="26"/>
  <c r="C735" i="26"/>
  <c r="D735" i="26"/>
  <c r="H735" i="26" s="1"/>
  <c r="C736" i="26"/>
  <c r="D736" i="26"/>
  <c r="C737" i="26"/>
  <c r="D737" i="26"/>
  <c r="C738" i="26"/>
  <c r="D738" i="26"/>
  <c r="C739" i="26"/>
  <c r="D739" i="26"/>
  <c r="C740" i="26"/>
  <c r="D740" i="26"/>
  <c r="C741" i="26"/>
  <c r="D741" i="26"/>
  <c r="C742" i="26"/>
  <c r="I742" i="26" s="1"/>
  <c r="D742" i="26"/>
  <c r="C743" i="26"/>
  <c r="H743" i="26" s="1"/>
  <c r="D743" i="26"/>
  <c r="C744" i="26"/>
  <c r="H744" i="26" s="1"/>
  <c r="D744" i="26"/>
  <c r="C745" i="26"/>
  <c r="H745" i="26" s="1"/>
  <c r="D745" i="26"/>
  <c r="C746" i="26"/>
  <c r="H746" i="26" s="1"/>
  <c r="D746" i="26"/>
  <c r="C747" i="26"/>
  <c r="H747" i="26" s="1"/>
  <c r="D747" i="26"/>
  <c r="C748" i="26"/>
  <c r="H748" i="26" s="1"/>
  <c r="D748" i="26"/>
  <c r="C749" i="26"/>
  <c r="H749" i="26" s="1"/>
  <c r="D749" i="26"/>
  <c r="C750" i="26"/>
  <c r="H750" i="26" s="1"/>
  <c r="D750" i="26"/>
  <c r="C751" i="26"/>
  <c r="H751" i="26" s="1"/>
  <c r="D751" i="26"/>
  <c r="C752" i="26"/>
  <c r="H752" i="26" s="1"/>
  <c r="D752" i="26"/>
  <c r="C753" i="26"/>
  <c r="H753" i="26" s="1"/>
  <c r="D753" i="26"/>
  <c r="C754" i="26"/>
  <c r="H754" i="26" s="1"/>
  <c r="D754" i="26"/>
  <c r="C755" i="26"/>
  <c r="H755" i="26" s="1"/>
  <c r="D755" i="26"/>
  <c r="C756" i="26"/>
  <c r="H756" i="26" s="1"/>
  <c r="D756" i="26"/>
  <c r="C757" i="26"/>
  <c r="H757" i="26" s="1"/>
  <c r="D757" i="26"/>
  <c r="C758" i="26"/>
  <c r="H758" i="26" s="1"/>
  <c r="D758" i="26"/>
  <c r="C759" i="26"/>
  <c r="H759" i="26" s="1"/>
  <c r="D759" i="26"/>
  <c r="B760" i="26"/>
  <c r="C760" i="26" s="1"/>
  <c r="H760" i="26" s="1"/>
  <c r="D760" i="26"/>
  <c r="C761" i="26"/>
  <c r="H761" i="26" s="1"/>
  <c r="D761" i="26"/>
  <c r="C762" i="26"/>
  <c r="H762" i="26" s="1"/>
  <c r="D762" i="26"/>
  <c r="C763" i="26"/>
  <c r="H763" i="26" s="1"/>
  <c r="D763" i="26"/>
  <c r="C764" i="26"/>
  <c r="H764" i="26" s="1"/>
  <c r="D764" i="26"/>
  <c r="C765" i="26"/>
  <c r="H765" i="26" s="1"/>
  <c r="D765" i="26"/>
  <c r="C766" i="26"/>
  <c r="H766" i="26" s="1"/>
  <c r="D766" i="26"/>
  <c r="C767" i="26"/>
  <c r="H767" i="26" s="1"/>
  <c r="D767" i="26"/>
  <c r="C768" i="26"/>
  <c r="H768" i="26" s="1"/>
  <c r="D768" i="26"/>
  <c r="C769" i="26"/>
  <c r="H769" i="26" s="1"/>
  <c r="D769" i="26"/>
  <c r="C770" i="26"/>
  <c r="H770" i="26" s="1"/>
  <c r="D770" i="26"/>
  <c r="B771" i="26"/>
  <c r="C771" i="26" s="1"/>
  <c r="H771" i="26" s="1"/>
  <c r="D771" i="26"/>
  <c r="C772" i="26"/>
  <c r="H772" i="26" s="1"/>
  <c r="D772" i="26"/>
  <c r="C773" i="26"/>
  <c r="H773" i="26" s="1"/>
  <c r="D773" i="26"/>
  <c r="C774" i="26"/>
  <c r="H774" i="26" s="1"/>
  <c r="D774" i="26"/>
  <c r="C775" i="26"/>
  <c r="H775" i="26" s="1"/>
  <c r="D775" i="26"/>
  <c r="C776" i="26"/>
  <c r="H776" i="26" s="1"/>
  <c r="D776" i="26"/>
  <c r="C777" i="26"/>
  <c r="H777" i="26" s="1"/>
  <c r="D777" i="26"/>
  <c r="C778" i="26"/>
  <c r="H778" i="26" s="1"/>
  <c r="D778" i="26"/>
  <c r="C779" i="26"/>
  <c r="H779" i="26" s="1"/>
  <c r="D779" i="26"/>
  <c r="C780" i="26"/>
  <c r="H780" i="26" s="1"/>
  <c r="D780" i="26"/>
  <c r="C781" i="26"/>
  <c r="H781" i="26" s="1"/>
  <c r="D781" i="26"/>
  <c r="D782" i="26"/>
  <c r="C783" i="26"/>
  <c r="H783" i="26" s="1"/>
  <c r="D783" i="26"/>
  <c r="C784" i="26"/>
  <c r="H784" i="26" s="1"/>
  <c r="D784" i="26"/>
  <c r="C785" i="26"/>
  <c r="H785" i="26" s="1"/>
  <c r="D785" i="26"/>
  <c r="C786" i="26"/>
  <c r="H786" i="26" s="1"/>
  <c r="D786" i="26"/>
  <c r="C787" i="26"/>
  <c r="H787" i="26" s="1"/>
  <c r="D787" i="26"/>
  <c r="C788" i="26"/>
  <c r="H788" i="26" s="1"/>
  <c r="D788" i="26"/>
  <c r="C789" i="26"/>
  <c r="H789" i="26" s="1"/>
  <c r="D789" i="26"/>
  <c r="C790" i="26"/>
  <c r="H790" i="26" s="1"/>
  <c r="D790" i="26"/>
  <c r="C791" i="26"/>
  <c r="H791" i="26" s="1"/>
  <c r="D791" i="26"/>
  <c r="C792" i="26"/>
  <c r="H792" i="26" s="1"/>
  <c r="D792" i="26"/>
  <c r="C793" i="26"/>
  <c r="H793" i="26" s="1"/>
  <c r="D793" i="26"/>
  <c r="C794" i="26"/>
  <c r="H794" i="26" s="1"/>
  <c r="D794" i="26"/>
  <c r="C795" i="26"/>
  <c r="H795" i="26" s="1"/>
  <c r="D795" i="26"/>
  <c r="C796" i="26"/>
  <c r="H796" i="26" s="1"/>
  <c r="D796" i="26"/>
  <c r="C797" i="26"/>
  <c r="H797" i="26" s="1"/>
  <c r="D797" i="26"/>
  <c r="C798" i="26"/>
  <c r="H798" i="26" s="1"/>
  <c r="D798" i="26"/>
  <c r="C799" i="26"/>
  <c r="H799" i="26" s="1"/>
  <c r="D799" i="26"/>
  <c r="C800" i="26"/>
  <c r="H800" i="26" s="1"/>
  <c r="D800" i="26"/>
  <c r="C801" i="26"/>
  <c r="H801" i="26" s="1"/>
  <c r="D801" i="26"/>
  <c r="C802" i="26"/>
  <c r="D802" i="26"/>
  <c r="C803" i="26"/>
  <c r="D803" i="26"/>
  <c r="C804" i="26"/>
  <c r="D804" i="26"/>
  <c r="C805" i="26"/>
  <c r="D805" i="26"/>
  <c r="C809" i="26"/>
  <c r="D809" i="26"/>
  <c r="C810" i="26"/>
  <c r="D810" i="26"/>
  <c r="C811" i="26"/>
  <c r="D811" i="26"/>
  <c r="C815" i="26"/>
  <c r="D815" i="26"/>
  <c r="C816" i="26"/>
  <c r="D816" i="26"/>
  <c r="C817" i="26"/>
  <c r="D817" i="26"/>
  <c r="C818" i="26"/>
  <c r="D818" i="26"/>
  <c r="C819" i="26"/>
  <c r="D819" i="26"/>
  <c r="C820" i="26"/>
  <c r="D820" i="26"/>
  <c r="C821" i="26"/>
  <c r="D821" i="26"/>
  <c r="C822" i="26"/>
  <c r="D822" i="26"/>
  <c r="C823" i="26"/>
  <c r="D823" i="26"/>
  <c r="C824" i="26"/>
  <c r="D824" i="26"/>
  <c r="C825" i="26"/>
  <c r="D825" i="26"/>
  <c r="C826" i="26"/>
  <c r="D826" i="26"/>
  <c r="C827" i="26"/>
  <c r="D827" i="26"/>
  <c r="B828" i="26"/>
  <c r="C828" i="26" s="1"/>
  <c r="D828" i="26"/>
  <c r="C829" i="26"/>
  <c r="D829" i="26"/>
  <c r="C830" i="26"/>
  <c r="D830" i="26"/>
  <c r="C831" i="26"/>
  <c r="D831" i="26"/>
  <c r="C832" i="26"/>
  <c r="D832" i="26"/>
  <c r="C833" i="26"/>
  <c r="D833" i="26"/>
  <c r="C834" i="26"/>
  <c r="D834" i="26"/>
  <c r="C835" i="26"/>
  <c r="D835" i="26"/>
  <c r="C836" i="26"/>
  <c r="D836" i="26"/>
  <c r="C837" i="26"/>
  <c r="D837" i="26"/>
  <c r="C838" i="26"/>
  <c r="D838" i="26"/>
  <c r="C839" i="26"/>
  <c r="D839" i="26"/>
  <c r="C840" i="26"/>
  <c r="D840" i="26"/>
  <c r="C841" i="26"/>
  <c r="D841" i="26"/>
  <c r="C842" i="26"/>
  <c r="D842" i="26"/>
  <c r="C843" i="26"/>
  <c r="D843" i="26"/>
  <c r="C844" i="26"/>
  <c r="D844" i="26"/>
  <c r="C845" i="26"/>
  <c r="D845" i="26"/>
  <c r="C846" i="26"/>
  <c r="D846" i="26"/>
  <c r="C847" i="26"/>
  <c r="D847" i="26"/>
  <c r="C848" i="26"/>
  <c r="D848" i="26"/>
  <c r="C849" i="26"/>
  <c r="D849" i="26"/>
  <c r="C850" i="26"/>
  <c r="D850" i="26"/>
  <c r="C851" i="26"/>
  <c r="D851" i="26"/>
  <c r="C852" i="26"/>
  <c r="D852" i="26"/>
  <c r="C853" i="26"/>
  <c r="D853" i="26"/>
  <c r="C854" i="26"/>
  <c r="D854" i="26"/>
  <c r="C855" i="26"/>
  <c r="D855" i="26"/>
  <c r="C856" i="26"/>
  <c r="D856" i="26"/>
  <c r="C857" i="26"/>
  <c r="D857" i="26"/>
  <c r="C858" i="26"/>
  <c r="D858" i="26"/>
  <c r="C859" i="26"/>
  <c r="D859" i="26"/>
  <c r="C861" i="26"/>
  <c r="D861" i="26"/>
  <c r="C862" i="26"/>
  <c r="D862" i="26"/>
  <c r="C863" i="26"/>
  <c r="D863" i="26"/>
  <c r="C864" i="26"/>
  <c r="D864" i="26"/>
  <c r="C865" i="26"/>
  <c r="D865" i="26"/>
  <c r="C866" i="26"/>
  <c r="D866" i="26"/>
  <c r="C867" i="26"/>
  <c r="D867" i="26"/>
  <c r="C868" i="26"/>
  <c r="D868" i="26"/>
  <c r="C869" i="26"/>
  <c r="D869" i="26"/>
  <c r="C870" i="26"/>
  <c r="D870" i="26"/>
  <c r="C871" i="26"/>
  <c r="D871" i="26"/>
  <c r="C872" i="26"/>
  <c r="D872" i="26"/>
  <c r="C873" i="26"/>
  <c r="D873" i="26"/>
  <c r="C874" i="26"/>
  <c r="D874" i="26"/>
  <c r="C875" i="26"/>
  <c r="D875" i="26"/>
  <c r="C876" i="26"/>
  <c r="D876" i="26"/>
  <c r="C877" i="26"/>
  <c r="D877" i="26"/>
  <c r="C878" i="26"/>
  <c r="D878" i="26"/>
  <c r="C879" i="26"/>
  <c r="D879" i="26"/>
  <c r="C880" i="26"/>
  <c r="D880" i="26"/>
  <c r="C881" i="26"/>
  <c r="D881" i="26"/>
  <c r="C882" i="26"/>
  <c r="D882" i="26"/>
  <c r="C883" i="26"/>
  <c r="D883" i="26"/>
  <c r="C884" i="26"/>
  <c r="D884" i="26"/>
  <c r="C885" i="26"/>
  <c r="D885" i="26"/>
  <c r="C886" i="26"/>
  <c r="D886" i="26"/>
  <c r="C887" i="26"/>
  <c r="D887" i="26"/>
  <c r="C888" i="26"/>
  <c r="D888" i="26"/>
  <c r="C889" i="26"/>
  <c r="D889" i="26"/>
  <c r="C890" i="26"/>
  <c r="D890" i="26"/>
  <c r="C891" i="26"/>
  <c r="D891" i="26"/>
  <c r="C892" i="26"/>
  <c r="D892" i="26"/>
  <c r="C893" i="26"/>
  <c r="D893" i="26"/>
  <c r="C894" i="26"/>
  <c r="D894" i="26"/>
  <c r="C895" i="26"/>
  <c r="D895" i="26"/>
  <c r="C896" i="26"/>
  <c r="D896" i="26"/>
  <c r="C897" i="26"/>
  <c r="D897" i="26"/>
  <c r="C898" i="26"/>
  <c r="D898" i="26"/>
  <c r="C899" i="26"/>
  <c r="D899" i="26"/>
  <c r="C900" i="26"/>
  <c r="D900" i="26"/>
  <c r="C901" i="26"/>
  <c r="D901" i="26"/>
  <c r="C902" i="26"/>
  <c r="D902" i="26"/>
  <c r="C903" i="26"/>
  <c r="D903" i="26"/>
  <c r="C904" i="26"/>
  <c r="D904" i="26"/>
  <c r="C905" i="26"/>
  <c r="D905" i="26"/>
  <c r="C906" i="26"/>
  <c r="D906" i="26"/>
  <c r="C907" i="26"/>
  <c r="D907" i="26"/>
  <c r="C908" i="26"/>
  <c r="D908" i="26"/>
  <c r="C909" i="26"/>
  <c r="D909" i="26"/>
  <c r="C914" i="26"/>
  <c r="D914" i="26"/>
  <c r="C915" i="26"/>
  <c r="D915" i="26"/>
  <c r="C916" i="26"/>
  <c r="D916" i="26"/>
  <c r="C917" i="26"/>
  <c r="D917" i="26"/>
  <c r="C918" i="26"/>
  <c r="D918" i="26"/>
  <c r="C919" i="26"/>
  <c r="D919" i="26"/>
  <c r="C920" i="26"/>
  <c r="D920" i="26"/>
  <c r="C921" i="26"/>
  <c r="D921" i="26"/>
  <c r="C922" i="26"/>
  <c r="D922" i="26"/>
  <c r="C923" i="26"/>
  <c r="D923" i="26"/>
  <c r="C924" i="26"/>
  <c r="D924" i="26"/>
  <c r="C925" i="26"/>
  <c r="D925" i="26"/>
  <c r="C926" i="26"/>
  <c r="D926" i="26"/>
  <c r="C927" i="26"/>
  <c r="D927" i="26"/>
  <c r="C928" i="26"/>
  <c r="D928" i="26"/>
  <c r="C929" i="26"/>
  <c r="D929" i="26"/>
  <c r="C930" i="26"/>
  <c r="D930" i="26"/>
  <c r="C931" i="26"/>
  <c r="D931" i="26"/>
  <c r="C932" i="26"/>
  <c r="D932" i="26"/>
  <c r="C933" i="26"/>
  <c r="D933" i="26"/>
  <c r="C934" i="26"/>
  <c r="D934" i="26"/>
  <c r="C935" i="26"/>
  <c r="D935" i="26"/>
  <c r="C936" i="26"/>
  <c r="D936" i="26"/>
  <c r="C937" i="26"/>
  <c r="D937" i="26"/>
  <c r="C938" i="26"/>
  <c r="D938" i="26"/>
  <c r="C939" i="26"/>
  <c r="D939" i="26"/>
  <c r="C940" i="26"/>
  <c r="D940" i="26"/>
  <c r="C941" i="26"/>
  <c r="D941" i="26"/>
  <c r="C942" i="26"/>
  <c r="D942" i="26"/>
  <c r="C943" i="26"/>
  <c r="D943" i="26"/>
  <c r="C944" i="26"/>
  <c r="D944" i="26"/>
  <c r="B945" i="26"/>
  <c r="C947" i="26"/>
  <c r="D947" i="26"/>
  <c r="C948" i="26"/>
  <c r="D948" i="26"/>
  <c r="C949" i="26"/>
  <c r="D949" i="26"/>
  <c r="C950" i="26"/>
  <c r="D950" i="26"/>
  <c r="C951" i="26"/>
  <c r="D951" i="26"/>
  <c r="C952" i="26"/>
  <c r="D952" i="26"/>
  <c r="C953" i="26"/>
  <c r="D953" i="26"/>
  <c r="C954" i="26"/>
  <c r="D954" i="26"/>
  <c r="C955" i="26"/>
  <c r="D955" i="26"/>
  <c r="C956" i="26"/>
  <c r="D956" i="26"/>
  <c r="C957" i="26"/>
  <c r="D957" i="26"/>
  <c r="C958" i="26"/>
  <c r="D958" i="26"/>
  <c r="C959" i="26"/>
  <c r="D959" i="26"/>
  <c r="C960" i="26"/>
  <c r="D960" i="26"/>
  <c r="C961" i="26"/>
  <c r="D961" i="26"/>
  <c r="C962" i="26"/>
  <c r="D962" i="26"/>
  <c r="C963" i="26"/>
  <c r="D963" i="26"/>
  <c r="C964" i="26"/>
  <c r="D964" i="26"/>
  <c r="C965" i="26"/>
  <c r="D965" i="26"/>
  <c r="C966" i="26"/>
  <c r="D966" i="26"/>
  <c r="C969" i="26"/>
  <c r="D969" i="26"/>
  <c r="K969" i="26" s="1"/>
  <c r="H969" i="26"/>
  <c r="I969" i="26"/>
  <c r="L969" i="26"/>
  <c r="M969" i="26"/>
  <c r="N969" i="26"/>
  <c r="C970" i="26"/>
  <c r="D970" i="26"/>
  <c r="K970" i="26" s="1"/>
  <c r="H970" i="26"/>
  <c r="I970" i="26"/>
  <c r="L970" i="26"/>
  <c r="M970" i="26"/>
  <c r="N970" i="26"/>
  <c r="C971" i="26"/>
  <c r="D971" i="26"/>
  <c r="K971" i="26" s="1"/>
  <c r="H971" i="26"/>
  <c r="I971" i="26"/>
  <c r="L971" i="26"/>
  <c r="M971" i="26"/>
  <c r="N971" i="26"/>
  <c r="C972" i="26"/>
  <c r="D972" i="26"/>
  <c r="K972" i="26" s="1"/>
  <c r="H972" i="26"/>
  <c r="I972" i="26"/>
  <c r="L972" i="26"/>
  <c r="M972" i="26"/>
  <c r="N972" i="26"/>
  <c r="C973" i="26"/>
  <c r="D973" i="26"/>
  <c r="K973" i="26" s="1"/>
  <c r="H973" i="26"/>
  <c r="I973" i="26"/>
  <c r="L973" i="26"/>
  <c r="M973" i="26"/>
  <c r="N973" i="26"/>
  <c r="C974" i="26"/>
  <c r="D974" i="26"/>
  <c r="K974" i="26" s="1"/>
  <c r="H974" i="26"/>
  <c r="I974" i="26"/>
  <c r="L974" i="26"/>
  <c r="M974" i="26"/>
  <c r="N974" i="26"/>
  <c r="C975" i="26"/>
  <c r="D975" i="26"/>
  <c r="K975" i="26" s="1"/>
  <c r="H975" i="26"/>
  <c r="I975" i="26"/>
  <c r="L975" i="26"/>
  <c r="M975" i="26"/>
  <c r="N975" i="26"/>
  <c r="C976" i="26"/>
  <c r="D976" i="26"/>
  <c r="K976" i="26" s="1"/>
  <c r="H976" i="26"/>
  <c r="I976" i="26"/>
  <c r="L976" i="26"/>
  <c r="M976" i="26"/>
  <c r="N976" i="26"/>
  <c r="C977" i="26"/>
  <c r="D977" i="26"/>
  <c r="K977" i="26" s="1"/>
  <c r="H977" i="26"/>
  <c r="I977" i="26"/>
  <c r="L977" i="26"/>
  <c r="M977" i="26"/>
  <c r="N977" i="26"/>
  <c r="C978" i="26"/>
  <c r="D978" i="26"/>
  <c r="K978" i="26" s="1"/>
  <c r="H978" i="26"/>
  <c r="I978" i="26"/>
  <c r="L978" i="26"/>
  <c r="M978" i="26"/>
  <c r="N978" i="26"/>
  <c r="C979" i="26"/>
  <c r="D979" i="26"/>
  <c r="K979" i="26" s="1"/>
  <c r="H979" i="26"/>
  <c r="I979" i="26"/>
  <c r="L979" i="26"/>
  <c r="M979" i="26"/>
  <c r="N979" i="26"/>
  <c r="C980" i="26"/>
  <c r="D980" i="26"/>
  <c r="K980" i="26" s="1"/>
  <c r="H980" i="26"/>
  <c r="I980" i="26"/>
  <c r="L980" i="26"/>
  <c r="M980" i="26"/>
  <c r="N980" i="26"/>
  <c r="C981" i="26"/>
  <c r="D981" i="26"/>
  <c r="K981" i="26" s="1"/>
  <c r="H981" i="26"/>
  <c r="I981" i="26"/>
  <c r="L981" i="26"/>
  <c r="M981" i="26"/>
  <c r="N981" i="26"/>
  <c r="C982" i="26"/>
  <c r="D982" i="26"/>
  <c r="K982" i="26" s="1"/>
  <c r="H982" i="26"/>
  <c r="I982" i="26"/>
  <c r="L982" i="26"/>
  <c r="M982" i="26"/>
  <c r="N982" i="26"/>
  <c r="C983" i="26"/>
  <c r="D983" i="26"/>
  <c r="K983" i="26" s="1"/>
  <c r="H983" i="26"/>
  <c r="I983" i="26"/>
  <c r="L983" i="26"/>
  <c r="M983" i="26"/>
  <c r="N983" i="26"/>
  <c r="C984" i="26"/>
  <c r="D984" i="26"/>
  <c r="K984" i="26" s="1"/>
  <c r="H984" i="26"/>
  <c r="I984" i="26"/>
  <c r="L984" i="26"/>
  <c r="M984" i="26"/>
  <c r="N984" i="26"/>
  <c r="C985" i="26"/>
  <c r="D985" i="26"/>
  <c r="K985" i="26" s="1"/>
  <c r="H985" i="26"/>
  <c r="I985" i="26"/>
  <c r="L985" i="26"/>
  <c r="M985" i="26"/>
  <c r="N985" i="26"/>
  <c r="C986" i="26"/>
  <c r="D986" i="26"/>
  <c r="K986" i="26" s="1"/>
  <c r="H986" i="26"/>
  <c r="I986" i="26"/>
  <c r="L986" i="26"/>
  <c r="M986" i="26"/>
  <c r="N986" i="26"/>
  <c r="C987" i="26"/>
  <c r="D987" i="26"/>
  <c r="K987" i="26" s="1"/>
  <c r="H987" i="26"/>
  <c r="I987" i="26"/>
  <c r="L987" i="26"/>
  <c r="M987" i="26"/>
  <c r="N987" i="26"/>
  <c r="C988" i="26"/>
  <c r="D988" i="26"/>
  <c r="K988" i="26" s="1"/>
  <c r="H988" i="26"/>
  <c r="I988" i="26"/>
  <c r="L988" i="26"/>
  <c r="M988" i="26"/>
  <c r="N988" i="26"/>
  <c r="C989" i="26"/>
  <c r="D989" i="26"/>
  <c r="K989" i="26" s="1"/>
  <c r="H989" i="26"/>
  <c r="I989" i="26"/>
  <c r="L989" i="26"/>
  <c r="M989" i="26"/>
  <c r="N989" i="26"/>
  <c r="C990" i="26"/>
  <c r="D990" i="26"/>
  <c r="K990" i="26" s="1"/>
  <c r="H990" i="26"/>
  <c r="I990" i="26"/>
  <c r="L990" i="26"/>
  <c r="M990" i="26"/>
  <c r="N990" i="26"/>
  <c r="C991" i="26"/>
  <c r="D991" i="26"/>
  <c r="K991" i="26" s="1"/>
  <c r="H991" i="26"/>
  <c r="I991" i="26"/>
  <c r="L991" i="26"/>
  <c r="M991" i="26"/>
  <c r="N991" i="26"/>
  <c r="C992" i="26"/>
  <c r="D992" i="26"/>
  <c r="K992" i="26" s="1"/>
  <c r="H992" i="26"/>
  <c r="I992" i="26"/>
  <c r="L992" i="26"/>
  <c r="M992" i="26"/>
  <c r="N992" i="26"/>
  <c r="C993" i="26"/>
  <c r="D993" i="26"/>
  <c r="K993" i="26" s="1"/>
  <c r="H993" i="26"/>
  <c r="I993" i="26"/>
  <c r="L993" i="26"/>
  <c r="M993" i="26"/>
  <c r="N993" i="26"/>
  <c r="C994" i="26"/>
  <c r="D994" i="26"/>
  <c r="K994" i="26" s="1"/>
  <c r="H994" i="26"/>
  <c r="I994" i="26"/>
  <c r="L994" i="26"/>
  <c r="M994" i="26"/>
  <c r="N994" i="26"/>
  <c r="C995" i="26"/>
  <c r="D995" i="26"/>
  <c r="K995" i="26" s="1"/>
  <c r="H995" i="26"/>
  <c r="I995" i="26"/>
  <c r="L995" i="26"/>
  <c r="M995" i="26"/>
  <c r="N995" i="26"/>
  <c r="C996" i="26"/>
  <c r="D996" i="26"/>
  <c r="K996" i="26" s="1"/>
  <c r="H996" i="26"/>
  <c r="I996" i="26"/>
  <c r="L996" i="26"/>
  <c r="M996" i="26"/>
  <c r="N996" i="26"/>
  <c r="C997" i="26"/>
  <c r="D997" i="26"/>
  <c r="K997" i="26" s="1"/>
  <c r="H997" i="26"/>
  <c r="I997" i="26"/>
  <c r="L997" i="26"/>
  <c r="M997" i="26"/>
  <c r="N997" i="26"/>
  <c r="C998" i="26"/>
  <c r="D998" i="26"/>
  <c r="K998" i="26" s="1"/>
  <c r="H998" i="26"/>
  <c r="I998" i="26"/>
  <c r="L998" i="26"/>
  <c r="M998" i="26"/>
  <c r="N998" i="26"/>
  <c r="C999" i="26"/>
  <c r="D999" i="26"/>
  <c r="K999" i="26" s="1"/>
  <c r="H999" i="26"/>
  <c r="I999" i="26"/>
  <c r="L999" i="26"/>
  <c r="M999" i="26"/>
  <c r="N999" i="26"/>
  <c r="C1000" i="26"/>
  <c r="D1000" i="26"/>
  <c r="K1000" i="26" s="1"/>
  <c r="H1000" i="26"/>
  <c r="I1000" i="26"/>
  <c r="L1000" i="26"/>
  <c r="M1000" i="26"/>
  <c r="N1000" i="26"/>
  <c r="C1001" i="26"/>
  <c r="D1001" i="26"/>
  <c r="K1001" i="26" s="1"/>
  <c r="H1001" i="26"/>
  <c r="I1001" i="26"/>
  <c r="L1001" i="26"/>
  <c r="M1001" i="26"/>
  <c r="N1001" i="26"/>
  <c r="C1002" i="26"/>
  <c r="D1002" i="26"/>
  <c r="K1002" i="26" s="1"/>
  <c r="H1002" i="26"/>
  <c r="I1002" i="26"/>
  <c r="L1002" i="26"/>
  <c r="M1002" i="26"/>
  <c r="N1002" i="26"/>
  <c r="C1003" i="26"/>
  <c r="D1003" i="26"/>
  <c r="K1003" i="26" s="1"/>
  <c r="H1003" i="26"/>
  <c r="I1003" i="26"/>
  <c r="L1003" i="26"/>
  <c r="M1003" i="26"/>
  <c r="N1003" i="26"/>
  <c r="C1004" i="26"/>
  <c r="D1004" i="26"/>
  <c r="K1004" i="26" s="1"/>
  <c r="H1004" i="26"/>
  <c r="I1004" i="26"/>
  <c r="L1004" i="26"/>
  <c r="M1004" i="26"/>
  <c r="N1004" i="26"/>
  <c r="C1005" i="26"/>
  <c r="D1005" i="26"/>
  <c r="K1005" i="26" s="1"/>
  <c r="H1005" i="26"/>
  <c r="I1005" i="26"/>
  <c r="L1005" i="26"/>
  <c r="M1005" i="26"/>
  <c r="N1005" i="26"/>
  <c r="B1006" i="26"/>
  <c r="C1006" i="26" s="1"/>
  <c r="D1006" i="26"/>
  <c r="K1006" i="26" s="1"/>
  <c r="H1006" i="26"/>
  <c r="L1006" i="26"/>
  <c r="M1006" i="26"/>
  <c r="N1006" i="26"/>
  <c r="C1007" i="26"/>
  <c r="D1007" i="26"/>
  <c r="K1007" i="26" s="1"/>
  <c r="H1007" i="26"/>
  <c r="I1007" i="26"/>
  <c r="L1007" i="26"/>
  <c r="M1007" i="26"/>
  <c r="N1007" i="26"/>
  <c r="C1011" i="26"/>
  <c r="D1011" i="26"/>
  <c r="K1011" i="26" s="1"/>
  <c r="H1011" i="26"/>
  <c r="I1011" i="26"/>
  <c r="L1011" i="26"/>
  <c r="M1011" i="26"/>
  <c r="N1011" i="26"/>
  <c r="C1012" i="26"/>
  <c r="D1012" i="26"/>
  <c r="K1012" i="26" s="1"/>
  <c r="H1012" i="26"/>
  <c r="I1012" i="26"/>
  <c r="L1012" i="26"/>
  <c r="M1012" i="26"/>
  <c r="N1012" i="26"/>
  <c r="C1013" i="26"/>
  <c r="D1013" i="26"/>
  <c r="K1013" i="26" s="1"/>
  <c r="H1013" i="26"/>
  <c r="I1013" i="26"/>
  <c r="L1013" i="26"/>
  <c r="M1013" i="26"/>
  <c r="N1013" i="26"/>
  <c r="C1014" i="26"/>
  <c r="D1014" i="26"/>
  <c r="K1014" i="26" s="1"/>
  <c r="H1014" i="26"/>
  <c r="I1014" i="26"/>
  <c r="L1014" i="26"/>
  <c r="M1014" i="26"/>
  <c r="N1014" i="26"/>
  <c r="C1015" i="26"/>
  <c r="D1015" i="26"/>
  <c r="K1015" i="26" s="1"/>
  <c r="H1015" i="26"/>
  <c r="I1015" i="26"/>
  <c r="L1015" i="26"/>
  <c r="M1015" i="26"/>
  <c r="N1015" i="26"/>
  <c r="C1016" i="26"/>
  <c r="D1016" i="26"/>
  <c r="K1016" i="26" s="1"/>
  <c r="H1016" i="26"/>
  <c r="I1016" i="26"/>
  <c r="L1016" i="26"/>
  <c r="M1016" i="26"/>
  <c r="N1016" i="26"/>
  <c r="C1017" i="26"/>
  <c r="D1017" i="26"/>
  <c r="K1017" i="26" s="1"/>
  <c r="H1017" i="26"/>
  <c r="I1017" i="26"/>
  <c r="L1017" i="26"/>
  <c r="M1017" i="26"/>
  <c r="N1017" i="26"/>
  <c r="C1018" i="26"/>
  <c r="D1018" i="26"/>
  <c r="K1018" i="26" s="1"/>
  <c r="H1018" i="26"/>
  <c r="I1018" i="26"/>
  <c r="L1018" i="26"/>
  <c r="M1018" i="26"/>
  <c r="N1018" i="26"/>
  <c r="C1019" i="26"/>
  <c r="D1019" i="26"/>
  <c r="K1019" i="26" s="1"/>
  <c r="H1019" i="26"/>
  <c r="I1019" i="26"/>
  <c r="L1019" i="26"/>
  <c r="M1019" i="26"/>
  <c r="N1019" i="26"/>
  <c r="C1020" i="26"/>
  <c r="D1020" i="26"/>
  <c r="K1020" i="26" s="1"/>
  <c r="H1020" i="26"/>
  <c r="I1020" i="26"/>
  <c r="L1020" i="26"/>
  <c r="M1020" i="26"/>
  <c r="N1020" i="26"/>
  <c r="C1021" i="26"/>
  <c r="D1021" i="26"/>
  <c r="K1021" i="26" s="1"/>
  <c r="H1021" i="26"/>
  <c r="I1021" i="26"/>
  <c r="L1021" i="26"/>
  <c r="M1021" i="26"/>
  <c r="N1021" i="26"/>
  <c r="C1022" i="26"/>
  <c r="D1022" i="26"/>
  <c r="K1022" i="26" s="1"/>
  <c r="H1022" i="26"/>
  <c r="I1022" i="26"/>
  <c r="L1022" i="26"/>
  <c r="M1022" i="26"/>
  <c r="N1022" i="26"/>
  <c r="C1023" i="26"/>
  <c r="D1023" i="26"/>
  <c r="K1023" i="26" s="1"/>
  <c r="H1023" i="26"/>
  <c r="I1023" i="26"/>
  <c r="L1023" i="26"/>
  <c r="M1023" i="26"/>
  <c r="N1023" i="26"/>
  <c r="C1024" i="26"/>
  <c r="D1024" i="26"/>
  <c r="K1024" i="26" s="1"/>
  <c r="H1024" i="26"/>
  <c r="I1024" i="26"/>
  <c r="L1024" i="26"/>
  <c r="M1024" i="26"/>
  <c r="N1024" i="26"/>
  <c r="C1025" i="26"/>
  <c r="D1025" i="26"/>
  <c r="K1025" i="26" s="1"/>
  <c r="H1025" i="26"/>
  <c r="I1025" i="26"/>
  <c r="L1025" i="26"/>
  <c r="M1025" i="26"/>
  <c r="N1025" i="26"/>
  <c r="C1026" i="26"/>
  <c r="D1026" i="26"/>
  <c r="K1026" i="26" s="1"/>
  <c r="H1026" i="26"/>
  <c r="I1026" i="26"/>
  <c r="L1026" i="26"/>
  <c r="M1026" i="26"/>
  <c r="N1026" i="26"/>
  <c r="C1027" i="26"/>
  <c r="D1027" i="26"/>
  <c r="K1027" i="26" s="1"/>
  <c r="H1027" i="26"/>
  <c r="I1027" i="26"/>
  <c r="L1027" i="26"/>
  <c r="M1027" i="26"/>
  <c r="N1027" i="26"/>
  <c r="C1028" i="26"/>
  <c r="D1028" i="26"/>
  <c r="K1028" i="26" s="1"/>
  <c r="H1028" i="26"/>
  <c r="I1028" i="26"/>
  <c r="L1028" i="26"/>
  <c r="M1028" i="26"/>
  <c r="N1028" i="26"/>
  <c r="C1029" i="26"/>
  <c r="D1029" i="26"/>
  <c r="K1029" i="26" s="1"/>
  <c r="H1029" i="26"/>
  <c r="I1029" i="26"/>
  <c r="L1029" i="26"/>
  <c r="M1029" i="26"/>
  <c r="N1029" i="26"/>
  <c r="C1030" i="26"/>
  <c r="D1030" i="26"/>
  <c r="K1030" i="26" s="1"/>
  <c r="H1030" i="26"/>
  <c r="I1030" i="26"/>
  <c r="L1030" i="26"/>
  <c r="M1030" i="26"/>
  <c r="N1030" i="26"/>
  <c r="C1031" i="26"/>
  <c r="D1031" i="26"/>
  <c r="K1031" i="26" s="1"/>
  <c r="H1031" i="26"/>
  <c r="I1031" i="26"/>
  <c r="L1031" i="26"/>
  <c r="M1031" i="26"/>
  <c r="N1031" i="26"/>
  <c r="C1032" i="26"/>
  <c r="D1032" i="26"/>
  <c r="K1032" i="26" s="1"/>
  <c r="H1032" i="26"/>
  <c r="I1032" i="26"/>
  <c r="L1032" i="26"/>
  <c r="M1032" i="26"/>
  <c r="N1032" i="26"/>
  <c r="C1033" i="26"/>
  <c r="D1033" i="26"/>
  <c r="K1033" i="26" s="1"/>
  <c r="H1033" i="26"/>
  <c r="I1033" i="26"/>
  <c r="L1033" i="26"/>
  <c r="M1033" i="26"/>
  <c r="N1033" i="26"/>
  <c r="C1034" i="26"/>
  <c r="D1034" i="26"/>
  <c r="K1034" i="26" s="1"/>
  <c r="H1034" i="26"/>
  <c r="I1034" i="26"/>
  <c r="L1034" i="26"/>
  <c r="M1034" i="26"/>
  <c r="N1034" i="26"/>
  <c r="C1035" i="26"/>
  <c r="D1035" i="26"/>
  <c r="K1035" i="26" s="1"/>
  <c r="H1035" i="26"/>
  <c r="I1035" i="26"/>
  <c r="L1035" i="26"/>
  <c r="M1035" i="26"/>
  <c r="N1035" i="26"/>
  <c r="C1036" i="26"/>
  <c r="D1036" i="26"/>
  <c r="K1036" i="26" s="1"/>
  <c r="H1036" i="26"/>
  <c r="I1036" i="26"/>
  <c r="L1036" i="26"/>
  <c r="M1036" i="26"/>
  <c r="N1036" i="26"/>
  <c r="C1037" i="26"/>
  <c r="D1037" i="26"/>
  <c r="K1037" i="26" s="1"/>
  <c r="H1037" i="26"/>
  <c r="I1037" i="26"/>
  <c r="L1037" i="26"/>
  <c r="M1037" i="26"/>
  <c r="N1037" i="26"/>
  <c r="C1038" i="26"/>
  <c r="D1038" i="26"/>
  <c r="K1038" i="26" s="1"/>
  <c r="H1038" i="26"/>
  <c r="I1038" i="26"/>
  <c r="L1038" i="26"/>
  <c r="M1038" i="26"/>
  <c r="N1038" i="26"/>
  <c r="C1039" i="26"/>
  <c r="D1039" i="26"/>
  <c r="K1039" i="26" s="1"/>
  <c r="H1039" i="26"/>
  <c r="I1039" i="26"/>
  <c r="L1039" i="26"/>
  <c r="M1039" i="26"/>
  <c r="N1039" i="26"/>
  <c r="C1040" i="26"/>
  <c r="D1040" i="26"/>
  <c r="K1040" i="26" s="1"/>
  <c r="H1040" i="26"/>
  <c r="I1040" i="26"/>
  <c r="L1040" i="26"/>
  <c r="M1040" i="26"/>
  <c r="N1040" i="26"/>
  <c r="C1041" i="26"/>
  <c r="D1041" i="26"/>
  <c r="K1041" i="26" s="1"/>
  <c r="H1041" i="26"/>
  <c r="I1041" i="26"/>
  <c r="L1041" i="26"/>
  <c r="M1041" i="26"/>
  <c r="N1041" i="26"/>
  <c r="C1042" i="26"/>
  <c r="D1042" i="26"/>
  <c r="K1042" i="26" s="1"/>
  <c r="H1042" i="26"/>
  <c r="I1042" i="26"/>
  <c r="L1042" i="26"/>
  <c r="M1042" i="26"/>
  <c r="N1042" i="26"/>
  <c r="C1043" i="26"/>
  <c r="D1043" i="26"/>
  <c r="K1043" i="26" s="1"/>
  <c r="H1043" i="26"/>
  <c r="I1043" i="26"/>
  <c r="L1043" i="26"/>
  <c r="M1043" i="26"/>
  <c r="N1043" i="26"/>
  <c r="C1044" i="26"/>
  <c r="D1044" i="26"/>
  <c r="K1044" i="26" s="1"/>
  <c r="H1044" i="26"/>
  <c r="I1044" i="26"/>
  <c r="L1044" i="26"/>
  <c r="M1044" i="26"/>
  <c r="N1044" i="26"/>
  <c r="C1045" i="26"/>
  <c r="D1045" i="26"/>
  <c r="K1045" i="26" s="1"/>
  <c r="H1045" i="26"/>
  <c r="I1045" i="26"/>
  <c r="L1045" i="26"/>
  <c r="M1045" i="26"/>
  <c r="N1045" i="26"/>
  <c r="C1046" i="26"/>
  <c r="D1046" i="26"/>
  <c r="K1046" i="26" s="1"/>
  <c r="H1046" i="26"/>
  <c r="I1046" i="26"/>
  <c r="L1046" i="26"/>
  <c r="M1046" i="26"/>
  <c r="N1046" i="26"/>
  <c r="C1047" i="26"/>
  <c r="D1047" i="26"/>
  <c r="K1047" i="26" s="1"/>
  <c r="H1047" i="26"/>
  <c r="I1047" i="26"/>
  <c r="L1047" i="26"/>
  <c r="M1047" i="26"/>
  <c r="N1047" i="26"/>
  <c r="C1048" i="26"/>
  <c r="D1048" i="26"/>
  <c r="K1048" i="26" s="1"/>
  <c r="H1048" i="26"/>
  <c r="I1048" i="26"/>
  <c r="L1048" i="26"/>
  <c r="M1048" i="26"/>
  <c r="N1048" i="26"/>
  <c r="C1049" i="26"/>
  <c r="D1049" i="26"/>
  <c r="K1049" i="26" s="1"/>
  <c r="H1049" i="26"/>
  <c r="I1049" i="26"/>
  <c r="L1049" i="26"/>
  <c r="M1049" i="26"/>
  <c r="N1049" i="26"/>
  <c r="C1050" i="26"/>
  <c r="D1050" i="26"/>
  <c r="K1050" i="26" s="1"/>
  <c r="H1050" i="26"/>
  <c r="I1050" i="26"/>
  <c r="L1050" i="26"/>
  <c r="M1050" i="26"/>
  <c r="N1050" i="26"/>
  <c r="C1051" i="26"/>
  <c r="D1051" i="26"/>
  <c r="K1051" i="26" s="1"/>
  <c r="H1051" i="26"/>
  <c r="I1051" i="26"/>
  <c r="L1051" i="26"/>
  <c r="M1051" i="26"/>
  <c r="N1051" i="26"/>
  <c r="C1052" i="26"/>
  <c r="D1052" i="26"/>
  <c r="K1052" i="26" s="1"/>
  <c r="H1052" i="26"/>
  <c r="I1052" i="26"/>
  <c r="L1052" i="26"/>
  <c r="M1052" i="26"/>
  <c r="N1052" i="26"/>
  <c r="C1053" i="26"/>
  <c r="D1053" i="26"/>
  <c r="K1053" i="26" s="1"/>
  <c r="H1053" i="26"/>
  <c r="I1053" i="26"/>
  <c r="L1053" i="26"/>
  <c r="M1053" i="26"/>
  <c r="N1053" i="26"/>
  <c r="C1054" i="26"/>
  <c r="D1054" i="26"/>
  <c r="K1054" i="26" s="1"/>
  <c r="H1054" i="26"/>
  <c r="I1054" i="26"/>
  <c r="L1054" i="26"/>
  <c r="M1054" i="26"/>
  <c r="N1054" i="26"/>
  <c r="C1055" i="26"/>
  <c r="D1055" i="26"/>
  <c r="K1055" i="26" s="1"/>
  <c r="H1055" i="26"/>
  <c r="I1055" i="26"/>
  <c r="L1055" i="26"/>
  <c r="M1055" i="26"/>
  <c r="N1055" i="26"/>
  <c r="C1056" i="26"/>
  <c r="D1056" i="26"/>
  <c r="K1056" i="26" s="1"/>
  <c r="H1056" i="26"/>
  <c r="I1056" i="26"/>
  <c r="L1056" i="26"/>
  <c r="M1056" i="26"/>
  <c r="N1056" i="26"/>
  <c r="C1057" i="26"/>
  <c r="D1057" i="26"/>
  <c r="K1057" i="26" s="1"/>
  <c r="H1057" i="26"/>
  <c r="I1057" i="26"/>
  <c r="L1057" i="26"/>
  <c r="M1057" i="26"/>
  <c r="N1057" i="26"/>
  <c r="C1058" i="26"/>
  <c r="D1058" i="26"/>
  <c r="K1058" i="26" s="1"/>
  <c r="H1058" i="26"/>
  <c r="I1058" i="26"/>
  <c r="L1058" i="26"/>
  <c r="M1058" i="26"/>
  <c r="N1058" i="26"/>
  <c r="C1059" i="26"/>
  <c r="D1059" i="26"/>
  <c r="K1059" i="26" s="1"/>
  <c r="H1059" i="26"/>
  <c r="I1059" i="26"/>
  <c r="L1059" i="26"/>
  <c r="M1059" i="26"/>
  <c r="N1059" i="26"/>
  <c r="C1060" i="26"/>
  <c r="D1060" i="26"/>
  <c r="K1060" i="26" s="1"/>
  <c r="H1060" i="26"/>
  <c r="I1060" i="26"/>
  <c r="L1060" i="26"/>
  <c r="M1060" i="26"/>
  <c r="N1060" i="26"/>
  <c r="C1061" i="26"/>
  <c r="D1061" i="26"/>
  <c r="K1061" i="26" s="1"/>
  <c r="H1061" i="26"/>
  <c r="I1061" i="26"/>
  <c r="L1061" i="26"/>
  <c r="M1061" i="26"/>
  <c r="N1061" i="26"/>
  <c r="C1062" i="26"/>
  <c r="D1062" i="26"/>
  <c r="K1062" i="26" s="1"/>
  <c r="H1062" i="26"/>
  <c r="I1062" i="26"/>
  <c r="L1062" i="26"/>
  <c r="M1062" i="26"/>
  <c r="N1062" i="26"/>
  <c r="C1063" i="26"/>
  <c r="D1063" i="26"/>
  <c r="K1063" i="26" s="1"/>
  <c r="H1063" i="26"/>
  <c r="I1063" i="26"/>
  <c r="L1063" i="26"/>
  <c r="M1063" i="26"/>
  <c r="N1063" i="26"/>
  <c r="C1064" i="26"/>
  <c r="D1064" i="26"/>
  <c r="K1064" i="26" s="1"/>
  <c r="H1064" i="26"/>
  <c r="I1064" i="26"/>
  <c r="L1064" i="26"/>
  <c r="M1064" i="26"/>
  <c r="N1064" i="26"/>
  <c r="C1065" i="26"/>
  <c r="D1065" i="26"/>
  <c r="K1065" i="26" s="1"/>
  <c r="H1065" i="26"/>
  <c r="I1065" i="26"/>
  <c r="L1065" i="26"/>
  <c r="M1065" i="26"/>
  <c r="N1065" i="26"/>
  <c r="C1066" i="26"/>
  <c r="D1066" i="26"/>
  <c r="K1066" i="26" s="1"/>
  <c r="H1066" i="26"/>
  <c r="I1066" i="26"/>
  <c r="L1066" i="26"/>
  <c r="M1066" i="26"/>
  <c r="N1066" i="26"/>
  <c r="C1067" i="26"/>
  <c r="D1067" i="26"/>
  <c r="K1067" i="26" s="1"/>
  <c r="H1067" i="26"/>
  <c r="I1067" i="26"/>
  <c r="L1067" i="26"/>
  <c r="M1067" i="26"/>
  <c r="N1067" i="26"/>
  <c r="C1068" i="26"/>
  <c r="D1068" i="26"/>
  <c r="K1068" i="26" s="1"/>
  <c r="H1068" i="26"/>
  <c r="I1068" i="26"/>
  <c r="L1068" i="26"/>
  <c r="M1068" i="26"/>
  <c r="N1068" i="26"/>
  <c r="C1069" i="26"/>
  <c r="D1069" i="26"/>
  <c r="K1069" i="26" s="1"/>
  <c r="H1069" i="26"/>
  <c r="I1069" i="26"/>
  <c r="L1069" i="26"/>
  <c r="M1069" i="26"/>
  <c r="N1069" i="26"/>
  <c r="C1070" i="26"/>
  <c r="D1070" i="26"/>
  <c r="K1070" i="26" s="1"/>
  <c r="H1070" i="26"/>
  <c r="I1070" i="26"/>
  <c r="L1070" i="26"/>
  <c r="M1070" i="26"/>
  <c r="N1070" i="26"/>
  <c r="C1071" i="26"/>
  <c r="D1071" i="26"/>
  <c r="K1071" i="26" s="1"/>
  <c r="H1071" i="26"/>
  <c r="I1071" i="26"/>
  <c r="O1071" i="26" s="1"/>
  <c r="L1071" i="26"/>
  <c r="M1071" i="26"/>
  <c r="N1071" i="26"/>
  <c r="C1072" i="26"/>
  <c r="D1072" i="26"/>
  <c r="K1072" i="26" s="1"/>
  <c r="H1072" i="26"/>
  <c r="I1072" i="26"/>
  <c r="O1072" i="26" s="1"/>
  <c r="L1072" i="26"/>
  <c r="M1072" i="26"/>
  <c r="N1072" i="26"/>
  <c r="C1073" i="26"/>
  <c r="D1073" i="26"/>
  <c r="K1073" i="26" s="1"/>
  <c r="H1073" i="26"/>
  <c r="I1073" i="26"/>
  <c r="O1073" i="26" s="1"/>
  <c r="L1073" i="26"/>
  <c r="M1073" i="26"/>
  <c r="N1073" i="26"/>
  <c r="C1074" i="26"/>
  <c r="D1074" i="26"/>
  <c r="K1074" i="26" s="1"/>
  <c r="H1074" i="26"/>
  <c r="I1074" i="26"/>
  <c r="O1074" i="26" s="1"/>
  <c r="L1074" i="26"/>
  <c r="M1074" i="26"/>
  <c r="N1074" i="26"/>
  <c r="C1075" i="26"/>
  <c r="D1075" i="26"/>
  <c r="K1075" i="26" s="1"/>
  <c r="H1075" i="26"/>
  <c r="I1075" i="26"/>
  <c r="O1075" i="26" s="1"/>
  <c r="L1075" i="26"/>
  <c r="M1075" i="26"/>
  <c r="N1075" i="26"/>
  <c r="C1076" i="26"/>
  <c r="D1076" i="26"/>
  <c r="K1076" i="26" s="1"/>
  <c r="H1076" i="26"/>
  <c r="I1076" i="26"/>
  <c r="O1076" i="26" s="1"/>
  <c r="L1076" i="26"/>
  <c r="M1076" i="26"/>
  <c r="N1076" i="26"/>
  <c r="C1077" i="26"/>
  <c r="D1077" i="26"/>
  <c r="K1077" i="26" s="1"/>
  <c r="H1077" i="26"/>
  <c r="I1077" i="26"/>
  <c r="O1077" i="26" s="1"/>
  <c r="L1077" i="26"/>
  <c r="M1077" i="26"/>
  <c r="N1077" i="26"/>
  <c r="C1078" i="26"/>
  <c r="D1078" i="26"/>
  <c r="K1078" i="26" s="1"/>
  <c r="H1078" i="26"/>
  <c r="I1078" i="26"/>
  <c r="O1078" i="26" s="1"/>
  <c r="L1078" i="26"/>
  <c r="M1078" i="26"/>
  <c r="N1078" i="26"/>
  <c r="C1079" i="26"/>
  <c r="D1079" i="26"/>
  <c r="K1079" i="26" s="1"/>
  <c r="H1079" i="26"/>
  <c r="I1079" i="26"/>
  <c r="O1079" i="26" s="1"/>
  <c r="L1079" i="26"/>
  <c r="M1079" i="26"/>
  <c r="N1079" i="26"/>
  <c r="C1080" i="26"/>
  <c r="D1080" i="26"/>
  <c r="K1080" i="26" s="1"/>
  <c r="H1080" i="26"/>
  <c r="I1080" i="26"/>
  <c r="O1080" i="26" s="1"/>
  <c r="L1080" i="26"/>
  <c r="M1080" i="26"/>
  <c r="N1080" i="26"/>
  <c r="C1081" i="26"/>
  <c r="D1081" i="26"/>
  <c r="K1081" i="26" s="1"/>
  <c r="H1081" i="26"/>
  <c r="I1081" i="26"/>
  <c r="O1081" i="26" s="1"/>
  <c r="L1081" i="26"/>
  <c r="M1081" i="26"/>
  <c r="N1081" i="26"/>
  <c r="C1082" i="26"/>
  <c r="D1082" i="26"/>
  <c r="K1082" i="26" s="1"/>
  <c r="H1082" i="26"/>
  <c r="I1082" i="26"/>
  <c r="O1082" i="26" s="1"/>
  <c r="L1082" i="26"/>
  <c r="M1082" i="26"/>
  <c r="N1082" i="26"/>
  <c r="C1083" i="26"/>
  <c r="D1083" i="26"/>
  <c r="K1083" i="26" s="1"/>
  <c r="H1083" i="26"/>
  <c r="I1083" i="26"/>
  <c r="O1083" i="26" s="1"/>
  <c r="L1083" i="26"/>
  <c r="M1083" i="26"/>
  <c r="N1083" i="26"/>
  <c r="C1084" i="26"/>
  <c r="D1084" i="26"/>
  <c r="K1084" i="26" s="1"/>
  <c r="H1084" i="26"/>
  <c r="I1084" i="26"/>
  <c r="O1084" i="26" s="1"/>
  <c r="L1084" i="26"/>
  <c r="M1084" i="26"/>
  <c r="N1084" i="26"/>
  <c r="C1085" i="26"/>
  <c r="D1085" i="26"/>
  <c r="K1085" i="26" s="1"/>
  <c r="H1085" i="26"/>
  <c r="I1085" i="26"/>
  <c r="O1085" i="26" s="1"/>
  <c r="L1085" i="26"/>
  <c r="M1085" i="26"/>
  <c r="N1085" i="26"/>
  <c r="C1086" i="26"/>
  <c r="D1086" i="26"/>
  <c r="K1086" i="26" s="1"/>
  <c r="H1086" i="26"/>
  <c r="I1086" i="26"/>
  <c r="O1086" i="26" s="1"/>
  <c r="L1086" i="26"/>
  <c r="M1086" i="26"/>
  <c r="N1086" i="26"/>
  <c r="C1087" i="26"/>
  <c r="D1087" i="26"/>
  <c r="K1087" i="26" s="1"/>
  <c r="H1087" i="26"/>
  <c r="I1087" i="26"/>
  <c r="O1087" i="26" s="1"/>
  <c r="L1087" i="26"/>
  <c r="M1087" i="26"/>
  <c r="N1087" i="26"/>
  <c r="C1088" i="26"/>
  <c r="D1088" i="26"/>
  <c r="K1088" i="26" s="1"/>
  <c r="H1088" i="26"/>
  <c r="I1088" i="26"/>
  <c r="O1088" i="26" s="1"/>
  <c r="L1088" i="26"/>
  <c r="M1088" i="26"/>
  <c r="N1088" i="26"/>
  <c r="C1089" i="26"/>
  <c r="D1089" i="26"/>
  <c r="K1089" i="26" s="1"/>
  <c r="H1089" i="26"/>
  <c r="I1089" i="26"/>
  <c r="O1089" i="26" s="1"/>
  <c r="L1089" i="26"/>
  <c r="M1089" i="26"/>
  <c r="N1089" i="26"/>
  <c r="C1090" i="26"/>
  <c r="D1090" i="26"/>
  <c r="K1090" i="26" s="1"/>
  <c r="H1090" i="26"/>
  <c r="I1090" i="26"/>
  <c r="O1090" i="26" s="1"/>
  <c r="L1090" i="26"/>
  <c r="M1090" i="26"/>
  <c r="N1090" i="26"/>
  <c r="C1091" i="26"/>
  <c r="D1091" i="26"/>
  <c r="K1091" i="26" s="1"/>
  <c r="H1091" i="26"/>
  <c r="I1091" i="26"/>
  <c r="O1091" i="26" s="1"/>
  <c r="L1091" i="26"/>
  <c r="M1091" i="26"/>
  <c r="N1091" i="26"/>
  <c r="C1092" i="26"/>
  <c r="D1092" i="26"/>
  <c r="K1092" i="26" s="1"/>
  <c r="H1092" i="26"/>
  <c r="I1092" i="26"/>
  <c r="O1092" i="26" s="1"/>
  <c r="L1092" i="26"/>
  <c r="M1092" i="26"/>
  <c r="N1092" i="26"/>
  <c r="C1093" i="26"/>
  <c r="D1093" i="26"/>
  <c r="K1093" i="26" s="1"/>
  <c r="H1093" i="26"/>
  <c r="I1093" i="26"/>
  <c r="O1093" i="26" s="1"/>
  <c r="L1093" i="26"/>
  <c r="M1093" i="26"/>
  <c r="N1093" i="26"/>
  <c r="C1094" i="26"/>
  <c r="D1094" i="26"/>
  <c r="K1094" i="26" s="1"/>
  <c r="H1094" i="26"/>
  <c r="I1094" i="26"/>
  <c r="O1094" i="26" s="1"/>
  <c r="L1094" i="26"/>
  <c r="M1094" i="26"/>
  <c r="N1094" i="26"/>
  <c r="C1095" i="26"/>
  <c r="D1095" i="26"/>
  <c r="K1095" i="26" s="1"/>
  <c r="H1095" i="26"/>
  <c r="I1095" i="26"/>
  <c r="O1095" i="26" s="1"/>
  <c r="L1095" i="26"/>
  <c r="M1095" i="26"/>
  <c r="N1095" i="26"/>
  <c r="C1096" i="26"/>
  <c r="D1096" i="26"/>
  <c r="K1096" i="26" s="1"/>
  <c r="H1096" i="26"/>
  <c r="I1096" i="26"/>
  <c r="O1096" i="26" s="1"/>
  <c r="L1096" i="26"/>
  <c r="M1096" i="26"/>
  <c r="N1096" i="26"/>
  <c r="C1097" i="26"/>
  <c r="D1097" i="26"/>
  <c r="K1097" i="26" s="1"/>
  <c r="H1097" i="26"/>
  <c r="I1097" i="26"/>
  <c r="O1097" i="26" s="1"/>
  <c r="L1097" i="26"/>
  <c r="M1097" i="26"/>
  <c r="N1097" i="26"/>
  <c r="C1098" i="26"/>
  <c r="D1098" i="26"/>
  <c r="K1098" i="26" s="1"/>
  <c r="H1098" i="26"/>
  <c r="I1098" i="26"/>
  <c r="O1098" i="26" s="1"/>
  <c r="L1098" i="26"/>
  <c r="M1098" i="26"/>
  <c r="N1098" i="26"/>
  <c r="C1099" i="26"/>
  <c r="D1099" i="26"/>
  <c r="K1099" i="26" s="1"/>
  <c r="H1099" i="26"/>
  <c r="I1099" i="26"/>
  <c r="O1099" i="26" s="1"/>
  <c r="L1099" i="26"/>
  <c r="M1099" i="26"/>
  <c r="N1099" i="26"/>
  <c r="C1100" i="26"/>
  <c r="D1100" i="26"/>
  <c r="K1100" i="26" s="1"/>
  <c r="H1100" i="26"/>
  <c r="I1100" i="26"/>
  <c r="O1100" i="26" s="1"/>
  <c r="L1100" i="26"/>
  <c r="M1100" i="26"/>
  <c r="N1100" i="26"/>
  <c r="C1101" i="26"/>
  <c r="D1101" i="26"/>
  <c r="K1101" i="26" s="1"/>
  <c r="H1101" i="26"/>
  <c r="I1101" i="26"/>
  <c r="O1101" i="26" s="1"/>
  <c r="L1101" i="26"/>
  <c r="M1101" i="26"/>
  <c r="N1101" i="26"/>
  <c r="C1102" i="26"/>
  <c r="D1102" i="26"/>
  <c r="K1102" i="26" s="1"/>
  <c r="H1102" i="26"/>
  <c r="I1102" i="26"/>
  <c r="O1102" i="26" s="1"/>
  <c r="L1102" i="26"/>
  <c r="M1102" i="26"/>
  <c r="N1102" i="26"/>
  <c r="C1103" i="26"/>
  <c r="D1103" i="26"/>
  <c r="K1103" i="26" s="1"/>
  <c r="H1103" i="26"/>
  <c r="I1103" i="26"/>
  <c r="O1103" i="26" s="1"/>
  <c r="L1103" i="26"/>
  <c r="M1103" i="26"/>
  <c r="N1103" i="26"/>
  <c r="C1104" i="26"/>
  <c r="D1104" i="26"/>
  <c r="K1104" i="26" s="1"/>
  <c r="H1104" i="26"/>
  <c r="I1104" i="26"/>
  <c r="O1104" i="26" s="1"/>
  <c r="L1104" i="26"/>
  <c r="M1104" i="26"/>
  <c r="N1104" i="26"/>
  <c r="C1105" i="26"/>
  <c r="D1105" i="26"/>
  <c r="K1105" i="26" s="1"/>
  <c r="H1105" i="26"/>
  <c r="I1105" i="26"/>
  <c r="O1105" i="26" s="1"/>
  <c r="L1105" i="26"/>
  <c r="M1105" i="26"/>
  <c r="N1105" i="26"/>
  <c r="C1106" i="26"/>
  <c r="D1106" i="26"/>
  <c r="K1106" i="26" s="1"/>
  <c r="H1106" i="26"/>
  <c r="I1106" i="26"/>
  <c r="O1106" i="26" s="1"/>
  <c r="L1106" i="26"/>
  <c r="M1106" i="26"/>
  <c r="N1106" i="26"/>
  <c r="C1107" i="26"/>
  <c r="D1107" i="26"/>
  <c r="K1107" i="26" s="1"/>
  <c r="H1107" i="26"/>
  <c r="I1107" i="26"/>
  <c r="O1107" i="26" s="1"/>
  <c r="L1107" i="26"/>
  <c r="M1107" i="26"/>
  <c r="N1107" i="26"/>
  <c r="C1108" i="26"/>
  <c r="D1108" i="26"/>
  <c r="K1108" i="26" s="1"/>
  <c r="H1108" i="26"/>
  <c r="I1108" i="26"/>
  <c r="O1108" i="26" s="1"/>
  <c r="L1108" i="26"/>
  <c r="M1108" i="26"/>
  <c r="N1108" i="26"/>
  <c r="C1109" i="26"/>
  <c r="D1109" i="26"/>
  <c r="K1109" i="26" s="1"/>
  <c r="H1109" i="26"/>
  <c r="I1109" i="26"/>
  <c r="O1109" i="26" s="1"/>
  <c r="L1109" i="26"/>
  <c r="M1109" i="26"/>
  <c r="N1109" i="26"/>
  <c r="C1110" i="26"/>
  <c r="D1110" i="26"/>
  <c r="K1110" i="26" s="1"/>
  <c r="H1110" i="26"/>
  <c r="I1110" i="26"/>
  <c r="O1110" i="26" s="1"/>
  <c r="L1110" i="26"/>
  <c r="M1110" i="26"/>
  <c r="N1110" i="26"/>
  <c r="C1111" i="26"/>
  <c r="D1111" i="26"/>
  <c r="K1111" i="26" s="1"/>
  <c r="H1111" i="26"/>
  <c r="I1111" i="26"/>
  <c r="O1111" i="26" s="1"/>
  <c r="L1111" i="26"/>
  <c r="M1111" i="26"/>
  <c r="N1111" i="26"/>
  <c r="C1112" i="26"/>
  <c r="D1112" i="26"/>
  <c r="K1112" i="26" s="1"/>
  <c r="H1112" i="26"/>
  <c r="I1112" i="26"/>
  <c r="O1112" i="26" s="1"/>
  <c r="L1112" i="26"/>
  <c r="M1112" i="26"/>
  <c r="N1112" i="26"/>
  <c r="C1113" i="26"/>
  <c r="D1113" i="26"/>
  <c r="K1113" i="26" s="1"/>
  <c r="H1113" i="26"/>
  <c r="I1113" i="26"/>
  <c r="O1113" i="26" s="1"/>
  <c r="L1113" i="26"/>
  <c r="M1113" i="26"/>
  <c r="N1113" i="26"/>
  <c r="C1114" i="26"/>
  <c r="D1114" i="26"/>
  <c r="K1114" i="26" s="1"/>
  <c r="H1114" i="26"/>
  <c r="I1114" i="26"/>
  <c r="O1114" i="26" s="1"/>
  <c r="L1114" i="26"/>
  <c r="M1114" i="26"/>
  <c r="N1114" i="26"/>
  <c r="C1115" i="26"/>
  <c r="D1115" i="26"/>
  <c r="K1115" i="26" s="1"/>
  <c r="H1115" i="26"/>
  <c r="I1115" i="26"/>
  <c r="O1115" i="26" s="1"/>
  <c r="L1115" i="26"/>
  <c r="M1115" i="26"/>
  <c r="N1115" i="26"/>
  <c r="C1116" i="26"/>
  <c r="D1116" i="26"/>
  <c r="K1116" i="26" s="1"/>
  <c r="H1116" i="26"/>
  <c r="I1116" i="26"/>
  <c r="O1116" i="26" s="1"/>
  <c r="L1116" i="26"/>
  <c r="M1116" i="26"/>
  <c r="N1116" i="26"/>
  <c r="C1117" i="26"/>
  <c r="D1117" i="26"/>
  <c r="K1117" i="26" s="1"/>
  <c r="H1117" i="26"/>
  <c r="I1117" i="26"/>
  <c r="O1117" i="26" s="1"/>
  <c r="L1117" i="26"/>
  <c r="M1117" i="26"/>
  <c r="N1117" i="26"/>
  <c r="C1118" i="26"/>
  <c r="D1118" i="26"/>
  <c r="K1118" i="26" s="1"/>
  <c r="H1118" i="26"/>
  <c r="I1118" i="26"/>
  <c r="O1118" i="26" s="1"/>
  <c r="L1118" i="26"/>
  <c r="M1118" i="26"/>
  <c r="N1118" i="26"/>
  <c r="C1119" i="26"/>
  <c r="D1119" i="26"/>
  <c r="K1119" i="26" s="1"/>
  <c r="H1119" i="26"/>
  <c r="I1119" i="26"/>
  <c r="O1119" i="26" s="1"/>
  <c r="L1119" i="26"/>
  <c r="M1119" i="26"/>
  <c r="N1119" i="26"/>
  <c r="C1120" i="26"/>
  <c r="D1120" i="26"/>
  <c r="K1120" i="26" s="1"/>
  <c r="H1120" i="26"/>
  <c r="I1120" i="26"/>
  <c r="O1120" i="26" s="1"/>
  <c r="L1120" i="26"/>
  <c r="M1120" i="26"/>
  <c r="N1120" i="26"/>
  <c r="C1121" i="26"/>
  <c r="D1121" i="26"/>
  <c r="K1121" i="26" s="1"/>
  <c r="H1121" i="26"/>
  <c r="I1121" i="26"/>
  <c r="O1121" i="26" s="1"/>
  <c r="L1121" i="26"/>
  <c r="M1121" i="26"/>
  <c r="N1121" i="26"/>
  <c r="C1122" i="26"/>
  <c r="D1122" i="26"/>
  <c r="K1122" i="26" s="1"/>
  <c r="H1122" i="26"/>
  <c r="I1122" i="26"/>
  <c r="O1122" i="26" s="1"/>
  <c r="L1122" i="26"/>
  <c r="M1122" i="26"/>
  <c r="N1122" i="26"/>
  <c r="C1123" i="26"/>
  <c r="D1123" i="26"/>
  <c r="K1123" i="26" s="1"/>
  <c r="H1123" i="26"/>
  <c r="I1123" i="26"/>
  <c r="L1123" i="26"/>
  <c r="C1124" i="26"/>
  <c r="D1124" i="26"/>
  <c r="K1124" i="26" s="1"/>
  <c r="H1124" i="26"/>
  <c r="I1124" i="26"/>
  <c r="L1124" i="26"/>
  <c r="C1125" i="26"/>
  <c r="D1125" i="26"/>
  <c r="K1125" i="26" s="1"/>
  <c r="H1125" i="26"/>
  <c r="I1125" i="26"/>
  <c r="O1125" i="26" s="1"/>
  <c r="L1125" i="26"/>
  <c r="M1125" i="26"/>
  <c r="N1125" i="26"/>
  <c r="C1126" i="26"/>
  <c r="D1126" i="26"/>
  <c r="K1126" i="26" s="1"/>
  <c r="H1126" i="26"/>
  <c r="I1126" i="26"/>
  <c r="O1126" i="26" s="1"/>
  <c r="L1126" i="26"/>
  <c r="M1126" i="26"/>
  <c r="N1126" i="26"/>
  <c r="C1127" i="26"/>
  <c r="D1127" i="26"/>
  <c r="K1127" i="26" s="1"/>
  <c r="H1127" i="26"/>
  <c r="I1127" i="26"/>
  <c r="O1127" i="26" s="1"/>
  <c r="L1127" i="26"/>
  <c r="M1127" i="26"/>
  <c r="N1127" i="26"/>
  <c r="C1128" i="26"/>
  <c r="D1128" i="26"/>
  <c r="K1128" i="26" s="1"/>
  <c r="H1128" i="26"/>
  <c r="I1128" i="26"/>
  <c r="O1128" i="26" s="1"/>
  <c r="L1128" i="26"/>
  <c r="M1128" i="26"/>
  <c r="N1128" i="26"/>
  <c r="C1129" i="26"/>
  <c r="D1129" i="26"/>
  <c r="K1129" i="26" s="1"/>
  <c r="H1129" i="26"/>
  <c r="I1129" i="26"/>
  <c r="O1129" i="26" s="1"/>
  <c r="L1129" i="26"/>
  <c r="M1129" i="26"/>
  <c r="N1129" i="26"/>
  <c r="C1130" i="26"/>
  <c r="D1130" i="26"/>
  <c r="K1130" i="26" s="1"/>
  <c r="H1130" i="26"/>
  <c r="I1130" i="26"/>
  <c r="O1130" i="26" s="1"/>
  <c r="L1130" i="26"/>
  <c r="M1130" i="26"/>
  <c r="N1130" i="26"/>
  <c r="C1131" i="26"/>
  <c r="D1131" i="26"/>
  <c r="K1131" i="26" s="1"/>
  <c r="H1131" i="26"/>
  <c r="I1131" i="26"/>
  <c r="O1131" i="26" s="1"/>
  <c r="L1131" i="26"/>
  <c r="M1131" i="26"/>
  <c r="N1131" i="26"/>
  <c r="C1132" i="26"/>
  <c r="D1132" i="26"/>
  <c r="K1132" i="26" s="1"/>
  <c r="H1132" i="26"/>
  <c r="I1132" i="26"/>
  <c r="O1132" i="26" s="1"/>
  <c r="L1132" i="26"/>
  <c r="M1132" i="26"/>
  <c r="N1132" i="26"/>
  <c r="C1133" i="26"/>
  <c r="D1133" i="26"/>
  <c r="K1133" i="26" s="1"/>
  <c r="H1133" i="26"/>
  <c r="I1133" i="26"/>
  <c r="O1133" i="26" s="1"/>
  <c r="L1133" i="26"/>
  <c r="M1133" i="26"/>
  <c r="N1133" i="26"/>
  <c r="B1134" i="26"/>
  <c r="C1136" i="26"/>
  <c r="D1136" i="26"/>
  <c r="K1136" i="26" s="1"/>
  <c r="H1136" i="26"/>
  <c r="I1136" i="26"/>
  <c r="O1136" i="26" s="1"/>
  <c r="L1136" i="26"/>
  <c r="M1136" i="26"/>
  <c r="N1136" i="26"/>
  <c r="C1137" i="26"/>
  <c r="D1137" i="26"/>
  <c r="K1137" i="26" s="1"/>
  <c r="H1137" i="26"/>
  <c r="I1137" i="26"/>
  <c r="O1137" i="26" s="1"/>
  <c r="L1137" i="26"/>
  <c r="M1137" i="26"/>
  <c r="N1137" i="26"/>
  <c r="C1138" i="26"/>
  <c r="D1138" i="26"/>
  <c r="K1138" i="26" s="1"/>
  <c r="H1138" i="26"/>
  <c r="I1138" i="26"/>
  <c r="O1138" i="26" s="1"/>
  <c r="L1138" i="26"/>
  <c r="M1138" i="26"/>
  <c r="N1138" i="26"/>
  <c r="C1139" i="26"/>
  <c r="D1139" i="26"/>
  <c r="K1139" i="26" s="1"/>
  <c r="H1139" i="26"/>
  <c r="I1139" i="26"/>
  <c r="O1139" i="26" s="1"/>
  <c r="L1139" i="26"/>
  <c r="M1139" i="26"/>
  <c r="N1139" i="26"/>
  <c r="C1140" i="26"/>
  <c r="D1140" i="26"/>
  <c r="K1140" i="26" s="1"/>
  <c r="H1140" i="26"/>
  <c r="I1140" i="26"/>
  <c r="O1140" i="26" s="1"/>
  <c r="L1140" i="26"/>
  <c r="M1140" i="26"/>
  <c r="N1140" i="26"/>
  <c r="C1141" i="26"/>
  <c r="D1141" i="26"/>
  <c r="C1142" i="26"/>
  <c r="D1142" i="26"/>
  <c r="C1143" i="26"/>
  <c r="D1143" i="26"/>
  <c r="C1144" i="26"/>
  <c r="D1144" i="26"/>
  <c r="C1145" i="26"/>
  <c r="D1145" i="26"/>
  <c r="C1146" i="26"/>
  <c r="D1146" i="26"/>
  <c r="K1146" i="26" s="1"/>
  <c r="H1146" i="26"/>
  <c r="I1146" i="26"/>
  <c r="O1146" i="26" s="1"/>
  <c r="L1146" i="26"/>
  <c r="M1146" i="26"/>
  <c r="N1146" i="26"/>
  <c r="C1147" i="26"/>
  <c r="D1147" i="26"/>
  <c r="K1147" i="26" s="1"/>
  <c r="H1147" i="26"/>
  <c r="I1147" i="26"/>
  <c r="O1147" i="26" s="1"/>
  <c r="L1147" i="26"/>
  <c r="M1147" i="26"/>
  <c r="N1147" i="26"/>
  <c r="C1148" i="26"/>
  <c r="D1148" i="26"/>
  <c r="K1148" i="26" s="1"/>
  <c r="H1148" i="26"/>
  <c r="I1148" i="26"/>
  <c r="O1148" i="26" s="1"/>
  <c r="L1148" i="26"/>
  <c r="M1148" i="26"/>
  <c r="N1148" i="26"/>
  <c r="C1149" i="26"/>
  <c r="D1149" i="26"/>
  <c r="K1149" i="26" s="1"/>
  <c r="H1149" i="26"/>
  <c r="I1149" i="26"/>
  <c r="O1149" i="26" s="1"/>
  <c r="L1149" i="26"/>
  <c r="M1149" i="26"/>
  <c r="N1149" i="26"/>
  <c r="C1150" i="26"/>
  <c r="D1150" i="26"/>
  <c r="K1150" i="26" s="1"/>
  <c r="H1150" i="26"/>
  <c r="I1150" i="26"/>
  <c r="O1150" i="26" s="1"/>
  <c r="L1150" i="26"/>
  <c r="M1150" i="26"/>
  <c r="N1150" i="26"/>
  <c r="C1151" i="26"/>
  <c r="D1151" i="26"/>
  <c r="K1151" i="26" s="1"/>
  <c r="H1151" i="26"/>
  <c r="I1151" i="26"/>
  <c r="O1151" i="26" s="1"/>
  <c r="L1151" i="26"/>
  <c r="M1151" i="26"/>
  <c r="N1151" i="26"/>
  <c r="C1152" i="26"/>
  <c r="D1152" i="26"/>
  <c r="K1152" i="26" s="1"/>
  <c r="H1152" i="26"/>
  <c r="I1152" i="26"/>
  <c r="O1152" i="26" s="1"/>
  <c r="L1152" i="26"/>
  <c r="M1152" i="26"/>
  <c r="N1152" i="26"/>
  <c r="C1153" i="26"/>
  <c r="D1153" i="26"/>
  <c r="K1153" i="26" s="1"/>
  <c r="H1153" i="26"/>
  <c r="I1153" i="26"/>
  <c r="O1153" i="26" s="1"/>
  <c r="L1153" i="26"/>
  <c r="M1153" i="26"/>
  <c r="N1153" i="26"/>
  <c r="C1154" i="26"/>
  <c r="D1154" i="26"/>
  <c r="K1154" i="26" s="1"/>
  <c r="H1154" i="26"/>
  <c r="I1154" i="26"/>
  <c r="O1154" i="26" s="1"/>
  <c r="L1154" i="26"/>
  <c r="M1154" i="26"/>
  <c r="N1154" i="26"/>
  <c r="C1155" i="26"/>
  <c r="D1155" i="26"/>
  <c r="K1155" i="26" s="1"/>
  <c r="H1155" i="26"/>
  <c r="I1155" i="26"/>
  <c r="O1155" i="26" s="1"/>
  <c r="L1155" i="26"/>
  <c r="M1155" i="26"/>
  <c r="N1155" i="26"/>
  <c r="C1156" i="26"/>
  <c r="D1156" i="26"/>
  <c r="K1156" i="26" s="1"/>
  <c r="H1156" i="26"/>
  <c r="I1156" i="26"/>
  <c r="O1156" i="26" s="1"/>
  <c r="L1156" i="26"/>
  <c r="M1156" i="26"/>
  <c r="N1156" i="26"/>
  <c r="C1157" i="26"/>
  <c r="D1157" i="26"/>
  <c r="K1157" i="26" s="1"/>
  <c r="H1157" i="26"/>
  <c r="I1157" i="26"/>
  <c r="O1157" i="26" s="1"/>
  <c r="L1157" i="26"/>
  <c r="M1157" i="26"/>
  <c r="N1157" i="26"/>
  <c r="C1158" i="26"/>
  <c r="D1158" i="26"/>
  <c r="K1158" i="26" s="1"/>
  <c r="H1158" i="26"/>
  <c r="I1158" i="26"/>
  <c r="O1158" i="26" s="1"/>
  <c r="L1158" i="26"/>
  <c r="M1158" i="26"/>
  <c r="N1158" i="26"/>
  <c r="C1159" i="26"/>
  <c r="D1159" i="26"/>
  <c r="K1159" i="26" s="1"/>
  <c r="H1159" i="26"/>
  <c r="I1159" i="26"/>
  <c r="O1159" i="26" s="1"/>
  <c r="L1159" i="26"/>
  <c r="M1159" i="26"/>
  <c r="N1159" i="26"/>
  <c r="C1160" i="26"/>
  <c r="D1160" i="26"/>
  <c r="K1160" i="26" s="1"/>
  <c r="H1160" i="26"/>
  <c r="I1160" i="26"/>
  <c r="O1160" i="26" s="1"/>
  <c r="L1160" i="26"/>
  <c r="M1160" i="26"/>
  <c r="N1160" i="26"/>
  <c r="C1161" i="26"/>
  <c r="D1161" i="26"/>
  <c r="K1161" i="26" s="1"/>
  <c r="H1161" i="26"/>
  <c r="I1161" i="26"/>
  <c r="O1161" i="26" s="1"/>
  <c r="L1161" i="26"/>
  <c r="M1161" i="26"/>
  <c r="N1161" i="26"/>
  <c r="C1162" i="26"/>
  <c r="D1162" i="26"/>
  <c r="K1162" i="26" s="1"/>
  <c r="H1162" i="26"/>
  <c r="I1162" i="26"/>
  <c r="O1162" i="26" s="1"/>
  <c r="L1162" i="26"/>
  <c r="M1162" i="26"/>
  <c r="N1162" i="26"/>
  <c r="C1163" i="26"/>
  <c r="D1163" i="26"/>
  <c r="K1163" i="26" s="1"/>
  <c r="H1163" i="26"/>
  <c r="I1163" i="26"/>
  <c r="O1163" i="26" s="1"/>
  <c r="L1163" i="26"/>
  <c r="M1163" i="26"/>
  <c r="N1163" i="26"/>
  <c r="C1164" i="26"/>
  <c r="D1164" i="26"/>
  <c r="K1164" i="26" s="1"/>
  <c r="H1164" i="26"/>
  <c r="I1164" i="26"/>
  <c r="O1164" i="26" s="1"/>
  <c r="L1164" i="26"/>
  <c r="M1164" i="26"/>
  <c r="N1164" i="26"/>
  <c r="B1165" i="26"/>
  <c r="C1165" i="26" s="1"/>
  <c r="D1165" i="26"/>
  <c r="K1165" i="26" s="1"/>
  <c r="H1165" i="26"/>
  <c r="L1165" i="26"/>
  <c r="M1165" i="26"/>
  <c r="N1165" i="26"/>
  <c r="C1166" i="26"/>
  <c r="D1166" i="26"/>
  <c r="K1166" i="26" s="1"/>
  <c r="H1166" i="26"/>
  <c r="I1166" i="26"/>
  <c r="O1166" i="26" s="1"/>
  <c r="L1166" i="26"/>
  <c r="M1166" i="26"/>
  <c r="N1166" i="26"/>
  <c r="C1167" i="26"/>
  <c r="D1167" i="26"/>
  <c r="K1167" i="26" s="1"/>
  <c r="H1167" i="26"/>
  <c r="I1167" i="26"/>
  <c r="O1167" i="26" s="1"/>
  <c r="L1167" i="26"/>
  <c r="M1167" i="26"/>
  <c r="N1167" i="26"/>
  <c r="C1168" i="26"/>
  <c r="D1168" i="26"/>
  <c r="K1168" i="26" s="1"/>
  <c r="H1168" i="26"/>
  <c r="I1168" i="26"/>
  <c r="O1168" i="26" s="1"/>
  <c r="L1168" i="26"/>
  <c r="M1168" i="26"/>
  <c r="N1168" i="26"/>
  <c r="C1169" i="26"/>
  <c r="D1169" i="26"/>
  <c r="K1169" i="26" s="1"/>
  <c r="H1169" i="26"/>
  <c r="I1169" i="26"/>
  <c r="O1169" i="26" s="1"/>
  <c r="L1169" i="26"/>
  <c r="M1169" i="26"/>
  <c r="N1169" i="26"/>
  <c r="C1170" i="26"/>
  <c r="D1170" i="26"/>
  <c r="K1170" i="26" s="1"/>
  <c r="H1170" i="26"/>
  <c r="I1170" i="26"/>
  <c r="O1170" i="26" s="1"/>
  <c r="L1170" i="26"/>
  <c r="M1170" i="26"/>
  <c r="N1170" i="26"/>
  <c r="C1171" i="26"/>
  <c r="D1171" i="26"/>
  <c r="K1171" i="26" s="1"/>
  <c r="H1171" i="26"/>
  <c r="I1171" i="26"/>
  <c r="O1171" i="26" s="1"/>
  <c r="L1171" i="26"/>
  <c r="M1171" i="26"/>
  <c r="N1171" i="26"/>
  <c r="C1172" i="26"/>
  <c r="D1172" i="26"/>
  <c r="K1172" i="26" s="1"/>
  <c r="H1172" i="26"/>
  <c r="I1172" i="26"/>
  <c r="O1172" i="26" s="1"/>
  <c r="L1172" i="26"/>
  <c r="M1172" i="26"/>
  <c r="N1172" i="26"/>
  <c r="C1173" i="26"/>
  <c r="D1173" i="26"/>
  <c r="K1173" i="26" s="1"/>
  <c r="H1173" i="26"/>
  <c r="I1173" i="26"/>
  <c r="O1173" i="26" s="1"/>
  <c r="L1173" i="26"/>
  <c r="M1173" i="26"/>
  <c r="N1173" i="26"/>
  <c r="C1174" i="26"/>
  <c r="D1174" i="26"/>
  <c r="K1174" i="26" s="1"/>
  <c r="H1174" i="26"/>
  <c r="I1174" i="26"/>
  <c r="O1174" i="26" s="1"/>
  <c r="L1174" i="26"/>
  <c r="M1174" i="26"/>
  <c r="N1174" i="26"/>
  <c r="C1175" i="26"/>
  <c r="D1175" i="26"/>
  <c r="K1175" i="26" s="1"/>
  <c r="H1175" i="26"/>
  <c r="I1175" i="26"/>
  <c r="O1175" i="26" s="1"/>
  <c r="L1175" i="26"/>
  <c r="M1175" i="26"/>
  <c r="N1175" i="26"/>
  <c r="C1176" i="26"/>
  <c r="D1176" i="26"/>
  <c r="K1176" i="26" s="1"/>
  <c r="H1176" i="26"/>
  <c r="I1176" i="26"/>
  <c r="O1176" i="26" s="1"/>
  <c r="L1176" i="26"/>
  <c r="M1176" i="26"/>
  <c r="N1176" i="26"/>
  <c r="C1177" i="26"/>
  <c r="D1177" i="26"/>
  <c r="K1177" i="26" s="1"/>
  <c r="H1177" i="26"/>
  <c r="I1177" i="26"/>
  <c r="O1177" i="26" s="1"/>
  <c r="L1177" i="26"/>
  <c r="M1177" i="26"/>
  <c r="N1177" i="26"/>
  <c r="C1178" i="26"/>
  <c r="D1178" i="26"/>
  <c r="K1178" i="26" s="1"/>
  <c r="H1178" i="26"/>
  <c r="I1178" i="26"/>
  <c r="O1178" i="26" s="1"/>
  <c r="L1178" i="26"/>
  <c r="M1178" i="26"/>
  <c r="N1178" i="26"/>
  <c r="C1179" i="26"/>
  <c r="D1179" i="26"/>
  <c r="K1179" i="26" s="1"/>
  <c r="H1179" i="26"/>
  <c r="I1179" i="26"/>
  <c r="O1179" i="26" s="1"/>
  <c r="L1179" i="26"/>
  <c r="M1179" i="26"/>
  <c r="N1179" i="26"/>
  <c r="C1180" i="26"/>
  <c r="D1180" i="26"/>
  <c r="K1180" i="26" s="1"/>
  <c r="H1180" i="26"/>
  <c r="I1180" i="26"/>
  <c r="O1180" i="26" s="1"/>
  <c r="L1180" i="26"/>
  <c r="M1180" i="26"/>
  <c r="N1180" i="26"/>
  <c r="C1181" i="26"/>
  <c r="D1181" i="26"/>
  <c r="K1181" i="26" s="1"/>
  <c r="H1181" i="26"/>
  <c r="I1181" i="26"/>
  <c r="O1181" i="26" s="1"/>
  <c r="L1181" i="26"/>
  <c r="M1181" i="26"/>
  <c r="N1181" i="26"/>
  <c r="C1182" i="26"/>
  <c r="D1182" i="26"/>
  <c r="K1182" i="26" s="1"/>
  <c r="H1182" i="26"/>
  <c r="I1182" i="26"/>
  <c r="O1182" i="26" s="1"/>
  <c r="L1182" i="26"/>
  <c r="M1182" i="26"/>
  <c r="N1182" i="26"/>
  <c r="C1183" i="26"/>
  <c r="D1183" i="26"/>
  <c r="K1183" i="26" s="1"/>
  <c r="H1183" i="26"/>
  <c r="I1183" i="26"/>
  <c r="O1183" i="26" s="1"/>
  <c r="L1183" i="26"/>
  <c r="M1183" i="26"/>
  <c r="N1183" i="26"/>
  <c r="C1184" i="26"/>
  <c r="D1184" i="26"/>
  <c r="K1184" i="26" s="1"/>
  <c r="H1184" i="26"/>
  <c r="I1184" i="26"/>
  <c r="O1184" i="26" s="1"/>
  <c r="L1184" i="26"/>
  <c r="M1184" i="26"/>
  <c r="N1184" i="26"/>
  <c r="C1185" i="26"/>
  <c r="D1185" i="26"/>
  <c r="K1185" i="26" s="1"/>
  <c r="H1185" i="26"/>
  <c r="I1185" i="26"/>
  <c r="O1185" i="26" s="1"/>
  <c r="L1185" i="26"/>
  <c r="M1185" i="26"/>
  <c r="N1185" i="26"/>
  <c r="C1186" i="26"/>
  <c r="D1186" i="26"/>
  <c r="K1186" i="26" s="1"/>
  <c r="H1186" i="26"/>
  <c r="I1186" i="26"/>
  <c r="O1186" i="26" s="1"/>
  <c r="L1186" i="26"/>
  <c r="M1186" i="26"/>
  <c r="N1186" i="26"/>
  <c r="C1187" i="26"/>
  <c r="D1187" i="26"/>
  <c r="K1187" i="26" s="1"/>
  <c r="H1187" i="26"/>
  <c r="I1187" i="26"/>
  <c r="O1187" i="26" s="1"/>
  <c r="L1187" i="26"/>
  <c r="M1187" i="26"/>
  <c r="N1187" i="26"/>
  <c r="C1188" i="26"/>
  <c r="D1188" i="26"/>
  <c r="K1188" i="26" s="1"/>
  <c r="H1188" i="26"/>
  <c r="I1188" i="26"/>
  <c r="O1188" i="26" s="1"/>
  <c r="L1188" i="26"/>
  <c r="M1188" i="26"/>
  <c r="N1188" i="26"/>
  <c r="C1189" i="26"/>
  <c r="D1189" i="26"/>
  <c r="K1189" i="26" s="1"/>
  <c r="H1189" i="26"/>
  <c r="I1189" i="26"/>
  <c r="O1189" i="26" s="1"/>
  <c r="L1189" i="26"/>
  <c r="M1189" i="26"/>
  <c r="N1189" i="26"/>
  <c r="C1190" i="26"/>
  <c r="D1190" i="26"/>
  <c r="K1190" i="26" s="1"/>
  <c r="H1190" i="26"/>
  <c r="I1190" i="26"/>
  <c r="O1190" i="26" s="1"/>
  <c r="L1190" i="26"/>
  <c r="M1190" i="26"/>
  <c r="N1190" i="26"/>
  <c r="C1191" i="26"/>
  <c r="D1191" i="26"/>
  <c r="K1191" i="26" s="1"/>
  <c r="H1191" i="26"/>
  <c r="I1191" i="26"/>
  <c r="O1191" i="26" s="1"/>
  <c r="L1191" i="26"/>
  <c r="M1191" i="26"/>
  <c r="N1191" i="26"/>
  <c r="C1192" i="26"/>
  <c r="D1192" i="26"/>
  <c r="K1192" i="26" s="1"/>
  <c r="H1192" i="26"/>
  <c r="I1192" i="26"/>
  <c r="O1192" i="26" s="1"/>
  <c r="L1192" i="26"/>
  <c r="M1192" i="26"/>
  <c r="N1192" i="26"/>
  <c r="C1193" i="26"/>
  <c r="D1193" i="26"/>
  <c r="K1193" i="26" s="1"/>
  <c r="H1193" i="26"/>
  <c r="I1193" i="26"/>
  <c r="O1193" i="26" s="1"/>
  <c r="L1193" i="26"/>
  <c r="M1193" i="26"/>
  <c r="N1193" i="26"/>
  <c r="C1194" i="26"/>
  <c r="D1194" i="26"/>
  <c r="K1194" i="26" s="1"/>
  <c r="H1194" i="26"/>
  <c r="I1194" i="26"/>
  <c r="O1194" i="26" s="1"/>
  <c r="L1194" i="26"/>
  <c r="M1194" i="26"/>
  <c r="N1194" i="26"/>
  <c r="C1195" i="26"/>
  <c r="D1195" i="26"/>
  <c r="K1195" i="26" s="1"/>
  <c r="H1195" i="26"/>
  <c r="I1195" i="26"/>
  <c r="O1195" i="26" s="1"/>
  <c r="L1195" i="26"/>
  <c r="M1195" i="26"/>
  <c r="N1195" i="26"/>
  <c r="C1196" i="26"/>
  <c r="D1196" i="26"/>
  <c r="K1196" i="26" s="1"/>
  <c r="H1196" i="26"/>
  <c r="I1196" i="26"/>
  <c r="O1196" i="26" s="1"/>
  <c r="L1196" i="26"/>
  <c r="M1196" i="26"/>
  <c r="N1196" i="26"/>
  <c r="C1197" i="26"/>
  <c r="D1197" i="26"/>
  <c r="K1197" i="26" s="1"/>
  <c r="H1197" i="26"/>
  <c r="I1197" i="26"/>
  <c r="O1197" i="26" s="1"/>
  <c r="L1197" i="26"/>
  <c r="M1197" i="26"/>
  <c r="N1197" i="26"/>
  <c r="C1198" i="26"/>
  <c r="D1198" i="26"/>
  <c r="K1198" i="26" s="1"/>
  <c r="H1198" i="26"/>
  <c r="I1198" i="26"/>
  <c r="O1198" i="26" s="1"/>
  <c r="L1198" i="26"/>
  <c r="M1198" i="26"/>
  <c r="N1198" i="26"/>
  <c r="C1199" i="26"/>
  <c r="D1199" i="26"/>
  <c r="K1199" i="26" s="1"/>
  <c r="H1199" i="26"/>
  <c r="I1199" i="26"/>
  <c r="O1199" i="26" s="1"/>
  <c r="L1199" i="26"/>
  <c r="M1199" i="26"/>
  <c r="N1199" i="26"/>
  <c r="C1200" i="26"/>
  <c r="D1200" i="26"/>
  <c r="K1200" i="26" s="1"/>
  <c r="H1200" i="26"/>
  <c r="I1200" i="26"/>
  <c r="O1200" i="26" s="1"/>
  <c r="L1200" i="26"/>
  <c r="M1200" i="26"/>
  <c r="N1200" i="26"/>
  <c r="C1201" i="26"/>
  <c r="D1201" i="26"/>
  <c r="K1201" i="26" s="1"/>
  <c r="H1201" i="26"/>
  <c r="I1201" i="26"/>
  <c r="O1201" i="26" s="1"/>
  <c r="L1201" i="26"/>
  <c r="M1201" i="26"/>
  <c r="N1201" i="26"/>
  <c r="B1202" i="26"/>
  <c r="I1202" i="26" s="1"/>
  <c r="O1202" i="26" s="1"/>
  <c r="D1202" i="26"/>
  <c r="K1202" i="26" s="1"/>
  <c r="H1202" i="26"/>
  <c r="L1202" i="26"/>
  <c r="M1202" i="26"/>
  <c r="N1202" i="26"/>
  <c r="C1203" i="26"/>
  <c r="D1203" i="26"/>
  <c r="K1203" i="26" s="1"/>
  <c r="H1203" i="26"/>
  <c r="I1203" i="26"/>
  <c r="O1203" i="26" s="1"/>
  <c r="L1203" i="26"/>
  <c r="M1203" i="26"/>
  <c r="N1203" i="26"/>
  <c r="C1204" i="26"/>
  <c r="D1204" i="26"/>
  <c r="K1204" i="26" s="1"/>
  <c r="H1204" i="26"/>
  <c r="I1204" i="26"/>
  <c r="O1204" i="26" s="1"/>
  <c r="L1204" i="26"/>
  <c r="M1204" i="26"/>
  <c r="N1204" i="26"/>
  <c r="C1205" i="26"/>
  <c r="D1205" i="26"/>
  <c r="K1205" i="26" s="1"/>
  <c r="H1205" i="26"/>
  <c r="I1205" i="26"/>
  <c r="O1205" i="26" s="1"/>
  <c r="L1205" i="26"/>
  <c r="M1205" i="26"/>
  <c r="N1205" i="26"/>
  <c r="C1206" i="26"/>
  <c r="D1206" i="26"/>
  <c r="K1206" i="26" s="1"/>
  <c r="H1206" i="26"/>
  <c r="I1206" i="26"/>
  <c r="O1206" i="26" s="1"/>
  <c r="L1206" i="26"/>
  <c r="M1206" i="26"/>
  <c r="N1206" i="26"/>
  <c r="C1207" i="26"/>
  <c r="D1207" i="26"/>
  <c r="K1207" i="26" s="1"/>
  <c r="H1207" i="26"/>
  <c r="I1207" i="26"/>
  <c r="O1207" i="26" s="1"/>
  <c r="L1207" i="26"/>
  <c r="M1207" i="26"/>
  <c r="N1207" i="26"/>
  <c r="C1208" i="26"/>
  <c r="D1208" i="26"/>
  <c r="K1208" i="26" s="1"/>
  <c r="H1208" i="26"/>
  <c r="I1208" i="26"/>
  <c r="O1208" i="26" s="1"/>
  <c r="L1208" i="26"/>
  <c r="M1208" i="26"/>
  <c r="N1208" i="26"/>
  <c r="C1209" i="26"/>
  <c r="D1209" i="26"/>
  <c r="K1209" i="26" s="1"/>
  <c r="H1209" i="26"/>
  <c r="I1209" i="26"/>
  <c r="O1209" i="26" s="1"/>
  <c r="L1209" i="26"/>
  <c r="M1209" i="26"/>
  <c r="N1209" i="26"/>
  <c r="C1210" i="26"/>
  <c r="D1210" i="26"/>
  <c r="K1210" i="26" s="1"/>
  <c r="H1210" i="26"/>
  <c r="I1210" i="26"/>
  <c r="O1210" i="26" s="1"/>
  <c r="L1210" i="26"/>
  <c r="M1210" i="26"/>
  <c r="N1210" i="26"/>
  <c r="C1211" i="26"/>
  <c r="D1211" i="26"/>
  <c r="K1211" i="26" s="1"/>
  <c r="H1211" i="26"/>
  <c r="I1211" i="26"/>
  <c r="O1211" i="26" s="1"/>
  <c r="L1211" i="26"/>
  <c r="M1211" i="26"/>
  <c r="N1211" i="26"/>
  <c r="C1212" i="26"/>
  <c r="D1212" i="26"/>
  <c r="K1212" i="26" s="1"/>
  <c r="H1212" i="26"/>
  <c r="I1212" i="26"/>
  <c r="O1212" i="26" s="1"/>
  <c r="L1212" i="26"/>
  <c r="M1212" i="26"/>
  <c r="N1212" i="26"/>
  <c r="C1213" i="26"/>
  <c r="D1213" i="26"/>
  <c r="K1213" i="26" s="1"/>
  <c r="H1213" i="26"/>
  <c r="I1213" i="26"/>
  <c r="O1213" i="26" s="1"/>
  <c r="L1213" i="26"/>
  <c r="M1213" i="26"/>
  <c r="N1213" i="26"/>
  <c r="C1214" i="26"/>
  <c r="D1214" i="26"/>
  <c r="K1214" i="26" s="1"/>
  <c r="H1214" i="26"/>
  <c r="I1214" i="26"/>
  <c r="O1214" i="26" s="1"/>
  <c r="L1214" i="26"/>
  <c r="M1214" i="26"/>
  <c r="N1214" i="26"/>
  <c r="C1215" i="26"/>
  <c r="D1215" i="26"/>
  <c r="K1215" i="26" s="1"/>
  <c r="H1215" i="26"/>
  <c r="I1215" i="26"/>
  <c r="O1215" i="26" s="1"/>
  <c r="L1215" i="26"/>
  <c r="M1215" i="26"/>
  <c r="N1215" i="26"/>
  <c r="C1216" i="26"/>
  <c r="D1216" i="26"/>
  <c r="K1216" i="26" s="1"/>
  <c r="H1216" i="26"/>
  <c r="I1216" i="26"/>
  <c r="O1216" i="26" s="1"/>
  <c r="L1216" i="26"/>
  <c r="M1216" i="26"/>
  <c r="N1216" i="26"/>
  <c r="C1217" i="26"/>
  <c r="D1217" i="26"/>
  <c r="K1217" i="26" s="1"/>
  <c r="H1217" i="26"/>
  <c r="I1217" i="26"/>
  <c r="O1217" i="26" s="1"/>
  <c r="L1217" i="26"/>
  <c r="M1217" i="26"/>
  <c r="N1217" i="26"/>
  <c r="C1218" i="26"/>
  <c r="D1218" i="26"/>
  <c r="K1218" i="26" s="1"/>
  <c r="H1218" i="26"/>
  <c r="I1218" i="26"/>
  <c r="O1218" i="26" s="1"/>
  <c r="L1218" i="26"/>
  <c r="M1218" i="26"/>
  <c r="N1218" i="26"/>
  <c r="C1219" i="26"/>
  <c r="D1219" i="26"/>
  <c r="K1219" i="26" s="1"/>
  <c r="H1219" i="26"/>
  <c r="I1219" i="26"/>
  <c r="O1219" i="26" s="1"/>
  <c r="L1219" i="26"/>
  <c r="M1219" i="26"/>
  <c r="N1219" i="26"/>
  <c r="C1220" i="26"/>
  <c r="D1220" i="26"/>
  <c r="K1220" i="26" s="1"/>
  <c r="H1220" i="26"/>
  <c r="I1220" i="26"/>
  <c r="O1220" i="26" s="1"/>
  <c r="L1220" i="26"/>
  <c r="M1220" i="26"/>
  <c r="N1220" i="26"/>
  <c r="C1221" i="26"/>
  <c r="D1221" i="26"/>
  <c r="K1221" i="26" s="1"/>
  <c r="H1221" i="26"/>
  <c r="I1221" i="26"/>
  <c r="O1221" i="26" s="1"/>
  <c r="L1221" i="26"/>
  <c r="M1221" i="26"/>
  <c r="N1221" i="26"/>
  <c r="C1222" i="26"/>
  <c r="D1222" i="26"/>
  <c r="K1222" i="26" s="1"/>
  <c r="H1222" i="26"/>
  <c r="I1222" i="26"/>
  <c r="O1222" i="26" s="1"/>
  <c r="L1222" i="26"/>
  <c r="M1222" i="26"/>
  <c r="N1222" i="26"/>
  <c r="C1223" i="26"/>
  <c r="D1223" i="26"/>
  <c r="K1223" i="26" s="1"/>
  <c r="H1223" i="26"/>
  <c r="I1223" i="26"/>
  <c r="O1223" i="26" s="1"/>
  <c r="L1223" i="26"/>
  <c r="M1223" i="26"/>
  <c r="N1223" i="26"/>
  <c r="C1224" i="26"/>
  <c r="D1224" i="26"/>
  <c r="K1224" i="26" s="1"/>
  <c r="H1224" i="26"/>
  <c r="I1224" i="26"/>
  <c r="O1224" i="26" s="1"/>
  <c r="L1224" i="26"/>
  <c r="M1224" i="26"/>
  <c r="N1224" i="26"/>
  <c r="C1225" i="26"/>
  <c r="D1225" i="26"/>
  <c r="K1225" i="26" s="1"/>
  <c r="H1225" i="26"/>
  <c r="I1225" i="26"/>
  <c r="O1225" i="26" s="1"/>
  <c r="L1225" i="26"/>
  <c r="M1225" i="26"/>
  <c r="N1225" i="26"/>
  <c r="C1226" i="26"/>
  <c r="D1226" i="26"/>
  <c r="K1226" i="26" s="1"/>
  <c r="H1226" i="26"/>
  <c r="I1226" i="26"/>
  <c r="O1226" i="26" s="1"/>
  <c r="L1226" i="26"/>
  <c r="M1226" i="26"/>
  <c r="N1226" i="26"/>
  <c r="C1227" i="26"/>
  <c r="D1227" i="26"/>
  <c r="K1227" i="26" s="1"/>
  <c r="H1227" i="26"/>
  <c r="I1227" i="26"/>
  <c r="O1227" i="26" s="1"/>
  <c r="L1227" i="26"/>
  <c r="M1227" i="26"/>
  <c r="N1227" i="26"/>
  <c r="C1228" i="26"/>
  <c r="D1228" i="26"/>
  <c r="K1228" i="26" s="1"/>
  <c r="H1228" i="26"/>
  <c r="I1228" i="26"/>
  <c r="O1228" i="26" s="1"/>
  <c r="L1228" i="26"/>
  <c r="M1228" i="26"/>
  <c r="N1228" i="26"/>
  <c r="C1229" i="26"/>
  <c r="D1229" i="26"/>
  <c r="K1229" i="26" s="1"/>
  <c r="H1229" i="26"/>
  <c r="I1229" i="26"/>
  <c r="O1229" i="26" s="1"/>
  <c r="L1229" i="26"/>
  <c r="M1229" i="26"/>
  <c r="N1229" i="26"/>
  <c r="C1230" i="26"/>
  <c r="D1230" i="26"/>
  <c r="K1230" i="26" s="1"/>
  <c r="H1230" i="26"/>
  <c r="I1230" i="26"/>
  <c r="O1230" i="26" s="1"/>
  <c r="L1230" i="26"/>
  <c r="M1230" i="26"/>
  <c r="N1230" i="26"/>
  <c r="C1231" i="26"/>
  <c r="D1231" i="26"/>
  <c r="K1231" i="26" s="1"/>
  <c r="H1231" i="26"/>
  <c r="I1231" i="26"/>
  <c r="O1231" i="26" s="1"/>
  <c r="L1231" i="26"/>
  <c r="M1231" i="26"/>
  <c r="N1231" i="26"/>
  <c r="C1232" i="26"/>
  <c r="D1232" i="26"/>
  <c r="K1232" i="26" s="1"/>
  <c r="H1232" i="26"/>
  <c r="I1232" i="26"/>
  <c r="O1232" i="26" s="1"/>
  <c r="L1232" i="26"/>
  <c r="M1232" i="26"/>
  <c r="N1232" i="26"/>
  <c r="C1233" i="26"/>
  <c r="I1233" i="26"/>
  <c r="O1233" i="26" s="1"/>
  <c r="D1233" i="26"/>
  <c r="K1233" i="26" s="1"/>
  <c r="H1233" i="26"/>
  <c r="L1233" i="26"/>
  <c r="M1233" i="26"/>
  <c r="N1233" i="26"/>
  <c r="C1234" i="26"/>
  <c r="D1234" i="26"/>
  <c r="K1234" i="26" s="1"/>
  <c r="H1234" i="26"/>
  <c r="I1234" i="26"/>
  <c r="O1234" i="26" s="1"/>
  <c r="L1234" i="26"/>
  <c r="M1234" i="26"/>
  <c r="N1234" i="26"/>
  <c r="C1235" i="26"/>
  <c r="I1235" i="26"/>
  <c r="O1235" i="26" s="1"/>
  <c r="D1235" i="26"/>
  <c r="K1235" i="26" s="1"/>
  <c r="H1235" i="26"/>
  <c r="L1235" i="26"/>
  <c r="M1235" i="26"/>
  <c r="N1235" i="26"/>
  <c r="C1236" i="26"/>
  <c r="D1236" i="26"/>
  <c r="K1236" i="26" s="1"/>
  <c r="H1236" i="26"/>
  <c r="I1236" i="26"/>
  <c r="O1236" i="26" s="1"/>
  <c r="L1236" i="26"/>
  <c r="M1236" i="26"/>
  <c r="N1236" i="26"/>
  <c r="C1237" i="26"/>
  <c r="I1237" i="26"/>
  <c r="O1237" i="26" s="1"/>
  <c r="D1237" i="26"/>
  <c r="K1237" i="26" s="1"/>
  <c r="H1237" i="26"/>
  <c r="L1237" i="26"/>
  <c r="M1237" i="26"/>
  <c r="N1237" i="26"/>
  <c r="C1238" i="26"/>
  <c r="D1238" i="26"/>
  <c r="K1238" i="26" s="1"/>
  <c r="H1238" i="26"/>
  <c r="I1238" i="26"/>
  <c r="O1238" i="26" s="1"/>
  <c r="L1238" i="26"/>
  <c r="M1238" i="26"/>
  <c r="N1238" i="26"/>
  <c r="C1239" i="26"/>
  <c r="I1239" i="26"/>
  <c r="O1239" i="26" s="1"/>
  <c r="D1239" i="26"/>
  <c r="K1239" i="26" s="1"/>
  <c r="H1239" i="26"/>
  <c r="L1239" i="26"/>
  <c r="M1239" i="26"/>
  <c r="N1239" i="26"/>
  <c r="C1240" i="26"/>
  <c r="D1240" i="26"/>
  <c r="K1240" i="26" s="1"/>
  <c r="H1240" i="26"/>
  <c r="I1240" i="26"/>
  <c r="O1240" i="26" s="1"/>
  <c r="L1240" i="26"/>
  <c r="M1240" i="26"/>
  <c r="N1240" i="26"/>
  <c r="C1241" i="26"/>
  <c r="I1241" i="26"/>
  <c r="O1241" i="26" s="1"/>
  <c r="D1241" i="26"/>
  <c r="K1241" i="26" s="1"/>
  <c r="H1241" i="26"/>
  <c r="L1241" i="26"/>
  <c r="M1241" i="26"/>
  <c r="N1241" i="26"/>
  <c r="C1242" i="26"/>
  <c r="D1242" i="26"/>
  <c r="K1242" i="26" s="1"/>
  <c r="H1242" i="26"/>
  <c r="I1242" i="26"/>
  <c r="O1242" i="26" s="1"/>
  <c r="L1242" i="26"/>
  <c r="M1242" i="26"/>
  <c r="N1242" i="26"/>
  <c r="C1243" i="26"/>
  <c r="I1243" i="26"/>
  <c r="O1243" i="26" s="1"/>
  <c r="D1243" i="26"/>
  <c r="K1243" i="26" s="1"/>
  <c r="H1243" i="26"/>
  <c r="L1243" i="26"/>
  <c r="M1243" i="26"/>
  <c r="N1243" i="26"/>
  <c r="C1244" i="26"/>
  <c r="D1244" i="26"/>
  <c r="K1244" i="26" s="1"/>
  <c r="H1244" i="26"/>
  <c r="I1244" i="26"/>
  <c r="O1244" i="26" s="1"/>
  <c r="L1244" i="26"/>
  <c r="M1244" i="26"/>
  <c r="N1244" i="26"/>
  <c r="C1245" i="26"/>
  <c r="I1245" i="26"/>
  <c r="O1245" i="26" s="1"/>
  <c r="D1245" i="26"/>
  <c r="K1245" i="26" s="1"/>
  <c r="H1245" i="26"/>
  <c r="L1245" i="26"/>
  <c r="M1245" i="26"/>
  <c r="N1245" i="26"/>
  <c r="C1246" i="26"/>
  <c r="D1246" i="26"/>
  <c r="K1246" i="26" s="1"/>
  <c r="H1246" i="26"/>
  <c r="I1246" i="26"/>
  <c r="O1246" i="26" s="1"/>
  <c r="L1246" i="26"/>
  <c r="M1246" i="26"/>
  <c r="N1246" i="26"/>
  <c r="C1247" i="26"/>
  <c r="I1247" i="26"/>
  <c r="O1247" i="26" s="1"/>
  <c r="D1247" i="26"/>
  <c r="K1247" i="26" s="1"/>
  <c r="H1247" i="26"/>
  <c r="L1247" i="26"/>
  <c r="M1247" i="26"/>
  <c r="N1247" i="26"/>
  <c r="C1248" i="26"/>
  <c r="D1248" i="26"/>
  <c r="C1249" i="26"/>
  <c r="D1249" i="26"/>
  <c r="C1250" i="26"/>
  <c r="D1250" i="26"/>
  <c r="H1250" i="26"/>
  <c r="I1250" i="26"/>
  <c r="O1250" i="26" s="1"/>
  <c r="L1250" i="26"/>
  <c r="M1250" i="26"/>
  <c r="N1250" i="26"/>
  <c r="C1251" i="26"/>
  <c r="D1251" i="26"/>
  <c r="H1251" i="26"/>
  <c r="I1251" i="26"/>
  <c r="O1251" i="26" s="1"/>
  <c r="L1251" i="26"/>
  <c r="M1251" i="26"/>
  <c r="N1251" i="26"/>
  <c r="C1252" i="26"/>
  <c r="D1252" i="26"/>
  <c r="H1252" i="26"/>
  <c r="I1252" i="26"/>
  <c r="O1252" i="26" s="1"/>
  <c r="L1252" i="26"/>
  <c r="M1252" i="26"/>
  <c r="N1252" i="26"/>
  <c r="C1253" i="26"/>
  <c r="D1253" i="26"/>
  <c r="H1253" i="26"/>
  <c r="I1253" i="26"/>
  <c r="O1253" i="26" s="1"/>
  <c r="L1253" i="26"/>
  <c r="M1253" i="26"/>
  <c r="N1253" i="26"/>
  <c r="C1254" i="26"/>
  <c r="D1254" i="26"/>
  <c r="H1254" i="26"/>
  <c r="I1254" i="26"/>
  <c r="O1254" i="26" s="1"/>
  <c r="L1254" i="26"/>
  <c r="M1254" i="26"/>
  <c r="N1254" i="26"/>
  <c r="C1255" i="26"/>
  <c r="I1255" i="26"/>
  <c r="O1255" i="26" s="1"/>
  <c r="D1255" i="26"/>
  <c r="K1255" i="26" s="1"/>
  <c r="H1255" i="26"/>
  <c r="L1255" i="26"/>
  <c r="M1255" i="26"/>
  <c r="N1255" i="26"/>
  <c r="C1256" i="26"/>
  <c r="D1256" i="26"/>
  <c r="K1256" i="26" s="1"/>
  <c r="H1256" i="26"/>
  <c r="I1256" i="26"/>
  <c r="O1256" i="26" s="1"/>
  <c r="L1256" i="26"/>
  <c r="M1256" i="26"/>
  <c r="N1256" i="26"/>
  <c r="C1257" i="26"/>
  <c r="I1257" i="26"/>
  <c r="O1257" i="26" s="1"/>
  <c r="D1257" i="26"/>
  <c r="K1257" i="26" s="1"/>
  <c r="H1257" i="26"/>
  <c r="L1257" i="26"/>
  <c r="M1257" i="26"/>
  <c r="N1257" i="26"/>
  <c r="C1258" i="26"/>
  <c r="D1258" i="26"/>
  <c r="K1258" i="26" s="1"/>
  <c r="H1258" i="26"/>
  <c r="I1258" i="26"/>
  <c r="O1258" i="26" s="1"/>
  <c r="L1258" i="26"/>
  <c r="M1258" i="26"/>
  <c r="N1258" i="26"/>
  <c r="C1259" i="26"/>
  <c r="I1259" i="26"/>
  <c r="O1259" i="26" s="1"/>
  <c r="D1259" i="26"/>
  <c r="K1259" i="26" s="1"/>
  <c r="H1259" i="26"/>
  <c r="L1259" i="26"/>
  <c r="M1259" i="26"/>
  <c r="N1259" i="26"/>
  <c r="C1260" i="26"/>
  <c r="D1260" i="26"/>
  <c r="K1260" i="26" s="1"/>
  <c r="H1260" i="26"/>
  <c r="I1260" i="26"/>
  <c r="O1260" i="26" s="1"/>
  <c r="L1260" i="26"/>
  <c r="M1260" i="26"/>
  <c r="N1260" i="26"/>
  <c r="C1261" i="26"/>
  <c r="I1261" i="26"/>
  <c r="O1261" i="26" s="1"/>
  <c r="D1261" i="26"/>
  <c r="K1261" i="26" s="1"/>
  <c r="H1261" i="26"/>
  <c r="L1261" i="26"/>
  <c r="M1261" i="26"/>
  <c r="N1261" i="26"/>
  <c r="C1262" i="26"/>
  <c r="D1262" i="26"/>
  <c r="K1262" i="26" s="1"/>
  <c r="H1262" i="26"/>
  <c r="I1262" i="26"/>
  <c r="O1262" i="26" s="1"/>
  <c r="L1262" i="26"/>
  <c r="M1262" i="26"/>
  <c r="N1262" i="26"/>
  <c r="C1263" i="26"/>
  <c r="I1263" i="26"/>
  <c r="O1263" i="26" s="1"/>
  <c r="D1263" i="26"/>
  <c r="K1263" i="26" s="1"/>
  <c r="H1263" i="26"/>
  <c r="L1263" i="26"/>
  <c r="M1263" i="26"/>
  <c r="N1263" i="26"/>
  <c r="C1264" i="26"/>
  <c r="D1264" i="26"/>
  <c r="K1264" i="26" s="1"/>
  <c r="H1264" i="26"/>
  <c r="I1264" i="26"/>
  <c r="O1264" i="26" s="1"/>
  <c r="L1264" i="26"/>
  <c r="M1264" i="26"/>
  <c r="N1264" i="26"/>
  <c r="C1265" i="26"/>
  <c r="I1265" i="26"/>
  <c r="O1265" i="26" s="1"/>
  <c r="D1265" i="26"/>
  <c r="K1265" i="26" s="1"/>
  <c r="H1265" i="26"/>
  <c r="L1265" i="26"/>
  <c r="M1265" i="26"/>
  <c r="N1265" i="26"/>
  <c r="C1266" i="26"/>
  <c r="D1266" i="26"/>
  <c r="K1266" i="26" s="1"/>
  <c r="H1266" i="26"/>
  <c r="I1266" i="26"/>
  <c r="O1266" i="26" s="1"/>
  <c r="L1266" i="26"/>
  <c r="M1266" i="26"/>
  <c r="N1266" i="26"/>
  <c r="C1267" i="26"/>
  <c r="I1267" i="26"/>
  <c r="O1267" i="26" s="1"/>
  <c r="D1267" i="26"/>
  <c r="K1267" i="26" s="1"/>
  <c r="H1267" i="26"/>
  <c r="L1267" i="26"/>
  <c r="M1267" i="26"/>
  <c r="N1267" i="26"/>
  <c r="C1268" i="26"/>
  <c r="D1268" i="26"/>
  <c r="K1268" i="26" s="1"/>
  <c r="H1268" i="26"/>
  <c r="I1268" i="26"/>
  <c r="O1268" i="26" s="1"/>
  <c r="L1268" i="26"/>
  <c r="M1268" i="26"/>
  <c r="N1268" i="26"/>
  <c r="C1269" i="26"/>
  <c r="I1269" i="26"/>
  <c r="O1269" i="26" s="1"/>
  <c r="D1269" i="26"/>
  <c r="K1269" i="26" s="1"/>
  <c r="H1269" i="26"/>
  <c r="L1269" i="26"/>
  <c r="M1269" i="26"/>
  <c r="N1269" i="26"/>
  <c r="C1270" i="26"/>
  <c r="D1270" i="26"/>
  <c r="C1271" i="26"/>
  <c r="D1271" i="26"/>
  <c r="C1272" i="26"/>
  <c r="D1272" i="26"/>
  <c r="H1274" i="26"/>
  <c r="I1274" i="26"/>
  <c r="O1274" i="26" s="1"/>
  <c r="L1274" i="26"/>
  <c r="M1274" i="26"/>
  <c r="N1274" i="26"/>
  <c r="C1275" i="26"/>
  <c r="D1275" i="26"/>
  <c r="C1276" i="26"/>
  <c r="D1276" i="26"/>
  <c r="C1277" i="26"/>
  <c r="D1277" i="26"/>
  <c r="C1278" i="26"/>
  <c r="D1278" i="26"/>
  <c r="C1279" i="26"/>
  <c r="D1279" i="26"/>
  <c r="C1280" i="26"/>
  <c r="D1280" i="26"/>
  <c r="C1281" i="26"/>
  <c r="D1281" i="26"/>
  <c r="C1282" i="26"/>
  <c r="D1282" i="26"/>
  <c r="C1283" i="26"/>
  <c r="H1283" i="26" s="1"/>
  <c r="D1283" i="26"/>
  <c r="C1284" i="26"/>
  <c r="D1284" i="26"/>
  <c r="C1285" i="26"/>
  <c r="D1285" i="26"/>
  <c r="C1286" i="26"/>
  <c r="D1286" i="26"/>
  <c r="H1286" i="26"/>
  <c r="C1287" i="26"/>
  <c r="D1287" i="26"/>
  <c r="C1288" i="26"/>
  <c r="D1288" i="26"/>
  <c r="C1289" i="26"/>
  <c r="D1289" i="26"/>
  <c r="C1290" i="26"/>
  <c r="D1290" i="26"/>
  <c r="B1291" i="26"/>
  <c r="C1292" i="26"/>
  <c r="D1292" i="26"/>
  <c r="C1293" i="26"/>
  <c r="D1293" i="26"/>
  <c r="C1294" i="26"/>
  <c r="D1294" i="26"/>
  <c r="H1294" i="26"/>
  <c r="C1295" i="26"/>
  <c r="D1295" i="26"/>
  <c r="C1296" i="26"/>
  <c r="D1296" i="26"/>
  <c r="C1297" i="26"/>
  <c r="D1297" i="26"/>
  <c r="H1297" i="26"/>
  <c r="C1298" i="26"/>
  <c r="D1298" i="26"/>
  <c r="C1299" i="26"/>
  <c r="D1299" i="26"/>
  <c r="H1299" i="26"/>
  <c r="C1300" i="26"/>
  <c r="D1300" i="26"/>
  <c r="C1301" i="26"/>
  <c r="D1301" i="26"/>
  <c r="C1302" i="26"/>
  <c r="D1302" i="26"/>
  <c r="C1303" i="26"/>
  <c r="D1303" i="26"/>
  <c r="C1304" i="26"/>
  <c r="D1304" i="26"/>
  <c r="C1305" i="26"/>
  <c r="D1305" i="26"/>
  <c r="H1305" i="26"/>
  <c r="C1306" i="26"/>
  <c r="D1306" i="26"/>
  <c r="C1307" i="26"/>
  <c r="D1307" i="26"/>
  <c r="B1308" i="26"/>
  <c r="C1308" i="26" s="1"/>
  <c r="D1308" i="26"/>
  <c r="H1308" i="26"/>
  <c r="C1309" i="26"/>
  <c r="D1309" i="26"/>
  <c r="C1310" i="26"/>
  <c r="D1310" i="26"/>
  <c r="C1311" i="26"/>
  <c r="D1311" i="26"/>
  <c r="C1312" i="26"/>
  <c r="D1312" i="26"/>
  <c r="C1313" i="26"/>
  <c r="D1313" i="26"/>
  <c r="H1313" i="26"/>
  <c r="C1314" i="26"/>
  <c r="D1314" i="26"/>
  <c r="C1315" i="26"/>
  <c r="D1315" i="26"/>
  <c r="C1316" i="26"/>
  <c r="D1316" i="26"/>
  <c r="D1317" i="26"/>
  <c r="F1317" i="26"/>
  <c r="C1317" i="26" s="1"/>
  <c r="C1318" i="26"/>
  <c r="D1318" i="26"/>
  <c r="C1319" i="26"/>
  <c r="D1319" i="26"/>
  <c r="C1320" i="26"/>
  <c r="D1320" i="26"/>
  <c r="C1321" i="26"/>
  <c r="H881" i="18" s="1"/>
  <c r="D1321" i="26"/>
  <c r="C1322" i="26"/>
  <c r="D1322" i="26"/>
  <c r="C1326" i="26"/>
  <c r="H1326" i="26" s="1"/>
  <c r="D1326" i="26"/>
  <c r="C1327" i="26"/>
  <c r="D1327" i="26"/>
  <c r="C1328" i="26"/>
  <c r="D1328" i="26"/>
  <c r="B1329" i="26"/>
  <c r="C1331" i="26"/>
  <c r="D1331" i="26"/>
  <c r="C1332" i="26"/>
  <c r="D1332" i="26"/>
  <c r="C1333" i="26"/>
  <c r="D1333" i="26"/>
  <c r="C1334" i="26"/>
  <c r="D1334" i="26"/>
  <c r="C1335" i="26"/>
  <c r="D1335" i="26"/>
  <c r="C1336" i="26"/>
  <c r="D1336" i="26"/>
  <c r="C1337" i="26"/>
  <c r="D1337" i="26"/>
  <c r="C1338" i="26"/>
  <c r="D1338" i="26"/>
  <c r="C1339" i="26"/>
  <c r="D1339" i="26"/>
  <c r="C1340" i="26"/>
  <c r="D1340" i="26"/>
  <c r="C1341" i="26"/>
  <c r="D1341" i="26"/>
  <c r="C1342" i="26"/>
  <c r="D1342" i="26"/>
  <c r="C1343" i="26"/>
  <c r="D1343" i="26"/>
  <c r="C1344" i="26"/>
  <c r="D1344" i="26"/>
  <c r="C1345" i="26"/>
  <c r="D1345" i="26"/>
  <c r="C1346" i="26"/>
  <c r="D1346" i="26"/>
  <c r="C1347" i="26"/>
  <c r="D1347" i="26"/>
  <c r="C1348" i="26"/>
  <c r="D1348" i="26"/>
  <c r="C1349" i="26"/>
  <c r="D1349" i="26"/>
  <c r="B1351" i="26"/>
  <c r="C1353" i="26"/>
  <c r="D1353" i="26"/>
  <c r="C1354" i="26"/>
  <c r="D1354" i="26"/>
  <c r="C1355" i="26"/>
  <c r="D1355" i="26"/>
  <c r="C1356" i="26"/>
  <c r="D1356" i="26"/>
  <c r="C1357" i="26"/>
  <c r="D1357" i="26"/>
  <c r="C1358" i="26"/>
  <c r="D1358" i="26"/>
  <c r="C1359" i="26"/>
  <c r="D1359" i="26"/>
  <c r="C1360" i="26"/>
  <c r="D1360" i="26"/>
  <c r="C1361" i="26"/>
  <c r="D1361" i="26"/>
  <c r="C1362" i="26"/>
  <c r="D1362" i="26"/>
  <c r="C1363" i="26"/>
  <c r="D1363" i="26"/>
  <c r="C1364" i="26"/>
  <c r="D1364" i="26"/>
  <c r="C1365" i="26"/>
  <c r="D1365" i="26"/>
  <c r="B1366" i="26"/>
  <c r="C1367" i="26"/>
  <c r="C1368" i="26"/>
  <c r="C1369" i="26"/>
  <c r="C1370" i="26"/>
  <c r="C1371" i="26"/>
  <c r="C1372" i="26"/>
  <c r="C1373" i="26"/>
  <c r="C1374" i="26"/>
  <c r="B1375" i="26"/>
  <c r="C1375" i="26" s="1"/>
  <c r="C1376" i="26"/>
  <c r="C1377" i="26"/>
  <c r="C1378" i="26"/>
  <c r="C1379" i="26"/>
  <c r="C1380" i="26"/>
  <c r="D1366" i="26"/>
  <c r="D1367" i="26"/>
  <c r="D1368" i="26"/>
  <c r="D1369" i="26"/>
  <c r="D1370" i="26"/>
  <c r="D1371" i="26"/>
  <c r="D1372" i="26"/>
  <c r="D1373" i="26"/>
  <c r="D1374" i="26"/>
  <c r="D1375" i="26"/>
  <c r="D1376" i="26"/>
  <c r="D1377" i="26"/>
  <c r="D1378" i="26"/>
  <c r="D1379" i="26"/>
  <c r="D1380" i="26"/>
  <c r="C1385" i="26"/>
  <c r="D1385" i="26"/>
  <c r="C1386" i="26"/>
  <c r="D1386" i="26"/>
  <c r="C1387" i="26"/>
  <c r="D1387" i="26"/>
  <c r="C1388" i="26"/>
  <c r="D1388" i="26"/>
  <c r="C1389" i="26"/>
  <c r="D1389" i="26"/>
  <c r="C1390" i="26"/>
  <c r="D1390" i="26"/>
  <c r="C1391" i="26"/>
  <c r="D1391" i="26"/>
  <c r="C1392" i="26"/>
  <c r="D1392" i="26"/>
  <c r="C1393" i="26"/>
  <c r="D1393" i="26"/>
  <c r="C1394" i="26"/>
  <c r="D1394" i="26"/>
  <c r="C1395" i="26"/>
  <c r="D1395" i="26"/>
  <c r="C1396" i="26"/>
  <c r="D1396" i="26"/>
  <c r="C1397" i="26"/>
  <c r="D1397" i="26"/>
  <c r="C1398" i="26"/>
  <c r="D1398" i="26"/>
  <c r="C1399" i="26"/>
  <c r="D1399" i="26"/>
  <c r="C1402" i="26"/>
  <c r="D1402" i="26"/>
  <c r="C1403" i="26"/>
  <c r="D1403" i="26"/>
  <c r="C1404" i="26"/>
  <c r="D1404" i="26"/>
  <c r="B1408" i="26"/>
  <c r="D1412" i="26"/>
  <c r="D1413" i="26"/>
  <c r="D1414" i="26"/>
  <c r="D1415" i="26"/>
  <c r="D1416" i="26"/>
  <c r="D1417" i="26"/>
  <c r="D1418" i="26"/>
  <c r="D1419" i="26"/>
  <c r="D1420" i="26"/>
  <c r="D1421" i="26"/>
  <c r="D1422" i="26"/>
  <c r="D1423" i="26"/>
  <c r="D1424" i="26"/>
  <c r="D1425" i="26"/>
  <c r="D1426" i="26"/>
  <c r="D1427" i="26"/>
  <c r="D1428" i="26"/>
  <c r="D1429" i="26"/>
  <c r="D1430" i="26"/>
  <c r="D1431" i="26"/>
  <c r="D1432" i="26"/>
  <c r="D1433" i="26"/>
  <c r="D1434" i="26"/>
  <c r="D1435" i="26"/>
  <c r="D1436" i="26"/>
  <c r="D1437" i="26"/>
  <c r="D1438" i="26"/>
  <c r="D1439" i="26"/>
  <c r="D1440" i="26"/>
  <c r="D1441" i="26"/>
  <c r="D1442" i="26"/>
  <c r="D1443" i="26"/>
  <c r="D1444" i="26"/>
  <c r="D1445" i="26"/>
  <c r="D1446" i="26"/>
  <c r="D1447" i="26"/>
  <c r="D1448" i="26"/>
  <c r="D1449" i="26"/>
  <c r="D1450" i="26"/>
  <c r="D1451" i="26"/>
  <c r="D1452" i="26"/>
  <c r="D1453" i="26"/>
  <c r="D1454" i="26"/>
  <c r="D1455" i="26"/>
  <c r="D1456" i="26"/>
  <c r="D1457" i="26"/>
  <c r="D1458" i="26"/>
  <c r="D1459" i="26"/>
  <c r="D1460" i="26"/>
  <c r="D1461" i="26"/>
  <c r="D1462" i="26"/>
  <c r="D1463" i="26"/>
  <c r="D1464" i="26"/>
  <c r="D1465" i="26"/>
  <c r="D1466" i="26"/>
  <c r="D1467" i="26"/>
  <c r="D1468" i="26"/>
  <c r="D1469" i="26"/>
  <c r="D1473" i="26"/>
  <c r="D1474" i="26"/>
  <c r="D1475" i="26"/>
  <c r="D1476" i="26"/>
  <c r="D1477" i="26"/>
  <c r="M1477" i="26"/>
  <c r="M1481" i="26" s="1"/>
  <c r="Q1477" i="26"/>
  <c r="Q1481" i="26" s="1"/>
  <c r="Q1484" i="26" s="1"/>
  <c r="D1478" i="26"/>
  <c r="D1479" i="26"/>
  <c r="D1480" i="26"/>
  <c r="D1481" i="26"/>
  <c r="D1482" i="26"/>
  <c r="D1483" i="26"/>
  <c r="N1483" i="26"/>
  <c r="D1484" i="26"/>
  <c r="N1484" i="26"/>
  <c r="F668" i="18"/>
  <c r="E668" i="18"/>
  <c r="D668" i="18" s="1"/>
  <c r="D243" i="18"/>
  <c r="A2331" i="22"/>
  <c r="A2330" i="22"/>
  <c r="O1093" i="18"/>
  <c r="M1103" i="18"/>
  <c r="O1096" i="18" s="1"/>
  <c r="M1105" i="18"/>
  <c r="O1098" i="18" s="1"/>
  <c r="O1110" i="18"/>
  <c r="L1096" i="22"/>
  <c r="K1096" i="22"/>
  <c r="J1096" i="22"/>
  <c r="L1095" i="22"/>
  <c r="K1095" i="22"/>
  <c r="J1095" i="22"/>
  <c r="L1094" i="22"/>
  <c r="K1094" i="22"/>
  <c r="J1094" i="22"/>
  <c r="L1093" i="22"/>
  <c r="K1093" i="22"/>
  <c r="J1093" i="22"/>
  <c r="L1092" i="22"/>
  <c r="K1092" i="22"/>
  <c r="J1092" i="22"/>
  <c r="L1091" i="22"/>
  <c r="K1091" i="22"/>
  <c r="J1091" i="22"/>
  <c r="K1090" i="22"/>
  <c r="J1090" i="22"/>
  <c r="H1089" i="22"/>
  <c r="J1088" i="22"/>
  <c r="H1088" i="22"/>
  <c r="E1098" i="22"/>
  <c r="D2331" i="22" s="1"/>
  <c r="D1098" i="22"/>
  <c r="C2331" i="22" s="1"/>
  <c r="D242" i="18"/>
  <c r="D241" i="18"/>
  <c r="F689" i="18"/>
  <c r="E689" i="18"/>
  <c r="D689" i="18" s="1"/>
  <c r="E352" i="1"/>
  <c r="C352" i="1"/>
  <c r="F688" i="18"/>
  <c r="E688" i="18"/>
  <c r="D688" i="18" s="1"/>
  <c r="D239" i="18"/>
  <c r="F687" i="18"/>
  <c r="E687" i="18"/>
  <c r="D687" i="18" s="1"/>
  <c r="F666" i="18"/>
  <c r="E666" i="18"/>
  <c r="D666" i="18" s="1"/>
  <c r="F665" i="18"/>
  <c r="E665" i="18"/>
  <c r="D665" i="18" s="1"/>
  <c r="L1085" i="22"/>
  <c r="L1084" i="22"/>
  <c r="L1083" i="22"/>
  <c r="L1082" i="22"/>
  <c r="L1081" i="22"/>
  <c r="L1080" i="22"/>
  <c r="E1076" i="22"/>
  <c r="D2329" i="22" s="1"/>
  <c r="F1076" i="22"/>
  <c r="E2329" i="22" s="1"/>
  <c r="D1076" i="22"/>
  <c r="C2329" i="22" s="1"/>
  <c r="J1077" i="22"/>
  <c r="H1077" i="22"/>
  <c r="E1087" i="22"/>
  <c r="D2330" i="22" s="1"/>
  <c r="D1087" i="22"/>
  <c r="C2330" i="22" s="1"/>
  <c r="K1085" i="22"/>
  <c r="J1085" i="22"/>
  <c r="K1084" i="22"/>
  <c r="J1084" i="22"/>
  <c r="K1083" i="22"/>
  <c r="J1083" i="22"/>
  <c r="K1082" i="22"/>
  <c r="J1082" i="22"/>
  <c r="K1081" i="22"/>
  <c r="J1081" i="22"/>
  <c r="K1080" i="22"/>
  <c r="K1079" i="22"/>
  <c r="J1080" i="22"/>
  <c r="J1079" i="22"/>
  <c r="H1078" i="22"/>
  <c r="F664" i="18"/>
  <c r="E664" i="18"/>
  <c r="D664" i="18" s="1"/>
  <c r="J351" i="1"/>
  <c r="L351" i="1" s="1"/>
  <c r="E351" i="1"/>
  <c r="C351" i="1"/>
  <c r="F686" i="18"/>
  <c r="F685" i="18"/>
  <c r="E686" i="18"/>
  <c r="D686" i="18" s="1"/>
  <c r="E685" i="18"/>
  <c r="D685" i="18" s="1"/>
  <c r="F663" i="18"/>
  <c r="E663" i="18"/>
  <c r="D663" i="18" s="1"/>
  <c r="D240" i="18"/>
  <c r="E346" i="1"/>
  <c r="L1074" i="22"/>
  <c r="L1073" i="22"/>
  <c r="L1072" i="22"/>
  <c r="L1071" i="22"/>
  <c r="L1070" i="22"/>
  <c r="L1069" i="22"/>
  <c r="L1068" i="22"/>
  <c r="J1068" i="22"/>
  <c r="K1068" i="22"/>
  <c r="A2329" i="22"/>
  <c r="K1074" i="22"/>
  <c r="J1074" i="22"/>
  <c r="K1073" i="22"/>
  <c r="J1073" i="22"/>
  <c r="K1072" i="22"/>
  <c r="J1072" i="22"/>
  <c r="H1072" i="22" s="1"/>
  <c r="K1071" i="22"/>
  <c r="J1071" i="22"/>
  <c r="K1070" i="22"/>
  <c r="J1070" i="22"/>
  <c r="K1069" i="22"/>
  <c r="J1069" i="22"/>
  <c r="H1067" i="22"/>
  <c r="J1066" i="22"/>
  <c r="H1066" i="22"/>
  <c r="F662" i="18"/>
  <c r="E662" i="18"/>
  <c r="D662" i="18" s="1"/>
  <c r="E345" i="1"/>
  <c r="F659" i="18"/>
  <c r="F660" i="18"/>
  <c r="F661" i="18"/>
  <c r="F658" i="18"/>
  <c r="E659" i="18"/>
  <c r="D659" i="18" s="1"/>
  <c r="E660" i="18"/>
  <c r="D660" i="18" s="1"/>
  <c r="E661" i="18"/>
  <c r="D661" i="18" s="1"/>
  <c r="E658" i="18"/>
  <c r="D658" i="18" s="1"/>
  <c r="C1077" i="18"/>
  <c r="E1077" i="18"/>
  <c r="C1078" i="18"/>
  <c r="E1078" i="18"/>
  <c r="C1079" i="18"/>
  <c r="E1079" i="18"/>
  <c r="C1080" i="18"/>
  <c r="E1080" i="18"/>
  <c r="C1081" i="18"/>
  <c r="E1081" i="18"/>
  <c r="C1082" i="18"/>
  <c r="E1082" i="18"/>
  <c r="C1083" i="18"/>
  <c r="E1083" i="18"/>
  <c r="L1063" i="22"/>
  <c r="L1062" i="22"/>
  <c r="L1061" i="22"/>
  <c r="L1060" i="22"/>
  <c r="L1059" i="22"/>
  <c r="L1058" i="22"/>
  <c r="L1057" i="22"/>
  <c r="J1057" i="22"/>
  <c r="K1057" i="22"/>
  <c r="A2328" i="22"/>
  <c r="K1063" i="22"/>
  <c r="J1063" i="22"/>
  <c r="K1062" i="22"/>
  <c r="J1062" i="22"/>
  <c r="K1061" i="22"/>
  <c r="J1061" i="22"/>
  <c r="K1060" i="22"/>
  <c r="J1060" i="22"/>
  <c r="K1059" i="22"/>
  <c r="J1059" i="22"/>
  <c r="K1058" i="22"/>
  <c r="J1058" i="22"/>
  <c r="H1056" i="22"/>
  <c r="J1055" i="22"/>
  <c r="H1055" i="22"/>
  <c r="F1065" i="22"/>
  <c r="E2328" i="22" s="1"/>
  <c r="E1065" i="22"/>
  <c r="D2328" i="22" s="1"/>
  <c r="D1065" i="22"/>
  <c r="C2328" i="22" s="1"/>
  <c r="E344" i="1"/>
  <c r="A2327" i="22"/>
  <c r="L1052" i="22"/>
  <c r="K1052" i="22"/>
  <c r="J1052" i="22"/>
  <c r="L1051" i="22"/>
  <c r="K1051" i="22"/>
  <c r="J1051" i="22"/>
  <c r="L1050" i="22"/>
  <c r="K1050" i="22"/>
  <c r="J1050" i="22"/>
  <c r="L1049" i="22"/>
  <c r="K1049" i="22"/>
  <c r="J1049" i="22"/>
  <c r="L1048" i="22"/>
  <c r="K1048" i="22"/>
  <c r="L1047" i="22"/>
  <c r="K1047" i="22"/>
  <c r="J1047" i="22"/>
  <c r="L1046" i="22"/>
  <c r="J1046" i="22"/>
  <c r="K1046" i="22"/>
  <c r="H1045" i="22"/>
  <c r="J1044" i="22"/>
  <c r="H1044" i="22"/>
  <c r="F1054" i="22"/>
  <c r="E2327" i="22" s="1"/>
  <c r="E1054" i="22"/>
  <c r="D2327" i="22" s="1"/>
  <c r="E342" i="1"/>
  <c r="E343" i="1"/>
  <c r="E341" i="1"/>
  <c r="B1173" i="18"/>
  <c r="C1173" i="18" s="1"/>
  <c r="E1173" i="18"/>
  <c r="E1175" i="18"/>
  <c r="C1175" i="18"/>
  <c r="E1174" i="18"/>
  <c r="C1174" i="18"/>
  <c r="E1172" i="18"/>
  <c r="C1172" i="18"/>
  <c r="C1176" i="18" s="1"/>
  <c r="C1177" i="18" s="1"/>
  <c r="C1178" i="18" s="1"/>
  <c r="A2326" i="22"/>
  <c r="L1041" i="22"/>
  <c r="K1041" i="22"/>
  <c r="J1041" i="22"/>
  <c r="H1041" i="22" s="1"/>
  <c r="L1040" i="22"/>
  <c r="K1040" i="22"/>
  <c r="J1040" i="22"/>
  <c r="L1039" i="22"/>
  <c r="K1039" i="22"/>
  <c r="J1039" i="22"/>
  <c r="L1038" i="22"/>
  <c r="K1038" i="22"/>
  <c r="J1038" i="22"/>
  <c r="L1037" i="22"/>
  <c r="K1037" i="22"/>
  <c r="J1037" i="22"/>
  <c r="H1037" i="22" s="1"/>
  <c r="J1035" i="22"/>
  <c r="J1043" i="22" s="1"/>
  <c r="J1036" i="22"/>
  <c r="L1036" i="22"/>
  <c r="L1035" i="22"/>
  <c r="K1035" i="22"/>
  <c r="K1036" i="22"/>
  <c r="H1034" i="22"/>
  <c r="J1033" i="22"/>
  <c r="H1033" i="22"/>
  <c r="F1043" i="22"/>
  <c r="E2326" i="22" s="1"/>
  <c r="E1043" i="22"/>
  <c r="D2326" i="22" s="1"/>
  <c r="D1043" i="22"/>
  <c r="C2326" i="22" s="1"/>
  <c r="E340" i="1"/>
  <c r="C340" i="1"/>
  <c r="E339" i="1"/>
  <c r="B339" i="1"/>
  <c r="C339" i="1" s="1"/>
  <c r="A2325" i="22"/>
  <c r="L1030" i="22"/>
  <c r="K1030" i="22"/>
  <c r="J1030" i="22"/>
  <c r="L1029" i="22"/>
  <c r="K1029" i="22"/>
  <c r="J1029" i="22"/>
  <c r="L1028" i="22"/>
  <c r="K1028" i="22"/>
  <c r="J1028" i="22"/>
  <c r="L1027" i="22"/>
  <c r="K1027" i="22"/>
  <c r="J1027" i="22"/>
  <c r="L1026" i="22"/>
  <c r="K1026" i="22"/>
  <c r="J1026" i="22"/>
  <c r="L1025" i="22"/>
  <c r="L1024" i="22"/>
  <c r="J1024" i="22"/>
  <c r="K1024" i="22"/>
  <c r="H1024" i="22" s="1"/>
  <c r="K1025" i="22"/>
  <c r="J1025" i="22"/>
  <c r="H1023" i="22"/>
  <c r="J1022" i="22"/>
  <c r="H1022" i="22"/>
  <c r="H610" i="18"/>
  <c r="H611" i="18"/>
  <c r="D1032" i="22"/>
  <c r="C2325" i="22" s="1"/>
  <c r="E1032" i="22"/>
  <c r="D2325" i="22" s="1"/>
  <c r="F1032" i="22"/>
  <c r="E2325" i="22" s="1"/>
  <c r="E338" i="1"/>
  <c r="B338" i="1"/>
  <c r="C338" i="1" s="1"/>
  <c r="A2324" i="22"/>
  <c r="D1021" i="22"/>
  <c r="C2324" i="22" s="1"/>
  <c r="L1019" i="22"/>
  <c r="K1019" i="22"/>
  <c r="J1019" i="22"/>
  <c r="L1018" i="22"/>
  <c r="K1018" i="22"/>
  <c r="J1018" i="22"/>
  <c r="L1017" i="22"/>
  <c r="K1017" i="22"/>
  <c r="J1017" i="22"/>
  <c r="L1016" i="22"/>
  <c r="K1016" i="22"/>
  <c r="J1016" i="22"/>
  <c r="L1015" i="22"/>
  <c r="K1015" i="22"/>
  <c r="H1015" i="22" s="1"/>
  <c r="J1015" i="22"/>
  <c r="L1014" i="22"/>
  <c r="K1014" i="22"/>
  <c r="J1014" i="22"/>
  <c r="K1013" i="22"/>
  <c r="J1013" i="22"/>
  <c r="H1012" i="22"/>
  <c r="J1011" i="22"/>
  <c r="H1011" i="22"/>
  <c r="E1021" i="22"/>
  <c r="D2324" i="22" s="1"/>
  <c r="F1021" i="22"/>
  <c r="E2324" i="22" s="1"/>
  <c r="A2323" i="22"/>
  <c r="L1008" i="22"/>
  <c r="K1008" i="22"/>
  <c r="J1008" i="22"/>
  <c r="L1007" i="22"/>
  <c r="K1007" i="22"/>
  <c r="J1007" i="22"/>
  <c r="L1006" i="22"/>
  <c r="K1006" i="22"/>
  <c r="J1006" i="22"/>
  <c r="L1005" i="22"/>
  <c r="K1005" i="22"/>
  <c r="J1005" i="22"/>
  <c r="L1004" i="22"/>
  <c r="K1004" i="22"/>
  <c r="J1004" i="22"/>
  <c r="H1004" i="22" s="1"/>
  <c r="J1002" i="22"/>
  <c r="J1003" i="22"/>
  <c r="L1003" i="22"/>
  <c r="K1002" i="22"/>
  <c r="K1003" i="22"/>
  <c r="H1001" i="22"/>
  <c r="J1000" i="22"/>
  <c r="H1000" i="22"/>
  <c r="E1010" i="22"/>
  <c r="D2323" i="22" s="1"/>
  <c r="F628" i="18"/>
  <c r="C628" i="18" s="1"/>
  <c r="C627" i="18"/>
  <c r="E627" i="18"/>
  <c r="A2322" i="22"/>
  <c r="L997" i="22"/>
  <c r="K997" i="22"/>
  <c r="J997" i="22"/>
  <c r="L996" i="22"/>
  <c r="K996" i="22"/>
  <c r="J996" i="22"/>
  <c r="L995" i="22"/>
  <c r="K995" i="22"/>
  <c r="J995" i="22"/>
  <c r="L994" i="22"/>
  <c r="K994" i="22"/>
  <c r="J994" i="22"/>
  <c r="L993" i="22"/>
  <c r="K993" i="22"/>
  <c r="J993" i="22"/>
  <c r="H993" i="22" s="1"/>
  <c r="L992" i="22"/>
  <c r="K992" i="22"/>
  <c r="J992" i="22"/>
  <c r="L991" i="22"/>
  <c r="J991" i="22"/>
  <c r="K991" i="22"/>
  <c r="H990" i="22"/>
  <c r="J989" i="22"/>
  <c r="H989" i="22"/>
  <c r="F999" i="22"/>
  <c r="E2322" i="22"/>
  <c r="E999" i="22"/>
  <c r="D2322" i="22" s="1"/>
  <c r="D999" i="22"/>
  <c r="C2322" i="22" s="1"/>
  <c r="E337" i="1"/>
  <c r="C337" i="1"/>
  <c r="E336" i="1"/>
  <c r="C336" i="1"/>
  <c r="A2321" i="22"/>
  <c r="F988" i="22"/>
  <c r="E2321" i="22" s="1"/>
  <c r="E988" i="22"/>
  <c r="D2321" i="22" s="1"/>
  <c r="D988" i="22"/>
  <c r="C2321" i="22" s="1"/>
  <c r="H978" i="22"/>
  <c r="L986" i="22"/>
  <c r="K986" i="22"/>
  <c r="J986" i="22"/>
  <c r="L985" i="22"/>
  <c r="K985" i="22"/>
  <c r="J985" i="22"/>
  <c r="L984" i="22"/>
  <c r="K984" i="22"/>
  <c r="J984" i="22"/>
  <c r="L983" i="22"/>
  <c r="K983" i="22"/>
  <c r="J983" i="22"/>
  <c r="L982" i="22"/>
  <c r="L980" i="22"/>
  <c r="L981" i="22"/>
  <c r="K982" i="22"/>
  <c r="J982" i="22"/>
  <c r="K981" i="22"/>
  <c r="J981" i="22"/>
  <c r="K980" i="22"/>
  <c r="J980" i="22"/>
  <c r="H979" i="22"/>
  <c r="J978" i="22"/>
  <c r="E106" i="22"/>
  <c r="E628" i="18"/>
  <c r="A2320" i="22"/>
  <c r="L975" i="22"/>
  <c r="K975" i="22"/>
  <c r="J975" i="22"/>
  <c r="L974" i="22"/>
  <c r="K974" i="22"/>
  <c r="J974" i="22"/>
  <c r="L973" i="22"/>
  <c r="K973" i="22"/>
  <c r="J973" i="22"/>
  <c r="L972" i="22"/>
  <c r="K972" i="22"/>
  <c r="J972" i="22"/>
  <c r="L971" i="22"/>
  <c r="K971" i="22"/>
  <c r="J971" i="22"/>
  <c r="L970" i="22"/>
  <c r="L969" i="22"/>
  <c r="J969" i="22"/>
  <c r="K969" i="22"/>
  <c r="K970" i="22"/>
  <c r="J970" i="22"/>
  <c r="H968" i="22"/>
  <c r="J967" i="22"/>
  <c r="H967" i="22"/>
  <c r="F977" i="22"/>
  <c r="E2320" i="22" s="1"/>
  <c r="E977" i="22"/>
  <c r="D2320" i="22" s="1"/>
  <c r="D977" i="22"/>
  <c r="C2320" i="22" s="1"/>
  <c r="E2319" i="22"/>
  <c r="D2319" i="22"/>
  <c r="C2319" i="22"/>
  <c r="A2319" i="22"/>
  <c r="L964" i="22"/>
  <c r="K964" i="22"/>
  <c r="J964" i="22"/>
  <c r="L963" i="22"/>
  <c r="K963" i="22"/>
  <c r="J963" i="22"/>
  <c r="L962" i="22"/>
  <c r="K962" i="22"/>
  <c r="J962" i="22"/>
  <c r="L961" i="22"/>
  <c r="K961" i="22"/>
  <c r="J961" i="22"/>
  <c r="L960" i="22"/>
  <c r="K960" i="22"/>
  <c r="J960" i="22"/>
  <c r="K958" i="22"/>
  <c r="K959" i="22"/>
  <c r="L959" i="22"/>
  <c r="L958" i="22"/>
  <c r="J958" i="22"/>
  <c r="J959" i="22"/>
  <c r="H957" i="22"/>
  <c r="J956" i="22"/>
  <c r="H956" i="22"/>
  <c r="E335" i="1"/>
  <c r="C335" i="1"/>
  <c r="E334" i="1"/>
  <c r="C334" i="1"/>
  <c r="E333" i="1"/>
  <c r="C333" i="1"/>
  <c r="E332" i="1"/>
  <c r="C332" i="1"/>
  <c r="E331" i="1"/>
  <c r="C331" i="1"/>
  <c r="E330" i="1"/>
  <c r="B330" i="1"/>
  <c r="C330" i="1"/>
  <c r="E329" i="1"/>
  <c r="C329" i="1"/>
  <c r="B629" i="18"/>
  <c r="E328" i="1"/>
  <c r="B328" i="1"/>
  <c r="C328" i="1" s="1"/>
  <c r="E327" i="1"/>
  <c r="C327" i="1"/>
  <c r="E326" i="1"/>
  <c r="C326" i="1"/>
  <c r="E325" i="1"/>
  <c r="C325" i="1"/>
  <c r="E324" i="1"/>
  <c r="C324" i="1"/>
  <c r="E323" i="1"/>
  <c r="C323" i="1"/>
  <c r="A2318" i="22"/>
  <c r="L953" i="22"/>
  <c r="K953" i="22"/>
  <c r="J953" i="22"/>
  <c r="L952" i="22"/>
  <c r="K952" i="22"/>
  <c r="J952" i="22"/>
  <c r="L951" i="22"/>
  <c r="K951" i="22"/>
  <c r="J951" i="22"/>
  <c r="L950" i="22"/>
  <c r="K950" i="22"/>
  <c r="J950" i="22"/>
  <c r="L949" i="22"/>
  <c r="K949" i="22"/>
  <c r="J949" i="22"/>
  <c r="L948" i="22"/>
  <c r="K948" i="22"/>
  <c r="J948" i="22"/>
  <c r="L947" i="22"/>
  <c r="K947" i="22"/>
  <c r="J947" i="22"/>
  <c r="H946" i="22"/>
  <c r="J945" i="22"/>
  <c r="H945" i="22"/>
  <c r="F955" i="22"/>
  <c r="E2318" i="22" s="1"/>
  <c r="E955" i="22"/>
  <c r="D2318" i="22" s="1"/>
  <c r="D955" i="22"/>
  <c r="C2318" i="22" s="1"/>
  <c r="E322" i="1"/>
  <c r="C322" i="1"/>
  <c r="A2317" i="22"/>
  <c r="L942" i="22"/>
  <c r="K942" i="22"/>
  <c r="J942" i="22"/>
  <c r="L941" i="22"/>
  <c r="K941" i="22"/>
  <c r="J941" i="22"/>
  <c r="H941" i="22" s="1"/>
  <c r="L940" i="22"/>
  <c r="L936" i="22"/>
  <c r="J936" i="22"/>
  <c r="K936" i="22"/>
  <c r="L937" i="22"/>
  <c r="L938" i="22"/>
  <c r="L939" i="22"/>
  <c r="K940" i="22"/>
  <c r="J940" i="22"/>
  <c r="K939" i="22"/>
  <c r="J939" i="22"/>
  <c r="K938" i="22"/>
  <c r="J938" i="22"/>
  <c r="K937" i="22"/>
  <c r="J937" i="22"/>
  <c r="H935" i="22"/>
  <c r="J934" i="22"/>
  <c r="H934" i="22"/>
  <c r="F944" i="22"/>
  <c r="E2317" i="22" s="1"/>
  <c r="E944" i="22"/>
  <c r="D2317" i="22" s="1"/>
  <c r="D944" i="22"/>
  <c r="C2317" i="22" s="1"/>
  <c r="E321" i="1"/>
  <c r="C321" i="1"/>
  <c r="F55" i="22"/>
  <c r="F56" i="22"/>
  <c r="F57" i="22"/>
  <c r="F58" i="22"/>
  <c r="F54" i="22"/>
  <c r="J927" i="22"/>
  <c r="E320" i="1"/>
  <c r="C320" i="1"/>
  <c r="E319" i="1"/>
  <c r="C319" i="1"/>
  <c r="H605" i="18"/>
  <c r="E318" i="1"/>
  <c r="C318" i="1"/>
  <c r="A2316" i="22"/>
  <c r="L931" i="22"/>
  <c r="K931" i="22"/>
  <c r="J931" i="22"/>
  <c r="L930" i="22"/>
  <c r="K930" i="22"/>
  <c r="J930" i="22"/>
  <c r="L929" i="22"/>
  <c r="K929" i="22"/>
  <c r="J929" i="22"/>
  <c r="L928" i="22"/>
  <c r="K928" i="22"/>
  <c r="J928" i="22"/>
  <c r="L927" i="22"/>
  <c r="K927" i="22"/>
  <c r="L926" i="22"/>
  <c r="L925" i="22"/>
  <c r="J925" i="22"/>
  <c r="K925" i="22"/>
  <c r="K926" i="22"/>
  <c r="J926" i="22"/>
  <c r="H924" i="22"/>
  <c r="J923" i="22"/>
  <c r="H923" i="22"/>
  <c r="E933" i="22"/>
  <c r="D2316" i="22" s="1"/>
  <c r="F933" i="22"/>
  <c r="E2316" i="22" s="1"/>
  <c r="D933" i="22"/>
  <c r="C2316" i="22" s="1"/>
  <c r="E317" i="1"/>
  <c r="C317" i="1"/>
  <c r="E316" i="1"/>
  <c r="C316" i="1"/>
  <c r="E315" i="1"/>
  <c r="C315" i="1"/>
  <c r="E314" i="1"/>
  <c r="C314" i="1"/>
  <c r="E313" i="1"/>
  <c r="C313" i="1"/>
  <c r="E312" i="1"/>
  <c r="C312" i="1"/>
  <c r="E311" i="1"/>
  <c r="C311" i="1"/>
  <c r="A2315" i="22"/>
  <c r="F922" i="22"/>
  <c r="E2315" i="22" s="1"/>
  <c r="E922" i="22"/>
  <c r="D2315" i="22" s="1"/>
  <c r="D922" i="22"/>
  <c r="C2315" i="22" s="1"/>
  <c r="L920" i="22"/>
  <c r="K920" i="22"/>
  <c r="J920" i="22"/>
  <c r="L919" i="22"/>
  <c r="K919" i="22"/>
  <c r="J919" i="22"/>
  <c r="L918" i="22"/>
  <c r="K918" i="22"/>
  <c r="J918" i="22"/>
  <c r="L917" i="22"/>
  <c r="K917" i="22"/>
  <c r="J917" i="22"/>
  <c r="L916" i="22"/>
  <c r="K916" i="22"/>
  <c r="J916" i="22"/>
  <c r="L915" i="22"/>
  <c r="K915" i="22"/>
  <c r="K914" i="22"/>
  <c r="J915" i="22"/>
  <c r="J914" i="22"/>
  <c r="L914" i="22"/>
  <c r="H913" i="22"/>
  <c r="J912" i="22"/>
  <c r="H912" i="22"/>
  <c r="E310" i="1"/>
  <c r="C310" i="1"/>
  <c r="E309" i="1"/>
  <c r="C309" i="1"/>
  <c r="A2314" i="22"/>
  <c r="L909" i="22"/>
  <c r="K909" i="22"/>
  <c r="K903" i="22"/>
  <c r="K904" i="22"/>
  <c r="K905" i="22"/>
  <c r="K906" i="22"/>
  <c r="K907" i="22"/>
  <c r="K908" i="22"/>
  <c r="J909" i="22"/>
  <c r="L908" i="22"/>
  <c r="J908" i="22"/>
  <c r="L907" i="22"/>
  <c r="J907" i="22"/>
  <c r="L906" i="22"/>
  <c r="J906" i="22"/>
  <c r="L905" i="22"/>
  <c r="J905" i="22"/>
  <c r="J903" i="22"/>
  <c r="J904" i="22"/>
  <c r="L904" i="22"/>
  <c r="L903" i="22"/>
  <c r="H902" i="22"/>
  <c r="J901" i="22"/>
  <c r="H901" i="22"/>
  <c r="F911" i="22"/>
  <c r="E2314" i="22" s="1"/>
  <c r="E911" i="22"/>
  <c r="D2314" i="22" s="1"/>
  <c r="D911" i="22"/>
  <c r="C2314" i="22" s="1"/>
  <c r="E306" i="1"/>
  <c r="C306" i="1"/>
  <c r="E305" i="1"/>
  <c r="C305" i="1"/>
  <c r="E304" i="1"/>
  <c r="C304" i="1"/>
  <c r="A2313" i="22"/>
  <c r="L898" i="22"/>
  <c r="K898" i="22"/>
  <c r="J898" i="22"/>
  <c r="L897" i="22"/>
  <c r="K897" i="22"/>
  <c r="J897" i="22"/>
  <c r="L896" i="22"/>
  <c r="K896" i="22"/>
  <c r="J896" i="22"/>
  <c r="L895" i="22"/>
  <c r="K895" i="22"/>
  <c r="J895" i="22"/>
  <c r="L894" i="22"/>
  <c r="K894" i="22"/>
  <c r="J894" i="22"/>
  <c r="L893" i="22"/>
  <c r="K893" i="22"/>
  <c r="K892" i="22"/>
  <c r="J893" i="22"/>
  <c r="L892" i="22"/>
  <c r="J892" i="22"/>
  <c r="H891" i="22"/>
  <c r="J890" i="22"/>
  <c r="H890" i="22"/>
  <c r="F900" i="22"/>
  <c r="E2313" i="22" s="1"/>
  <c r="E900" i="22"/>
  <c r="D2313" i="22" s="1"/>
  <c r="D900" i="22"/>
  <c r="C2313" i="22" s="1"/>
  <c r="E303" i="1"/>
  <c r="C303" i="1"/>
  <c r="A2312" i="22"/>
  <c r="L887" i="22"/>
  <c r="K887" i="22"/>
  <c r="J887" i="22"/>
  <c r="L886" i="22"/>
  <c r="K886" i="22"/>
  <c r="L885" i="22"/>
  <c r="K885" i="22"/>
  <c r="J885" i="22"/>
  <c r="L884" i="22"/>
  <c r="K884" i="22"/>
  <c r="J884" i="22"/>
  <c r="L883" i="22"/>
  <c r="K883" i="22"/>
  <c r="K881" i="22"/>
  <c r="K882" i="22"/>
  <c r="J883" i="22"/>
  <c r="J881" i="22"/>
  <c r="J882" i="22"/>
  <c r="J886" i="22"/>
  <c r="L882" i="22"/>
  <c r="L881" i="22"/>
  <c r="H880" i="22"/>
  <c r="J879" i="22"/>
  <c r="H879" i="22"/>
  <c r="F889" i="22"/>
  <c r="E2312" i="22" s="1"/>
  <c r="E889" i="22"/>
  <c r="D2312" i="22" s="1"/>
  <c r="D889" i="22"/>
  <c r="C2312" i="22" s="1"/>
  <c r="E302" i="1"/>
  <c r="C302" i="1"/>
  <c r="E301" i="1"/>
  <c r="C301" i="1"/>
  <c r="E300" i="1"/>
  <c r="C300" i="1"/>
  <c r="E299" i="1"/>
  <c r="C299" i="1"/>
  <c r="E298" i="1"/>
  <c r="C298" i="1"/>
  <c r="A2311" i="22"/>
  <c r="L876" i="22"/>
  <c r="K876" i="22"/>
  <c r="J876" i="22"/>
  <c r="L875" i="22"/>
  <c r="K875" i="22"/>
  <c r="J875" i="22"/>
  <c r="J878" i="22" s="1"/>
  <c r="L874" i="22"/>
  <c r="H874" i="22" s="1"/>
  <c r="K874" i="22"/>
  <c r="J874" i="22"/>
  <c r="L873" i="22"/>
  <c r="K873" i="22"/>
  <c r="J873" i="22"/>
  <c r="L872" i="22"/>
  <c r="K872" i="22"/>
  <c r="K870" i="22"/>
  <c r="K871" i="22"/>
  <c r="J872" i="22"/>
  <c r="L871" i="22"/>
  <c r="H871" i="22" s="1"/>
  <c r="L870" i="22"/>
  <c r="J870" i="22"/>
  <c r="J871" i="22"/>
  <c r="H869" i="22"/>
  <c r="J868" i="22"/>
  <c r="H868" i="22"/>
  <c r="F878" i="22"/>
  <c r="E2311" i="22" s="1"/>
  <c r="E878" i="22"/>
  <c r="D2311" i="22" s="1"/>
  <c r="D878" i="22"/>
  <c r="C2311" i="22" s="1"/>
  <c r="A2310" i="22"/>
  <c r="J857" i="22"/>
  <c r="H857" i="22"/>
  <c r="F867" i="22"/>
  <c r="E2310" i="22" s="1"/>
  <c r="E867" i="22"/>
  <c r="D2310" i="22" s="1"/>
  <c r="D867" i="22"/>
  <c r="C2310" i="22" s="1"/>
  <c r="L865" i="22"/>
  <c r="K865" i="22"/>
  <c r="J865" i="22"/>
  <c r="L864" i="22"/>
  <c r="K864" i="22"/>
  <c r="J864" i="22"/>
  <c r="L863" i="22"/>
  <c r="K863" i="22"/>
  <c r="J863" i="22"/>
  <c r="L862" i="22"/>
  <c r="K862" i="22"/>
  <c r="J862" i="22"/>
  <c r="L861" i="22"/>
  <c r="K861" i="22"/>
  <c r="J861" i="22"/>
  <c r="J859" i="22"/>
  <c r="J860" i="22"/>
  <c r="L860" i="22"/>
  <c r="K860" i="22"/>
  <c r="L859" i="22"/>
  <c r="K859" i="22"/>
  <c r="H858" i="22"/>
  <c r="E297" i="1"/>
  <c r="C297" i="1"/>
  <c r="E296" i="1"/>
  <c r="C296" i="1"/>
  <c r="E295" i="1"/>
  <c r="C295" i="1"/>
  <c r="E294" i="1"/>
  <c r="C294" i="1"/>
  <c r="E293" i="1"/>
  <c r="C293" i="1"/>
  <c r="E292" i="1"/>
  <c r="C292" i="1"/>
  <c r="H292" i="1" s="1"/>
  <c r="E291" i="1"/>
  <c r="C291" i="1"/>
  <c r="H291" i="1" s="1"/>
  <c r="A2309" i="22"/>
  <c r="L854" i="22"/>
  <c r="K854" i="22"/>
  <c r="L853" i="22"/>
  <c r="J853" i="22"/>
  <c r="K853" i="22"/>
  <c r="L852" i="22"/>
  <c r="K852" i="22"/>
  <c r="J852" i="22"/>
  <c r="L851" i="22"/>
  <c r="K851" i="22"/>
  <c r="K848" i="22"/>
  <c r="K849" i="22"/>
  <c r="K850" i="22"/>
  <c r="J851" i="22"/>
  <c r="L850" i="22"/>
  <c r="L849" i="22"/>
  <c r="L848" i="22"/>
  <c r="J848" i="22"/>
  <c r="J849" i="22"/>
  <c r="H847" i="22"/>
  <c r="J846" i="22"/>
  <c r="H846" i="22"/>
  <c r="F856" i="22"/>
  <c r="E2309" i="22" s="1"/>
  <c r="E856" i="22"/>
  <c r="D2309" i="22" s="1"/>
  <c r="J854" i="22"/>
  <c r="J850" i="22"/>
  <c r="D856" i="22"/>
  <c r="C2309" i="22" s="1"/>
  <c r="E290" i="1"/>
  <c r="C290" i="1"/>
  <c r="C289" i="1"/>
  <c r="E289" i="1"/>
  <c r="E288" i="1"/>
  <c r="C288" i="1"/>
  <c r="A2308" i="22"/>
  <c r="D845" i="22"/>
  <c r="C2308" i="22" s="1"/>
  <c r="E845" i="22"/>
  <c r="D2308" i="22" s="1"/>
  <c r="F845" i="22"/>
  <c r="E2308" i="22" s="1"/>
  <c r="L843" i="22"/>
  <c r="K843" i="22"/>
  <c r="J843" i="22"/>
  <c r="L842" i="22"/>
  <c r="K842" i="22"/>
  <c r="J842" i="22"/>
  <c r="L841" i="22"/>
  <c r="K841" i="22"/>
  <c r="J841" i="22"/>
  <c r="L840" i="22"/>
  <c r="K840" i="22"/>
  <c r="J840" i="22"/>
  <c r="J837" i="22"/>
  <c r="J838" i="22"/>
  <c r="J839" i="22"/>
  <c r="L839" i="22"/>
  <c r="L837" i="22"/>
  <c r="L838" i="22"/>
  <c r="K839" i="22"/>
  <c r="H839" i="22" s="1"/>
  <c r="K838" i="22"/>
  <c r="K837" i="22"/>
  <c r="H836" i="22"/>
  <c r="J835" i="22"/>
  <c r="H835" i="22"/>
  <c r="E287" i="1"/>
  <c r="C287" i="1"/>
  <c r="E286" i="1"/>
  <c r="C286" i="1"/>
  <c r="E285" i="1"/>
  <c r="C285" i="1"/>
  <c r="A2307" i="22"/>
  <c r="L832" i="22"/>
  <c r="K832" i="22"/>
  <c r="J832" i="22"/>
  <c r="L831" i="22"/>
  <c r="K831" i="22"/>
  <c r="J831" i="22"/>
  <c r="L830" i="22"/>
  <c r="K830" i="22"/>
  <c r="J830" i="22"/>
  <c r="L829" i="22"/>
  <c r="K829" i="22"/>
  <c r="J829" i="22"/>
  <c r="L828" i="22"/>
  <c r="K828" i="22"/>
  <c r="J828" i="22"/>
  <c r="L827" i="22"/>
  <c r="K827" i="22"/>
  <c r="J827" i="22"/>
  <c r="J826" i="22"/>
  <c r="L826" i="22"/>
  <c r="K826" i="22"/>
  <c r="H825" i="22"/>
  <c r="J824" i="22"/>
  <c r="H824" i="22"/>
  <c r="F834" i="22"/>
  <c r="E2307" i="22" s="1"/>
  <c r="E834" i="22"/>
  <c r="D2307" i="22" s="1"/>
  <c r="E284" i="1"/>
  <c r="C284" i="1"/>
  <c r="E283" i="1"/>
  <c r="C283" i="1"/>
  <c r="H283" i="1" s="1"/>
  <c r="A2306" i="22"/>
  <c r="L821" i="22"/>
  <c r="K821" i="22"/>
  <c r="J821" i="22"/>
  <c r="L820" i="22"/>
  <c r="K820" i="22"/>
  <c r="J820" i="22"/>
  <c r="L819" i="22"/>
  <c r="K819" i="22"/>
  <c r="J819" i="22"/>
  <c r="L818" i="22"/>
  <c r="K818" i="22"/>
  <c r="J818" i="22"/>
  <c r="L817" i="22"/>
  <c r="K817" i="22"/>
  <c r="K815" i="22"/>
  <c r="K816" i="22"/>
  <c r="J817" i="22"/>
  <c r="L816" i="22"/>
  <c r="L815" i="22"/>
  <c r="J815" i="22"/>
  <c r="J816" i="22"/>
  <c r="H814" i="22"/>
  <c r="J813" i="22"/>
  <c r="H813" i="22"/>
  <c r="F823" i="22"/>
  <c r="E2306" i="22" s="1"/>
  <c r="E823" i="22"/>
  <c r="D2306" i="22" s="1"/>
  <c r="D823" i="22"/>
  <c r="C2306" i="22" s="1"/>
  <c r="B279" i="1"/>
  <c r="A2305" i="22"/>
  <c r="F812" i="22"/>
  <c r="E2305" i="22" s="1"/>
  <c r="E812" i="22"/>
  <c r="D2305" i="22" s="1"/>
  <c r="D812" i="22"/>
  <c r="C2305" i="22" s="1"/>
  <c r="L810" i="22"/>
  <c r="K810" i="22"/>
  <c r="J810" i="22"/>
  <c r="L809" i="22"/>
  <c r="K809" i="22"/>
  <c r="J809" i="22"/>
  <c r="L808" i="22"/>
  <c r="K808" i="22"/>
  <c r="J808" i="22"/>
  <c r="L807" i="22"/>
  <c r="K807" i="22"/>
  <c r="J807" i="22"/>
  <c r="L806" i="22"/>
  <c r="K806" i="22"/>
  <c r="J806" i="22"/>
  <c r="L805" i="22"/>
  <c r="K805" i="22"/>
  <c r="J805" i="22"/>
  <c r="L804" i="22"/>
  <c r="K804" i="22"/>
  <c r="J804" i="22"/>
  <c r="H803" i="22"/>
  <c r="J802" i="22"/>
  <c r="H802" i="22"/>
  <c r="A2304" i="22"/>
  <c r="L799" i="22"/>
  <c r="K799" i="22"/>
  <c r="J799" i="22"/>
  <c r="L798" i="22"/>
  <c r="K798" i="22"/>
  <c r="J798" i="22"/>
  <c r="L797" i="22"/>
  <c r="K797" i="22"/>
  <c r="J797" i="22"/>
  <c r="L796" i="22"/>
  <c r="K796" i="22"/>
  <c r="J796" i="22"/>
  <c r="L795" i="22"/>
  <c r="K795" i="22"/>
  <c r="J795" i="22"/>
  <c r="L794" i="22"/>
  <c r="K794" i="22"/>
  <c r="K793" i="22"/>
  <c r="J794" i="22"/>
  <c r="L793" i="22"/>
  <c r="J793" i="22"/>
  <c r="H792" i="22"/>
  <c r="J791" i="22"/>
  <c r="H791" i="22"/>
  <c r="E282" i="1"/>
  <c r="C282" i="1"/>
  <c r="F801" i="22"/>
  <c r="E2304" i="22" s="1"/>
  <c r="E801" i="22"/>
  <c r="D2304" i="22" s="1"/>
  <c r="D801" i="22"/>
  <c r="C2304" i="22" s="1"/>
  <c r="E263" i="1"/>
  <c r="C263" i="1"/>
  <c r="E281" i="1"/>
  <c r="B281" i="1"/>
  <c r="C281" i="1" s="1"/>
  <c r="E277" i="1"/>
  <c r="C277" i="1"/>
  <c r="A2303" i="22"/>
  <c r="L788" i="22"/>
  <c r="K788" i="22"/>
  <c r="J788" i="22"/>
  <c r="L787" i="22"/>
  <c r="K787" i="22"/>
  <c r="J787" i="22"/>
  <c r="L786" i="22"/>
  <c r="K786" i="22"/>
  <c r="J786" i="22"/>
  <c r="L785" i="22"/>
  <c r="K785" i="22"/>
  <c r="J785" i="22"/>
  <c r="L784" i="22"/>
  <c r="K784" i="22"/>
  <c r="J784" i="22"/>
  <c r="J782" i="22"/>
  <c r="J783" i="22"/>
  <c r="L783" i="22"/>
  <c r="K783" i="22"/>
  <c r="L782" i="22"/>
  <c r="K782" i="22"/>
  <c r="H781" i="22"/>
  <c r="J780" i="22"/>
  <c r="H780" i="22"/>
  <c r="F790" i="22"/>
  <c r="E2303" i="22" s="1"/>
  <c r="E790" i="22"/>
  <c r="D2303" i="22" s="1"/>
  <c r="D790" i="22"/>
  <c r="C2303" i="22" s="1"/>
  <c r="E2302" i="22"/>
  <c r="D2302" i="22"/>
  <c r="C2302" i="22"/>
  <c r="A2302" i="22"/>
  <c r="E59" i="22"/>
  <c r="L777" i="22"/>
  <c r="K777" i="22"/>
  <c r="J777" i="22"/>
  <c r="L776" i="22"/>
  <c r="K776" i="22"/>
  <c r="J776" i="22"/>
  <c r="L775" i="22"/>
  <c r="K775" i="22"/>
  <c r="J775" i="22"/>
  <c r="H775" i="22" s="1"/>
  <c r="L774" i="22"/>
  <c r="K774" i="22"/>
  <c r="J774" i="22"/>
  <c r="L773" i="22"/>
  <c r="K773" i="22"/>
  <c r="K771" i="22"/>
  <c r="K772" i="22"/>
  <c r="J773" i="22"/>
  <c r="L772" i="22"/>
  <c r="L771" i="22"/>
  <c r="J771" i="22"/>
  <c r="J772" i="22"/>
  <c r="H770" i="22"/>
  <c r="J769" i="22"/>
  <c r="H769" i="22"/>
  <c r="E276" i="1"/>
  <c r="C276" i="1"/>
  <c r="E275" i="1"/>
  <c r="C275" i="1"/>
  <c r="E274" i="1"/>
  <c r="C274" i="1"/>
  <c r="E273" i="1"/>
  <c r="C273" i="1"/>
  <c r="F768" i="22"/>
  <c r="E2301" i="22" s="1"/>
  <c r="E768" i="22"/>
  <c r="D2301" i="22" s="1"/>
  <c r="D768" i="22"/>
  <c r="C2301" i="22" s="1"/>
  <c r="A2301" i="22"/>
  <c r="L766" i="22"/>
  <c r="K766" i="22"/>
  <c r="J766" i="22"/>
  <c r="L765" i="22"/>
  <c r="K765" i="22"/>
  <c r="J765" i="22"/>
  <c r="L764" i="22"/>
  <c r="K764" i="22"/>
  <c r="J764" i="22"/>
  <c r="H764" i="22" s="1"/>
  <c r="L763" i="22"/>
  <c r="K763" i="22"/>
  <c r="J763" i="22"/>
  <c r="L762" i="22"/>
  <c r="K762" i="22"/>
  <c r="J762" i="22"/>
  <c r="L761" i="22"/>
  <c r="K761" i="22"/>
  <c r="J761" i="22"/>
  <c r="L760" i="22"/>
  <c r="J760" i="22"/>
  <c r="K760" i="22"/>
  <c r="K768" i="22" s="1"/>
  <c r="H759" i="22"/>
  <c r="J758" i="22"/>
  <c r="H758" i="22"/>
  <c r="E272" i="1"/>
  <c r="C272" i="1"/>
  <c r="F757" i="22"/>
  <c r="E2300" i="22" s="1"/>
  <c r="E757" i="22"/>
  <c r="D2300" i="22" s="1"/>
  <c r="D757" i="22"/>
  <c r="C2300" i="22" s="1"/>
  <c r="A2300" i="22"/>
  <c r="A2299" i="22"/>
  <c r="L755" i="22"/>
  <c r="K755" i="22"/>
  <c r="J755" i="22"/>
  <c r="L754" i="22"/>
  <c r="K754" i="22"/>
  <c r="J754" i="22"/>
  <c r="L753" i="22"/>
  <c r="K753" i="22"/>
  <c r="J753" i="22"/>
  <c r="L752" i="22"/>
  <c r="K752" i="22"/>
  <c r="J752" i="22"/>
  <c r="L751" i="22"/>
  <c r="K751" i="22"/>
  <c r="J751" i="22"/>
  <c r="J749" i="22"/>
  <c r="J750" i="22"/>
  <c r="H750" i="22" s="1"/>
  <c r="L750" i="22"/>
  <c r="K750" i="22"/>
  <c r="L749" i="22"/>
  <c r="K749" i="22"/>
  <c r="H748" i="22"/>
  <c r="J747" i="22"/>
  <c r="H747" i="22"/>
  <c r="E271" i="1"/>
  <c r="C271" i="1"/>
  <c r="D115" i="22"/>
  <c r="C116" i="22" s="1"/>
  <c r="A2298" i="22"/>
  <c r="F746" i="22"/>
  <c r="E2299" i="22" s="1"/>
  <c r="E746" i="22"/>
  <c r="D2299" i="22" s="1"/>
  <c r="D746" i="22"/>
  <c r="C2299" i="22" s="1"/>
  <c r="L744" i="22"/>
  <c r="K744" i="22"/>
  <c r="J744" i="22"/>
  <c r="L743" i="22"/>
  <c r="K743" i="22"/>
  <c r="J743" i="22"/>
  <c r="H743" i="22" s="1"/>
  <c r="L742" i="22"/>
  <c r="K742" i="22"/>
  <c r="J742" i="22"/>
  <c r="L741" i="22"/>
  <c r="K741" i="22"/>
  <c r="J741" i="22"/>
  <c r="L740" i="22"/>
  <c r="K740" i="22"/>
  <c r="J740" i="22"/>
  <c r="L739" i="22"/>
  <c r="K739" i="22"/>
  <c r="J739" i="22"/>
  <c r="H739" i="22" s="1"/>
  <c r="L738" i="22"/>
  <c r="J738" i="22"/>
  <c r="K738" i="22"/>
  <c r="H737" i="22"/>
  <c r="J736" i="22"/>
  <c r="H736" i="22"/>
  <c r="F735" i="22"/>
  <c r="E2298" i="22" s="1"/>
  <c r="E735" i="22"/>
  <c r="D2298" i="22" s="1"/>
  <c r="D735" i="22"/>
  <c r="C2298" i="22" s="1"/>
  <c r="L733" i="22"/>
  <c r="K733" i="22"/>
  <c r="J733" i="22"/>
  <c r="H733" i="22" s="1"/>
  <c r="L732" i="22"/>
  <c r="K732" i="22"/>
  <c r="J732" i="22"/>
  <c r="L731" i="22"/>
  <c r="K731" i="22"/>
  <c r="J731" i="22"/>
  <c r="L730" i="22"/>
  <c r="K730" i="22"/>
  <c r="J730" i="22"/>
  <c r="L729" i="22"/>
  <c r="K729" i="22"/>
  <c r="J729" i="22"/>
  <c r="L728" i="22"/>
  <c r="K728" i="22"/>
  <c r="J728" i="22"/>
  <c r="L727" i="22"/>
  <c r="J727" i="22"/>
  <c r="K727" i="22"/>
  <c r="H726" i="22"/>
  <c r="J725" i="22"/>
  <c r="H725" i="22"/>
  <c r="E270" i="1"/>
  <c r="C270" i="1"/>
  <c r="A2297" i="22"/>
  <c r="F724" i="22"/>
  <c r="E2297" i="22" s="1"/>
  <c r="E724" i="22"/>
  <c r="D2297" i="22" s="1"/>
  <c r="D724" i="22"/>
  <c r="C2297" i="22" s="1"/>
  <c r="L722" i="22"/>
  <c r="K722" i="22"/>
  <c r="J722" i="22"/>
  <c r="L721" i="22"/>
  <c r="K721" i="22"/>
  <c r="J721" i="22"/>
  <c r="L720" i="22"/>
  <c r="K720" i="22"/>
  <c r="J720" i="22"/>
  <c r="L719" i="22"/>
  <c r="K719" i="22"/>
  <c r="J719" i="22"/>
  <c r="L718" i="22"/>
  <c r="K718" i="22"/>
  <c r="K716" i="22"/>
  <c r="K717" i="22"/>
  <c r="J718" i="22"/>
  <c r="L717" i="22"/>
  <c r="L716" i="22"/>
  <c r="J716" i="22"/>
  <c r="J717" i="22"/>
  <c r="H715" i="22"/>
  <c r="J714" i="22"/>
  <c r="H714" i="22"/>
  <c r="E269" i="1"/>
  <c r="C269" i="1"/>
  <c r="A2296" i="22"/>
  <c r="F713" i="22"/>
  <c r="E2296" i="22" s="1"/>
  <c r="E713" i="22"/>
  <c r="D2296" i="22" s="1"/>
  <c r="D713" i="22"/>
  <c r="C2296" i="22" s="1"/>
  <c r="L711" i="22"/>
  <c r="K711" i="22"/>
  <c r="J711" i="22"/>
  <c r="L710" i="22"/>
  <c r="K710" i="22"/>
  <c r="J710" i="22"/>
  <c r="L709" i="22"/>
  <c r="K709" i="22"/>
  <c r="J709" i="22"/>
  <c r="L708" i="22"/>
  <c r="K708" i="22"/>
  <c r="K705" i="22"/>
  <c r="K706" i="22"/>
  <c r="K707" i="22"/>
  <c r="J708" i="22"/>
  <c r="L707" i="22"/>
  <c r="L713" i="22" s="1"/>
  <c r="J707" i="22"/>
  <c r="L706" i="22"/>
  <c r="J706" i="22"/>
  <c r="L705" i="22"/>
  <c r="J705" i="22"/>
  <c r="H704" i="22"/>
  <c r="J703" i="22"/>
  <c r="H703" i="22"/>
  <c r="E268" i="1"/>
  <c r="C268" i="1"/>
  <c r="A2295" i="22"/>
  <c r="D702" i="22"/>
  <c r="C2295" i="22" s="1"/>
  <c r="E702" i="22"/>
  <c r="D2295" i="22" s="1"/>
  <c r="F702" i="22"/>
  <c r="E2295" i="22" s="1"/>
  <c r="L700" i="22"/>
  <c r="K700" i="22"/>
  <c r="J700" i="22"/>
  <c r="L699" i="22"/>
  <c r="K699" i="22"/>
  <c r="J699" i="22"/>
  <c r="L698" i="22"/>
  <c r="K698" i="22"/>
  <c r="J698" i="22"/>
  <c r="L697" i="22"/>
  <c r="H697" i="22" s="1"/>
  <c r="K697" i="22"/>
  <c r="J697" i="22"/>
  <c r="L696" i="22"/>
  <c r="K696" i="22"/>
  <c r="J696" i="22"/>
  <c r="L695" i="22"/>
  <c r="K695" i="22"/>
  <c r="J695" i="22"/>
  <c r="L694" i="22"/>
  <c r="J694" i="22"/>
  <c r="K694" i="22"/>
  <c r="H693" i="22"/>
  <c r="J692" i="22"/>
  <c r="H692" i="22"/>
  <c r="E267" i="1"/>
  <c r="C267" i="1"/>
  <c r="A2294" i="22"/>
  <c r="L689" i="22"/>
  <c r="K689" i="22"/>
  <c r="J689" i="22"/>
  <c r="L688" i="22"/>
  <c r="K688" i="22"/>
  <c r="J688" i="22"/>
  <c r="H688" i="22" s="1"/>
  <c r="L687" i="22"/>
  <c r="H687" i="22" s="1"/>
  <c r="K687" i="22"/>
  <c r="J687" i="22"/>
  <c r="L686" i="22"/>
  <c r="K686" i="22"/>
  <c r="J686" i="22"/>
  <c r="L685" i="22"/>
  <c r="K685" i="22"/>
  <c r="J685" i="22"/>
  <c r="L684" i="22"/>
  <c r="K684" i="22"/>
  <c r="K683" i="22"/>
  <c r="J684" i="22"/>
  <c r="L683" i="22"/>
  <c r="J683" i="22"/>
  <c r="H682" i="22"/>
  <c r="J681" i="22"/>
  <c r="H681" i="22"/>
  <c r="F691" i="22"/>
  <c r="E2294" i="22" s="1"/>
  <c r="E691" i="22"/>
  <c r="D2294" i="22" s="1"/>
  <c r="D691" i="22"/>
  <c r="C2294" i="22" s="1"/>
  <c r="E266" i="1"/>
  <c r="C266" i="1"/>
  <c r="A2293" i="22"/>
  <c r="F680" i="22"/>
  <c r="E2293" i="22" s="1"/>
  <c r="E680" i="22"/>
  <c r="D2293" i="22" s="1"/>
  <c r="D680" i="22"/>
  <c r="C2293" i="22" s="1"/>
  <c r="L678" i="22"/>
  <c r="K678" i="22"/>
  <c r="J678" i="22"/>
  <c r="L677" i="22"/>
  <c r="K677" i="22"/>
  <c r="J677" i="22"/>
  <c r="L676" i="22"/>
  <c r="K676" i="22"/>
  <c r="J676" i="22"/>
  <c r="L675" i="22"/>
  <c r="K675" i="22"/>
  <c r="J675" i="22"/>
  <c r="L674" i="22"/>
  <c r="K674" i="22"/>
  <c r="J674" i="22"/>
  <c r="L673" i="22"/>
  <c r="K673" i="22"/>
  <c r="J673" i="22"/>
  <c r="L672" i="22"/>
  <c r="J672" i="22"/>
  <c r="K672" i="22"/>
  <c r="H671" i="22"/>
  <c r="J670" i="22"/>
  <c r="H670" i="22"/>
  <c r="E265" i="1"/>
  <c r="C265" i="1"/>
  <c r="E264" i="1"/>
  <c r="C264" i="1"/>
  <c r="A2292" i="22"/>
  <c r="F669" i="22"/>
  <c r="E2292" i="22" s="1"/>
  <c r="E669" i="22"/>
  <c r="D2292" i="22" s="1"/>
  <c r="D669" i="22"/>
  <c r="C2292" i="22" s="1"/>
  <c r="L667" i="22"/>
  <c r="K667" i="22"/>
  <c r="J667" i="22"/>
  <c r="L666" i="22"/>
  <c r="K666" i="22"/>
  <c r="J666" i="22"/>
  <c r="L665" i="22"/>
  <c r="K665" i="22"/>
  <c r="J665" i="22"/>
  <c r="L664" i="22"/>
  <c r="K664" i="22"/>
  <c r="J664" i="22"/>
  <c r="L663" i="22"/>
  <c r="K663" i="22"/>
  <c r="H663" i="22" s="1"/>
  <c r="J663" i="22"/>
  <c r="L662" i="22"/>
  <c r="K662" i="22"/>
  <c r="K661" i="22"/>
  <c r="J662" i="22"/>
  <c r="L661" i="22"/>
  <c r="J661" i="22"/>
  <c r="H660" i="22"/>
  <c r="J659" i="22"/>
  <c r="H659" i="22"/>
  <c r="E254" i="1"/>
  <c r="C254" i="1"/>
  <c r="E253" i="1"/>
  <c r="C253" i="1"/>
  <c r="B5" i="13"/>
  <c r="B7" i="13"/>
  <c r="D10" i="13" s="1"/>
  <c r="B10" i="13"/>
  <c r="B11" i="13"/>
  <c r="B12" i="13"/>
  <c r="B14" i="13"/>
  <c r="B15" i="13"/>
  <c r="B16" i="13"/>
  <c r="B17" i="13"/>
  <c r="B18" i="13"/>
  <c r="B19" i="13"/>
  <c r="B21" i="13"/>
  <c r="B23" i="13"/>
  <c r="B27" i="13"/>
  <c r="B28" i="13"/>
  <c r="B118" i="13"/>
  <c r="B119" i="13"/>
  <c r="B123" i="13"/>
  <c r="B126" i="13"/>
  <c r="B127" i="13"/>
  <c r="B130" i="13"/>
  <c r="B132" i="13"/>
  <c r="B133" i="13"/>
  <c r="B134" i="13"/>
  <c r="B161" i="13"/>
  <c r="B162" i="13"/>
  <c r="B165" i="13"/>
  <c r="B166" i="13"/>
  <c r="B169" i="13"/>
  <c r="B176" i="13"/>
  <c r="B177" i="13"/>
  <c r="B188" i="13"/>
  <c r="B222" i="13"/>
  <c r="B223" i="13"/>
  <c r="B225" i="13"/>
  <c r="B226" i="13"/>
  <c r="B236" i="13"/>
  <c r="B237" i="13"/>
  <c r="B243" i="13"/>
  <c r="B244" i="13"/>
  <c r="B247" i="13"/>
  <c r="B248" i="13"/>
  <c r="B265" i="13"/>
  <c r="B266" i="13"/>
  <c r="B269" i="13"/>
  <c r="D390" i="13" s="1"/>
  <c r="B270" i="13"/>
  <c r="B277" i="13"/>
  <c r="B280" i="13"/>
  <c r="B281" i="13"/>
  <c r="B282" i="13"/>
  <c r="B287" i="13"/>
  <c r="B288" i="13"/>
  <c r="B291" i="13"/>
  <c r="B292" i="13"/>
  <c r="B293" i="13"/>
  <c r="B299" i="13"/>
  <c r="B300" i="13"/>
  <c r="B303" i="13"/>
  <c r="B304" i="13"/>
  <c r="B305" i="13"/>
  <c r="B310" i="13"/>
  <c r="B312" i="13"/>
  <c r="B315" i="13"/>
  <c r="B316" i="13"/>
  <c r="B317" i="13"/>
  <c r="B346" i="13"/>
  <c r="B349" i="13"/>
  <c r="B350" i="13"/>
  <c r="B352" i="13"/>
  <c r="B353" i="13"/>
  <c r="B360" i="13"/>
  <c r="B361" i="13"/>
  <c r="B362" i="13"/>
  <c r="B364" i="13"/>
  <c r="B365" i="13"/>
  <c r="B370" i="13"/>
  <c r="B374" i="13"/>
  <c r="B376" i="13"/>
  <c r="B377" i="13"/>
  <c r="B384" i="13"/>
  <c r="B385" i="13"/>
  <c r="B386" i="13"/>
  <c r="B388" i="13"/>
  <c r="B389" i="13"/>
  <c r="B392" i="13"/>
  <c r="B395" i="13"/>
  <c r="B398" i="13"/>
  <c r="B399" i="13"/>
  <c r="B401" i="13"/>
  <c r="B402" i="13"/>
  <c r="B403" i="13"/>
  <c r="B411" i="13"/>
  <c r="B412" i="13"/>
  <c r="B414" i="13"/>
  <c r="B415" i="13"/>
  <c r="B419" i="13"/>
  <c r="B422" i="13"/>
  <c r="B425" i="13"/>
  <c r="B426" i="13"/>
  <c r="B428" i="13"/>
  <c r="B429" i="13"/>
  <c r="B446" i="13"/>
  <c r="B447" i="13"/>
  <c r="B450" i="13"/>
  <c r="B452" i="13"/>
  <c r="B454" i="13"/>
  <c r="B456" i="13"/>
  <c r="B457" i="13"/>
  <c r="B458" i="13"/>
  <c r="B460" i="13"/>
  <c r="B461" i="13"/>
  <c r="B467" i="13"/>
  <c r="B468" i="13"/>
  <c r="B470" i="13"/>
  <c r="B471" i="13"/>
  <c r="B474" i="13"/>
  <c r="B475" i="13"/>
  <c r="B478" i="13"/>
  <c r="B479" i="13"/>
  <c r="B482" i="13"/>
  <c r="B483" i="13"/>
  <c r="B485" i="13"/>
  <c r="B486" i="13"/>
  <c r="B487" i="13"/>
  <c r="B489" i="13"/>
  <c r="B490" i="13"/>
  <c r="B494" i="13"/>
  <c r="B497" i="13"/>
  <c r="B498" i="13"/>
  <c r="B500" i="13"/>
  <c r="B501" i="13"/>
  <c r="B504" i="13"/>
  <c r="B505" i="13"/>
  <c r="B508" i="13"/>
  <c r="B510" i="13"/>
  <c r="B511" i="13"/>
  <c r="B512" i="13"/>
  <c r="B513" i="13"/>
  <c r="B515" i="13"/>
  <c r="B516" i="13"/>
  <c r="B519" i="13"/>
  <c r="B520" i="13"/>
  <c r="B527" i="13"/>
  <c r="B529" i="13"/>
  <c r="B531" i="13"/>
  <c r="B532" i="13"/>
  <c r="B535" i="13"/>
  <c r="B536" i="13"/>
  <c r="B541" i="13"/>
  <c r="B542" i="13"/>
  <c r="B544" i="13"/>
  <c r="B545" i="13"/>
  <c r="B547" i="13"/>
  <c r="B548" i="13"/>
  <c r="B560" i="13"/>
  <c r="B561" i="13"/>
  <c r="B563" i="13"/>
  <c r="B569" i="13"/>
  <c r="B575" i="13"/>
  <c r="B579" i="13"/>
  <c r="B581" i="13"/>
  <c r="B583" i="13"/>
  <c r="B584" i="13"/>
  <c r="B588" i="13"/>
  <c r="B594" i="13"/>
  <c r="B600" i="13"/>
  <c r="B602" i="13"/>
  <c r="B603" i="13"/>
  <c r="B607" i="13"/>
  <c r="B608" i="13"/>
  <c r="B611" i="13"/>
  <c r="B613" i="13"/>
  <c r="B615" i="13"/>
  <c r="B619" i="13"/>
  <c r="B621" i="13"/>
  <c r="B622" i="13"/>
  <c r="B625" i="13"/>
  <c r="B626" i="13"/>
  <c r="B635" i="13"/>
  <c r="B637" i="13"/>
  <c r="B640" i="13"/>
  <c r="B641" i="13"/>
  <c r="B644" i="13"/>
  <c r="B645" i="13"/>
  <c r="B650" i="13"/>
  <c r="B652" i="13"/>
  <c r="B654" i="13"/>
  <c r="B656" i="13"/>
  <c r="B659" i="13"/>
  <c r="B660" i="13"/>
  <c r="B663" i="13"/>
  <c r="B664" i="13"/>
  <c r="B671" i="13"/>
  <c r="B675" i="13"/>
  <c r="B678" i="13"/>
  <c r="B679" i="13"/>
  <c r="B680" i="13"/>
  <c r="B683" i="13"/>
  <c r="B684" i="13"/>
  <c r="B687" i="13"/>
  <c r="B689" i="13"/>
  <c r="B690" i="13"/>
  <c r="B695" i="13"/>
  <c r="B698" i="13"/>
  <c r="B699" i="13"/>
  <c r="B703" i="13"/>
  <c r="B704" i="13"/>
  <c r="B709" i="13"/>
  <c r="B711" i="13"/>
  <c r="B714" i="13"/>
  <c r="B715" i="13"/>
  <c r="B718" i="13"/>
  <c r="B719" i="13"/>
  <c r="B720" i="13"/>
  <c r="B723" i="13"/>
  <c r="B724" i="13"/>
  <c r="B727" i="13"/>
  <c r="B729" i="13"/>
  <c r="B734" i="13"/>
  <c r="B735" i="13"/>
  <c r="B738" i="13"/>
  <c r="B739" i="13"/>
  <c r="B740" i="13"/>
  <c r="B743" i="13"/>
  <c r="B744" i="13"/>
  <c r="B751" i="13"/>
  <c r="B754" i="13"/>
  <c r="B755" i="13"/>
  <c r="B758" i="13"/>
  <c r="B759" i="13"/>
  <c r="B760" i="13"/>
  <c r="B763" i="13"/>
  <c r="B764" i="13"/>
  <c r="B773" i="13"/>
  <c r="B774" i="13"/>
  <c r="B777" i="13"/>
  <c r="B778" i="13"/>
  <c r="B779" i="13"/>
  <c r="B782" i="13"/>
  <c r="B790" i="13"/>
  <c r="B792" i="13"/>
  <c r="B793" i="13"/>
  <c r="B796" i="13"/>
  <c r="B797" i="13"/>
  <c r="B798" i="13"/>
  <c r="B801" i="13"/>
  <c r="B807" i="13"/>
  <c r="B811" i="13"/>
  <c r="B812" i="13"/>
  <c r="B815" i="13"/>
  <c r="B816" i="13"/>
  <c r="B817" i="13"/>
  <c r="B820" i="13"/>
  <c r="B821" i="13"/>
  <c r="B828" i="13"/>
  <c r="B830" i="13"/>
  <c r="B831" i="13"/>
  <c r="B834" i="13"/>
  <c r="B835" i="13"/>
  <c r="B836" i="13"/>
  <c r="B839" i="13"/>
  <c r="B840" i="13"/>
  <c r="B841" i="13"/>
  <c r="B850" i="13"/>
  <c r="B851" i="13"/>
  <c r="B854" i="13"/>
  <c r="B855" i="13"/>
  <c r="B859" i="13"/>
  <c r="B860" i="13"/>
  <c r="B861" i="13"/>
  <c r="B866" i="13"/>
  <c r="B870" i="13"/>
  <c r="B871" i="13"/>
  <c r="B874" i="13"/>
  <c r="B875" i="13"/>
  <c r="B879" i="13"/>
  <c r="B881" i="13"/>
  <c r="B886" i="13"/>
  <c r="B890" i="13"/>
  <c r="B891" i="13"/>
  <c r="B894" i="13"/>
  <c r="B895" i="13"/>
  <c r="B899" i="13"/>
  <c r="B901" i="13"/>
  <c r="B908" i="13"/>
  <c r="B910" i="13"/>
  <c r="B911" i="13"/>
  <c r="B914" i="13"/>
  <c r="B915" i="13"/>
  <c r="B916" i="13"/>
  <c r="B919" i="13"/>
  <c r="B920" i="13"/>
  <c r="B921" i="13"/>
  <c r="B926" i="13"/>
  <c r="B930" i="13"/>
  <c r="B931" i="13"/>
  <c r="B934" i="13"/>
  <c r="B935" i="13"/>
  <c r="B936" i="13"/>
  <c r="B939" i="13"/>
  <c r="B940" i="13"/>
  <c r="B941" i="13"/>
  <c r="B942" i="13"/>
  <c r="B950" i="13"/>
  <c r="B951" i="13"/>
  <c r="B954" i="13"/>
  <c r="B955" i="13"/>
  <c r="B956" i="13"/>
  <c r="B959" i="13"/>
  <c r="B961" i="13"/>
  <c r="B966" i="13"/>
  <c r="B970" i="13"/>
  <c r="B971" i="13"/>
  <c r="B974" i="13"/>
  <c r="B975" i="13"/>
  <c r="B976" i="13"/>
  <c r="B981" i="13"/>
  <c r="B991" i="13"/>
  <c r="B995" i="13"/>
  <c r="B996" i="13"/>
  <c r="B1001" i="13"/>
  <c r="B1006" i="13"/>
  <c r="B1011" i="13"/>
  <c r="B1014" i="13"/>
  <c r="B1015" i="13"/>
  <c r="B1016" i="13"/>
  <c r="B1019" i="13"/>
  <c r="B1034" i="13"/>
  <c r="B1035" i="13"/>
  <c r="B1036" i="13"/>
  <c r="B1039" i="13"/>
  <c r="B1050" i="13"/>
  <c r="B1051" i="13"/>
  <c r="B1055" i="13"/>
  <c r="B1056" i="13"/>
  <c r="B1061" i="13"/>
  <c r="B1072" i="13"/>
  <c r="B1073" i="13"/>
  <c r="B1076" i="13"/>
  <c r="B1077" i="13"/>
  <c r="B1080" i="13"/>
  <c r="B1082" i="13"/>
  <c r="B1084" i="13"/>
  <c r="B1089" i="13"/>
  <c r="B1094" i="13"/>
  <c r="B1097" i="13"/>
  <c r="B1098" i="13"/>
  <c r="B1099" i="13"/>
  <c r="B1101" i="13"/>
  <c r="B1103" i="13"/>
  <c r="B1105" i="13"/>
  <c r="B1114" i="13"/>
  <c r="B1115" i="13"/>
  <c r="B1118" i="13"/>
  <c r="B1119" i="13"/>
  <c r="B1120" i="13"/>
  <c r="B1124" i="13"/>
  <c r="B1126" i="13"/>
  <c r="B1131" i="13"/>
  <c r="B1136" i="13"/>
  <c r="B1139" i="13"/>
  <c r="B1140" i="13"/>
  <c r="B1141" i="13"/>
  <c r="B1145" i="13"/>
  <c r="B1147" i="13"/>
  <c r="B1152" i="13"/>
  <c r="B1157" i="13"/>
  <c r="B1160" i="13"/>
  <c r="B1161" i="13"/>
  <c r="B1162" i="13"/>
  <c r="B1165" i="13"/>
  <c r="B1167" i="13"/>
  <c r="B1179" i="13"/>
  <c r="B1180" i="13"/>
  <c r="B1181" i="13"/>
  <c r="B1182" i="13"/>
  <c r="B1183" i="13"/>
  <c r="B1184" i="13"/>
  <c r="B1187" i="13"/>
  <c r="B1193" i="13"/>
  <c r="B1198" i="13"/>
  <c r="B1201" i="13"/>
  <c r="B1202" i="13"/>
  <c r="B1203" i="13"/>
  <c r="B1204" i="13"/>
  <c r="B1205" i="13"/>
  <c r="B1206" i="13"/>
  <c r="B1215" i="13"/>
  <c r="B1216" i="13"/>
  <c r="B1217" i="13"/>
  <c r="B1224" i="13"/>
  <c r="B1225" i="13"/>
  <c r="B1226" i="13"/>
  <c r="B1227" i="13"/>
  <c r="B1228" i="13"/>
  <c r="B1229" i="13"/>
  <c r="B1336" i="13"/>
  <c r="B1345" i="13"/>
  <c r="B1348" i="13"/>
  <c r="B1350" i="13"/>
  <c r="E1478" i="13"/>
  <c r="E1479" i="13"/>
  <c r="D1740" i="13"/>
  <c r="D1745" i="13"/>
  <c r="D1746" i="13"/>
  <c r="D1747" i="13" s="1"/>
  <c r="B1762" i="13"/>
  <c r="K1250" i="26"/>
  <c r="K1251" i="26"/>
  <c r="K1252" i="26"/>
  <c r="K1253" i="26"/>
  <c r="K1254" i="26"/>
  <c r="K1274" i="26"/>
  <c r="C45" i="1"/>
  <c r="E45" i="1"/>
  <c r="C46" i="1"/>
  <c r="E46" i="1"/>
  <c r="C47" i="1"/>
  <c r="E47" i="1"/>
  <c r="C48" i="1"/>
  <c r="E48" i="1"/>
  <c r="C49" i="1"/>
  <c r="E49" i="1"/>
  <c r="C50" i="1"/>
  <c r="E50" i="1"/>
  <c r="C51" i="1"/>
  <c r="E51" i="1"/>
  <c r="C52" i="1"/>
  <c r="E52" i="1"/>
  <c r="C53" i="1"/>
  <c r="E53" i="1"/>
  <c r="C54" i="1"/>
  <c r="E54" i="1"/>
  <c r="C55" i="1"/>
  <c r="E55" i="1"/>
  <c r="C56" i="1"/>
  <c r="E56" i="1"/>
  <c r="C57" i="1"/>
  <c r="E57" i="1"/>
  <c r="C58" i="1"/>
  <c r="E58" i="1"/>
  <c r="C59" i="1"/>
  <c r="E59" i="1"/>
  <c r="C60" i="1"/>
  <c r="E60" i="1"/>
  <c r="C61" i="1"/>
  <c r="E61" i="1"/>
  <c r="C62" i="1"/>
  <c r="E62" i="1"/>
  <c r="C63" i="1"/>
  <c r="E63" i="1"/>
  <c r="C64" i="1"/>
  <c r="E64" i="1"/>
  <c r="C65" i="1"/>
  <c r="E65" i="1"/>
  <c r="C66" i="1"/>
  <c r="E66" i="1"/>
  <c r="C67" i="1"/>
  <c r="E67" i="1"/>
  <c r="C68" i="1"/>
  <c r="E68" i="1"/>
  <c r="C69" i="1"/>
  <c r="E69" i="1"/>
  <c r="C70" i="1"/>
  <c r="E70" i="1"/>
  <c r="C71" i="1"/>
  <c r="E71" i="1"/>
  <c r="C72" i="1"/>
  <c r="E72" i="1"/>
  <c r="C73" i="1"/>
  <c r="E73" i="1"/>
  <c r="C74" i="1"/>
  <c r="E74" i="1"/>
  <c r="C75" i="1"/>
  <c r="E75" i="1"/>
  <c r="C76" i="1"/>
  <c r="E76" i="1"/>
  <c r="B77" i="1"/>
  <c r="C77" i="1" s="1"/>
  <c r="E77" i="1"/>
  <c r="C78" i="1"/>
  <c r="E78" i="1"/>
  <c r="C79" i="1"/>
  <c r="E79" i="1"/>
  <c r="C80" i="1"/>
  <c r="E80" i="1"/>
  <c r="C81" i="1"/>
  <c r="E81" i="1"/>
  <c r="C82" i="1"/>
  <c r="E82" i="1"/>
  <c r="C83" i="1"/>
  <c r="E83" i="1"/>
  <c r="C84" i="1"/>
  <c r="E84" i="1"/>
  <c r="C85" i="1"/>
  <c r="E85" i="1"/>
  <c r="C86" i="1"/>
  <c r="E86" i="1"/>
  <c r="C87" i="1"/>
  <c r="E87" i="1"/>
  <c r="C88" i="1"/>
  <c r="E88" i="1"/>
  <c r="C89" i="1"/>
  <c r="E89" i="1"/>
  <c r="C90" i="1"/>
  <c r="E90" i="1"/>
  <c r="C91" i="1"/>
  <c r="E91" i="1"/>
  <c r="C92" i="1"/>
  <c r="E92" i="1"/>
  <c r="C93" i="1"/>
  <c r="E93" i="1"/>
  <c r="C94" i="1"/>
  <c r="E94" i="1"/>
  <c r="C95" i="1"/>
  <c r="E95" i="1"/>
  <c r="C96" i="1"/>
  <c r="E96" i="1"/>
  <c r="C97" i="1"/>
  <c r="E97" i="1"/>
  <c r="C98" i="1"/>
  <c r="E98" i="1"/>
  <c r="C99" i="1"/>
  <c r="E99" i="1"/>
  <c r="C100" i="1"/>
  <c r="E100" i="1"/>
  <c r="C101" i="1"/>
  <c r="E101" i="1"/>
  <c r="C102" i="1"/>
  <c r="E102" i="1"/>
  <c r="C103" i="1"/>
  <c r="E103" i="1"/>
  <c r="C104" i="1"/>
  <c r="E104" i="1"/>
  <c r="C105" i="1"/>
  <c r="E105" i="1"/>
  <c r="C106" i="1"/>
  <c r="E106" i="1"/>
  <c r="C107" i="1"/>
  <c r="E107" i="1"/>
  <c r="B108" i="1"/>
  <c r="C108" i="1"/>
  <c r="D108" i="1"/>
  <c r="B109" i="1"/>
  <c r="C109" i="1"/>
  <c r="D109" i="1"/>
  <c r="C110" i="1"/>
  <c r="J109" i="1" s="1"/>
  <c r="D110" i="1"/>
  <c r="C111" i="1"/>
  <c r="E111" i="1"/>
  <c r="C112" i="1"/>
  <c r="E112" i="1"/>
  <c r="C113" i="1"/>
  <c r="E113" i="1"/>
  <c r="C114" i="1"/>
  <c r="E114" i="1"/>
  <c r="C115" i="1"/>
  <c r="E115" i="1"/>
  <c r="C116" i="1"/>
  <c r="E116" i="1"/>
  <c r="C117" i="1"/>
  <c r="E117" i="1"/>
  <c r="C118" i="1"/>
  <c r="E118" i="1"/>
  <c r="C119" i="1"/>
  <c r="E119" i="1"/>
  <c r="C120" i="1"/>
  <c r="E120" i="1"/>
  <c r="C121" i="1"/>
  <c r="E121" i="1"/>
  <c r="C122" i="1"/>
  <c r="J121" i="1" s="1"/>
  <c r="E122" i="1"/>
  <c r="C123" i="1"/>
  <c r="E123" i="1"/>
  <c r="C124" i="1"/>
  <c r="E124" i="1"/>
  <c r="C125" i="1"/>
  <c r="E125" i="1"/>
  <c r="C126" i="1"/>
  <c r="E126" i="1"/>
  <c r="C127" i="1"/>
  <c r="E127" i="1"/>
  <c r="C128" i="1"/>
  <c r="E128" i="1"/>
  <c r="C129" i="1"/>
  <c r="E129" i="1"/>
  <c r="C130" i="1"/>
  <c r="E130" i="1"/>
  <c r="C131" i="1"/>
  <c r="E131" i="1"/>
  <c r="C132" i="1"/>
  <c r="E132" i="1"/>
  <c r="C133" i="1"/>
  <c r="E133" i="1"/>
  <c r="C134" i="1"/>
  <c r="E134" i="1"/>
  <c r="C135" i="1"/>
  <c r="E135" i="1"/>
  <c r="C136" i="1"/>
  <c r="E136" i="1"/>
  <c r="C137" i="1"/>
  <c r="E137" i="1"/>
  <c r="C138" i="1"/>
  <c r="E138" i="1"/>
  <c r="C139" i="1"/>
  <c r="E139" i="1"/>
  <c r="C140" i="1"/>
  <c r="E140" i="1"/>
  <c r="C141" i="1"/>
  <c r="E141" i="1"/>
  <c r="C142" i="1"/>
  <c r="E142" i="1"/>
  <c r="C146" i="1"/>
  <c r="E146" i="1"/>
  <c r="C147" i="1"/>
  <c r="E147" i="1"/>
  <c r="C148" i="1"/>
  <c r="E148" i="1"/>
  <c r="C149" i="1"/>
  <c r="E149" i="1"/>
  <c r="C150" i="1"/>
  <c r="E150" i="1"/>
  <c r="C151" i="1"/>
  <c r="E151" i="1"/>
  <c r="C152" i="1"/>
  <c r="E152" i="1"/>
  <c r="C153" i="1"/>
  <c r="E153" i="1"/>
  <c r="C154" i="1"/>
  <c r="E154" i="1"/>
  <c r="C155" i="1"/>
  <c r="E155" i="1"/>
  <c r="C156" i="1"/>
  <c r="E156" i="1"/>
  <c r="C157" i="1"/>
  <c r="E157" i="1"/>
  <c r="C158" i="1"/>
  <c r="E158" i="1"/>
  <c r="C159" i="1"/>
  <c r="E159" i="1"/>
  <c r="C160" i="1"/>
  <c r="E160" i="1"/>
  <c r="C161" i="1"/>
  <c r="E161" i="1"/>
  <c r="C162" i="1"/>
  <c r="E162" i="1"/>
  <c r="C163" i="1"/>
  <c r="E163" i="1"/>
  <c r="C164" i="1"/>
  <c r="E164" i="1"/>
  <c r="C165" i="1"/>
  <c r="E165" i="1"/>
  <c r="C166" i="1"/>
  <c r="E166" i="1"/>
  <c r="C167" i="1"/>
  <c r="E167" i="1"/>
  <c r="C168" i="1"/>
  <c r="E168" i="1"/>
  <c r="C169" i="1"/>
  <c r="E169" i="1"/>
  <c r="C170" i="1"/>
  <c r="E170" i="1"/>
  <c r="C171" i="1"/>
  <c r="E171" i="1"/>
  <c r="C172" i="1"/>
  <c r="E172" i="1"/>
  <c r="C173" i="1"/>
  <c r="E173" i="1"/>
  <c r="C174" i="1"/>
  <c r="E174" i="1"/>
  <c r="C175" i="1"/>
  <c r="E175" i="1"/>
  <c r="C176" i="1"/>
  <c r="E176" i="1"/>
  <c r="C177" i="1"/>
  <c r="E177" i="1"/>
  <c r="C178" i="1"/>
  <c r="E178" i="1"/>
  <c r="C179" i="1"/>
  <c r="E179" i="1"/>
  <c r="C180" i="1"/>
  <c r="E180" i="1"/>
  <c r="C181" i="1"/>
  <c r="E181" i="1"/>
  <c r="C182" i="1"/>
  <c r="E182" i="1"/>
  <c r="C183" i="1"/>
  <c r="E183" i="1"/>
  <c r="C184" i="1"/>
  <c r="E184" i="1"/>
  <c r="C185" i="1"/>
  <c r="E185" i="1"/>
  <c r="C186" i="1"/>
  <c r="E186" i="1"/>
  <c r="C187" i="1"/>
  <c r="E187" i="1"/>
  <c r="C188" i="1"/>
  <c r="E188" i="1"/>
  <c r="C189" i="1"/>
  <c r="I188" i="1" s="1"/>
  <c r="E189" i="1"/>
  <c r="C190" i="1"/>
  <c r="E190" i="1"/>
  <c r="C191" i="1"/>
  <c r="E191" i="1"/>
  <c r="C192" i="1"/>
  <c r="E192" i="1"/>
  <c r="C193" i="1"/>
  <c r="E193" i="1"/>
  <c r="C194" i="1"/>
  <c r="E194" i="1"/>
  <c r="C195" i="1"/>
  <c r="E195" i="1"/>
  <c r="C196" i="1"/>
  <c r="E196" i="1"/>
  <c r="C197" i="1"/>
  <c r="E197" i="1"/>
  <c r="C198" i="1"/>
  <c r="E198" i="1"/>
  <c r="C199" i="1"/>
  <c r="E199" i="1"/>
  <c r="C200" i="1"/>
  <c r="E200" i="1"/>
  <c r="C201" i="1"/>
  <c r="E201" i="1"/>
  <c r="B202" i="1"/>
  <c r="B205" i="1" s="1"/>
  <c r="E202" i="1"/>
  <c r="C203" i="1"/>
  <c r="E203" i="1"/>
  <c r="C208" i="1"/>
  <c r="E208" i="1"/>
  <c r="C209" i="1"/>
  <c r="E209" i="1"/>
  <c r="C210" i="1"/>
  <c r="E210" i="1"/>
  <c r="C211" i="1"/>
  <c r="E211" i="1"/>
  <c r="C212" i="1"/>
  <c r="E212" i="1"/>
  <c r="C213" i="1"/>
  <c r="E213" i="1"/>
  <c r="C214" i="1"/>
  <c r="E214" i="1"/>
  <c r="C215" i="1"/>
  <c r="E215" i="1"/>
  <c r="C216" i="1"/>
  <c r="E216" i="1"/>
  <c r="C217" i="1"/>
  <c r="E217" i="1"/>
  <c r="C218" i="1"/>
  <c r="E218" i="1"/>
  <c r="C219" i="1"/>
  <c r="E219" i="1"/>
  <c r="C220" i="1"/>
  <c r="E220" i="1"/>
  <c r="C221" i="1"/>
  <c r="E221" i="1"/>
  <c r="C222" i="1"/>
  <c r="E222" i="1"/>
  <c r="C223" i="1"/>
  <c r="E223" i="1"/>
  <c r="C224" i="1"/>
  <c r="E224" i="1"/>
  <c r="C225" i="1"/>
  <c r="E225" i="1"/>
  <c r="C226" i="1"/>
  <c r="E226" i="1"/>
  <c r="C227" i="1"/>
  <c r="E227" i="1"/>
  <c r="C228" i="1"/>
  <c r="E228" i="1"/>
  <c r="C229" i="1"/>
  <c r="E229" i="1"/>
  <c r="C230" i="1"/>
  <c r="E230" i="1"/>
  <c r="C231" i="1"/>
  <c r="E231" i="1"/>
  <c r="C232" i="1"/>
  <c r="E232" i="1"/>
  <c r="C233" i="1"/>
  <c r="E233" i="1"/>
  <c r="C234" i="1"/>
  <c r="E234" i="1"/>
  <c r="C235" i="1"/>
  <c r="E235" i="1"/>
  <c r="C236" i="1"/>
  <c r="E236" i="1"/>
  <c r="C237" i="1"/>
  <c r="E237" i="1"/>
  <c r="C238" i="1"/>
  <c r="E238" i="1"/>
  <c r="B241" i="1"/>
  <c r="B243" i="1"/>
  <c r="C243" i="1" s="1"/>
  <c r="E243" i="1"/>
  <c r="C244" i="1"/>
  <c r="E244" i="1"/>
  <c r="C245" i="1"/>
  <c r="E245" i="1"/>
  <c r="C246" i="1"/>
  <c r="E246" i="1"/>
  <c r="C247" i="1"/>
  <c r="E247" i="1"/>
  <c r="C248" i="1"/>
  <c r="E248" i="1"/>
  <c r="C249" i="1"/>
  <c r="E249" i="1"/>
  <c r="C250" i="1"/>
  <c r="E250" i="1"/>
  <c r="C251" i="1"/>
  <c r="E251" i="1"/>
  <c r="C252" i="1"/>
  <c r="E252" i="1"/>
  <c r="C656" i="1"/>
  <c r="F655" i="1" s="1"/>
  <c r="G655" i="1" s="1"/>
  <c r="D655" i="1"/>
  <c r="C657" i="1"/>
  <c r="D656" i="1"/>
  <c r="G656" i="1"/>
  <c r="C658" i="1"/>
  <c r="D657" i="1"/>
  <c r="L3" i="1" s="1"/>
  <c r="C659" i="1"/>
  <c r="D658" i="1"/>
  <c r="C660" i="1"/>
  <c r="J12" i="1" s="1"/>
  <c r="C661" i="1"/>
  <c r="E660" i="1" s="1"/>
  <c r="B662" i="1"/>
  <c r="D663" i="1"/>
  <c r="E663" i="1"/>
  <c r="D664" i="1"/>
  <c r="E664" i="1"/>
  <c r="C666" i="1"/>
  <c r="E665" i="1" s="1"/>
  <c r="C667" i="1"/>
  <c r="C668" i="1"/>
  <c r="E667" i="1" s="1"/>
  <c r="C669" i="1"/>
  <c r="E668" i="1" s="1"/>
  <c r="C671" i="1"/>
  <c r="E670" i="1" s="1"/>
  <c r="C673" i="1"/>
  <c r="E672" i="1" s="1"/>
  <c r="C674" i="1"/>
  <c r="E673" i="1" s="1"/>
  <c r="C676" i="1"/>
  <c r="E675" i="1" s="1"/>
  <c r="C687" i="1"/>
  <c r="E686" i="1"/>
  <c r="C688" i="1"/>
  <c r="C689" i="1" s="1"/>
  <c r="C692" i="1"/>
  <c r="C693" i="1" s="1"/>
  <c r="E687" i="1"/>
  <c r="E691" i="1"/>
  <c r="C699" i="1"/>
  <c r="E698" i="1"/>
  <c r="C700" i="1"/>
  <c r="C701" i="1" s="1"/>
  <c r="E699" i="1"/>
  <c r="C703" i="1"/>
  <c r="C704" i="1"/>
  <c r="E702" i="1"/>
  <c r="C706" i="1"/>
  <c r="C707" i="1" s="1"/>
  <c r="E705" i="1"/>
  <c r="B711" i="1"/>
  <c r="B712" i="1"/>
  <c r="B718" i="1"/>
  <c r="B734" i="1" s="1"/>
  <c r="B720" i="1"/>
  <c r="B722" i="1"/>
  <c r="B725" i="1"/>
  <c r="B728" i="1"/>
  <c r="B730" i="1"/>
  <c r="A732" i="1" s="1"/>
  <c r="A734" i="1" s="1"/>
  <c r="B731" i="1"/>
  <c r="D735" i="1"/>
  <c r="C755" i="18"/>
  <c r="C756" i="18"/>
  <c r="C757" i="18"/>
  <c r="C760" i="18"/>
  <c r="C764" i="18"/>
  <c r="E764" i="18"/>
  <c r="C765" i="18"/>
  <c r="C766" i="18"/>
  <c r="E766" i="18"/>
  <c r="C767" i="18"/>
  <c r="E767" i="18"/>
  <c r="C768" i="18"/>
  <c r="E768" i="18"/>
  <c r="C769" i="18"/>
  <c r="E769" i="18"/>
  <c r="C770" i="18"/>
  <c r="E770" i="18"/>
  <c r="C771" i="18"/>
  <c r="C772" i="18"/>
  <c r="E773" i="18"/>
  <c r="C773" i="18" s="1"/>
  <c r="C774" i="18"/>
  <c r="C775" i="18"/>
  <c r="C778" i="18"/>
  <c r="C779" i="18"/>
  <c r="C780" i="18"/>
  <c r="C783" i="18"/>
  <c r="C784" i="18"/>
  <c r="C785" i="18"/>
  <c r="C786" i="18"/>
  <c r="C787" i="18"/>
  <c r="C788" i="18"/>
  <c r="C789" i="18"/>
  <c r="C790" i="18"/>
  <c r="C791" i="18"/>
  <c r="C792" i="18"/>
  <c r="C793" i="18"/>
  <c r="C795" i="18"/>
  <c r="C796" i="18"/>
  <c r="C797" i="18"/>
  <c r="C798" i="18"/>
  <c r="C799" i="18"/>
  <c r="C800" i="18"/>
  <c r="C801" i="18"/>
  <c r="C802" i="18"/>
  <c r="C803" i="18"/>
  <c r="C804" i="18"/>
  <c r="C805" i="18"/>
  <c r="C809" i="18"/>
  <c r="H805" i="18" s="1"/>
  <c r="C810" i="18"/>
  <c r="A810" i="18" s="1"/>
  <c r="H806" i="18"/>
  <c r="C811" i="18"/>
  <c r="A811" i="18" s="1"/>
  <c r="H807" i="18"/>
  <c r="C812" i="18"/>
  <c r="E825" i="18"/>
  <c r="D825" i="18" s="1"/>
  <c r="E826" i="18"/>
  <c r="D826" i="18" s="1"/>
  <c r="D827" i="18"/>
  <c r="E828" i="18"/>
  <c r="D828" i="18" s="1"/>
  <c r="B829" i="18"/>
  <c r="C829" i="18" s="1"/>
  <c r="D830" i="18"/>
  <c r="B831" i="18"/>
  <c r="D832" i="18"/>
  <c r="D833" i="18"/>
  <c r="B841" i="18"/>
  <c r="J864" i="18" s="1"/>
  <c r="M865" i="18" s="1"/>
  <c r="H837" i="18"/>
  <c r="K866" i="18"/>
  <c r="B842" i="18"/>
  <c r="J867" i="18"/>
  <c r="C844" i="18"/>
  <c r="C845" i="18"/>
  <c r="J869" i="18"/>
  <c r="C846" i="18"/>
  <c r="J870" i="18"/>
  <c r="C847" i="18"/>
  <c r="J871" i="18"/>
  <c r="K872" i="18"/>
  <c r="K873" i="18" s="1"/>
  <c r="K874" i="18" s="1"/>
  <c r="K875" i="18" s="1"/>
  <c r="K876" i="18" s="1"/>
  <c r="K877" i="18" s="1"/>
  <c r="J872" i="18"/>
  <c r="J873" i="18"/>
  <c r="J874" i="18"/>
  <c r="J875" i="18"/>
  <c r="C848" i="18"/>
  <c r="F848" i="18" s="1"/>
  <c r="M873" i="18"/>
  <c r="C849" i="18"/>
  <c r="D849" i="18"/>
  <c r="C850" i="18"/>
  <c r="F850" i="18"/>
  <c r="D850" i="18" s="1"/>
  <c r="C851" i="18"/>
  <c r="F851" i="18"/>
  <c r="M875" i="18" s="1"/>
  <c r="C852" i="18"/>
  <c r="F852" i="18"/>
  <c r="D852" i="18" s="1"/>
  <c r="J876" i="18"/>
  <c r="M877" i="18"/>
  <c r="C853" i="18"/>
  <c r="D853" i="18"/>
  <c r="J877" i="18"/>
  <c r="C854" i="18"/>
  <c r="F854" i="18"/>
  <c r="M878" i="18" s="1"/>
  <c r="B855" i="18"/>
  <c r="F855" i="18"/>
  <c r="M879" i="18" s="1"/>
  <c r="J879" i="18"/>
  <c r="M880" i="18"/>
  <c r="C856" i="18"/>
  <c r="D856" i="18"/>
  <c r="J880" i="18"/>
  <c r="M881" i="18"/>
  <c r="C857" i="18"/>
  <c r="D857" i="18"/>
  <c r="J881" i="18"/>
  <c r="M882" i="18"/>
  <c r="C858" i="18"/>
  <c r="D858" i="18"/>
  <c r="J882" i="18"/>
  <c r="M883" i="18"/>
  <c r="C859" i="18"/>
  <c r="D859" i="18"/>
  <c r="J883" i="18"/>
  <c r="M884" i="18"/>
  <c r="C860" i="18"/>
  <c r="C861" i="18"/>
  <c r="D860" i="18"/>
  <c r="J884" i="18"/>
  <c r="M885" i="18"/>
  <c r="D861" i="18"/>
  <c r="J885" i="18"/>
  <c r="M886" i="18"/>
  <c r="C862" i="18"/>
  <c r="D862" i="18"/>
  <c r="J886" i="18"/>
  <c r="K887" i="18"/>
  <c r="K888" i="18" s="1"/>
  <c r="K889" i="18" s="1"/>
  <c r="K890" i="18" s="1"/>
  <c r="M887" i="18"/>
  <c r="C863" i="18"/>
  <c r="D863" i="18"/>
  <c r="J887" i="18"/>
  <c r="M888" i="18"/>
  <c r="C864" i="18"/>
  <c r="D864" i="18"/>
  <c r="J888" i="18"/>
  <c r="M889" i="18"/>
  <c r="C865" i="18"/>
  <c r="D865" i="18"/>
  <c r="J889" i="18"/>
  <c r="M890" i="18"/>
  <c r="C866" i="18"/>
  <c r="H868" i="18"/>
  <c r="B873" i="18"/>
  <c r="H869" i="18"/>
  <c r="B874" i="18" s="1"/>
  <c r="H870" i="18"/>
  <c r="B875" i="18" s="1"/>
  <c r="H871" i="18"/>
  <c r="B876" i="18" s="1"/>
  <c r="C876" i="18" s="1"/>
  <c r="H872" i="18"/>
  <c r="B877" i="18"/>
  <c r="C877" i="18"/>
  <c r="H873" i="18"/>
  <c r="B878" i="18"/>
  <c r="C878" i="18"/>
  <c r="I878" i="18"/>
  <c r="B886" i="18"/>
  <c r="C886" i="18"/>
  <c r="H883" i="18"/>
  <c r="I883" i="18"/>
  <c r="C894" i="18"/>
  <c r="C898" i="18" s="1"/>
  <c r="E894" i="18"/>
  <c r="H896" i="18"/>
  <c r="H897" i="18" s="1"/>
  <c r="H898" i="18" s="1"/>
  <c r="H899" i="18" s="1"/>
  <c r="H900" i="18" s="1"/>
  <c r="H901" i="18" s="1"/>
  <c r="H902" i="18" s="1"/>
  <c r="H903" i="18" s="1"/>
  <c r="H904" i="18" s="1"/>
  <c r="H905" i="18" s="1"/>
  <c r="H906" i="18" s="1"/>
  <c r="H907" i="18" s="1"/>
  <c r="H908" i="18" s="1"/>
  <c r="H909" i="18" s="1"/>
  <c r="H910" i="18" s="1"/>
  <c r="H911" i="18" s="1"/>
  <c r="H912" i="18" s="1"/>
  <c r="H913" i="18" s="1"/>
  <c r="H914" i="18" s="1"/>
  <c r="H915" i="18" s="1"/>
  <c r="H916" i="18" s="1"/>
  <c r="H917" i="18" s="1"/>
  <c r="H918" i="18" s="1"/>
  <c r="H919" i="18" s="1"/>
  <c r="H920" i="18" s="1"/>
  <c r="H921" i="18" s="1"/>
  <c r="H922" i="18" s="1"/>
  <c r="H923" i="18" s="1"/>
  <c r="H924" i="18" s="1"/>
  <c r="H925" i="18" s="1"/>
  <c r="H926" i="18" s="1"/>
  <c r="H927" i="18" s="1"/>
  <c r="H928" i="18" s="1"/>
  <c r="H929" i="18" s="1"/>
  <c r="H930" i="18" s="1"/>
  <c r="H931" i="18" s="1"/>
  <c r="H932" i="18" s="1"/>
  <c r="H933" i="18" s="1"/>
  <c r="H934" i="18" s="1"/>
  <c r="H935" i="18" s="1"/>
  <c r="H936" i="18" s="1"/>
  <c r="H937" i="18" s="1"/>
  <c r="H938" i="18" s="1"/>
  <c r="H939" i="18" s="1"/>
  <c r="H940" i="18" s="1"/>
  <c r="H941" i="18" s="1"/>
  <c r="H942" i="18" s="1"/>
  <c r="H943" i="18" s="1"/>
  <c r="H944" i="18" s="1"/>
  <c r="H945" i="18" s="1"/>
  <c r="H946" i="18" s="1"/>
  <c r="H947" i="18" s="1"/>
  <c r="H948" i="18" s="1"/>
  <c r="H949" i="18" s="1"/>
  <c r="H950" i="18" s="1"/>
  <c r="H951" i="18" s="1"/>
  <c r="H952" i="18" s="1"/>
  <c r="H953" i="18" s="1"/>
  <c r="H954" i="18" s="1"/>
  <c r="H955" i="18" s="1"/>
  <c r="H956" i="18" s="1"/>
  <c r="H957" i="18" s="1"/>
  <c r="H958" i="18" s="1"/>
  <c r="F901" i="18"/>
  <c r="D902" i="18"/>
  <c r="D903" i="18"/>
  <c r="D904" i="18"/>
  <c r="D905" i="18"/>
  <c r="D906" i="18"/>
  <c r="D907" i="18"/>
  <c r="D908" i="18"/>
  <c r="D909" i="18"/>
  <c r="D910" i="18"/>
  <c r="D911" i="18"/>
  <c r="D912" i="18"/>
  <c r="D913" i="18"/>
  <c r="D914" i="18"/>
  <c r="D915" i="18"/>
  <c r="D916" i="18"/>
  <c r="D917" i="18"/>
  <c r="D918" i="18"/>
  <c r="D919" i="18"/>
  <c r="D920" i="18"/>
  <c r="D921" i="18"/>
  <c r="D922" i="18"/>
  <c r="D923" i="18"/>
  <c r="D924" i="18"/>
  <c r="D925" i="18"/>
  <c r="D926" i="18"/>
  <c r="D927" i="18"/>
  <c r="D928" i="18"/>
  <c r="D929" i="18"/>
  <c r="D930" i="18"/>
  <c r="D931" i="18"/>
  <c r="D932" i="18"/>
  <c r="D933" i="18"/>
  <c r="D934" i="18"/>
  <c r="D935" i="18"/>
  <c r="D936" i="18"/>
  <c r="D937" i="18"/>
  <c r="D938" i="18"/>
  <c r="D939" i="18"/>
  <c r="D940" i="18"/>
  <c r="D941" i="18"/>
  <c r="D942" i="18"/>
  <c r="D943" i="18"/>
  <c r="D944" i="18"/>
  <c r="D945" i="18"/>
  <c r="D946" i="18"/>
  <c r="D947" i="18"/>
  <c r="D948" i="18"/>
  <c r="D949" i="18"/>
  <c r="D950" i="18"/>
  <c r="D951" i="18"/>
  <c r="D952" i="18"/>
  <c r="D953" i="18"/>
  <c r="D954" i="18"/>
  <c r="D955" i="18"/>
  <c r="D956" i="18"/>
  <c r="D957" i="18"/>
  <c r="D958" i="18"/>
  <c r="D959" i="18"/>
  <c r="D960" i="18"/>
  <c r="D961" i="18"/>
  <c r="D962" i="18"/>
  <c r="D963" i="18"/>
  <c r="B971" i="18"/>
  <c r="M1101" i="18"/>
  <c r="K1102" i="18"/>
  <c r="M1102" i="18"/>
  <c r="O1095" i="18" s="1"/>
  <c r="M1104" i="18"/>
  <c r="O1097" i="18" s="1"/>
  <c r="M1106" i="18"/>
  <c r="O1099" i="18" s="1"/>
  <c r="K1107" i="18"/>
  <c r="M1107" i="18"/>
  <c r="O1100" i="18" s="1"/>
  <c r="C1084" i="18"/>
  <c r="E1084" i="18"/>
  <c r="H1084" i="18"/>
  <c r="B1089" i="18" s="1"/>
  <c r="C1089" i="18" s="1"/>
  <c r="H1085" i="18"/>
  <c r="B1090" i="18" s="1"/>
  <c r="M1114" i="18"/>
  <c r="O1107" i="18" s="1"/>
  <c r="C1093" i="18"/>
  <c r="E1093" i="18"/>
  <c r="K1120" i="18"/>
  <c r="K1126" i="18" s="1"/>
  <c r="M1120" i="18"/>
  <c r="O1113" i="18" s="1"/>
  <c r="C1096" i="18"/>
  <c r="E1096" i="18"/>
  <c r="J1120" i="18"/>
  <c r="K1121" i="18"/>
  <c r="M1121" i="18"/>
  <c r="O1114" i="18" s="1"/>
  <c r="C1097" i="18"/>
  <c r="E1097" i="18"/>
  <c r="K1122" i="18"/>
  <c r="M1122" i="18"/>
  <c r="O1115" i="18" s="1"/>
  <c r="M1123" i="18"/>
  <c r="O1116" i="18" s="1"/>
  <c r="M1125" i="18"/>
  <c r="O1118" i="18" s="1"/>
  <c r="M1126" i="18"/>
  <c r="O1119" i="18" s="1"/>
  <c r="C1098" i="18"/>
  <c r="E1098" i="18"/>
  <c r="J1122" i="18"/>
  <c r="K1123" i="18"/>
  <c r="C1099" i="18"/>
  <c r="E1099" i="18"/>
  <c r="K1124" i="18"/>
  <c r="O1117" i="18"/>
  <c r="C1100" i="18"/>
  <c r="E1100" i="18"/>
  <c r="K1125" i="18"/>
  <c r="C1101" i="18"/>
  <c r="E1101" i="18"/>
  <c r="C1102" i="18"/>
  <c r="E1102" i="18"/>
  <c r="C1103" i="18"/>
  <c r="E1103" i="18"/>
  <c r="M1131" i="18"/>
  <c r="O1124" i="18" s="1"/>
  <c r="C1107" i="18"/>
  <c r="E1107" i="18"/>
  <c r="K1132" i="18"/>
  <c r="C1108" i="18"/>
  <c r="E1108" i="18"/>
  <c r="M1133" i="18"/>
  <c r="O1126" i="18" s="1"/>
  <c r="C1109" i="18"/>
  <c r="E1109" i="18"/>
  <c r="M1134" i="18"/>
  <c r="O1127" i="18" s="1"/>
  <c r="C1110" i="18"/>
  <c r="E1110" i="18"/>
  <c r="K1135" i="18"/>
  <c r="K1136" i="18" s="1"/>
  <c r="K1137" i="18" s="1"/>
  <c r="M1135" i="18"/>
  <c r="O1128" i="18" s="1"/>
  <c r="C1111" i="18"/>
  <c r="E1111" i="18"/>
  <c r="M1136" i="18"/>
  <c r="O1129" i="18" s="1"/>
  <c r="C1112" i="18"/>
  <c r="E1112" i="18"/>
  <c r="M1137" i="18"/>
  <c r="O1130" i="18" s="1"/>
  <c r="C1113" i="18"/>
  <c r="E1113" i="18"/>
  <c r="I1107" i="18"/>
  <c r="G1133" i="18"/>
  <c r="D1134" i="18"/>
  <c r="E1134" i="18"/>
  <c r="D1137" i="18"/>
  <c r="E1137" i="18"/>
  <c r="D1138" i="18"/>
  <c r="E1138" i="18"/>
  <c r="D1139" i="18"/>
  <c r="E1139" i="18"/>
  <c r="G1144" i="18"/>
  <c r="D1145" i="18"/>
  <c r="E1145" i="18"/>
  <c r="D1146" i="18"/>
  <c r="E1146" i="18"/>
  <c r="D1147" i="18"/>
  <c r="E1147" i="18"/>
  <c r="D1154" i="18"/>
  <c r="E12" i="22"/>
  <c r="D141" i="22"/>
  <c r="C2244" i="22" s="1"/>
  <c r="E141" i="22"/>
  <c r="D2244" i="22" s="1"/>
  <c r="F141" i="22"/>
  <c r="E2244" i="22" s="1"/>
  <c r="H142" i="22"/>
  <c r="J142" i="22"/>
  <c r="H143" i="22"/>
  <c r="J144" i="22"/>
  <c r="K144" i="22"/>
  <c r="L144" i="22"/>
  <c r="J145" i="22"/>
  <c r="K145" i="22"/>
  <c r="L145" i="22"/>
  <c r="G17" i="22"/>
  <c r="J146" i="22"/>
  <c r="K146" i="22"/>
  <c r="L146" i="22"/>
  <c r="J147" i="22"/>
  <c r="K147" i="22"/>
  <c r="L147" i="22"/>
  <c r="J148" i="22"/>
  <c r="K148" i="22"/>
  <c r="L148" i="22"/>
  <c r="J149" i="22"/>
  <c r="K149" i="22"/>
  <c r="L149" i="22"/>
  <c r="J150" i="22"/>
  <c r="K150" i="22"/>
  <c r="L150" i="22"/>
  <c r="D152" i="22"/>
  <c r="C2245" i="22" s="1"/>
  <c r="F152" i="22"/>
  <c r="E2245" i="22" s="1"/>
  <c r="H153" i="22"/>
  <c r="J153" i="22"/>
  <c r="H154" i="22"/>
  <c r="J155" i="22"/>
  <c r="K155" i="22"/>
  <c r="L155" i="22"/>
  <c r="J156" i="22"/>
  <c r="K156" i="22"/>
  <c r="L156" i="22"/>
  <c r="J157" i="22"/>
  <c r="K157" i="22"/>
  <c r="L157" i="22"/>
  <c r="J158" i="22"/>
  <c r="K158" i="22"/>
  <c r="L158" i="22"/>
  <c r="J159" i="22"/>
  <c r="K159" i="22"/>
  <c r="L159" i="22"/>
  <c r="J160" i="22"/>
  <c r="K160" i="22"/>
  <c r="L160" i="22"/>
  <c r="J161" i="22"/>
  <c r="K161" i="22"/>
  <c r="L161" i="22"/>
  <c r="H164" i="22"/>
  <c r="J164" i="22"/>
  <c r="H165" i="22"/>
  <c r="J166" i="22"/>
  <c r="K166" i="22"/>
  <c r="L166" i="22"/>
  <c r="J167" i="22"/>
  <c r="K167" i="22"/>
  <c r="L167" i="22"/>
  <c r="J168" i="22"/>
  <c r="J169" i="22"/>
  <c r="K169" i="22"/>
  <c r="J170" i="22"/>
  <c r="K170" i="22"/>
  <c r="L170" i="22"/>
  <c r="J171" i="22"/>
  <c r="K171" i="22"/>
  <c r="L171" i="22"/>
  <c r="J172" i="22"/>
  <c r="K172" i="22"/>
  <c r="L172" i="22"/>
  <c r="D174" i="22"/>
  <c r="C2247" i="22" s="1"/>
  <c r="H175" i="22"/>
  <c r="J175" i="22"/>
  <c r="H176" i="22"/>
  <c r="J177" i="22"/>
  <c r="K177" i="22"/>
  <c r="L177" i="22"/>
  <c r="J178" i="22"/>
  <c r="K178" i="22"/>
  <c r="L178" i="22"/>
  <c r="J179" i="22"/>
  <c r="J180" i="22"/>
  <c r="K180" i="22"/>
  <c r="J181" i="22"/>
  <c r="K181" i="22"/>
  <c r="L181" i="22"/>
  <c r="J182" i="22"/>
  <c r="K182" i="22"/>
  <c r="L182" i="22"/>
  <c r="J183" i="22"/>
  <c r="K183" i="22"/>
  <c r="L183" i="22"/>
  <c r="D185" i="22"/>
  <c r="C2248" i="22" s="1"/>
  <c r="E185" i="22"/>
  <c r="D2248" i="22" s="1"/>
  <c r="F185" i="22"/>
  <c r="E2248" i="22" s="1"/>
  <c r="H186" i="22"/>
  <c r="J186" i="22"/>
  <c r="H187" i="22"/>
  <c r="J188" i="22"/>
  <c r="K188" i="22"/>
  <c r="L188" i="22"/>
  <c r="J189" i="22"/>
  <c r="K189" i="22"/>
  <c r="L189" i="22"/>
  <c r="J190" i="22"/>
  <c r="K190" i="22"/>
  <c r="L190" i="22"/>
  <c r="J191" i="22"/>
  <c r="K191" i="22"/>
  <c r="L191" i="22"/>
  <c r="J192" i="22"/>
  <c r="K192" i="22"/>
  <c r="L192" i="22"/>
  <c r="J193" i="22"/>
  <c r="K193" i="22"/>
  <c r="L193" i="22"/>
  <c r="J194" i="22"/>
  <c r="K194" i="22"/>
  <c r="L194" i="22"/>
  <c r="D196" i="22"/>
  <c r="C2249" i="22" s="1"/>
  <c r="E196" i="22"/>
  <c r="D2249" i="22" s="1"/>
  <c r="F196" i="22"/>
  <c r="E2249" i="22" s="1"/>
  <c r="H197" i="22"/>
  <c r="J197" i="22"/>
  <c r="H198" i="22"/>
  <c r="J199" i="22"/>
  <c r="K199" i="22"/>
  <c r="L199" i="22"/>
  <c r="J200" i="22"/>
  <c r="K200" i="22"/>
  <c r="L200" i="22"/>
  <c r="J201" i="22"/>
  <c r="K201" i="22"/>
  <c r="L201" i="22"/>
  <c r="J202" i="22"/>
  <c r="K202" i="22"/>
  <c r="L202" i="22"/>
  <c r="J203" i="22"/>
  <c r="K203" i="22"/>
  <c r="L203" i="22"/>
  <c r="J204" i="22"/>
  <c r="K204" i="22"/>
  <c r="L204" i="22"/>
  <c r="J205" i="22"/>
  <c r="K205" i="22"/>
  <c r="L205" i="22"/>
  <c r="D207" i="22"/>
  <c r="C2250" i="22" s="1"/>
  <c r="E207" i="22"/>
  <c r="D2250" i="22" s="1"/>
  <c r="F207" i="22"/>
  <c r="E2250" i="22" s="1"/>
  <c r="H208" i="22"/>
  <c r="J208" i="22"/>
  <c r="H209" i="22"/>
  <c r="D82" i="22"/>
  <c r="E82" i="22" s="1"/>
  <c r="J210" i="22"/>
  <c r="K210" i="22"/>
  <c r="L210" i="22"/>
  <c r="J211" i="22"/>
  <c r="K211" i="22"/>
  <c r="L211" i="22"/>
  <c r="J212" i="22"/>
  <c r="K212" i="22"/>
  <c r="L212" i="22"/>
  <c r="J213" i="22"/>
  <c r="K213" i="22"/>
  <c r="L213" i="22"/>
  <c r="J214" i="22"/>
  <c r="K214" i="22"/>
  <c r="L214" i="22"/>
  <c r="J215" i="22"/>
  <c r="K215" i="22"/>
  <c r="L215" i="22"/>
  <c r="J216" i="22"/>
  <c r="K216" i="22"/>
  <c r="L216" i="22"/>
  <c r="D90" i="22"/>
  <c r="D218" i="22"/>
  <c r="C2251" i="22" s="1"/>
  <c r="E218" i="22"/>
  <c r="D2251" i="22" s="1"/>
  <c r="F218" i="22"/>
  <c r="E2251" i="22" s="1"/>
  <c r="D91" i="22"/>
  <c r="H219" i="22"/>
  <c r="J219" i="22"/>
  <c r="E92" i="22"/>
  <c r="H220" i="22"/>
  <c r="E93" i="22"/>
  <c r="J221" i="22"/>
  <c r="K221" i="22"/>
  <c r="L221" i="22"/>
  <c r="D94" i="22"/>
  <c r="J222" i="22"/>
  <c r="K222" i="22"/>
  <c r="L222" i="22"/>
  <c r="D95" i="22"/>
  <c r="J223" i="22"/>
  <c r="K223" i="22"/>
  <c r="L223" i="22"/>
  <c r="E96" i="22"/>
  <c r="J224" i="22"/>
  <c r="K224" i="22"/>
  <c r="L224" i="22"/>
  <c r="E97" i="22"/>
  <c r="J225" i="22"/>
  <c r="K225" i="22"/>
  <c r="L225" i="22"/>
  <c r="H225" i="22" s="1"/>
  <c r="D98" i="22"/>
  <c r="J226" i="22"/>
  <c r="K226" i="22"/>
  <c r="L226" i="22"/>
  <c r="E99" i="22"/>
  <c r="J227" i="22"/>
  <c r="K227" i="22"/>
  <c r="L227" i="22"/>
  <c r="D229" i="22"/>
  <c r="C2252" i="22" s="1"/>
  <c r="E229" i="22"/>
  <c r="D2252" i="22" s="1"/>
  <c r="F229" i="22"/>
  <c r="E2252" i="22" s="1"/>
  <c r="H230" i="22"/>
  <c r="J230" i="22"/>
  <c r="H231" i="22"/>
  <c r="C104" i="22"/>
  <c r="C114" i="22" s="1"/>
  <c r="J232" i="22"/>
  <c r="K232" i="22"/>
  <c r="L232" i="22"/>
  <c r="J233" i="22"/>
  <c r="K233" i="22"/>
  <c r="L233" i="22"/>
  <c r="J234" i="22"/>
  <c r="K234" i="22"/>
  <c r="L234" i="22"/>
  <c r="J235" i="22"/>
  <c r="K235" i="22"/>
  <c r="L235" i="22"/>
  <c r="J236" i="22"/>
  <c r="K236" i="22"/>
  <c r="L236" i="22"/>
  <c r="J237" i="22"/>
  <c r="K237" i="22"/>
  <c r="L237" i="22"/>
  <c r="J238" i="22"/>
  <c r="K238" i="22"/>
  <c r="L238" i="22"/>
  <c r="D240" i="22"/>
  <c r="C2253" i="22" s="1"/>
  <c r="E240" i="22"/>
  <c r="D2253" i="22" s="1"/>
  <c r="F240" i="22"/>
  <c r="E2253" i="22" s="1"/>
  <c r="H241" i="22"/>
  <c r="J241" i="22"/>
  <c r="C118" i="22"/>
  <c r="H242" i="22"/>
  <c r="J243" i="22"/>
  <c r="K243" i="22"/>
  <c r="L243" i="22"/>
  <c r="J244" i="22"/>
  <c r="K244" i="22"/>
  <c r="L244" i="22"/>
  <c r="J245" i="22"/>
  <c r="K245" i="22"/>
  <c r="L245" i="22"/>
  <c r="J246" i="22"/>
  <c r="K246" i="22"/>
  <c r="L246" i="22"/>
  <c r="C123" i="22"/>
  <c r="C125" i="22" s="1"/>
  <c r="C126" i="22" s="1"/>
  <c r="C128" i="22" s="1"/>
  <c r="J247" i="22"/>
  <c r="K247" i="22"/>
  <c r="L247" i="22"/>
  <c r="J248" i="22"/>
  <c r="K248" i="22"/>
  <c r="L248" i="22"/>
  <c r="J249" i="22"/>
  <c r="K249" i="22"/>
  <c r="L249" i="22"/>
  <c r="D251" i="22"/>
  <c r="C2254" i="22" s="1"/>
  <c r="E251" i="22"/>
  <c r="D2254" i="22" s="1"/>
  <c r="F251" i="22"/>
  <c r="E2254" i="22"/>
  <c r="H252" i="22"/>
  <c r="J252" i="22"/>
  <c r="H253" i="22"/>
  <c r="J254" i="22"/>
  <c r="K254" i="22"/>
  <c r="L254" i="22"/>
  <c r="J255" i="22"/>
  <c r="K255" i="22"/>
  <c r="L255" i="22"/>
  <c r="J256" i="22"/>
  <c r="K256" i="22"/>
  <c r="L256" i="22"/>
  <c r="J257" i="22"/>
  <c r="K257" i="22"/>
  <c r="L257" i="22"/>
  <c r="H257" i="22" s="1"/>
  <c r="J258" i="22"/>
  <c r="K258" i="22"/>
  <c r="L258" i="22"/>
  <c r="J259" i="22"/>
  <c r="K259" i="22"/>
  <c r="L259" i="22"/>
  <c r="J260" i="22"/>
  <c r="K260" i="22"/>
  <c r="L260" i="22"/>
  <c r="A2248" i="22"/>
  <c r="A2249" i="22"/>
  <c r="D262" i="22"/>
  <c r="C2255" i="22" s="1"/>
  <c r="E262" i="22"/>
  <c r="D2255" i="22" s="1"/>
  <c r="F262" i="22"/>
  <c r="E2255" i="22" s="1"/>
  <c r="A2250" i="22"/>
  <c r="H263" i="22"/>
  <c r="J263" i="22"/>
  <c r="A2251" i="22"/>
  <c r="H264" i="22"/>
  <c r="A2252" i="22"/>
  <c r="J265" i="22"/>
  <c r="K265" i="22"/>
  <c r="L265" i="22"/>
  <c r="A2253" i="22"/>
  <c r="J266" i="22"/>
  <c r="K266" i="22"/>
  <c r="L266" i="22"/>
  <c r="A2254" i="22"/>
  <c r="J267" i="22"/>
  <c r="K267" i="22"/>
  <c r="L267" i="22"/>
  <c r="A2255" i="22"/>
  <c r="J268" i="22"/>
  <c r="K268" i="22"/>
  <c r="L268" i="22"/>
  <c r="A2256" i="22"/>
  <c r="J269" i="22"/>
  <c r="K269" i="22"/>
  <c r="L269" i="22"/>
  <c r="A2257" i="22"/>
  <c r="J270" i="22"/>
  <c r="K270" i="22"/>
  <c r="L270" i="22"/>
  <c r="A2258" i="22"/>
  <c r="J271" i="22"/>
  <c r="K271" i="22"/>
  <c r="L271" i="22"/>
  <c r="A2259" i="22"/>
  <c r="A2260" i="22"/>
  <c r="D273" i="22"/>
  <c r="C2256" i="22" s="1"/>
  <c r="E273" i="22"/>
  <c r="D2256" i="22" s="1"/>
  <c r="F273" i="22"/>
  <c r="E2256" i="22" s="1"/>
  <c r="A2261" i="22"/>
  <c r="H274" i="22"/>
  <c r="J274" i="22"/>
  <c r="A2262" i="22"/>
  <c r="H275" i="22"/>
  <c r="A2263" i="22"/>
  <c r="J276" i="22"/>
  <c r="K276" i="22"/>
  <c r="L276" i="22"/>
  <c r="A2264" i="22"/>
  <c r="J277" i="22"/>
  <c r="K277" i="22"/>
  <c r="L277" i="22"/>
  <c r="A2265" i="22"/>
  <c r="J278" i="22"/>
  <c r="K278" i="22"/>
  <c r="L278" i="22"/>
  <c r="A2266" i="22"/>
  <c r="J279" i="22"/>
  <c r="K279" i="22"/>
  <c r="L279" i="22"/>
  <c r="A2267" i="22"/>
  <c r="J280" i="22"/>
  <c r="A2268" i="22"/>
  <c r="J281" i="22"/>
  <c r="K281" i="22"/>
  <c r="L281" i="22"/>
  <c r="A2269" i="22"/>
  <c r="J282" i="22"/>
  <c r="K282" i="22"/>
  <c r="L282" i="22"/>
  <c r="A2270" i="22"/>
  <c r="A2271" i="22"/>
  <c r="D284" i="22"/>
  <c r="C2257" i="22" s="1"/>
  <c r="A2272" i="22"/>
  <c r="H285" i="22"/>
  <c r="J285" i="22"/>
  <c r="A2273" i="22"/>
  <c r="H286" i="22"/>
  <c r="A2274" i="22"/>
  <c r="J287" i="22"/>
  <c r="K287" i="22"/>
  <c r="L287" i="22"/>
  <c r="A2275" i="22"/>
  <c r="J288" i="22"/>
  <c r="K288" i="22"/>
  <c r="L288" i="22"/>
  <c r="A2276" i="22"/>
  <c r="J289" i="22"/>
  <c r="K289" i="22"/>
  <c r="L289" i="22"/>
  <c r="A2277" i="22"/>
  <c r="J290" i="22"/>
  <c r="H290" i="22" s="1"/>
  <c r="K290" i="22"/>
  <c r="L290" i="22"/>
  <c r="A2278" i="22"/>
  <c r="J291" i="22"/>
  <c r="A2279" i="22"/>
  <c r="J292" i="22"/>
  <c r="K292" i="22"/>
  <c r="L292" i="22"/>
  <c r="A2280" i="22"/>
  <c r="J293" i="22"/>
  <c r="K293" i="22"/>
  <c r="L293" i="22"/>
  <c r="A2281" i="22"/>
  <c r="A2282" i="22"/>
  <c r="D295" i="22"/>
  <c r="C2258" i="22" s="1"/>
  <c r="E295" i="22"/>
  <c r="D2258" i="22" s="1"/>
  <c r="F295" i="22"/>
  <c r="E2258" i="22" s="1"/>
  <c r="A2283" i="22"/>
  <c r="H296" i="22"/>
  <c r="J296" i="22"/>
  <c r="A2284" i="22"/>
  <c r="H297" i="22"/>
  <c r="A2285" i="22"/>
  <c r="J298" i="22"/>
  <c r="K298" i="22"/>
  <c r="L298" i="22"/>
  <c r="A2286" i="22"/>
  <c r="J299" i="22"/>
  <c r="K299" i="22"/>
  <c r="L299" i="22"/>
  <c r="A2287" i="22"/>
  <c r="J300" i="22"/>
  <c r="K300" i="22"/>
  <c r="L300" i="22"/>
  <c r="A2288" i="22"/>
  <c r="J301" i="22"/>
  <c r="K301" i="22"/>
  <c r="L301" i="22"/>
  <c r="A2289" i="22"/>
  <c r="J302" i="22"/>
  <c r="K302" i="22"/>
  <c r="L302" i="22"/>
  <c r="A2290" i="22"/>
  <c r="J303" i="22"/>
  <c r="K303" i="22"/>
  <c r="L303" i="22"/>
  <c r="A2291" i="22"/>
  <c r="J304" i="22"/>
  <c r="K304" i="22"/>
  <c r="L304" i="22"/>
  <c r="D306" i="22"/>
  <c r="C2259" i="22" s="1"/>
  <c r="E306" i="22"/>
  <c r="D2259" i="22" s="1"/>
  <c r="F306" i="22"/>
  <c r="E2259" i="22" s="1"/>
  <c r="H307" i="22"/>
  <c r="J307" i="22"/>
  <c r="H308" i="22"/>
  <c r="J309" i="22"/>
  <c r="K309" i="22"/>
  <c r="L309" i="22"/>
  <c r="J310" i="22"/>
  <c r="K310" i="22"/>
  <c r="L310" i="22"/>
  <c r="J311" i="22"/>
  <c r="K311" i="22"/>
  <c r="L311" i="22"/>
  <c r="J312" i="22"/>
  <c r="K312" i="22"/>
  <c r="L312" i="22"/>
  <c r="J313" i="22"/>
  <c r="K313" i="22"/>
  <c r="L313" i="22"/>
  <c r="J314" i="22"/>
  <c r="K314" i="22"/>
  <c r="L314" i="22"/>
  <c r="H314" i="22" s="1"/>
  <c r="J315" i="22"/>
  <c r="K315" i="22"/>
  <c r="L315" i="22"/>
  <c r="D317" i="22"/>
  <c r="C2260" i="22" s="1"/>
  <c r="E317" i="22"/>
  <c r="D2260" i="22" s="1"/>
  <c r="F317" i="22"/>
  <c r="E2260" i="22" s="1"/>
  <c r="H318" i="22"/>
  <c r="J318" i="22"/>
  <c r="H319" i="22"/>
  <c r="J320" i="22"/>
  <c r="K320" i="22"/>
  <c r="L320" i="22"/>
  <c r="J321" i="22"/>
  <c r="K321" i="22"/>
  <c r="L321" i="22"/>
  <c r="J322" i="22"/>
  <c r="K322" i="22"/>
  <c r="L322" i="22"/>
  <c r="J323" i="22"/>
  <c r="K323" i="22"/>
  <c r="L323" i="22"/>
  <c r="J324" i="22"/>
  <c r="K324" i="22"/>
  <c r="L324" i="22"/>
  <c r="J325" i="22"/>
  <c r="K325" i="22"/>
  <c r="L325" i="22"/>
  <c r="J326" i="22"/>
  <c r="K326" i="22"/>
  <c r="L326" i="22"/>
  <c r="B327" i="22"/>
  <c r="C328" i="22"/>
  <c r="D328" i="22"/>
  <c r="C2261" i="22" s="1"/>
  <c r="E328" i="22"/>
  <c r="D2261" i="22" s="1"/>
  <c r="F328" i="22"/>
  <c r="E2261" i="22" s="1"/>
  <c r="H329" i="22"/>
  <c r="J329" i="22"/>
  <c r="H330" i="22"/>
  <c r="J331" i="22"/>
  <c r="K331" i="22"/>
  <c r="L331" i="22"/>
  <c r="J332" i="22"/>
  <c r="K332" i="22"/>
  <c r="L332" i="22"/>
  <c r="J333" i="22"/>
  <c r="K333" i="22"/>
  <c r="L333" i="22"/>
  <c r="J334" i="22"/>
  <c r="K334" i="22"/>
  <c r="L334" i="22"/>
  <c r="J335" i="22"/>
  <c r="K335" i="22"/>
  <c r="L335" i="22"/>
  <c r="J336" i="22"/>
  <c r="K336" i="22"/>
  <c r="L336" i="22"/>
  <c r="J337" i="22"/>
  <c r="K337" i="22"/>
  <c r="L337" i="22"/>
  <c r="C339" i="22"/>
  <c r="D339" i="22"/>
  <c r="C2262" i="22" s="1"/>
  <c r="E339" i="22"/>
  <c r="D2262" i="22" s="1"/>
  <c r="F339" i="22"/>
  <c r="E2262" i="22" s="1"/>
  <c r="H340" i="22"/>
  <c r="J340" i="22"/>
  <c r="H341" i="22"/>
  <c r="J342" i="22"/>
  <c r="K342" i="22"/>
  <c r="L342" i="22"/>
  <c r="J343" i="22"/>
  <c r="K343" i="22"/>
  <c r="L343" i="22"/>
  <c r="J344" i="22"/>
  <c r="H344" i="22" s="1"/>
  <c r="K344" i="22"/>
  <c r="L344" i="22"/>
  <c r="J345" i="22"/>
  <c r="K345" i="22"/>
  <c r="L345" i="22"/>
  <c r="J346" i="22"/>
  <c r="K346" i="22"/>
  <c r="L346" i="22"/>
  <c r="J347" i="22"/>
  <c r="K347" i="22"/>
  <c r="L347" i="22"/>
  <c r="J348" i="22"/>
  <c r="K348" i="22"/>
  <c r="L348" i="22"/>
  <c r="D350" i="22"/>
  <c r="C2263" i="22" s="1"/>
  <c r="E350" i="22"/>
  <c r="D2263" i="22" s="1"/>
  <c r="F350" i="22"/>
  <c r="E2263" i="22" s="1"/>
  <c r="H351" i="22"/>
  <c r="J351" i="22"/>
  <c r="H352" i="22"/>
  <c r="J353" i="22"/>
  <c r="K353" i="22"/>
  <c r="L353" i="22"/>
  <c r="J354" i="22"/>
  <c r="K354" i="22"/>
  <c r="L354" i="22"/>
  <c r="J355" i="22"/>
  <c r="K355" i="22"/>
  <c r="L355" i="22"/>
  <c r="J356" i="22"/>
  <c r="K356" i="22"/>
  <c r="L356" i="22"/>
  <c r="J357" i="22"/>
  <c r="K357" i="22"/>
  <c r="L357" i="22"/>
  <c r="J358" i="22"/>
  <c r="K358" i="22"/>
  <c r="L358" i="22"/>
  <c r="J359" i="22"/>
  <c r="K359" i="22"/>
  <c r="L359" i="22"/>
  <c r="D361" i="22"/>
  <c r="C2264" i="22" s="1"/>
  <c r="E361" i="22"/>
  <c r="D2264" i="22" s="1"/>
  <c r="F361" i="22"/>
  <c r="E2264" i="22"/>
  <c r="H362" i="22"/>
  <c r="J362" i="22"/>
  <c r="H363" i="22"/>
  <c r="J364" i="22"/>
  <c r="K364" i="22"/>
  <c r="L364" i="22"/>
  <c r="J365" i="22"/>
  <c r="K365" i="22"/>
  <c r="L365" i="22"/>
  <c r="J366" i="22"/>
  <c r="K366" i="22"/>
  <c r="L366" i="22"/>
  <c r="J367" i="22"/>
  <c r="K367" i="22"/>
  <c r="L367" i="22"/>
  <c r="J368" i="22"/>
  <c r="K368" i="22"/>
  <c r="L368" i="22"/>
  <c r="J369" i="22"/>
  <c r="K369" i="22"/>
  <c r="L369" i="22"/>
  <c r="J370" i="22"/>
  <c r="K370" i="22"/>
  <c r="L370" i="22"/>
  <c r="D372" i="22"/>
  <c r="C2265" i="22" s="1"/>
  <c r="E372" i="22"/>
  <c r="D2265" i="22" s="1"/>
  <c r="B1477" i="22"/>
  <c r="F372" i="22"/>
  <c r="E2265" i="22" s="1"/>
  <c r="H373" i="22"/>
  <c r="J373" i="22"/>
  <c r="H374" i="22"/>
  <c r="K375" i="22"/>
  <c r="L375" i="22"/>
  <c r="J376" i="22"/>
  <c r="K376" i="22"/>
  <c r="L376" i="22"/>
  <c r="K377" i="22"/>
  <c r="L377" i="22"/>
  <c r="J378" i="22"/>
  <c r="K378" i="22"/>
  <c r="L378" i="22"/>
  <c r="J379" i="22"/>
  <c r="K379" i="22"/>
  <c r="L379" i="22"/>
  <c r="J380" i="22"/>
  <c r="K380" i="22"/>
  <c r="L380" i="22"/>
  <c r="J381" i="22"/>
  <c r="K381" i="22"/>
  <c r="L381" i="22"/>
  <c r="E383" i="22"/>
  <c r="D2266" i="22" s="1"/>
  <c r="F383" i="22"/>
  <c r="E2266" i="22" s="1"/>
  <c r="H384" i="22"/>
  <c r="J384" i="22"/>
  <c r="H385" i="22"/>
  <c r="K386" i="22"/>
  <c r="L386" i="22"/>
  <c r="J387" i="22"/>
  <c r="K387" i="22"/>
  <c r="L387" i="22"/>
  <c r="K388" i="22"/>
  <c r="L388" i="22"/>
  <c r="J389" i="22"/>
  <c r="K389" i="22"/>
  <c r="L389" i="22"/>
  <c r="J390" i="22"/>
  <c r="K390" i="22"/>
  <c r="L390" i="22"/>
  <c r="J391" i="22"/>
  <c r="K391" i="22"/>
  <c r="L391" i="22"/>
  <c r="J392" i="22"/>
  <c r="K392" i="22"/>
  <c r="L392" i="22"/>
  <c r="D394" i="22"/>
  <c r="C2267" i="22" s="1"/>
  <c r="E394" i="22"/>
  <c r="D2267" i="22" s="1"/>
  <c r="F394" i="22"/>
  <c r="E2267" i="22" s="1"/>
  <c r="H395" i="22"/>
  <c r="J395" i="22"/>
  <c r="H396" i="22"/>
  <c r="J397" i="22"/>
  <c r="K397" i="22"/>
  <c r="L397" i="22"/>
  <c r="J398" i="22"/>
  <c r="K398" i="22"/>
  <c r="L398" i="22"/>
  <c r="H398" i="22" s="1"/>
  <c r="J399" i="22"/>
  <c r="K399" i="22"/>
  <c r="L399" i="22"/>
  <c r="J400" i="22"/>
  <c r="K400" i="22"/>
  <c r="L400" i="22"/>
  <c r="J401" i="22"/>
  <c r="K401" i="22"/>
  <c r="L401" i="22"/>
  <c r="J402" i="22"/>
  <c r="K402" i="22"/>
  <c r="L402" i="22"/>
  <c r="J403" i="22"/>
  <c r="K403" i="22"/>
  <c r="L403" i="22"/>
  <c r="D405" i="22"/>
  <c r="C2268" i="22" s="1"/>
  <c r="E405" i="22"/>
  <c r="D2268" i="22" s="1"/>
  <c r="F405" i="22"/>
  <c r="E2268" i="22" s="1"/>
  <c r="H406" i="22"/>
  <c r="J406" i="22"/>
  <c r="H407" i="22"/>
  <c r="J408" i="22"/>
  <c r="K408" i="22"/>
  <c r="L408" i="22"/>
  <c r="J409" i="22"/>
  <c r="K409" i="22"/>
  <c r="L409" i="22"/>
  <c r="J410" i="22"/>
  <c r="K410" i="22"/>
  <c r="H410" i="22" s="1"/>
  <c r="L410" i="22"/>
  <c r="J411" i="22"/>
  <c r="K411" i="22"/>
  <c r="L411" i="22"/>
  <c r="J412" i="22"/>
  <c r="K412" i="22"/>
  <c r="L412" i="22"/>
  <c r="J413" i="22"/>
  <c r="K413" i="22"/>
  <c r="L413" i="22"/>
  <c r="J414" i="22"/>
  <c r="K414" i="22"/>
  <c r="L414" i="22"/>
  <c r="D416" i="22"/>
  <c r="C2269" i="22" s="1"/>
  <c r="E416" i="22"/>
  <c r="D2269" i="22" s="1"/>
  <c r="F416" i="22"/>
  <c r="E2269" i="22" s="1"/>
  <c r="H417" i="22"/>
  <c r="J417" i="22"/>
  <c r="H418" i="22"/>
  <c r="J419" i="22"/>
  <c r="K419" i="22"/>
  <c r="L419" i="22"/>
  <c r="J420" i="22"/>
  <c r="K420" i="22"/>
  <c r="L420" i="22"/>
  <c r="J421" i="22"/>
  <c r="K421" i="22"/>
  <c r="L421" i="22"/>
  <c r="J422" i="22"/>
  <c r="K422" i="22"/>
  <c r="L422" i="22"/>
  <c r="J423" i="22"/>
  <c r="K423" i="22"/>
  <c r="L423" i="22"/>
  <c r="J424" i="22"/>
  <c r="K424" i="22"/>
  <c r="H424" i="22" s="1"/>
  <c r="L424" i="22"/>
  <c r="J425" i="22"/>
  <c r="K425" i="22"/>
  <c r="L425" i="22"/>
  <c r="D427" i="22"/>
  <c r="C2270" i="22" s="1"/>
  <c r="E427" i="22"/>
  <c r="D2270" i="22" s="1"/>
  <c r="F427" i="22"/>
  <c r="E2270" i="22" s="1"/>
  <c r="H428" i="22"/>
  <c r="J428" i="22"/>
  <c r="H429" i="22"/>
  <c r="J430" i="22"/>
  <c r="K430" i="22"/>
  <c r="L430" i="22"/>
  <c r="J431" i="22"/>
  <c r="K431" i="22"/>
  <c r="L431" i="22"/>
  <c r="J432" i="22"/>
  <c r="K432" i="22"/>
  <c r="L432" i="22"/>
  <c r="J433" i="22"/>
  <c r="K433" i="22"/>
  <c r="L433" i="22"/>
  <c r="J434" i="22"/>
  <c r="K434" i="22"/>
  <c r="L434" i="22"/>
  <c r="J435" i="22"/>
  <c r="K435" i="22"/>
  <c r="L435" i="22"/>
  <c r="J436" i="22"/>
  <c r="K436" i="22"/>
  <c r="L436" i="22"/>
  <c r="D438" i="22"/>
  <c r="C2271" i="22" s="1"/>
  <c r="E438" i="22"/>
  <c r="D2271" i="22" s="1"/>
  <c r="F438" i="22"/>
  <c r="E2271" i="22" s="1"/>
  <c r="H439" i="22"/>
  <c r="J439" i="22"/>
  <c r="H440" i="22"/>
  <c r="J441" i="22"/>
  <c r="K441" i="22"/>
  <c r="L441" i="22"/>
  <c r="J442" i="22"/>
  <c r="K442" i="22"/>
  <c r="L442" i="22"/>
  <c r="J443" i="22"/>
  <c r="K443" i="22"/>
  <c r="L443" i="22"/>
  <c r="J444" i="22"/>
  <c r="K444" i="22"/>
  <c r="L444" i="22"/>
  <c r="J445" i="22"/>
  <c r="K445" i="22"/>
  <c r="L445" i="22"/>
  <c r="J446" i="22"/>
  <c r="K446" i="22"/>
  <c r="L446" i="22"/>
  <c r="J447" i="22"/>
  <c r="K447" i="22"/>
  <c r="L447" i="22"/>
  <c r="D449" i="22"/>
  <c r="C2272" i="22" s="1"/>
  <c r="E449" i="22"/>
  <c r="D2272" i="22" s="1"/>
  <c r="F449" i="22"/>
  <c r="E2272" i="22" s="1"/>
  <c r="H450" i="22"/>
  <c r="J450" i="22"/>
  <c r="H451" i="22"/>
  <c r="J452" i="22"/>
  <c r="K452" i="22"/>
  <c r="L452" i="22"/>
  <c r="J453" i="22"/>
  <c r="K453" i="22"/>
  <c r="L453" i="22"/>
  <c r="J454" i="22"/>
  <c r="K454" i="22"/>
  <c r="L454" i="22"/>
  <c r="J455" i="22"/>
  <c r="K455" i="22"/>
  <c r="L455" i="22"/>
  <c r="J456" i="22"/>
  <c r="K456" i="22"/>
  <c r="L456" i="22"/>
  <c r="J457" i="22"/>
  <c r="K457" i="22"/>
  <c r="L457" i="22"/>
  <c r="J458" i="22"/>
  <c r="K458" i="22"/>
  <c r="L458" i="22"/>
  <c r="D460" i="22"/>
  <c r="C2273" i="22" s="1"/>
  <c r="E460" i="22"/>
  <c r="D2273" i="22" s="1"/>
  <c r="F460" i="22"/>
  <c r="E2273" i="22" s="1"/>
  <c r="H461" i="22"/>
  <c r="J461" i="22"/>
  <c r="H462" i="22"/>
  <c r="J463" i="22"/>
  <c r="K463" i="22"/>
  <c r="L463" i="22"/>
  <c r="J464" i="22"/>
  <c r="K464" i="22"/>
  <c r="L464" i="22"/>
  <c r="J465" i="22"/>
  <c r="K465" i="22"/>
  <c r="L465" i="22"/>
  <c r="J466" i="22"/>
  <c r="K466" i="22"/>
  <c r="L466" i="22"/>
  <c r="J467" i="22"/>
  <c r="K467" i="22"/>
  <c r="L467" i="22"/>
  <c r="J468" i="22"/>
  <c r="K468" i="22"/>
  <c r="L468" i="22"/>
  <c r="J469" i="22"/>
  <c r="K469" i="22"/>
  <c r="L469" i="22"/>
  <c r="D471" i="22"/>
  <c r="C2274" i="22" s="1"/>
  <c r="E471" i="22"/>
  <c r="D2274" i="22" s="1"/>
  <c r="F471" i="22"/>
  <c r="E2274" i="22" s="1"/>
  <c r="H472" i="22"/>
  <c r="J472" i="22"/>
  <c r="H473" i="22"/>
  <c r="J474" i="22"/>
  <c r="K474" i="22"/>
  <c r="L474" i="22"/>
  <c r="J475" i="22"/>
  <c r="K475" i="22"/>
  <c r="L475" i="22"/>
  <c r="J476" i="22"/>
  <c r="K476" i="22"/>
  <c r="L476" i="22"/>
  <c r="J477" i="22"/>
  <c r="K477" i="22"/>
  <c r="L477" i="22"/>
  <c r="J478" i="22"/>
  <c r="K478" i="22"/>
  <c r="L478" i="22"/>
  <c r="J479" i="22"/>
  <c r="K479" i="22"/>
  <c r="L479" i="22"/>
  <c r="J480" i="22"/>
  <c r="K480" i="22"/>
  <c r="L480" i="22"/>
  <c r="D482" i="22"/>
  <c r="C2275" i="22" s="1"/>
  <c r="E482" i="22"/>
  <c r="D2275" i="22" s="1"/>
  <c r="F482" i="22"/>
  <c r="E2275" i="22" s="1"/>
  <c r="H483" i="22"/>
  <c r="J483" i="22"/>
  <c r="H484" i="22"/>
  <c r="J485" i="22"/>
  <c r="K485" i="22"/>
  <c r="L485" i="22"/>
  <c r="J486" i="22"/>
  <c r="K486" i="22"/>
  <c r="L486" i="22"/>
  <c r="H486" i="22" s="1"/>
  <c r="J487" i="22"/>
  <c r="K487" i="22"/>
  <c r="L487" i="22"/>
  <c r="J488" i="22"/>
  <c r="K488" i="22"/>
  <c r="L488" i="22"/>
  <c r="J489" i="22"/>
  <c r="K489" i="22"/>
  <c r="L489" i="22"/>
  <c r="J490" i="22"/>
  <c r="K490" i="22"/>
  <c r="L490" i="22"/>
  <c r="H490" i="22" s="1"/>
  <c r="J491" i="22"/>
  <c r="K491" i="22"/>
  <c r="L491" i="22"/>
  <c r="D493" i="22"/>
  <c r="C2276" i="22" s="1"/>
  <c r="E493" i="22"/>
  <c r="D2276" i="22" s="1"/>
  <c r="F493" i="22"/>
  <c r="E2276" i="22" s="1"/>
  <c r="H494" i="22"/>
  <c r="J494" i="22"/>
  <c r="H495" i="22"/>
  <c r="J496" i="22"/>
  <c r="K496" i="22"/>
  <c r="L496" i="22"/>
  <c r="J497" i="22"/>
  <c r="K497" i="22"/>
  <c r="L497" i="22"/>
  <c r="J498" i="22"/>
  <c r="K498" i="22"/>
  <c r="L498" i="22"/>
  <c r="J499" i="22"/>
  <c r="K499" i="22"/>
  <c r="L499" i="22"/>
  <c r="J500" i="22"/>
  <c r="K500" i="22"/>
  <c r="L500" i="22"/>
  <c r="J501" i="22"/>
  <c r="K501" i="22"/>
  <c r="L501" i="22"/>
  <c r="J502" i="22"/>
  <c r="K502" i="22"/>
  <c r="L502" i="22"/>
  <c r="D504" i="22"/>
  <c r="C2277" i="22" s="1"/>
  <c r="E504" i="22"/>
  <c r="D2277" i="22" s="1"/>
  <c r="F504" i="22"/>
  <c r="E2277" i="22" s="1"/>
  <c r="H505" i="22"/>
  <c r="J505" i="22"/>
  <c r="H506" i="22"/>
  <c r="J507" i="22"/>
  <c r="K507" i="22"/>
  <c r="L507" i="22"/>
  <c r="J508" i="22"/>
  <c r="K508" i="22"/>
  <c r="L508" i="22"/>
  <c r="J509" i="22"/>
  <c r="K509" i="22"/>
  <c r="L509" i="22"/>
  <c r="J510" i="22"/>
  <c r="K510" i="22"/>
  <c r="L510" i="22"/>
  <c r="J511" i="22"/>
  <c r="H511" i="22" s="1"/>
  <c r="K511" i="22"/>
  <c r="L511" i="22"/>
  <c r="J512" i="22"/>
  <c r="K512" i="22"/>
  <c r="L512" i="22"/>
  <c r="J513" i="22"/>
  <c r="K513" i="22"/>
  <c r="L513" i="22"/>
  <c r="D515" i="22"/>
  <c r="C2278" i="22" s="1"/>
  <c r="E515" i="22"/>
  <c r="D2278" i="22" s="1"/>
  <c r="F515" i="22"/>
  <c r="E2278" i="22" s="1"/>
  <c r="H516" i="22"/>
  <c r="J516" i="22"/>
  <c r="H517" i="22"/>
  <c r="J518" i="22"/>
  <c r="K518" i="22"/>
  <c r="L518" i="22"/>
  <c r="J519" i="22"/>
  <c r="K519" i="22"/>
  <c r="L519" i="22"/>
  <c r="J520" i="22"/>
  <c r="K520" i="22"/>
  <c r="L520" i="22"/>
  <c r="J521" i="22"/>
  <c r="K521" i="22"/>
  <c r="L521" i="22"/>
  <c r="J522" i="22"/>
  <c r="K522" i="22"/>
  <c r="L522" i="22"/>
  <c r="J523" i="22"/>
  <c r="K523" i="22"/>
  <c r="L523" i="22"/>
  <c r="J524" i="22"/>
  <c r="K524" i="22"/>
  <c r="L524" i="22"/>
  <c r="D526" i="22"/>
  <c r="C2279" i="22" s="1"/>
  <c r="E526" i="22"/>
  <c r="D2279" i="22" s="1"/>
  <c r="F526" i="22"/>
  <c r="E2279" i="22" s="1"/>
  <c r="H527" i="22"/>
  <c r="J527" i="22"/>
  <c r="H528" i="22"/>
  <c r="J529" i="22"/>
  <c r="K529" i="22"/>
  <c r="L529" i="22"/>
  <c r="H529" i="22" s="1"/>
  <c r="J530" i="22"/>
  <c r="K530" i="22"/>
  <c r="L530" i="22"/>
  <c r="J531" i="22"/>
  <c r="K531" i="22"/>
  <c r="L531" i="22"/>
  <c r="J532" i="22"/>
  <c r="K532" i="22"/>
  <c r="L532" i="22"/>
  <c r="J533" i="22"/>
  <c r="K533" i="22"/>
  <c r="L533" i="22"/>
  <c r="J534" i="22"/>
  <c r="K534" i="22"/>
  <c r="L534" i="22"/>
  <c r="J535" i="22"/>
  <c r="K535" i="22"/>
  <c r="L535" i="22"/>
  <c r="D537" i="22"/>
  <c r="C2280" i="22" s="1"/>
  <c r="E537" i="22"/>
  <c r="D2280" i="22" s="1"/>
  <c r="F537" i="22"/>
  <c r="E2280" i="22" s="1"/>
  <c r="H538" i="22"/>
  <c r="J538" i="22"/>
  <c r="H539" i="22"/>
  <c r="J540" i="22"/>
  <c r="K540" i="22"/>
  <c r="L540" i="22"/>
  <c r="J541" i="22"/>
  <c r="K541" i="22"/>
  <c r="L541" i="22"/>
  <c r="J542" i="22"/>
  <c r="K542" i="22"/>
  <c r="L542" i="22"/>
  <c r="J543" i="22"/>
  <c r="K543" i="22"/>
  <c r="L543" i="22"/>
  <c r="J544" i="22"/>
  <c r="K544" i="22"/>
  <c r="L544" i="22"/>
  <c r="J545" i="22"/>
  <c r="K545" i="22"/>
  <c r="L545" i="22"/>
  <c r="J546" i="22"/>
  <c r="K546" i="22"/>
  <c r="L546" i="22"/>
  <c r="D548" i="22"/>
  <c r="C2281" i="22" s="1"/>
  <c r="E548" i="22"/>
  <c r="D2281" i="22" s="1"/>
  <c r="F548" i="22"/>
  <c r="E2281" i="22" s="1"/>
  <c r="H549" i="22"/>
  <c r="J549" i="22"/>
  <c r="H550" i="22"/>
  <c r="J551" i="22"/>
  <c r="K551" i="22"/>
  <c r="L551" i="22"/>
  <c r="J552" i="22"/>
  <c r="K552" i="22"/>
  <c r="L552" i="22"/>
  <c r="J553" i="22"/>
  <c r="K553" i="22"/>
  <c r="L553" i="22"/>
  <c r="J554" i="22"/>
  <c r="K554" i="22"/>
  <c r="L554" i="22"/>
  <c r="J555" i="22"/>
  <c r="K555" i="22"/>
  <c r="L555" i="22"/>
  <c r="J556" i="22"/>
  <c r="K556" i="22"/>
  <c r="L556" i="22"/>
  <c r="J557" i="22"/>
  <c r="K557" i="22"/>
  <c r="L557" i="22"/>
  <c r="D559" i="22"/>
  <c r="C2282" i="22" s="1"/>
  <c r="E559" i="22"/>
  <c r="D2282" i="22" s="1"/>
  <c r="F559" i="22"/>
  <c r="E2282" i="22" s="1"/>
  <c r="H560" i="22"/>
  <c r="J560" i="22"/>
  <c r="H561" i="22"/>
  <c r="J562" i="22"/>
  <c r="K562" i="22"/>
  <c r="L562" i="22"/>
  <c r="J563" i="22"/>
  <c r="K563" i="22"/>
  <c r="L563" i="22"/>
  <c r="J564" i="22"/>
  <c r="K564" i="22"/>
  <c r="L564" i="22"/>
  <c r="J565" i="22"/>
  <c r="K565" i="22"/>
  <c r="L565" i="22"/>
  <c r="J566" i="22"/>
  <c r="K566" i="22"/>
  <c r="L566" i="22"/>
  <c r="J567" i="22"/>
  <c r="K567" i="22"/>
  <c r="L567" i="22"/>
  <c r="J568" i="22"/>
  <c r="K568" i="22"/>
  <c r="L568" i="22"/>
  <c r="D570" i="22"/>
  <c r="C2283" i="22" s="1"/>
  <c r="E570" i="22"/>
  <c r="D2283" i="22" s="1"/>
  <c r="F570" i="22"/>
  <c r="E2283" i="22" s="1"/>
  <c r="H571" i="22"/>
  <c r="J571" i="22"/>
  <c r="H572" i="22"/>
  <c r="J573" i="22"/>
  <c r="K573" i="22"/>
  <c r="L573" i="22"/>
  <c r="J574" i="22"/>
  <c r="K574" i="22"/>
  <c r="L574" i="22"/>
  <c r="J575" i="22"/>
  <c r="K575" i="22"/>
  <c r="L575" i="22"/>
  <c r="J576" i="22"/>
  <c r="K576" i="22"/>
  <c r="L576" i="22"/>
  <c r="J577" i="22"/>
  <c r="K577" i="22"/>
  <c r="L577" i="22"/>
  <c r="J578" i="22"/>
  <c r="K578" i="22"/>
  <c r="L578" i="22"/>
  <c r="J579" i="22"/>
  <c r="K579" i="22"/>
  <c r="L579" i="22"/>
  <c r="D581" i="22"/>
  <c r="C2284" i="22" s="1"/>
  <c r="E581" i="22"/>
  <c r="D2284" i="22" s="1"/>
  <c r="F581" i="22"/>
  <c r="E2284" i="22" s="1"/>
  <c r="H582" i="22"/>
  <c r="J582" i="22"/>
  <c r="H583" i="22"/>
  <c r="J584" i="22"/>
  <c r="K584" i="22"/>
  <c r="L584" i="22"/>
  <c r="J585" i="22"/>
  <c r="K585" i="22"/>
  <c r="L585" i="22"/>
  <c r="J586" i="22"/>
  <c r="K586" i="22"/>
  <c r="L586" i="22"/>
  <c r="J587" i="22"/>
  <c r="K587" i="22"/>
  <c r="L587" i="22"/>
  <c r="J588" i="22"/>
  <c r="K588" i="22"/>
  <c r="L588" i="22"/>
  <c r="J589" i="22"/>
  <c r="K589" i="22"/>
  <c r="L589" i="22"/>
  <c r="J590" i="22"/>
  <c r="K590" i="22"/>
  <c r="L590" i="22"/>
  <c r="D592" i="22"/>
  <c r="C2285" i="22" s="1"/>
  <c r="E592" i="22"/>
  <c r="D2285" i="22" s="1"/>
  <c r="F592" i="22"/>
  <c r="E2285" i="22" s="1"/>
  <c r="H593" i="22"/>
  <c r="J593" i="22"/>
  <c r="H594" i="22"/>
  <c r="J595" i="22"/>
  <c r="K595" i="22"/>
  <c r="L595" i="22"/>
  <c r="J596" i="22"/>
  <c r="K596" i="22"/>
  <c r="L596" i="22"/>
  <c r="J597" i="22"/>
  <c r="K597" i="22"/>
  <c r="L597" i="22"/>
  <c r="J598" i="22"/>
  <c r="K598" i="22"/>
  <c r="L598" i="22"/>
  <c r="J599" i="22"/>
  <c r="K599" i="22"/>
  <c r="L599" i="22"/>
  <c r="J600" i="22"/>
  <c r="K600" i="22"/>
  <c r="L600" i="22"/>
  <c r="J601" i="22"/>
  <c r="K601" i="22"/>
  <c r="L601" i="22"/>
  <c r="D603" i="22"/>
  <c r="C2286" i="22" s="1"/>
  <c r="E603" i="22"/>
  <c r="D2286" i="22" s="1"/>
  <c r="F603" i="22"/>
  <c r="E2286" i="22" s="1"/>
  <c r="H604" i="22"/>
  <c r="J604" i="22"/>
  <c r="H605" i="22"/>
  <c r="J606" i="22"/>
  <c r="L606" i="22"/>
  <c r="J607" i="22"/>
  <c r="L607" i="22"/>
  <c r="J608" i="22"/>
  <c r="L608" i="22"/>
  <c r="J609" i="22"/>
  <c r="L609" i="22"/>
  <c r="J611" i="22"/>
  <c r="L611" i="22"/>
  <c r="D614" i="22"/>
  <c r="C2287" i="22" s="1"/>
  <c r="E614" i="22"/>
  <c r="D2287" i="22"/>
  <c r="F614" i="22"/>
  <c r="E2287" i="22" s="1"/>
  <c r="H615" i="22"/>
  <c r="J615" i="22"/>
  <c r="H616" i="22"/>
  <c r="J617" i="22"/>
  <c r="K617" i="22"/>
  <c r="L617" i="22"/>
  <c r="J618" i="22"/>
  <c r="K618" i="22"/>
  <c r="L618" i="22"/>
  <c r="J619" i="22"/>
  <c r="K619" i="22"/>
  <c r="L619" i="22"/>
  <c r="J620" i="22"/>
  <c r="K620" i="22"/>
  <c r="L620" i="22"/>
  <c r="J621" i="22"/>
  <c r="K621" i="22"/>
  <c r="L621" i="22"/>
  <c r="J622" i="22"/>
  <c r="K622" i="22"/>
  <c r="L622" i="22"/>
  <c r="J623" i="22"/>
  <c r="K623" i="22"/>
  <c r="L623" i="22"/>
  <c r="D625" i="22"/>
  <c r="C2288" i="22" s="1"/>
  <c r="E625" i="22"/>
  <c r="D2288" i="22" s="1"/>
  <c r="F625" i="22"/>
  <c r="E2288" i="22" s="1"/>
  <c r="H626" i="22"/>
  <c r="J626" i="22"/>
  <c r="H627" i="22"/>
  <c r="J628" i="22"/>
  <c r="K628" i="22"/>
  <c r="L628" i="22"/>
  <c r="J629" i="22"/>
  <c r="K629" i="22"/>
  <c r="L629" i="22"/>
  <c r="J630" i="22"/>
  <c r="K630" i="22"/>
  <c r="L630" i="22"/>
  <c r="J631" i="22"/>
  <c r="K631" i="22"/>
  <c r="L631" i="22"/>
  <c r="J632" i="22"/>
  <c r="K632" i="22"/>
  <c r="L632" i="22"/>
  <c r="J633" i="22"/>
  <c r="K633" i="22"/>
  <c r="L633" i="22"/>
  <c r="J634" i="22"/>
  <c r="K634" i="22"/>
  <c r="L634" i="22"/>
  <c r="D636" i="22"/>
  <c r="C2289" i="22" s="1"/>
  <c r="E636" i="22"/>
  <c r="D2289" i="22" s="1"/>
  <c r="F636" i="22"/>
  <c r="E2289" i="22" s="1"/>
  <c r="H637" i="22"/>
  <c r="J637" i="22"/>
  <c r="H638" i="22"/>
  <c r="J639" i="22"/>
  <c r="K639" i="22"/>
  <c r="L639" i="22"/>
  <c r="J640" i="22"/>
  <c r="K640" i="22"/>
  <c r="L640" i="22"/>
  <c r="J641" i="22"/>
  <c r="K641" i="22"/>
  <c r="L641" i="22"/>
  <c r="J642" i="22"/>
  <c r="K642" i="22"/>
  <c r="L642" i="22"/>
  <c r="J643" i="22"/>
  <c r="K643" i="22"/>
  <c r="L643" i="22"/>
  <c r="J644" i="22"/>
  <c r="K644" i="22"/>
  <c r="L644" i="22"/>
  <c r="J645" i="22"/>
  <c r="K645" i="22"/>
  <c r="L645" i="22"/>
  <c r="D647" i="22"/>
  <c r="C2290" i="22" s="1"/>
  <c r="E647" i="22"/>
  <c r="D2290" i="22" s="1"/>
  <c r="F647" i="22"/>
  <c r="E2290" i="22" s="1"/>
  <c r="H648" i="22"/>
  <c r="J648" i="22"/>
  <c r="H649" i="22"/>
  <c r="J650" i="22"/>
  <c r="K650" i="22"/>
  <c r="L650" i="22"/>
  <c r="J651" i="22"/>
  <c r="K651" i="22"/>
  <c r="L651" i="22"/>
  <c r="J652" i="22"/>
  <c r="K652" i="22"/>
  <c r="L652" i="22"/>
  <c r="J653" i="22"/>
  <c r="K653" i="22"/>
  <c r="L653" i="22"/>
  <c r="J654" i="22"/>
  <c r="K654" i="22"/>
  <c r="L654" i="22"/>
  <c r="J655" i="22"/>
  <c r="K655" i="22"/>
  <c r="L655" i="22"/>
  <c r="J656" i="22"/>
  <c r="K656" i="22"/>
  <c r="L656" i="22"/>
  <c r="D658" i="22"/>
  <c r="C2291" i="22" s="1"/>
  <c r="E658" i="22"/>
  <c r="D2291" i="22" s="1"/>
  <c r="F658" i="22"/>
  <c r="E2291" i="22" s="1"/>
  <c r="F12" i="22"/>
  <c r="D834" i="22"/>
  <c r="C2307" i="22" s="1"/>
  <c r="B13" i="22"/>
  <c r="D1010" i="22"/>
  <c r="C2323" i="22" s="1"/>
  <c r="D1054" i="22"/>
  <c r="C2327" i="22" s="1"/>
  <c r="J1048" i="22"/>
  <c r="D1219" i="22"/>
  <c r="C2342" i="22" s="1"/>
  <c r="J1114" i="22"/>
  <c r="J1112" i="22"/>
  <c r="D1120" i="22"/>
  <c r="C2333" i="22" s="1"/>
  <c r="D1109" i="22"/>
  <c r="C2332" i="22" s="1"/>
  <c r="J17" i="1"/>
  <c r="B1475" i="22"/>
  <c r="D1483" i="22"/>
  <c r="C2366" i="22" s="1"/>
  <c r="P307" i="18"/>
  <c r="E62" i="18"/>
  <c r="O1125" i="18"/>
  <c r="J2292" i="22"/>
  <c r="E1516" i="22"/>
  <c r="D2369" i="22" s="1"/>
  <c r="K1508" i="22"/>
  <c r="H43" i="18"/>
  <c r="B1508" i="22"/>
  <c r="E104" i="22"/>
  <c r="E284" i="22"/>
  <c r="D2257" i="22" s="1"/>
  <c r="H1091" i="22"/>
  <c r="H1490" i="22"/>
  <c r="H1630" i="22"/>
  <c r="H1675" i="22"/>
  <c r="H1719" i="22"/>
  <c r="J593" i="27"/>
  <c r="H1941" i="22"/>
  <c r="H762" i="22"/>
  <c r="H1551" i="22"/>
  <c r="C353" i="1"/>
  <c r="B375" i="22"/>
  <c r="J375" i="22"/>
  <c r="J386" i="22"/>
  <c r="D2368" i="22"/>
  <c r="H1200" i="22"/>
  <c r="H1740" i="22"/>
  <c r="H1743" i="22"/>
  <c r="H1908" i="22"/>
  <c r="B1802" i="22"/>
  <c r="L1879" i="22"/>
  <c r="H1772" i="22"/>
  <c r="G807" i="18"/>
  <c r="H1030" i="22"/>
  <c r="H401" i="22"/>
  <c r="H1369" i="22"/>
  <c r="H1809" i="22"/>
  <c r="H1411" i="22"/>
  <c r="H1929" i="22"/>
  <c r="H1158" i="22"/>
  <c r="H1249" i="22"/>
  <c r="K1747" i="22"/>
  <c r="H1717" i="22"/>
  <c r="H870" i="22"/>
  <c r="O82" i="18"/>
  <c r="N82" i="18"/>
  <c r="N88" i="18"/>
  <c r="H61" i="18"/>
  <c r="N106" i="18"/>
  <c r="D509" i="28"/>
  <c r="N114" i="18"/>
  <c r="N112" i="18"/>
  <c r="F194" i="18"/>
  <c r="C602" i="1"/>
  <c r="I602" i="1"/>
  <c r="D58" i="18"/>
  <c r="H62" i="18"/>
  <c r="L217" i="18"/>
  <c r="L219" i="18" s="1"/>
  <c r="H1281" i="22"/>
  <c r="J2086" i="22"/>
  <c r="K2132" i="22"/>
  <c r="H2050" i="22"/>
  <c r="T48" i="28"/>
  <c r="Q48" i="28" s="1"/>
  <c r="V48" i="28" s="1"/>
  <c r="T52" i="28"/>
  <c r="Q52" i="28" s="1"/>
  <c r="V52" i="28" s="1"/>
  <c r="J22" i="1"/>
  <c r="T49" i="28"/>
  <c r="Q49" i="28" s="1"/>
  <c r="V49" i="28" s="1"/>
  <c r="T40" i="28"/>
  <c r="Q40" i="28" s="1"/>
  <c r="V40" i="28" s="1"/>
  <c r="J23" i="1"/>
  <c r="O23" i="1" s="1"/>
  <c r="B4952" i="26"/>
  <c r="F21" i="18"/>
  <c r="C21" i="18"/>
  <c r="H1126" i="22" l="1"/>
  <c r="H1149" i="22"/>
  <c r="H1170" i="22"/>
  <c r="H1314" i="22"/>
  <c r="H1535" i="22"/>
  <c r="H1624" i="22"/>
  <c r="H1674" i="22"/>
  <c r="H1684" i="22"/>
  <c r="H1730" i="22"/>
  <c r="H1733" i="22"/>
  <c r="H1754" i="22"/>
  <c r="H1777" i="22"/>
  <c r="L482" i="22"/>
  <c r="E656" i="1"/>
  <c r="D567" i="13"/>
  <c r="D122" i="13"/>
  <c r="H2125" i="22"/>
  <c r="H353" i="22"/>
  <c r="H200" i="22"/>
  <c r="D897" i="13"/>
  <c r="D799" i="13"/>
  <c r="H1983" i="22"/>
  <c r="H1986" i="22"/>
  <c r="H357" i="22"/>
  <c r="H287" i="22"/>
  <c r="H282" i="22"/>
  <c r="H268" i="22"/>
  <c r="H265" i="22"/>
  <c r="H213" i="22"/>
  <c r="D421" i="13"/>
  <c r="H683" i="22"/>
  <c r="B257" i="1"/>
  <c r="D249" i="13"/>
  <c r="H719" i="22"/>
  <c r="H728" i="22"/>
  <c r="H738" i="22"/>
  <c r="H754" i="22"/>
  <c r="H774" i="22"/>
  <c r="H1190" i="22"/>
  <c r="H1202" i="22"/>
  <c r="H1323" i="22"/>
  <c r="H1327" i="22"/>
  <c r="J1351" i="22"/>
  <c r="H1213" i="22"/>
  <c r="H997" i="22"/>
  <c r="B933" i="22"/>
  <c r="B1813" i="22"/>
  <c r="C1809" i="22" s="1"/>
  <c r="L1824" i="22"/>
  <c r="J1835" i="22"/>
  <c r="B1846" i="22"/>
  <c r="B2399" i="22" s="1"/>
  <c r="H1886" i="22"/>
  <c r="I606" i="1"/>
  <c r="B2132" i="22"/>
  <c r="C2129" i="22" s="1"/>
  <c r="H586" i="22"/>
  <c r="H576" i="22"/>
  <c r="H270" i="22"/>
  <c r="K240" i="22"/>
  <c r="H964" i="22"/>
  <c r="H994" i="22"/>
  <c r="H1014" i="22"/>
  <c r="H1018" i="22"/>
  <c r="H1049" i="22"/>
  <c r="H1095" i="22"/>
  <c r="H1159" i="22"/>
  <c r="H1172" i="22"/>
  <c r="H1180" i="22"/>
  <c r="K280" i="22"/>
  <c r="H280" i="22" s="1"/>
  <c r="K291" i="22"/>
  <c r="B1681" i="22"/>
  <c r="C1677" i="22" s="1"/>
  <c r="B1736" i="22"/>
  <c r="C1730" i="22" s="1"/>
  <c r="H1981" i="22"/>
  <c r="Q29" i="28"/>
  <c r="T42" i="28"/>
  <c r="Q42" i="28" s="1"/>
  <c r="V42" i="28" s="1"/>
  <c r="T44" i="28"/>
  <c r="Q44" i="28" s="1"/>
  <c r="V44" i="28" s="1"/>
  <c r="T43" i="28"/>
  <c r="Q43" i="28" s="1"/>
  <c r="V43" i="28" s="1"/>
  <c r="R43" i="28"/>
  <c r="H755" i="22"/>
  <c r="H1488" i="22"/>
  <c r="H1492" i="22"/>
  <c r="H1567" i="22"/>
  <c r="H1872" i="22"/>
  <c r="H1918" i="22"/>
  <c r="H1921" i="22"/>
  <c r="B1956" i="22"/>
  <c r="C1948" i="22" s="1"/>
  <c r="H694" i="22"/>
  <c r="H1017" i="22"/>
  <c r="H1029" i="22"/>
  <c r="H1123" i="22"/>
  <c r="H1127" i="22"/>
  <c r="J1142" i="22"/>
  <c r="L1164" i="22"/>
  <c r="K1175" i="22"/>
  <c r="L1186" i="22"/>
  <c r="H1422" i="22"/>
  <c r="H1843" i="22"/>
  <c r="H1852" i="22"/>
  <c r="B2075" i="22"/>
  <c r="H387" i="22"/>
  <c r="H370" i="22"/>
  <c r="H366" i="22"/>
  <c r="H293" i="22"/>
  <c r="T37" i="28"/>
  <c r="Q37" i="28" s="1"/>
  <c r="Q55" i="28" s="1"/>
  <c r="D662" i="1"/>
  <c r="E662" i="1" s="1"/>
  <c r="B677" i="1"/>
  <c r="L669" i="22"/>
  <c r="J1010" i="22"/>
  <c r="J377" i="22"/>
  <c r="K427" i="22"/>
  <c r="B1978" i="22"/>
  <c r="G1989" i="22" s="1"/>
  <c r="J5" i="1"/>
  <c r="O5" i="1" s="1"/>
  <c r="J4" i="1"/>
  <c r="O4" i="1" s="1"/>
  <c r="J922" i="22"/>
  <c r="H1082" i="22"/>
  <c r="H1343" i="22"/>
  <c r="J1373" i="22"/>
  <c r="H1557" i="22"/>
  <c r="H1644" i="22"/>
  <c r="J1890" i="22"/>
  <c r="K1934" i="22"/>
  <c r="T39" i="28"/>
  <c r="Q39" i="28" s="1"/>
  <c r="V39" i="28" s="1"/>
  <c r="T41" i="28"/>
  <c r="Q41" i="28" s="1"/>
  <c r="V41" i="28" s="1"/>
  <c r="D753" i="28"/>
  <c r="B753" i="28" s="1"/>
  <c r="B754" i="28" s="1"/>
  <c r="B755" i="28" s="1"/>
  <c r="B756" i="28" s="1"/>
  <c r="B757" i="28" s="1"/>
  <c r="B758" i="28" s="1"/>
  <c r="B759" i="28" s="1"/>
  <c r="B760" i="28" s="1"/>
  <c r="B761" i="28" s="1"/>
  <c r="B762" i="28" s="1"/>
  <c r="B763" i="28" s="1"/>
  <c r="B764" i="28" s="1"/>
  <c r="B765" i="28" s="1"/>
  <c r="B766" i="28" s="1"/>
  <c r="B767" i="28" s="1"/>
  <c r="B768" i="28" s="1"/>
  <c r="B769" i="28" s="1"/>
  <c r="B770" i="28" s="1"/>
  <c r="B771" i="28" s="1"/>
  <c r="B772" i="28" s="1"/>
  <c r="B773" i="28" s="1"/>
  <c r="B774" i="28" s="1"/>
  <c r="B775" i="28" s="1"/>
  <c r="B776" i="28" s="1"/>
  <c r="B777" i="28" s="1"/>
  <c r="B778" i="28" s="1"/>
  <c r="B779" i="28" s="1"/>
  <c r="B780" i="28" s="1"/>
  <c r="F1010" i="22"/>
  <c r="E2323" i="22" s="1"/>
  <c r="H599" i="22"/>
  <c r="H507" i="22"/>
  <c r="C719" i="1"/>
  <c r="B1188" i="13"/>
  <c r="H706" i="22"/>
  <c r="O24" i="1"/>
  <c r="H1224" i="22"/>
  <c r="H1237" i="22"/>
  <c r="H1268" i="22"/>
  <c r="H1277" i="22"/>
  <c r="H1437" i="22"/>
  <c r="K1802" i="22"/>
  <c r="H1797" i="22"/>
  <c r="J1813" i="22"/>
  <c r="H1862" i="22"/>
  <c r="H1865" i="22"/>
  <c r="R50" i="28"/>
  <c r="T50" i="28"/>
  <c r="Q50" i="28" s="1"/>
  <c r="V50" i="28" s="1"/>
  <c r="K2055" i="22"/>
  <c r="L2066" i="22"/>
  <c r="H2104" i="22"/>
  <c r="H431" i="22"/>
  <c r="H397" i="22"/>
  <c r="H332" i="22"/>
  <c r="H788" i="22"/>
  <c r="H864" i="22"/>
  <c r="H1349" i="22"/>
  <c r="H1379" i="22"/>
  <c r="H1106" i="22"/>
  <c r="H1102" i="22"/>
  <c r="H1414" i="22"/>
  <c r="H1685" i="22"/>
  <c r="L1703" i="22"/>
  <c r="H1698" i="22"/>
  <c r="J1725" i="22"/>
  <c r="H1734" i="22"/>
  <c r="H2038" i="22"/>
  <c r="H364" i="22"/>
  <c r="H785" i="22"/>
  <c r="H799" i="22"/>
  <c r="H806" i="22"/>
  <c r="H810" i="22"/>
  <c r="H827" i="22"/>
  <c r="H831" i="22"/>
  <c r="H1333" i="22"/>
  <c r="H1466" i="22"/>
  <c r="H1480" i="22"/>
  <c r="K1560" i="22"/>
  <c r="H1612" i="22"/>
  <c r="L1648" i="22"/>
  <c r="H1783" i="22"/>
  <c r="H1807" i="22"/>
  <c r="H1818" i="22"/>
  <c r="H1838" i="22"/>
  <c r="H1844" i="22"/>
  <c r="H1850" i="22"/>
  <c r="H1853" i="22"/>
  <c r="H1970" i="22"/>
  <c r="H2124" i="22"/>
  <c r="H191" i="22"/>
  <c r="J108" i="1"/>
  <c r="C2433" i="22"/>
  <c r="H969" i="22"/>
  <c r="H980" i="22"/>
  <c r="K1043" i="22"/>
  <c r="H1050" i="22"/>
  <c r="H1125" i="22"/>
  <c r="H1424" i="22"/>
  <c r="H1447" i="22"/>
  <c r="H1673" i="22"/>
  <c r="H1676" i="22"/>
  <c r="H1679" i="22"/>
  <c r="H1741" i="22"/>
  <c r="H2005" i="22"/>
  <c r="H2026" i="22"/>
  <c r="H643" i="22"/>
  <c r="C224" i="22"/>
  <c r="C227" i="22"/>
  <c r="H1322" i="22"/>
  <c r="J1329" i="22"/>
  <c r="H1326" i="22"/>
  <c r="H1640" i="22"/>
  <c r="H1246" i="22"/>
  <c r="H1250" i="22"/>
  <c r="H1256" i="22"/>
  <c r="H1260" i="22"/>
  <c r="H612" i="22"/>
  <c r="M31" i="28"/>
  <c r="D784" i="28"/>
  <c r="H639" i="22"/>
  <c r="V37" i="28"/>
  <c r="L1395" i="22"/>
  <c r="H1135" i="22"/>
  <c r="K1142" i="22"/>
  <c r="H1103" i="22"/>
  <c r="H562" i="22"/>
  <c r="H552" i="22"/>
  <c r="K526" i="22"/>
  <c r="J339" i="22"/>
  <c r="J1021" i="22"/>
  <c r="K1153" i="22"/>
  <c r="H1145" i="22"/>
  <c r="H566" i="22"/>
  <c r="H518" i="22"/>
  <c r="H653" i="22"/>
  <c r="J757" i="22"/>
  <c r="H233" i="22"/>
  <c r="H212" i="22"/>
  <c r="H313" i="22"/>
  <c r="L746" i="22"/>
  <c r="H860" i="22"/>
  <c r="H367" i="22"/>
  <c r="H840" i="22"/>
  <c r="H848" i="22"/>
  <c r="K999" i="22"/>
  <c r="H1008" i="22"/>
  <c r="H1070" i="22"/>
  <c r="K1384" i="22"/>
  <c r="B1384" i="22"/>
  <c r="C1378" i="22" s="1"/>
  <c r="H1400" i="22"/>
  <c r="H1403" i="22"/>
  <c r="K1395" i="22"/>
  <c r="K1439" i="22"/>
  <c r="F284" i="22"/>
  <c r="E2257" i="22" s="1"/>
  <c r="L636" i="22"/>
  <c r="H333" i="22"/>
  <c r="H1272" i="22"/>
  <c r="H1282" i="22"/>
  <c r="H1301" i="22"/>
  <c r="H1305" i="22"/>
  <c r="B1296" i="22"/>
  <c r="C1291" i="22" s="1"/>
  <c r="B1241" i="22"/>
  <c r="B1142" i="22"/>
  <c r="B2335" i="22" s="1"/>
  <c r="B1109" i="22"/>
  <c r="C1102" i="22" s="1"/>
  <c r="B911" i="22"/>
  <c r="B2314" i="22" s="1"/>
  <c r="J2304" i="22" s="1"/>
  <c r="K2294" i="22" s="1"/>
  <c r="B460" i="22"/>
  <c r="B2273" i="22" s="1"/>
  <c r="B427" i="22"/>
  <c r="C424" i="22" s="1"/>
  <c r="J1340" i="22"/>
  <c r="H1358" i="22"/>
  <c r="H1370" i="22"/>
  <c r="B1406" i="22"/>
  <c r="C1398" i="22" s="1"/>
  <c r="B1428" i="22"/>
  <c r="H1444" i="22"/>
  <c r="H1457" i="22"/>
  <c r="H1536" i="22"/>
  <c r="H1543" i="22"/>
  <c r="H1662" i="22"/>
  <c r="H1665" i="22"/>
  <c r="H1798" i="22"/>
  <c r="H1819" i="22"/>
  <c r="H1827" i="22"/>
  <c r="H1830" i="22"/>
  <c r="K1879" i="22"/>
  <c r="K1923" i="22"/>
  <c r="H2081" i="22"/>
  <c r="L2121" i="22"/>
  <c r="H1794" i="22"/>
  <c r="H204" i="22"/>
  <c r="H786" i="22"/>
  <c r="H1134" i="22"/>
  <c r="H1138" i="22"/>
  <c r="H1148" i="22"/>
  <c r="H1169" i="22"/>
  <c r="H1173" i="22"/>
  <c r="H1259" i="22"/>
  <c r="B1362" i="22"/>
  <c r="C1356" i="22" s="1"/>
  <c r="B1373" i="22"/>
  <c r="C1367" i="22" s="1"/>
  <c r="H1436" i="22"/>
  <c r="H1731" i="22"/>
  <c r="K1835" i="22"/>
  <c r="L1868" i="22"/>
  <c r="H1954" i="22"/>
  <c r="H2030" i="22"/>
  <c r="H1347" i="22"/>
  <c r="H1359" i="22"/>
  <c r="H1368" i="22"/>
  <c r="H1371" i="22"/>
  <c r="H1720" i="22"/>
  <c r="H1723" i="22"/>
  <c r="H1785" i="22"/>
  <c r="H1893" i="22"/>
  <c r="H1828" i="22"/>
  <c r="H1835" i="22" s="1"/>
  <c r="I1830" i="22" s="1"/>
  <c r="H619" i="22"/>
  <c r="H488" i="22"/>
  <c r="H468" i="22"/>
  <c r="H464" i="22"/>
  <c r="H391" i="22"/>
  <c r="H380" i="22"/>
  <c r="H356" i="22"/>
  <c r="H787" i="22"/>
  <c r="H808" i="22"/>
  <c r="H1028" i="22"/>
  <c r="H1035" i="22"/>
  <c r="H1047" i="22"/>
  <c r="H1073" i="22"/>
  <c r="H1234" i="22"/>
  <c r="H1238" i="22"/>
  <c r="H1278" i="22"/>
  <c r="H1279" i="22"/>
  <c r="H1311" i="22"/>
  <c r="H1366" i="22"/>
  <c r="K1571" i="22"/>
  <c r="B1593" i="22"/>
  <c r="B2376" i="22" s="1"/>
  <c r="H1585" i="22"/>
  <c r="H1596" i="22"/>
  <c r="H1602" i="22"/>
  <c r="B1615" i="22"/>
  <c r="C1608" i="22" s="1"/>
  <c r="H1643" i="22"/>
  <c r="J1659" i="22"/>
  <c r="L1714" i="22"/>
  <c r="H1752" i="22"/>
  <c r="H1874" i="22"/>
  <c r="H1917" i="22"/>
  <c r="H1920" i="22"/>
  <c r="H1938" i="22"/>
  <c r="R8" i="28"/>
  <c r="K2110" i="22"/>
  <c r="B2121" i="22"/>
  <c r="C2113" i="22" s="1"/>
  <c r="T38" i="28"/>
  <c r="Q38" i="28" s="1"/>
  <c r="V38" i="28" s="1"/>
  <c r="H430" i="22"/>
  <c r="H716" i="22"/>
  <c r="K746" i="22"/>
  <c r="H782" i="22"/>
  <c r="H895" i="22"/>
  <c r="H950" i="22"/>
  <c r="H1139" i="22"/>
  <c r="H1150" i="22"/>
  <c r="K1164" i="22"/>
  <c r="H1162" i="22"/>
  <c r="H1171" i="22"/>
  <c r="H1183" i="22"/>
  <c r="L1197" i="22"/>
  <c r="L1208" i="22"/>
  <c r="H1261" i="22"/>
  <c r="H1107" i="22"/>
  <c r="H1392" i="22"/>
  <c r="H1477" i="22"/>
  <c r="H1481" i="22"/>
  <c r="J1494" i="22"/>
  <c r="B1571" i="22"/>
  <c r="C1563" i="22" s="1"/>
  <c r="K1637" i="22"/>
  <c r="L1659" i="22"/>
  <c r="H1711" i="22"/>
  <c r="H1767" i="22"/>
  <c r="H1926" i="22"/>
  <c r="H1973" i="22"/>
  <c r="B2044" i="22"/>
  <c r="C2043" i="22" s="1"/>
  <c r="H1335" i="22"/>
  <c r="H1344" i="22"/>
  <c r="H1513" i="22"/>
  <c r="L1637" i="22"/>
  <c r="H1634" i="22"/>
  <c r="H1831" i="22"/>
  <c r="H1910" i="22"/>
  <c r="B1923" i="22"/>
  <c r="C1916" i="22" s="1"/>
  <c r="B2088" i="22"/>
  <c r="C2080" i="22" s="1"/>
  <c r="B280" i="22"/>
  <c r="B284" i="22" s="1"/>
  <c r="C278" i="22" s="1"/>
  <c r="L291" i="22"/>
  <c r="H497" i="22"/>
  <c r="K372" i="22"/>
  <c r="L361" i="22"/>
  <c r="K339" i="22"/>
  <c r="H223" i="22"/>
  <c r="H202" i="22"/>
  <c r="H170" i="22"/>
  <c r="H158" i="22"/>
  <c r="H144" i="22"/>
  <c r="H665" i="22"/>
  <c r="H689" i="22"/>
  <c r="H699" i="22"/>
  <c r="H744" i="22"/>
  <c r="H752" i="22"/>
  <c r="H761" i="22"/>
  <c r="H818" i="22"/>
  <c r="H826" i="22"/>
  <c r="H830" i="22"/>
  <c r="H843" i="22"/>
  <c r="H929" i="22"/>
  <c r="H1052" i="22"/>
  <c r="K1076" i="22"/>
  <c r="B1538" i="22"/>
  <c r="C1536" i="22" s="1"/>
  <c r="H1588" i="22"/>
  <c r="B1692" i="22"/>
  <c r="C1699" i="22" s="1"/>
  <c r="H2019" i="22"/>
  <c r="H2025" i="22"/>
  <c r="H2070" i="22"/>
  <c r="H1303" i="22"/>
  <c r="H1338" i="22"/>
  <c r="H622" i="22"/>
  <c r="H530" i="22"/>
  <c r="H487" i="22"/>
  <c r="H477" i="22"/>
  <c r="H467" i="22"/>
  <c r="J405" i="22"/>
  <c r="H1007" i="22"/>
  <c r="D65" i="22"/>
  <c r="D4" i="22" s="1"/>
  <c r="B4" i="22" s="1"/>
  <c r="H610" i="22"/>
  <c r="H1426" i="22"/>
  <c r="H1459" i="22"/>
  <c r="J1538" i="22"/>
  <c r="H1589" i="22"/>
  <c r="H1629" i="22"/>
  <c r="H1776" i="22"/>
  <c r="H1993" i="22"/>
  <c r="H1996" i="22"/>
  <c r="H2009" i="22"/>
  <c r="B2033" i="22"/>
  <c r="C2030" i="22" s="1"/>
  <c r="H2058" i="22"/>
  <c r="H2061" i="22"/>
  <c r="H2064" i="22"/>
  <c r="J2143" i="22"/>
  <c r="H2172" i="22"/>
  <c r="L1307" i="22"/>
  <c r="J1758" i="22"/>
  <c r="H645" i="22"/>
  <c r="H641" i="22"/>
  <c r="J603" i="22"/>
  <c r="J537" i="22"/>
  <c r="H325" i="22"/>
  <c r="H321" i="22"/>
  <c r="H279" i="22"/>
  <c r="H214" i="22"/>
  <c r="H696" i="22"/>
  <c r="K724" i="22"/>
  <c r="H741" i="22"/>
  <c r="H984" i="22"/>
  <c r="H1060" i="22"/>
  <c r="H1114" i="22"/>
  <c r="H1124" i="22"/>
  <c r="H1128" i="22"/>
  <c r="H1181" i="22"/>
  <c r="H1258" i="22"/>
  <c r="H1300" i="22"/>
  <c r="H1316" i="22"/>
  <c r="H1312" i="22"/>
  <c r="H1324" i="22"/>
  <c r="B1417" i="22"/>
  <c r="C1413" i="22" s="1"/>
  <c r="J1417" i="22"/>
  <c r="H1435" i="22"/>
  <c r="L1450" i="22"/>
  <c r="H1499" i="22"/>
  <c r="H1503" i="22"/>
  <c r="H1519" i="22"/>
  <c r="K1714" i="22"/>
  <c r="H1800" i="22"/>
  <c r="H1821" i="22"/>
  <c r="L1835" i="22"/>
  <c r="H1832" i="22"/>
  <c r="B1868" i="22"/>
  <c r="C1861" i="22" s="1"/>
  <c r="L1890" i="22"/>
  <c r="H1888" i="22"/>
  <c r="J1901" i="22"/>
  <c r="H1952" i="22"/>
  <c r="H1964" i="22"/>
  <c r="H2040" i="22"/>
  <c r="L134" i="18"/>
  <c r="M134" i="18" s="1"/>
  <c r="B601" i="18"/>
  <c r="D601" i="18" s="1"/>
  <c r="F601" i="18" s="1"/>
  <c r="H151" i="18"/>
  <c r="L141" i="18"/>
  <c r="M141" i="18" s="1"/>
  <c r="I3076" i="26"/>
  <c r="J746" i="22"/>
  <c r="H740" i="22"/>
  <c r="C2086" i="22"/>
  <c r="L548" i="22"/>
  <c r="H554" i="22"/>
  <c r="L570" i="22"/>
  <c r="C926" i="22"/>
  <c r="C930" i="22"/>
  <c r="C928" i="22"/>
  <c r="C925" i="22"/>
  <c r="H894" i="22"/>
  <c r="H919" i="22"/>
  <c r="H1302" i="22"/>
  <c r="B1230" i="22"/>
  <c r="C1224" i="22" s="1"/>
  <c r="B1164" i="22"/>
  <c r="C1160" i="22" s="1"/>
  <c r="B449" i="22"/>
  <c r="C441" i="22" s="1"/>
  <c r="B372" i="22"/>
  <c r="C368" i="22" s="1"/>
  <c r="B339" i="22"/>
  <c r="B262" i="22"/>
  <c r="C254" i="22" s="1"/>
  <c r="L1351" i="22"/>
  <c r="H1377" i="22"/>
  <c r="L1417" i="22"/>
  <c r="J2121" i="22"/>
  <c r="H751" i="22"/>
  <c r="B1079" i="22"/>
  <c r="B1087" i="22" s="1"/>
  <c r="L1079" i="22"/>
  <c r="H1079" i="22" s="1"/>
  <c r="C226" i="22"/>
  <c r="C223" i="22"/>
  <c r="C225" i="22"/>
  <c r="B2252" i="22"/>
  <c r="J317" i="22"/>
  <c r="J207" i="22"/>
  <c r="K757" i="22"/>
  <c r="H794" i="22"/>
  <c r="L801" i="22"/>
  <c r="B1043" i="22"/>
  <c r="C1041" i="22" s="1"/>
  <c r="H1104" i="22"/>
  <c r="H1453" i="22"/>
  <c r="H423" i="22"/>
  <c r="H171" i="22"/>
  <c r="J1241" i="22"/>
  <c r="K1274" i="22"/>
  <c r="L1296" i="22"/>
  <c r="J1307" i="22"/>
  <c r="H1299" i="22"/>
  <c r="H540" i="22"/>
  <c r="H389" i="22"/>
  <c r="H354" i="22"/>
  <c r="J2082" i="22"/>
  <c r="H2082" i="22" s="1"/>
  <c r="D2077" i="22"/>
  <c r="C2420" i="22" s="1"/>
  <c r="J2071" i="22"/>
  <c r="H2071" i="22" s="1"/>
  <c r="H588" i="22"/>
  <c r="H584" i="22"/>
  <c r="H578" i="22"/>
  <c r="H574" i="22"/>
  <c r="K416" i="22"/>
  <c r="B2071" i="22"/>
  <c r="H422" i="22"/>
  <c r="H412" i="22"/>
  <c r="H408" i="22"/>
  <c r="H2148" i="22"/>
  <c r="J2154" i="22"/>
  <c r="H2160" i="22"/>
  <c r="H557" i="22"/>
  <c r="L471" i="22"/>
  <c r="H2042" i="22"/>
  <c r="B2099" i="22"/>
  <c r="C2091" i="22" s="1"/>
  <c r="H2103" i="22"/>
  <c r="B2110" i="22"/>
  <c r="L1318" i="22"/>
  <c r="C1863" i="22"/>
  <c r="L1912" i="22"/>
  <c r="H1905" i="22"/>
  <c r="L1956" i="22"/>
  <c r="J2132" i="22"/>
  <c r="C1974" i="22"/>
  <c r="C1986" i="22"/>
  <c r="C1972" i="22"/>
  <c r="H433" i="22"/>
  <c r="H246" i="22"/>
  <c r="H236" i="22"/>
  <c r="H227" i="22"/>
  <c r="H224" i="22"/>
  <c r="H155" i="22"/>
  <c r="H148" i="22"/>
  <c r="K482" i="22"/>
  <c r="K471" i="22"/>
  <c r="H359" i="22"/>
  <c r="H345" i="22"/>
  <c r="H335" i="22"/>
  <c r="H331" i="22"/>
  <c r="H267" i="22"/>
  <c r="K262" i="22"/>
  <c r="H182" i="22"/>
  <c r="H177" i="22"/>
  <c r="H673" i="22"/>
  <c r="L724" i="22"/>
  <c r="K801" i="22"/>
  <c r="H798" i="22"/>
  <c r="H805" i="22"/>
  <c r="H809" i="22"/>
  <c r="H909" i="22"/>
  <c r="K1186" i="22"/>
  <c r="H1179" i="22"/>
  <c r="H1222" i="22"/>
  <c r="J1252" i="22"/>
  <c r="H1247" i="22"/>
  <c r="H1293" i="22"/>
  <c r="H1288" i="22"/>
  <c r="H1068" i="22"/>
  <c r="H1118" i="22"/>
  <c r="H1239" i="22"/>
  <c r="H1787" i="22"/>
  <c r="H1909" i="22"/>
  <c r="H1951" i="22"/>
  <c r="H1974" i="22"/>
  <c r="C1981" i="22"/>
  <c r="H553" i="22"/>
  <c r="K1263" i="22"/>
  <c r="B163" i="22"/>
  <c r="C155" i="22" s="1"/>
  <c r="H1354" i="22"/>
  <c r="J1450" i="22"/>
  <c r="H1808" i="22"/>
  <c r="H1811" i="22"/>
  <c r="B1824" i="22"/>
  <c r="C1822" i="22" s="1"/>
  <c r="C1886" i="22"/>
  <c r="H1895" i="22"/>
  <c r="H1898" i="22"/>
  <c r="J1934" i="22"/>
  <c r="H1928" i="22"/>
  <c r="C1994" i="22"/>
  <c r="L2088" i="22"/>
  <c r="J2099" i="22"/>
  <c r="H650" i="22"/>
  <c r="H601" i="22"/>
  <c r="H597" i="22"/>
  <c r="H567" i="22"/>
  <c r="H377" i="22"/>
  <c r="H634" i="22"/>
  <c r="H630" i="22"/>
  <c r="K823" i="22"/>
  <c r="J834" i="22"/>
  <c r="H849" i="22"/>
  <c r="H873" i="22"/>
  <c r="H893" i="22"/>
  <c r="L922" i="22"/>
  <c r="L1076" i="22"/>
  <c r="K1131" i="22"/>
  <c r="H1151" i="22"/>
  <c r="L1472" i="22"/>
  <c r="H1467" i="22"/>
  <c r="B1549" i="22"/>
  <c r="B2372" i="22" s="1"/>
  <c r="K1582" i="22"/>
  <c r="H1578" i="22"/>
  <c r="H1609" i="22"/>
  <c r="B1703" i="22"/>
  <c r="C1696" i="22"/>
  <c r="H1766" i="22"/>
  <c r="J1780" i="22"/>
  <c r="H1806" i="22"/>
  <c r="H1943" i="22"/>
  <c r="J1956" i="22"/>
  <c r="K834" i="22"/>
  <c r="H862" i="22"/>
  <c r="L878" i="22"/>
  <c r="H897" i="22"/>
  <c r="J933" i="22"/>
  <c r="L955" i="22"/>
  <c r="H1071" i="22"/>
  <c r="H1069" i="22"/>
  <c r="J1098" i="22"/>
  <c r="H1117" i="22"/>
  <c r="J1208" i="22"/>
  <c r="H1478" i="22"/>
  <c r="B1505" i="22"/>
  <c r="C1497" i="22" s="1"/>
  <c r="L1505" i="22"/>
  <c r="L1538" i="22"/>
  <c r="H1657" i="22"/>
  <c r="H1666" i="22"/>
  <c r="B2384" i="22"/>
  <c r="C1675" i="22"/>
  <c r="H1686" i="22"/>
  <c r="H1689" i="22"/>
  <c r="H1696" i="22"/>
  <c r="J1703" i="22"/>
  <c r="K1989" i="22"/>
  <c r="J559" i="22"/>
  <c r="H793" i="22"/>
  <c r="K867" i="22"/>
  <c r="H948" i="22"/>
  <c r="H952" i="22"/>
  <c r="L1065" i="22"/>
  <c r="L1252" i="22"/>
  <c r="B169" i="22"/>
  <c r="L180" i="22"/>
  <c r="H180" i="22" s="1"/>
  <c r="K1483" i="22"/>
  <c r="H1498" i="22"/>
  <c r="H1502" i="22"/>
  <c r="H1566" i="22"/>
  <c r="H1569" i="22"/>
  <c r="H256" i="22"/>
  <c r="H400" i="22"/>
  <c r="L383" i="22"/>
  <c r="H369" i="22"/>
  <c r="H365" i="22"/>
  <c r="H278" i="22"/>
  <c r="L229" i="22"/>
  <c r="H676" i="22"/>
  <c r="H698" i="22"/>
  <c r="H708" i="22"/>
  <c r="H711" i="22"/>
  <c r="H915" i="22"/>
  <c r="K944" i="22"/>
  <c r="K1054" i="22"/>
  <c r="J1065" i="22"/>
  <c r="B669" i="22"/>
  <c r="C667" i="22" s="1"/>
  <c r="B548" i="22"/>
  <c r="C544" i="22" s="1"/>
  <c r="B196" i="22"/>
  <c r="C188" i="22" s="1"/>
  <c r="F174" i="22"/>
  <c r="E2247" i="22" s="1"/>
  <c r="B1340" i="22"/>
  <c r="C1336" i="22" s="1"/>
  <c r="J1461" i="22"/>
  <c r="H1514" i="22"/>
  <c r="H1563" i="22"/>
  <c r="H1579" i="22"/>
  <c r="H1597" i="22"/>
  <c r="H1618" i="22"/>
  <c r="H1732" i="22"/>
  <c r="H2007" i="22"/>
  <c r="H1442" i="22"/>
  <c r="J1637" i="22"/>
  <c r="L647" i="22"/>
  <c r="H629" i="22"/>
  <c r="K603" i="22"/>
  <c r="H523" i="22"/>
  <c r="H435" i="22"/>
  <c r="H226" i="22"/>
  <c r="H821" i="22"/>
  <c r="H949" i="22"/>
  <c r="H953" i="22"/>
  <c r="L966" i="22"/>
  <c r="H962" i="22"/>
  <c r="H992" i="22"/>
  <c r="H1040" i="22"/>
  <c r="L1054" i="22"/>
  <c r="H1156" i="22"/>
  <c r="H1160" i="22"/>
  <c r="H1554" i="22"/>
  <c r="H1576" i="22"/>
  <c r="H1655" i="22"/>
  <c r="K1725" i="22"/>
  <c r="H1753" i="22"/>
  <c r="H1861" i="22"/>
  <c r="H1877" i="22"/>
  <c r="H1884" i="22"/>
  <c r="H1975" i="22"/>
  <c r="B2000" i="22"/>
  <c r="C1995" i="22" s="1"/>
  <c r="L2011" i="22"/>
  <c r="H1600" i="22"/>
  <c r="H1729" i="22"/>
  <c r="H485" i="22"/>
  <c r="H479" i="22"/>
  <c r="H469" i="22"/>
  <c r="H465" i="22"/>
  <c r="H445" i="22"/>
  <c r="H235" i="22"/>
  <c r="H686" i="22"/>
  <c r="J702" i="22"/>
  <c r="H700" i="22"/>
  <c r="J713" i="22"/>
  <c r="H753" i="22"/>
  <c r="H853" i="22"/>
  <c r="H928" i="22"/>
  <c r="H1420" i="22"/>
  <c r="H1533" i="22"/>
  <c r="H1632" i="22"/>
  <c r="K1703" i="22"/>
  <c r="J1714" i="22"/>
  <c r="L1747" i="22"/>
  <c r="H1744" i="22"/>
  <c r="H1751" i="22"/>
  <c r="H1810" i="22"/>
  <c r="H1982" i="22"/>
  <c r="H1985" i="22"/>
  <c r="H1995" i="22"/>
  <c r="H1998" i="22"/>
  <c r="H2027" i="22"/>
  <c r="H2161" i="22"/>
  <c r="B1967" i="22"/>
  <c r="C1999" i="22" s="1"/>
  <c r="J1978" i="22"/>
  <c r="J388" i="22"/>
  <c r="J394" i="22" s="1"/>
  <c r="H632" i="22"/>
  <c r="H628" i="22"/>
  <c r="H381" i="22"/>
  <c r="H347" i="22"/>
  <c r="L317" i="22"/>
  <c r="H662" i="22"/>
  <c r="H666" i="22"/>
  <c r="H886" i="22"/>
  <c r="H916" i="22"/>
  <c r="H1074" i="22"/>
  <c r="J1175" i="22"/>
  <c r="H1182" i="22"/>
  <c r="H1425" i="22"/>
  <c r="H1633" i="22"/>
  <c r="H1668" i="22"/>
  <c r="L1681" i="22"/>
  <c r="B1912" i="22"/>
  <c r="C1906" i="22" s="1"/>
  <c r="H1960" i="22"/>
  <c r="H1963" i="22"/>
  <c r="L1989" i="22"/>
  <c r="H2162" i="22"/>
  <c r="B1725" i="22"/>
  <c r="C1718" i="22" s="1"/>
  <c r="H579" i="22"/>
  <c r="H575" i="22"/>
  <c r="H722" i="22"/>
  <c r="H727" i="22"/>
  <c r="H731" i="22"/>
  <c r="H777" i="22"/>
  <c r="H940" i="22"/>
  <c r="K1120" i="22"/>
  <c r="H1157" i="22"/>
  <c r="H1161" i="22"/>
  <c r="B1076" i="22"/>
  <c r="C1071" i="22" s="1"/>
  <c r="B691" i="22"/>
  <c r="C689" i="22" s="1"/>
  <c r="D383" i="22"/>
  <c r="C2266" i="22" s="1"/>
  <c r="B361" i="22"/>
  <c r="B2264" i="22" s="1"/>
  <c r="B273" i="22"/>
  <c r="C269" i="22" s="1"/>
  <c r="B218" i="22"/>
  <c r="B2251" i="22" s="1"/>
  <c r="H1313" i="22"/>
  <c r="H1336" i="22"/>
  <c r="H1402" i="22"/>
  <c r="H1555" i="22"/>
  <c r="H1580" i="22"/>
  <c r="B1604" i="22"/>
  <c r="H1619" i="22"/>
  <c r="H1622" i="22"/>
  <c r="K1780" i="22"/>
  <c r="H1897" i="22"/>
  <c r="L2110" i="22"/>
  <c r="H2135" i="22"/>
  <c r="H2150" i="22"/>
  <c r="H631" i="22"/>
  <c r="H621" i="22"/>
  <c r="H598" i="22"/>
  <c r="H247" i="22"/>
  <c r="L218" i="22"/>
  <c r="H763" i="22"/>
  <c r="K900" i="22"/>
  <c r="H903" i="22"/>
  <c r="K922" i="22"/>
  <c r="H1059" i="22"/>
  <c r="H1147" i="22"/>
  <c r="J1164" i="22"/>
  <c r="L1274" i="22"/>
  <c r="H1455" i="22"/>
  <c r="H1521" i="22"/>
  <c r="H1525" i="22"/>
  <c r="K1549" i="22"/>
  <c r="L1615" i="22"/>
  <c r="B1747" i="22"/>
  <c r="C1745" i="22" s="1"/>
  <c r="H1761" i="22"/>
  <c r="H1765" i="22"/>
  <c r="J1846" i="22"/>
  <c r="J1857" i="22"/>
  <c r="K1890" i="22"/>
  <c r="B1901" i="22"/>
  <c r="L1967" i="22"/>
  <c r="H2051" i="22"/>
  <c r="H2185" i="22"/>
  <c r="H2173" i="22"/>
  <c r="C1592" i="22"/>
  <c r="B2378" i="22"/>
  <c r="J1626" i="22"/>
  <c r="H1620" i="22"/>
  <c r="L504" i="22"/>
  <c r="H463" i="22"/>
  <c r="J471" i="22"/>
  <c r="K460" i="22"/>
  <c r="H819" i="22"/>
  <c r="H1464" i="22"/>
  <c r="J1472" i="22"/>
  <c r="H1510" i="22"/>
  <c r="L1516" i="22"/>
  <c r="B1527" i="22"/>
  <c r="C1526" i="22" s="1"/>
  <c r="C1525" i="22"/>
  <c r="L1813" i="22"/>
  <c r="H1805" i="22"/>
  <c r="J1824" i="22"/>
  <c r="H1816" i="22"/>
  <c r="C1887" i="22"/>
  <c r="C1884" i="22"/>
  <c r="B2403" i="22"/>
  <c r="F2403" i="22" s="1"/>
  <c r="G2403" i="22" s="1"/>
  <c r="H664" i="22"/>
  <c r="J669" i="22"/>
  <c r="K812" i="22"/>
  <c r="H804" i="22"/>
  <c r="H841" i="22"/>
  <c r="K1296" i="22"/>
  <c r="B1175" i="22"/>
  <c r="C1172" i="22" s="1"/>
  <c r="C1167" i="22"/>
  <c r="C905" i="22"/>
  <c r="C904" i="22"/>
  <c r="B878" i="22"/>
  <c r="C875" i="22" s="1"/>
  <c r="C870" i="22"/>
  <c r="B845" i="22"/>
  <c r="C841" i="22" s="1"/>
  <c r="C837" i="22"/>
  <c r="E174" i="22"/>
  <c r="D2247" i="22" s="1"/>
  <c r="K168" i="22"/>
  <c r="H1346" i="22"/>
  <c r="K1351" i="22"/>
  <c r="H1356" i="22"/>
  <c r="J1362" i="22"/>
  <c r="H1367" i="22"/>
  <c r="L1373" i="22"/>
  <c r="K1109" i="22"/>
  <c r="H1431" i="22"/>
  <c r="J1439" i="22"/>
  <c r="H1522" i="22"/>
  <c r="B1648" i="22"/>
  <c r="C1641" i="22" s="1"/>
  <c r="K1670" i="22"/>
  <c r="H1663" i="22"/>
  <c r="C1673" i="22"/>
  <c r="C1680" i="22"/>
  <c r="C1674" i="22"/>
  <c r="B1769" i="22"/>
  <c r="C1764" i="22" s="1"/>
  <c r="L1780" i="22"/>
  <c r="H1774" i="22"/>
  <c r="J1802" i="22"/>
  <c r="H1795" i="22"/>
  <c r="C1885" i="22"/>
  <c r="H232" i="22"/>
  <c r="L240" i="22"/>
  <c r="J229" i="22"/>
  <c r="H221" i="22"/>
  <c r="J1296" i="22"/>
  <c r="H1290" i="22"/>
  <c r="B1219" i="22"/>
  <c r="C1211" i="22" s="1"/>
  <c r="C1214" i="22"/>
  <c r="B1153" i="22"/>
  <c r="B2336" i="22" s="1"/>
  <c r="B1065" i="22"/>
  <c r="C1057" i="22" s="1"/>
  <c r="B1054" i="22"/>
  <c r="C1050" i="22" s="1"/>
  <c r="B1032" i="22"/>
  <c r="C1029" i="22" s="1"/>
  <c r="B1021" i="22"/>
  <c r="B2324" i="22" s="1"/>
  <c r="B944" i="22"/>
  <c r="C940" i="22" s="1"/>
  <c r="B922" i="22"/>
  <c r="B2315" i="22" s="1"/>
  <c r="B823" i="22"/>
  <c r="C819" i="22" s="1"/>
  <c r="B768" i="22"/>
  <c r="B2301" i="22" s="1"/>
  <c r="F2302" i="22" s="1"/>
  <c r="G2302" i="22" s="1"/>
  <c r="B735" i="22"/>
  <c r="C732" i="22" s="1"/>
  <c r="B702" i="22"/>
  <c r="C698" i="22" s="1"/>
  <c r="B658" i="22"/>
  <c r="C651" i="22" s="1"/>
  <c r="B625" i="22"/>
  <c r="B614" i="22"/>
  <c r="C609" i="22" s="1"/>
  <c r="B592" i="22"/>
  <c r="C584" i="22" s="1"/>
  <c r="B581" i="22"/>
  <c r="G592" i="22" s="1"/>
  <c r="B559" i="22"/>
  <c r="C552" i="22" s="1"/>
  <c r="B526" i="22"/>
  <c r="C520" i="22" s="1"/>
  <c r="B493" i="22"/>
  <c r="C490" i="22" s="1"/>
  <c r="B438" i="22"/>
  <c r="C432" i="22" s="1"/>
  <c r="B350" i="22"/>
  <c r="C349" i="22" s="1"/>
  <c r="B295" i="22"/>
  <c r="C288" i="22" s="1"/>
  <c r="C233" i="22"/>
  <c r="B2253" i="22"/>
  <c r="G240" i="22"/>
  <c r="C236" i="22"/>
  <c r="B207" i="22"/>
  <c r="B185" i="22"/>
  <c r="C179" i="22" s="1"/>
  <c r="B1307" i="22"/>
  <c r="H1325" i="22"/>
  <c r="H1337" i="22"/>
  <c r="K1340" i="22"/>
  <c r="K1373" i="22"/>
  <c r="H1365" i="22"/>
  <c r="C1366" i="22"/>
  <c r="H1380" i="22"/>
  <c r="B1351" i="22"/>
  <c r="C1348" i="22" s="1"/>
  <c r="H1101" i="22"/>
  <c r="C1403" i="22"/>
  <c r="C1404" i="22"/>
  <c r="H1390" i="22"/>
  <c r="K1417" i="22"/>
  <c r="B1758" i="22"/>
  <c r="H1762" i="22"/>
  <c r="K1769" i="22"/>
  <c r="C1883" i="22"/>
  <c r="B1450" i="22"/>
  <c r="C1448" i="22" s="1"/>
  <c r="J581" i="22"/>
  <c r="H573" i="22"/>
  <c r="C1585" i="22"/>
  <c r="K179" i="22"/>
  <c r="J1395" i="22"/>
  <c r="C1888" i="22"/>
  <c r="C1732" i="22"/>
  <c r="C1733" i="22"/>
  <c r="C1731" i="22"/>
  <c r="C1734" i="22"/>
  <c r="B2389" i="22"/>
  <c r="C1729" i="22"/>
  <c r="B168" i="22"/>
  <c r="B2356" i="22"/>
  <c r="J163" i="22"/>
  <c r="H797" i="22"/>
  <c r="C1678" i="22"/>
  <c r="J1285" i="22"/>
  <c r="B1274" i="22"/>
  <c r="J911" i="22"/>
  <c r="H1112" i="22"/>
  <c r="H600" i="22"/>
  <c r="L405" i="22"/>
  <c r="K383" i="22"/>
  <c r="H259" i="22"/>
  <c r="H1092" i="22"/>
  <c r="H1096" i="22"/>
  <c r="H1226" i="22"/>
  <c r="H1223" i="22"/>
  <c r="J1230" i="22"/>
  <c r="H475" i="22"/>
  <c r="J482" i="22"/>
  <c r="K449" i="22"/>
  <c r="J988" i="22"/>
  <c r="K1230" i="22"/>
  <c r="L581" i="22"/>
  <c r="C2151" i="22"/>
  <c r="C2148" i="22"/>
  <c r="H642" i="22"/>
  <c r="K1197" i="22"/>
  <c r="H146" i="22"/>
  <c r="L163" i="22"/>
  <c r="B1285" i="22"/>
  <c r="K493" i="22"/>
  <c r="J427" i="22"/>
  <c r="E108" i="22"/>
  <c r="D87" i="22"/>
  <c r="D108" i="22" s="1"/>
  <c r="D116" i="22" s="1"/>
  <c r="J185" i="22"/>
  <c r="K889" i="22"/>
  <c r="L900" i="22"/>
  <c r="L1230" i="22"/>
  <c r="L1406" i="22"/>
  <c r="L2187" i="22"/>
  <c r="C1973" i="22"/>
  <c r="C1975" i="22"/>
  <c r="H1574" i="22"/>
  <c r="H1582" i="22" s="1"/>
  <c r="I1577" i="22" s="1"/>
  <c r="L1582" i="22"/>
  <c r="H1642" i="22"/>
  <c r="H1645" i="22"/>
  <c r="H1677" i="22"/>
  <c r="H1690" i="22"/>
  <c r="H1700" i="22"/>
  <c r="H2018" i="22"/>
  <c r="H2053" i="22"/>
  <c r="J1131" i="22"/>
  <c r="L1494" i="22"/>
  <c r="H1486" i="22"/>
  <c r="H1497" i="22"/>
  <c r="H1531" i="22"/>
  <c r="H1534" i="22"/>
  <c r="H1556" i="22"/>
  <c r="H1565" i="22"/>
  <c r="H1571" i="22" s="1"/>
  <c r="H1568" i="22"/>
  <c r="H2015" i="22"/>
  <c r="K438" i="22"/>
  <c r="H376" i="22"/>
  <c r="H194" i="22"/>
  <c r="H190" i="22"/>
  <c r="H161" i="22"/>
  <c r="K680" i="22"/>
  <c r="H1039" i="22"/>
  <c r="H1061" i="22"/>
  <c r="H1081" i="22"/>
  <c r="H1140" i="22"/>
  <c r="H1443" i="22"/>
  <c r="H1446" i="22"/>
  <c r="H1501" i="22"/>
  <c r="J1582" i="22"/>
  <c r="H1575" i="22"/>
  <c r="H1586" i="22"/>
  <c r="J2000" i="22"/>
  <c r="H1992" i="22"/>
  <c r="L2044" i="22"/>
  <c r="H607" i="22"/>
  <c r="H524" i="22"/>
  <c r="H453" i="22"/>
  <c r="H939" i="22"/>
  <c r="K966" i="22"/>
  <c r="H963" i="22"/>
  <c r="H975" i="22"/>
  <c r="H985" i="22"/>
  <c r="H1036" i="22"/>
  <c r="L1263" i="22"/>
  <c r="K1307" i="22"/>
  <c r="L1090" i="22"/>
  <c r="H1090" i="22" s="1"/>
  <c r="F1087" i="22"/>
  <c r="E2330" i="22" s="1"/>
  <c r="H2086" i="22"/>
  <c r="H633" i="22"/>
  <c r="K581" i="22"/>
  <c r="J240" i="22"/>
  <c r="J691" i="22"/>
  <c r="H684" i="22"/>
  <c r="C119" i="22"/>
  <c r="C121" i="22" s="1"/>
  <c r="C129" i="22" s="1"/>
  <c r="H887" i="22"/>
  <c r="H896" i="22"/>
  <c r="H917" i="22"/>
  <c r="H958" i="22"/>
  <c r="H1193" i="22"/>
  <c r="B1120" i="22"/>
  <c r="C1116" i="22" s="1"/>
  <c r="H1839" i="22"/>
  <c r="H1842" i="22"/>
  <c r="B1945" i="22"/>
  <c r="C221" i="22"/>
  <c r="C222" i="22"/>
  <c r="H1310" i="22"/>
  <c r="L1439" i="22"/>
  <c r="H1829" i="22"/>
  <c r="H1875" i="22"/>
  <c r="H1939" i="22"/>
  <c r="H1942" i="22"/>
  <c r="H1976" i="22"/>
  <c r="H2118" i="22"/>
  <c r="L1802" i="22"/>
  <c r="H1930" i="22"/>
  <c r="B2143" i="22"/>
  <c r="C2164" i="22" s="1"/>
  <c r="H2184" i="22"/>
  <c r="H2138" i="22"/>
  <c r="H2141" i="22"/>
  <c r="H315" i="22"/>
  <c r="H311" i="22"/>
  <c r="H269" i="22"/>
  <c r="L735" i="22"/>
  <c r="H760" i="22"/>
  <c r="H1085" i="22"/>
  <c r="J1483" i="22"/>
  <c r="J1527" i="22"/>
  <c r="H2106" i="22"/>
  <c r="B2187" i="22"/>
  <c r="C2180" i="22" s="1"/>
  <c r="J1769" i="22"/>
  <c r="J2077" i="22"/>
  <c r="B867" i="22"/>
  <c r="C861" i="22" s="1"/>
  <c r="H1667" i="22"/>
  <c r="H1687" i="22"/>
  <c r="H1721" i="22"/>
  <c r="H1756" i="22"/>
  <c r="H1949" i="22"/>
  <c r="L1109" i="22"/>
  <c r="L1021" i="22"/>
  <c r="H456" i="22"/>
  <c r="H446" i="22"/>
  <c r="H324" i="22"/>
  <c r="H320" i="22"/>
  <c r="H304" i="22"/>
  <c r="L306" i="22"/>
  <c r="H248" i="22"/>
  <c r="H216" i="22"/>
  <c r="H193" i="22"/>
  <c r="H189" i="22"/>
  <c r="H178" i="22"/>
  <c r="H172" i="22"/>
  <c r="H167" i="22"/>
  <c r="H160" i="22"/>
  <c r="H675" i="22"/>
  <c r="H709" i="22"/>
  <c r="L768" i="22"/>
  <c r="H765" i="22"/>
  <c r="H773" i="22"/>
  <c r="H905" i="22"/>
  <c r="H904" i="22"/>
  <c r="H926" i="22"/>
  <c r="H960" i="22"/>
  <c r="H1006" i="22"/>
  <c r="H1016" i="22"/>
  <c r="H1063" i="22"/>
  <c r="K1208" i="22"/>
  <c r="H1211" i="22"/>
  <c r="H1215" i="22"/>
  <c r="H1225" i="22"/>
  <c r="K1252" i="22"/>
  <c r="B790" i="22"/>
  <c r="C787" i="22" s="1"/>
  <c r="B746" i="22"/>
  <c r="B713" i="22"/>
  <c r="C705" i="22" s="1"/>
  <c r="B603" i="22"/>
  <c r="B537" i="22"/>
  <c r="C530" i="22" s="1"/>
  <c r="B515" i="22"/>
  <c r="B2278" i="22" s="1"/>
  <c r="I2278" i="22" s="1"/>
  <c r="B504" i="22"/>
  <c r="C500" i="22" s="1"/>
  <c r="B482" i="22"/>
  <c r="C474" i="22" s="1"/>
  <c r="B416" i="22"/>
  <c r="C408" i="22" s="1"/>
  <c r="B328" i="22"/>
  <c r="B2261" i="22" s="1"/>
  <c r="H1398" i="22"/>
  <c r="H1432" i="22"/>
  <c r="H1511" i="22"/>
  <c r="L1604" i="22"/>
  <c r="J1692" i="22"/>
  <c r="H1688" i="22"/>
  <c r="H1742" i="22"/>
  <c r="B1857" i="22"/>
  <c r="H2016" i="22"/>
  <c r="H2083" i="22"/>
  <c r="H2107" i="22"/>
  <c r="H2116" i="22"/>
  <c r="L2154" i="22"/>
  <c r="K2165" i="22"/>
  <c r="L603" i="22"/>
  <c r="J592" i="22"/>
  <c r="H513" i="22"/>
  <c r="K515" i="22"/>
  <c r="J493" i="22"/>
  <c r="H480" i="22"/>
  <c r="H476" i="22"/>
  <c r="H413" i="22"/>
  <c r="H409" i="22"/>
  <c r="H390" i="22"/>
  <c r="J372" i="22"/>
  <c r="H342" i="22"/>
  <c r="H149" i="22"/>
  <c r="H667" i="22"/>
  <c r="H795" i="22"/>
  <c r="H1129" i="22"/>
  <c r="H1137" i="22"/>
  <c r="L1153" i="22"/>
  <c r="H1167" i="22"/>
  <c r="J1186" i="22"/>
  <c r="H1194" i="22"/>
  <c r="H1216" i="22"/>
  <c r="H1233" i="22"/>
  <c r="H1348" i="22"/>
  <c r="H1479" i="22"/>
  <c r="J1681" i="22"/>
  <c r="H1678" i="22"/>
  <c r="K1813" i="22"/>
  <c r="H1860" i="22"/>
  <c r="H1863" i="22"/>
  <c r="H1906" i="22"/>
  <c r="J1967" i="22"/>
  <c r="H2028" i="22"/>
  <c r="H2127" i="22"/>
  <c r="B2176" i="22"/>
  <c r="C2170" i="22" s="1"/>
  <c r="H2181" i="22"/>
  <c r="J1054" i="22"/>
  <c r="H655" i="22"/>
  <c r="K625" i="22"/>
  <c r="H611" i="22"/>
  <c r="H589" i="22"/>
  <c r="L537" i="22"/>
  <c r="H368" i="22"/>
  <c r="H166" i="22"/>
  <c r="H159" i="22"/>
  <c r="H145" i="22"/>
  <c r="H817" i="22"/>
  <c r="H938" i="22"/>
  <c r="J1087" i="22"/>
  <c r="H1206" i="22"/>
  <c r="B1208" i="22"/>
  <c r="C1201" i="22" s="1"/>
  <c r="K1329" i="22"/>
  <c r="H1546" i="22"/>
  <c r="L1560" i="22"/>
  <c r="H1707" i="22"/>
  <c r="H1710" i="22"/>
  <c r="L1923" i="22"/>
  <c r="K2033" i="22"/>
  <c r="H2084" i="22"/>
  <c r="H2151" i="22"/>
  <c r="H2168" i="22"/>
  <c r="H556" i="22"/>
  <c r="H432" i="22"/>
  <c r="H378" i="22"/>
  <c r="H205" i="22"/>
  <c r="L812" i="22"/>
  <c r="H852" i="22"/>
  <c r="H863" i="22"/>
  <c r="H875" i="22"/>
  <c r="H881" i="22"/>
  <c r="H884" i="22"/>
  <c r="H898" i="22"/>
  <c r="H930" i="22"/>
  <c r="H970" i="22"/>
  <c r="H983" i="22"/>
  <c r="H1057" i="22"/>
  <c r="L1285" i="22"/>
  <c r="H1292" i="22"/>
  <c r="H1289" i="22"/>
  <c r="K1318" i="22"/>
  <c r="H1412" i="22"/>
  <c r="H1433" i="22"/>
  <c r="H1445" i="22"/>
  <c r="H1448" i="22"/>
  <c r="H1651" i="22"/>
  <c r="H1654" i="22"/>
  <c r="H1695" i="22"/>
  <c r="H1701" i="22"/>
  <c r="H1773" i="22"/>
  <c r="L1791" i="22"/>
  <c r="H1786" i="22"/>
  <c r="H1789" i="22"/>
  <c r="H1799" i="22"/>
  <c r="H1840" i="22"/>
  <c r="H1896" i="22"/>
  <c r="H1899" i="22"/>
  <c r="B1934" i="22"/>
  <c r="L2143" i="22"/>
  <c r="H441" i="22"/>
  <c r="H238" i="22"/>
  <c r="H234" i="22"/>
  <c r="H672" i="22"/>
  <c r="H931" i="22"/>
  <c r="H937" i="22"/>
  <c r="J1263" i="22"/>
  <c r="B812" i="22"/>
  <c r="G812" i="22" s="1"/>
  <c r="B647" i="22"/>
  <c r="C640" i="22" s="1"/>
  <c r="B251" i="22"/>
  <c r="C245" i="22" s="1"/>
  <c r="H1391" i="22"/>
  <c r="H1387" i="22"/>
  <c r="J1505" i="22"/>
  <c r="K1615" i="22"/>
  <c r="H1613" i="22"/>
  <c r="K1692" i="22"/>
  <c r="H2174" i="22"/>
  <c r="H654" i="22"/>
  <c r="K658" i="22"/>
  <c r="H640" i="22"/>
  <c r="J570" i="22"/>
  <c r="H545" i="22"/>
  <c r="H541" i="22"/>
  <c r="H411" i="22"/>
  <c r="H326" i="22"/>
  <c r="H303" i="22"/>
  <c r="H300" i="22"/>
  <c r="H281" i="22"/>
  <c r="H260" i="22"/>
  <c r="H717" i="22"/>
  <c r="H859" i="22"/>
  <c r="L867" i="22"/>
  <c r="H920" i="22"/>
  <c r="B988" i="22"/>
  <c r="C981" i="22" s="1"/>
  <c r="H1454" i="22"/>
  <c r="H1458" i="22"/>
  <c r="H1708" i="22"/>
  <c r="H1750" i="22"/>
  <c r="H1755" i="22"/>
  <c r="K1912" i="22"/>
  <c r="H2029" i="22"/>
  <c r="H2048" i="22"/>
  <c r="H2149" i="22"/>
  <c r="H608" i="22"/>
  <c r="H544" i="22"/>
  <c r="H392" i="22"/>
  <c r="H729" i="22"/>
  <c r="H865" i="22"/>
  <c r="H995" i="22"/>
  <c r="H1376" i="22"/>
  <c r="K2176" i="22"/>
  <c r="G1417" i="22"/>
  <c r="C1410" i="22"/>
  <c r="C1414" i="22"/>
  <c r="C1409" i="22"/>
  <c r="B2360" i="22"/>
  <c r="K306" i="22"/>
  <c r="H299" i="22"/>
  <c r="H1332" i="22"/>
  <c r="L1340" i="22"/>
  <c r="H1105" i="22"/>
  <c r="J1109" i="22"/>
  <c r="K1945" i="22"/>
  <c r="H1937" i="22"/>
  <c r="H2037" i="22"/>
  <c r="J2044" i="22"/>
  <c r="J2110" i="22"/>
  <c r="H2102" i="22"/>
  <c r="C1258" i="22"/>
  <c r="H343" i="22"/>
  <c r="J350" i="22"/>
  <c r="H288" i="22"/>
  <c r="H169" i="22"/>
  <c r="J174" i="22"/>
  <c r="B1637" i="22"/>
  <c r="C1630" i="22" s="1"/>
  <c r="B1714" i="22"/>
  <c r="C1709" i="22" s="1"/>
  <c r="C1255" i="22"/>
  <c r="C1273" i="22"/>
  <c r="H203" i="22"/>
  <c r="L823" i="22"/>
  <c r="H815" i="22"/>
  <c r="H1321" i="22"/>
  <c r="L1329" i="22"/>
  <c r="K2022" i="22"/>
  <c r="H388" i="22"/>
  <c r="C1688" i="22"/>
  <c r="C1700" i="22"/>
  <c r="C1698" i="22"/>
  <c r="C1687" i="22"/>
  <c r="B2385" i="22"/>
  <c r="F2385" i="22" s="1"/>
  <c r="G2385" i="22" s="1"/>
  <c r="C1702" i="22"/>
  <c r="H337" i="22"/>
  <c r="J284" i="22"/>
  <c r="H277" i="22"/>
  <c r="J262" i="22"/>
  <c r="B1439" i="22"/>
  <c r="C454" i="22"/>
  <c r="C455" i="22"/>
  <c r="J1648" i="22"/>
  <c r="B2402" i="22"/>
  <c r="C1872" i="22"/>
  <c r="C1871" i="22"/>
  <c r="C1875" i="22"/>
  <c r="C1874" i="22"/>
  <c r="C1873" i="22"/>
  <c r="C1877" i="22"/>
  <c r="C421" i="22"/>
  <c r="B2270" i="22"/>
  <c r="J328" i="22"/>
  <c r="J1384" i="22"/>
  <c r="L1901" i="22"/>
  <c r="H1894" i="22"/>
  <c r="L1978" i="22"/>
  <c r="H1950" i="22"/>
  <c r="K1956" i="22"/>
  <c r="C2130" i="22"/>
  <c r="L273" i="22"/>
  <c r="H266" i="22"/>
  <c r="K691" i="22"/>
  <c r="H685" i="22"/>
  <c r="H695" i="22"/>
  <c r="K702" i="22"/>
  <c r="B1472" i="22"/>
  <c r="C1470" i="22" s="1"/>
  <c r="H1552" i="22"/>
  <c r="J1560" i="22"/>
  <c r="H1544" i="22"/>
  <c r="C1498" i="22"/>
  <c r="C1503" i="22"/>
  <c r="C1500" i="22"/>
  <c r="C1499" i="22"/>
  <c r="L658" i="22"/>
  <c r="C585" i="22"/>
  <c r="L372" i="22"/>
  <c r="J636" i="22"/>
  <c r="H618" i="22"/>
  <c r="H595" i="22"/>
  <c r="H500" i="22"/>
  <c r="H496" i="22"/>
  <c r="K328" i="22"/>
  <c r="H310" i="22"/>
  <c r="H199" i="22"/>
  <c r="B2397" i="22"/>
  <c r="C491" i="22"/>
  <c r="C488" i="22"/>
  <c r="J1318" i="22"/>
  <c r="L625" i="22"/>
  <c r="K548" i="22"/>
  <c r="H346" i="22"/>
  <c r="L339" i="22"/>
  <c r="K163" i="22"/>
  <c r="J152" i="22"/>
  <c r="X23" i="22" s="1"/>
  <c r="X34" i="22" s="1"/>
  <c r="L999" i="22"/>
  <c r="H1236" i="22"/>
  <c r="L1241" i="22"/>
  <c r="B856" i="22"/>
  <c r="C849" i="22" s="1"/>
  <c r="B680" i="22"/>
  <c r="C672" i="22" s="1"/>
  <c r="H617" i="22"/>
  <c r="J460" i="22"/>
  <c r="B2398" i="22"/>
  <c r="I2398" i="22" s="1"/>
  <c r="C215" i="22"/>
  <c r="H1882" i="22"/>
  <c r="L911" i="22"/>
  <c r="J658" i="22"/>
  <c r="H644" i="22"/>
  <c r="L526" i="22"/>
  <c r="H509" i="22"/>
  <c r="L493" i="22"/>
  <c r="K405" i="22"/>
  <c r="H379" i="22"/>
  <c r="H355" i="22"/>
  <c r="K647" i="22"/>
  <c r="C1832" i="22"/>
  <c r="C1821" i="22"/>
  <c r="C2004" i="22"/>
  <c r="J625" i="22"/>
  <c r="H156" i="22"/>
  <c r="H1697" i="22"/>
  <c r="L592" i="22"/>
  <c r="H522" i="22"/>
  <c r="L449" i="22"/>
  <c r="J361" i="22"/>
  <c r="C1831" i="22"/>
  <c r="J647" i="22"/>
  <c r="C908" i="22"/>
  <c r="C909" i="22"/>
  <c r="H1415" i="22"/>
  <c r="C927" i="22"/>
  <c r="C931" i="22"/>
  <c r="H1410" i="22"/>
  <c r="H620" i="22"/>
  <c r="K592" i="22"/>
  <c r="H512" i="22"/>
  <c r="H498" i="22"/>
  <c r="K218" i="22"/>
  <c r="C1816" i="22"/>
  <c r="K504" i="22"/>
  <c r="L350" i="22"/>
  <c r="G1835" i="22"/>
  <c r="J1120" i="22"/>
  <c r="C2018" i="22"/>
  <c r="B2413" i="22"/>
  <c r="F2413" i="22" s="1"/>
  <c r="G2413" i="22" s="1"/>
  <c r="H508" i="22"/>
  <c r="J515" i="22"/>
  <c r="J416" i="22"/>
  <c r="H1013" i="22"/>
  <c r="C1234" i="22"/>
  <c r="C907" i="22"/>
  <c r="B2316" i="22"/>
  <c r="C2014" i="22"/>
  <c r="B2258" i="22"/>
  <c r="C1795" i="22"/>
  <c r="C1796" i="22"/>
  <c r="K636" i="22"/>
  <c r="C342" i="22"/>
  <c r="C1984" i="22"/>
  <c r="C1970" i="22"/>
  <c r="C1976" i="22"/>
  <c r="H623" i="22"/>
  <c r="H606" i="22"/>
  <c r="H587" i="22"/>
  <c r="H577" i="22"/>
  <c r="H568" i="22"/>
  <c r="H564" i="22"/>
  <c r="H454" i="22"/>
  <c r="L438" i="22"/>
  <c r="B757" i="22"/>
  <c r="B724" i="22"/>
  <c r="C734" i="22" s="1"/>
  <c r="H1927" i="22"/>
  <c r="L1934" i="22"/>
  <c r="H1456" i="22"/>
  <c r="K1461" i="22"/>
  <c r="K1604" i="22"/>
  <c r="H1599" i="22"/>
  <c r="H1591" i="22"/>
  <c r="H298" i="22"/>
  <c r="C929" i="22"/>
  <c r="L196" i="22"/>
  <c r="H183" i="22"/>
  <c r="H796" i="22"/>
  <c r="J801" i="22"/>
  <c r="H961" i="22"/>
  <c r="J966" i="22"/>
  <c r="B383" i="22"/>
  <c r="H188" i="22"/>
  <c r="H535" i="22"/>
  <c r="H531" i="22"/>
  <c r="L2099" i="22"/>
  <c r="H243" i="22"/>
  <c r="K933" i="22"/>
  <c r="H927" i="22"/>
  <c r="H1026" i="22"/>
  <c r="J1032" i="22"/>
  <c r="B636" i="22"/>
  <c r="C632" i="22" s="1"/>
  <c r="B570" i="22"/>
  <c r="C562" i="22" s="1"/>
  <c r="B306" i="22"/>
  <c r="C302" i="22" s="1"/>
  <c r="L856" i="22"/>
  <c r="H850" i="22"/>
  <c r="H959" i="22"/>
  <c r="H1598" i="22"/>
  <c r="J1604" i="22"/>
  <c r="L1175" i="22"/>
  <c r="K185" i="22"/>
  <c r="J1593" i="22"/>
  <c r="H651" i="22"/>
  <c r="H596" i="22"/>
  <c r="H2136" i="22"/>
  <c r="B1461" i="22"/>
  <c r="H334" i="22"/>
  <c r="H590" i="22"/>
  <c r="H222" i="22"/>
  <c r="F1098" i="22"/>
  <c r="E2331" i="22" s="1"/>
  <c r="B1090" i="22"/>
  <c r="B1098" i="22" s="1"/>
  <c r="G1109" i="22" s="1"/>
  <c r="H1280" i="22"/>
  <c r="B2022" i="22"/>
  <c r="H2105" i="22"/>
  <c r="K1516" i="22"/>
  <c r="H652" i="22"/>
  <c r="H585" i="22"/>
  <c r="H543" i="22"/>
  <c r="H491" i="22"/>
  <c r="H436" i="22"/>
  <c r="H322" i="22"/>
  <c r="L284" i="22"/>
  <c r="H271" i="22"/>
  <c r="J273" i="22"/>
  <c r="H181" i="22"/>
  <c r="K174" i="22"/>
  <c r="H157" i="22"/>
  <c r="K1021" i="22"/>
  <c r="H1178" i="22"/>
  <c r="H1192" i="22"/>
  <c r="H1255" i="22"/>
  <c r="B999" i="22"/>
  <c r="B955" i="22"/>
  <c r="B405" i="22"/>
  <c r="B317" i="22"/>
  <c r="H1315" i="22"/>
  <c r="K1406" i="22"/>
  <c r="H1401" i="22"/>
  <c r="H1404" i="22"/>
  <c r="H1994" i="22"/>
  <c r="H1997" i="22"/>
  <c r="B2011" i="22"/>
  <c r="J2022" i="22"/>
  <c r="H2093" i="22"/>
  <c r="H2096" i="22"/>
  <c r="H2180" i="22"/>
  <c r="H244" i="22"/>
  <c r="J196" i="22"/>
  <c r="X69" i="22" s="1"/>
  <c r="X80" i="22" s="1"/>
  <c r="H661" i="22"/>
  <c r="H707" i="22"/>
  <c r="H710" i="22"/>
  <c r="H742" i="22"/>
  <c r="H816" i="22"/>
  <c r="H828" i="22"/>
  <c r="H832" i="22"/>
  <c r="H851" i="22"/>
  <c r="J867" i="22"/>
  <c r="K911" i="22"/>
  <c r="H914" i="22"/>
  <c r="H918" i="22"/>
  <c r="H942" i="22"/>
  <c r="H986" i="22"/>
  <c r="H1005" i="22"/>
  <c r="H1019" i="22"/>
  <c r="H1048" i="22"/>
  <c r="H1388" i="22"/>
  <c r="H1532" i="22"/>
  <c r="H1601" i="22"/>
  <c r="L1626" i="22"/>
  <c r="J1670" i="22"/>
  <c r="H1706" i="22"/>
  <c r="H1709" i="22"/>
  <c r="H1712" i="22"/>
  <c r="L1945" i="22"/>
  <c r="H2017" i="22"/>
  <c r="H2080" i="22"/>
  <c r="H2159" i="22"/>
  <c r="H1204" i="22"/>
  <c r="B1197" i="22"/>
  <c r="L1362" i="22"/>
  <c r="H1851" i="22"/>
  <c r="H1854" i="22"/>
  <c r="H2052" i="22"/>
  <c r="H2063" i="22"/>
  <c r="H2115" i="22"/>
  <c r="H2128" i="22"/>
  <c r="L691" i="22"/>
  <c r="L702" i="22"/>
  <c r="J889" i="22"/>
  <c r="K955" i="22"/>
  <c r="H982" i="22"/>
  <c r="H1080" i="22"/>
  <c r="L1131" i="22"/>
  <c r="H1146" i="22"/>
  <c r="H1291" i="22"/>
  <c r="B801" i="22"/>
  <c r="B2304" i="22" s="1"/>
  <c r="B394" i="22"/>
  <c r="H1399" i="22"/>
  <c r="H1541" i="22"/>
  <c r="H1608" i="22"/>
  <c r="H1611" i="22"/>
  <c r="H1778" i="22"/>
  <c r="H1885" i="22"/>
  <c r="H2049" i="22"/>
  <c r="H2126" i="22"/>
  <c r="H489" i="22"/>
  <c r="H425" i="22"/>
  <c r="H421" i="22"/>
  <c r="H403" i="22"/>
  <c r="H302" i="22"/>
  <c r="H292" i="22"/>
  <c r="H255" i="22"/>
  <c r="H215" i="22"/>
  <c r="H211" i="22"/>
  <c r="H150" i="22"/>
  <c r="H677" i="22"/>
  <c r="H720" i="22"/>
  <c r="H838" i="22"/>
  <c r="H876" i="22"/>
  <c r="H1116" i="22"/>
  <c r="H1257" i="22"/>
  <c r="K1285" i="22"/>
  <c r="H1294" i="22"/>
  <c r="J1516" i="22"/>
  <c r="H1512" i="22"/>
  <c r="H1545" i="22"/>
  <c r="J1571" i="22"/>
  <c r="K1846" i="22"/>
  <c r="K1868" i="22"/>
  <c r="H2008" i="22"/>
  <c r="H2031" i="22"/>
  <c r="H2041" i="22"/>
  <c r="K2077" i="22"/>
  <c r="H2140" i="22"/>
  <c r="H2170" i="22"/>
  <c r="L262" i="22"/>
  <c r="H249" i="22"/>
  <c r="B2190" i="22"/>
  <c r="D2198" i="22"/>
  <c r="H1184" i="22"/>
  <c r="H1205" i="22"/>
  <c r="H1248" i="22"/>
  <c r="J1406" i="22"/>
  <c r="K1505" i="22"/>
  <c r="H1524" i="22"/>
  <c r="B1659" i="22"/>
  <c r="J2066" i="22"/>
  <c r="H336" i="22"/>
  <c r="H258" i="22"/>
  <c r="J251" i="22"/>
  <c r="H237" i="22"/>
  <c r="H678" i="22"/>
  <c r="H721" i="22"/>
  <c r="H973" i="22"/>
  <c r="H1046" i="22"/>
  <c r="K1087" i="22"/>
  <c r="H1168" i="22"/>
  <c r="H1228" i="22"/>
  <c r="K1241" i="22"/>
  <c r="H1266" i="22"/>
  <c r="H1381" i="22"/>
  <c r="H1491" i="22"/>
  <c r="L1527" i="22"/>
  <c r="H1558" i="22"/>
  <c r="H1664" i="22"/>
  <c r="J1791" i="22"/>
  <c r="H1841" i="22"/>
  <c r="H1961" i="22"/>
  <c r="K2066" i="22"/>
  <c r="K2088" i="22"/>
  <c r="K2154" i="22"/>
  <c r="H2152" i="22"/>
  <c r="H534" i="22"/>
  <c r="H520" i="22"/>
  <c r="H323" i="22"/>
  <c r="H301" i="22"/>
  <c r="H718" i="22"/>
  <c r="K790" i="22"/>
  <c r="H908" i="22"/>
  <c r="H1084" i="22"/>
  <c r="B141" i="22"/>
  <c r="B152" i="22"/>
  <c r="G163" i="22" s="1"/>
  <c r="H1357" i="22"/>
  <c r="H1413" i="22"/>
  <c r="K1472" i="22"/>
  <c r="H1468" i="22"/>
  <c r="B1494" i="22"/>
  <c r="G1505" i="22" s="1"/>
  <c r="L1593" i="22"/>
  <c r="B1670" i="22"/>
  <c r="K1758" i="22"/>
  <c r="H1764" i="22"/>
  <c r="L2000" i="22"/>
  <c r="J2011" i="22"/>
  <c r="L2055" i="22"/>
  <c r="H2182" i="22"/>
  <c r="H452" i="22"/>
  <c r="H276" i="22"/>
  <c r="H705" i="22"/>
  <c r="H730" i="22"/>
  <c r="H907" i="22"/>
  <c r="J1428" i="22"/>
  <c r="K1450" i="22"/>
  <c r="L1461" i="22"/>
  <c r="K2044" i="22"/>
  <c r="H2047" i="22"/>
  <c r="H2074" i="22"/>
  <c r="H2095" i="22"/>
  <c r="H2108" i="22"/>
  <c r="H2117" i="22"/>
  <c r="H2130" i="22"/>
  <c r="H2158" i="22"/>
  <c r="H2171" i="22"/>
  <c r="H2179" i="22"/>
  <c r="H1508" i="22"/>
  <c r="H501" i="22"/>
  <c r="H455" i="22"/>
  <c r="H442" i="22"/>
  <c r="K350" i="22"/>
  <c r="H309" i="22"/>
  <c r="H245" i="22"/>
  <c r="K152" i="22"/>
  <c r="Y23" i="22" s="1"/>
  <c r="H749" i="22"/>
  <c r="H974" i="22"/>
  <c r="H1227" i="22"/>
  <c r="H1235" i="22"/>
  <c r="H1271" i="22"/>
  <c r="B1186" i="22"/>
  <c r="C1183" i="22" s="1"/>
  <c r="B834" i="22"/>
  <c r="B1318" i="22"/>
  <c r="B1329" i="22"/>
  <c r="H1334" i="22"/>
  <c r="K1362" i="22"/>
  <c r="H1393" i="22"/>
  <c r="H1389" i="22"/>
  <c r="K1428" i="22"/>
  <c r="L1571" i="22"/>
  <c r="H1631" i="22"/>
  <c r="L1692" i="22"/>
  <c r="H1962" i="22"/>
  <c r="J1989" i="22"/>
  <c r="H1984" i="22"/>
  <c r="H1987" i="22"/>
  <c r="H2003" i="22"/>
  <c r="H2006" i="22"/>
  <c r="K295" i="22"/>
  <c r="H291" i="22"/>
  <c r="J790" i="22"/>
  <c r="H784" i="22"/>
  <c r="H991" i="22"/>
  <c r="J999" i="22"/>
  <c r="B2424" i="22"/>
  <c r="C2117" i="22"/>
  <c r="C2119" i="22"/>
  <c r="C2114" i="22"/>
  <c r="H546" i="22"/>
  <c r="J548" i="22"/>
  <c r="H519" i="22"/>
  <c r="J526" i="22"/>
  <c r="H766" i="22"/>
  <c r="J768" i="22"/>
  <c r="H776" i="22"/>
  <c r="L779" i="22"/>
  <c r="K2187" i="22"/>
  <c r="H565" i="22"/>
  <c r="K570" i="22"/>
  <c r="H555" i="22"/>
  <c r="K559" i="22"/>
  <c r="C2041" i="22"/>
  <c r="C2040" i="22"/>
  <c r="C2042" i="22"/>
  <c r="C2037" i="22"/>
  <c r="C2038" i="22"/>
  <c r="C2036" i="22"/>
  <c r="B1516" i="22"/>
  <c r="C1508" i="22" s="1"/>
  <c r="H885" i="22"/>
  <c r="L889" i="22"/>
  <c r="L933" i="22"/>
  <c r="H925" i="22"/>
  <c r="L1043" i="22"/>
  <c r="H1038" i="22"/>
  <c r="H1093" i="22"/>
  <c r="K1098" i="22"/>
  <c r="H1115" i="22"/>
  <c r="L1120" i="22"/>
  <c r="H1136" i="22"/>
  <c r="L1142" i="22"/>
  <c r="H882" i="22"/>
  <c r="C1919" i="22"/>
  <c r="C1918" i="22"/>
  <c r="C1915" i="22"/>
  <c r="H872" i="22"/>
  <c r="K878" i="22"/>
  <c r="J1153" i="22"/>
  <c r="C1161" i="22"/>
  <c r="C1159" i="22"/>
  <c r="K977" i="22"/>
  <c r="H971" i="22"/>
  <c r="H2183" i="22"/>
  <c r="J2187" i="22"/>
  <c r="H551" i="22"/>
  <c r="L559" i="22"/>
  <c r="H732" i="22"/>
  <c r="J735" i="22"/>
  <c r="H772" i="22"/>
  <c r="K779" i="22"/>
  <c r="H842" i="22"/>
  <c r="J845" i="22"/>
  <c r="L944" i="22"/>
  <c r="L977" i="22"/>
  <c r="H972" i="22"/>
  <c r="H1027" i="22"/>
  <c r="K1032" i="22"/>
  <c r="K2143" i="22"/>
  <c r="H2137" i="22"/>
  <c r="C434" i="22"/>
  <c r="C433" i="22"/>
  <c r="C436" i="22"/>
  <c r="C475" i="22"/>
  <c r="C700" i="22"/>
  <c r="C1807" i="22"/>
  <c r="B2396" i="22"/>
  <c r="C1811" i="22"/>
  <c r="G1824" i="22"/>
  <c r="C1810" i="22"/>
  <c r="C1808" i="22"/>
  <c r="G1813" i="22"/>
  <c r="C1805" i="22"/>
  <c r="C364" i="22"/>
  <c r="C366" i="22"/>
  <c r="C370" i="22"/>
  <c r="C763" i="22"/>
  <c r="G779" i="22"/>
  <c r="C766" i="22"/>
  <c r="C765" i="22"/>
  <c r="H375" i="22"/>
  <c r="J383" i="22"/>
  <c r="C1545" i="22"/>
  <c r="C1542" i="22"/>
  <c r="C1541" i="22"/>
  <c r="C1546" i="22"/>
  <c r="C1544" i="22"/>
  <c r="C1547" i="22"/>
  <c r="C1548" i="22"/>
  <c r="B2427" i="22"/>
  <c r="C2150" i="22"/>
  <c r="C2147" i="22"/>
  <c r="C2152" i="22"/>
  <c r="C2149" i="22"/>
  <c r="C2146" i="22"/>
  <c r="C1841" i="22"/>
  <c r="C1843" i="22"/>
  <c r="G1846" i="22"/>
  <c r="C1838" i="22"/>
  <c r="C2027" i="22"/>
  <c r="J724" i="22"/>
  <c r="L834" i="22"/>
  <c r="H829" i="22"/>
  <c r="L845" i="22"/>
  <c r="K1010" i="22"/>
  <c r="H1003" i="22"/>
  <c r="H1542" i="22"/>
  <c r="J1549" i="22"/>
  <c r="B1560" i="22"/>
  <c r="C1552" i="22"/>
  <c r="G1615" i="22"/>
  <c r="C1625" i="22"/>
  <c r="C1798" i="22"/>
  <c r="C1797" i="22"/>
  <c r="C1799" i="22"/>
  <c r="C1800" i="22"/>
  <c r="C1794" i="22"/>
  <c r="B2395" i="22"/>
  <c r="L207" i="22"/>
  <c r="H201" i="22"/>
  <c r="K196" i="22"/>
  <c r="H192" i="22"/>
  <c r="H807" i="22"/>
  <c r="J812" i="22"/>
  <c r="J900" i="22"/>
  <c r="H892" i="22"/>
  <c r="J944" i="22"/>
  <c r="H936" i="22"/>
  <c r="H1520" i="22"/>
  <c r="K1527" i="22"/>
  <c r="K1538" i="22"/>
  <c r="H1530" i="22"/>
  <c r="H2085" i="22"/>
  <c r="C1350" i="22"/>
  <c r="K251" i="22"/>
  <c r="C268" i="22"/>
  <c r="C611" i="22"/>
  <c r="C1225" i="22"/>
  <c r="C1226" i="22"/>
  <c r="C1228" i="22"/>
  <c r="C2104" i="22"/>
  <c r="C1257" i="22"/>
  <c r="C1261" i="22"/>
  <c r="C1260" i="22"/>
  <c r="C1256" i="22"/>
  <c r="C1262" i="22"/>
  <c r="C1985" i="22"/>
  <c r="C1971" i="22"/>
  <c r="B2411" i="22"/>
  <c r="F2412" i="22" s="1"/>
  <c r="G2412" i="22" s="1"/>
  <c r="C1982" i="22"/>
  <c r="C1983" i="22"/>
  <c r="C1676" i="22"/>
  <c r="C1864" i="22"/>
  <c r="C1302" i="22"/>
  <c r="C1301" i="22"/>
  <c r="C1358" i="22"/>
  <c r="B2355" i="22"/>
  <c r="C1259" i="22"/>
  <c r="C1830" i="22"/>
  <c r="C1828" i="22"/>
  <c r="C1833" i="22"/>
  <c r="C1829" i="22"/>
  <c r="C534" i="22"/>
  <c r="C532" i="22"/>
  <c r="C589" i="22"/>
  <c r="J306" i="22"/>
  <c r="H254" i="22"/>
  <c r="H210" i="22"/>
  <c r="J218" i="22"/>
  <c r="L614" i="22"/>
  <c r="H609" i="22"/>
  <c r="C1992" i="22"/>
  <c r="C2005" i="22"/>
  <c r="C2017" i="22"/>
  <c r="C2008" i="22"/>
  <c r="C2016" i="22"/>
  <c r="C1997" i="22"/>
  <c r="C2015" i="22"/>
  <c r="C2007" i="22"/>
  <c r="C1882" i="22"/>
  <c r="G1890" i="22"/>
  <c r="B2298" i="22"/>
  <c r="C728" i="22"/>
  <c r="H542" i="22"/>
  <c r="B2368" i="22"/>
  <c r="C1501" i="22"/>
  <c r="C1502" i="22"/>
  <c r="K361" i="22"/>
  <c r="K273" i="22"/>
  <c r="J779" i="22"/>
  <c r="H771" i="22"/>
  <c r="H783" i="22"/>
  <c r="H1062" i="22"/>
  <c r="K1065" i="22"/>
  <c r="L179" i="22"/>
  <c r="L168" i="22"/>
  <c r="H1421" i="22"/>
  <c r="L1428" i="22"/>
  <c r="K1494" i="22"/>
  <c r="H1487" i="22"/>
  <c r="H499" i="22"/>
  <c r="J504" i="22"/>
  <c r="L394" i="22"/>
  <c r="J295" i="22"/>
  <c r="L152" i="22"/>
  <c r="Z23" i="22" s="1"/>
  <c r="H386" i="22"/>
  <c r="K394" i="22"/>
  <c r="K317" i="22"/>
  <c r="H312" i="22"/>
  <c r="H399" i="22"/>
  <c r="L328" i="22"/>
  <c r="H289" i="22"/>
  <c r="L295" i="22"/>
  <c r="H434" i="22"/>
  <c r="J438" i="22"/>
  <c r="L427" i="22"/>
  <c r="B889" i="22"/>
  <c r="C882" i="22" s="1"/>
  <c r="K1967" i="22"/>
  <c r="H1959" i="22"/>
  <c r="H447" i="22"/>
  <c r="J449" i="22"/>
  <c r="H443" i="22"/>
  <c r="H420" i="22"/>
  <c r="H414" i="22"/>
  <c r="L416" i="22"/>
  <c r="H1972" i="22"/>
  <c r="K1978" i="22"/>
  <c r="C599" i="22"/>
  <c r="C601" i="22"/>
  <c r="H1621" i="22"/>
  <c r="K1626" i="22"/>
  <c r="K537" i="22"/>
  <c r="K735" i="22"/>
  <c r="H820" i="22"/>
  <c r="J823" i="22"/>
  <c r="H837" i="22"/>
  <c r="K845" i="22"/>
  <c r="H854" i="22"/>
  <c r="K856" i="22"/>
  <c r="B1582" i="22"/>
  <c r="K1593" i="22"/>
  <c r="H1587" i="22"/>
  <c r="L1725" i="22"/>
  <c r="H1718" i="22"/>
  <c r="H861" i="22"/>
  <c r="L251" i="22"/>
  <c r="K1901" i="22"/>
  <c r="K713" i="22"/>
  <c r="H947" i="22"/>
  <c r="J955" i="22"/>
  <c r="H951" i="22"/>
  <c r="L988" i="22"/>
  <c r="H1189" i="22"/>
  <c r="J1197" i="22"/>
  <c r="H1500" i="22"/>
  <c r="C1543" i="22"/>
  <c r="H1553" i="22"/>
  <c r="H1652" i="22"/>
  <c r="K1659" i="22"/>
  <c r="C234" i="22"/>
  <c r="C238" i="22"/>
  <c r="C235" i="22"/>
  <c r="C237" i="22"/>
  <c r="C232" i="22"/>
  <c r="L1857" i="22"/>
  <c r="H2072" i="22"/>
  <c r="L2077" i="22"/>
  <c r="B2066" i="22"/>
  <c r="C2059" i="22" s="1"/>
  <c r="H1509" i="22"/>
  <c r="H533" i="22"/>
  <c r="H510" i="22"/>
  <c r="H478" i="22"/>
  <c r="H474" i="22"/>
  <c r="L460" i="22"/>
  <c r="H458" i="22"/>
  <c r="J856" i="22"/>
  <c r="L1032" i="22"/>
  <c r="H1025" i="22"/>
  <c r="H1378" i="22"/>
  <c r="L1384" i="22"/>
  <c r="H2039" i="22"/>
  <c r="B2055" i="22"/>
  <c r="B2165" i="22"/>
  <c r="B1780" i="22"/>
  <c r="H1849" i="22"/>
  <c r="L2132" i="22"/>
  <c r="H1269" i="22"/>
  <c r="J1274" i="22"/>
  <c r="K614" i="22"/>
  <c r="B1131" i="22"/>
  <c r="G1142" i="22" s="1"/>
  <c r="J1747" i="22"/>
  <c r="H1739" i="22"/>
  <c r="H1745" i="22"/>
  <c r="H1212" i="22"/>
  <c r="H1763" i="22"/>
  <c r="L1769" i="22"/>
  <c r="H1775" i="22"/>
  <c r="H1855" i="22"/>
  <c r="H1873" i="22"/>
  <c r="J1879" i="22"/>
  <c r="J1912" i="22"/>
  <c r="H1904" i="22"/>
  <c r="K1219" i="22"/>
  <c r="B900" i="22"/>
  <c r="K1736" i="22"/>
  <c r="H1728" i="22"/>
  <c r="K2121" i="22"/>
  <c r="H2114" i="22"/>
  <c r="J1219" i="22"/>
  <c r="L790" i="22"/>
  <c r="H1270" i="22"/>
  <c r="L1002" i="22"/>
  <c r="L1010" i="22" s="1"/>
  <c r="B1002" i="22"/>
  <c r="B977" i="22"/>
  <c r="L1549" i="22"/>
  <c r="L1736" i="22"/>
  <c r="B1791" i="22"/>
  <c r="G1802" i="22" s="1"/>
  <c r="K669" i="22"/>
  <c r="J680" i="22"/>
  <c r="H674" i="22"/>
  <c r="L757" i="22"/>
  <c r="H1203" i="22"/>
  <c r="J1615" i="22"/>
  <c r="H1607" i="22"/>
  <c r="H1610" i="22"/>
  <c r="B1626" i="22"/>
  <c r="K207" i="22"/>
  <c r="J1945" i="22"/>
  <c r="L2033" i="22"/>
  <c r="K2099" i="22"/>
  <c r="H2094" i="22"/>
  <c r="H656" i="22"/>
  <c r="H883" i="22"/>
  <c r="H1423" i="22"/>
  <c r="H1434" i="22"/>
  <c r="H1469" i="22"/>
  <c r="L1758" i="22"/>
  <c r="K1857" i="22"/>
  <c r="H2097" i="22"/>
  <c r="H906" i="22"/>
  <c r="H981" i="22"/>
  <c r="L1670" i="22"/>
  <c r="J1923" i="22"/>
  <c r="J614" i="22"/>
  <c r="H521" i="22"/>
  <c r="L515" i="22"/>
  <c r="H502" i="22"/>
  <c r="K988" i="22"/>
  <c r="J1076" i="22"/>
  <c r="H1094" i="22"/>
  <c r="H1623" i="22"/>
  <c r="H2060" i="22"/>
  <c r="H2139" i="22"/>
  <c r="H2169" i="22"/>
  <c r="H358" i="22"/>
  <c r="K229" i="22"/>
  <c r="L680" i="22"/>
  <c r="H1051" i="22"/>
  <c r="H1244" i="22"/>
  <c r="B1252" i="22"/>
  <c r="H1476" i="22"/>
  <c r="L1483" i="22"/>
  <c r="H1965" i="22"/>
  <c r="K2011" i="22"/>
  <c r="H2036" i="22"/>
  <c r="L2165" i="22"/>
  <c r="L2176" i="22"/>
  <c r="H532" i="22"/>
  <c r="H402" i="22"/>
  <c r="H348" i="22"/>
  <c r="H996" i="22"/>
  <c r="H1058" i="22"/>
  <c r="B471" i="22"/>
  <c r="H1470" i="22"/>
  <c r="K1681" i="22"/>
  <c r="H2146" i="22"/>
  <c r="H2157" i="22"/>
  <c r="H563" i="22"/>
  <c r="H147" i="22"/>
  <c r="H1083" i="22"/>
  <c r="H2069" i="22"/>
  <c r="H2119" i="22"/>
  <c r="H2163" i="22"/>
  <c r="C2174" i="22"/>
  <c r="J2176" i="22"/>
  <c r="H466" i="22"/>
  <c r="H457" i="22"/>
  <c r="H419" i="22"/>
  <c r="J977" i="22"/>
  <c r="K2000" i="22"/>
  <c r="H444" i="22"/>
  <c r="L1219" i="22"/>
  <c r="H1355" i="22"/>
  <c r="L2022" i="22"/>
  <c r="H2073" i="22"/>
  <c r="H2129" i="22"/>
  <c r="J2165" i="22"/>
  <c r="B1483" i="22"/>
  <c r="H1283" i="22"/>
  <c r="H1382" i="22"/>
  <c r="B1395" i="22"/>
  <c r="J1736" i="22"/>
  <c r="K1791" i="22"/>
  <c r="J2033" i="22"/>
  <c r="H2091" i="22"/>
  <c r="H2147" i="22"/>
  <c r="C2172" i="22"/>
  <c r="B144" i="1"/>
  <c r="B649" i="1"/>
  <c r="F649" i="1"/>
  <c r="J6" i="1"/>
  <c r="C625" i="1"/>
  <c r="O14" i="1"/>
  <c r="E658" i="1"/>
  <c r="K5" i="1" s="1"/>
  <c r="B358" i="1"/>
  <c r="C607" i="1"/>
  <c r="B708" i="1"/>
  <c r="C583" i="1"/>
  <c r="J613" i="1" s="1"/>
  <c r="I627" i="1"/>
  <c r="E659" i="1"/>
  <c r="K7" i="1" s="1"/>
  <c r="O20" i="1"/>
  <c r="J650" i="1"/>
  <c r="J10" i="1"/>
  <c r="O10" i="1" s="1"/>
  <c r="C733" i="1"/>
  <c r="C735" i="1" s="1"/>
  <c r="H66" i="1"/>
  <c r="C577" i="1"/>
  <c r="J16" i="1"/>
  <c r="O16" i="1" s="1"/>
  <c r="K18" i="1"/>
  <c r="K16" i="1"/>
  <c r="K22" i="1"/>
  <c r="K23" i="1"/>
  <c r="H90" i="1"/>
  <c r="H78" i="1"/>
  <c r="C695" i="1"/>
  <c r="O6" i="1"/>
  <c r="E655" i="1"/>
  <c r="E653" i="1" s="1"/>
  <c r="C257" i="1"/>
  <c r="B347" i="1"/>
  <c r="C358" i="1"/>
  <c r="I613" i="1"/>
  <c r="O22" i="1"/>
  <c r="C279" i="1"/>
  <c r="D279" i="1" s="1"/>
  <c r="O13" i="1"/>
  <c r="O12" i="1"/>
  <c r="J107" i="1"/>
  <c r="J347" i="1"/>
  <c r="I609" i="1"/>
  <c r="I632" i="1"/>
  <c r="H141" i="1"/>
  <c r="C347" i="1"/>
  <c r="C348" i="1" s="1"/>
  <c r="J18" i="1"/>
  <c r="O18" i="1" s="1"/>
  <c r="L5" i="1"/>
  <c r="C629" i="1"/>
  <c r="C678" i="1"/>
  <c r="C241" i="1"/>
  <c r="C653" i="1" s="1"/>
  <c r="C709" i="1"/>
  <c r="H58" i="1"/>
  <c r="E657" i="1"/>
  <c r="K3" i="1" s="1"/>
  <c r="C356" i="1"/>
  <c r="D356" i="1" s="1"/>
  <c r="H43" i="1"/>
  <c r="C37" i="1"/>
  <c r="H36" i="1" s="1"/>
  <c r="C648" i="1"/>
  <c r="D652" i="1"/>
  <c r="I1822" i="26"/>
  <c r="L81" i="18"/>
  <c r="M81" i="18" s="1"/>
  <c r="C144" i="1"/>
  <c r="H143" i="1" s="1"/>
  <c r="J11" i="1"/>
  <c r="O11" i="1" s="1"/>
  <c r="J21" i="1"/>
  <c r="O21" i="1" s="1"/>
  <c r="B694" i="1"/>
  <c r="B709" i="1" s="1"/>
  <c r="J7" i="1"/>
  <c r="O7" i="1" s="1"/>
  <c r="C202" i="1"/>
  <c r="C205" i="1" s="1"/>
  <c r="H204" i="1" s="1"/>
  <c r="J15" i="1"/>
  <c r="O15" i="1" s="1"/>
  <c r="L4" i="1"/>
  <c r="J3" i="1"/>
  <c r="O3" i="1" s="1"/>
  <c r="C615" i="1"/>
  <c r="I612" i="1"/>
  <c r="K12" i="1"/>
  <c r="K11" i="1"/>
  <c r="J3018" i="26"/>
  <c r="O1037" i="26"/>
  <c r="I3034" i="26"/>
  <c r="O1059" i="26"/>
  <c r="H1467" i="26"/>
  <c r="H3445" i="26"/>
  <c r="O1024" i="26"/>
  <c r="O1025" i="26"/>
  <c r="I1821" i="26"/>
  <c r="J3020" i="26"/>
  <c r="O1067" i="26"/>
  <c r="O987" i="26"/>
  <c r="O1031" i="26"/>
  <c r="C690" i="18"/>
  <c r="M876" i="18"/>
  <c r="L128" i="18"/>
  <c r="M128" i="18" s="1"/>
  <c r="C685" i="18"/>
  <c r="I24" i="18"/>
  <c r="L117" i="18"/>
  <c r="M117" i="18" s="1"/>
  <c r="C692" i="18"/>
  <c r="B235" i="18"/>
  <c r="K3675" i="26"/>
  <c r="L221" i="18"/>
  <c r="C289" i="18"/>
  <c r="O988" i="26"/>
  <c r="O983" i="26"/>
  <c r="O971" i="26"/>
  <c r="O972" i="26"/>
  <c r="O1014" i="26"/>
  <c r="O999" i="26"/>
  <c r="O977" i="26"/>
  <c r="O1064" i="26"/>
  <c r="O975" i="26"/>
  <c r="O1070" i="26"/>
  <c r="O1058" i="26"/>
  <c r="O1043" i="26"/>
  <c r="O1033" i="26"/>
  <c r="O1013" i="26"/>
  <c r="O998" i="26"/>
  <c r="I3078" i="26"/>
  <c r="O1065" i="26"/>
  <c r="O1063" i="26"/>
  <c r="O1038" i="26"/>
  <c r="O1028" i="26"/>
  <c r="I3107" i="26"/>
  <c r="O1029" i="26"/>
  <c r="O1011" i="26"/>
  <c r="O996" i="26"/>
  <c r="O1066" i="26"/>
  <c r="O1016" i="26"/>
  <c r="O1001" i="26"/>
  <c r="J2943" i="26"/>
  <c r="I3032" i="26"/>
  <c r="C782" i="26"/>
  <c r="H782" i="26" s="1"/>
  <c r="O1035" i="26"/>
  <c r="O1022" i="26"/>
  <c r="O995" i="26"/>
  <c r="O992" i="26"/>
  <c r="C1008" i="26"/>
  <c r="I3077" i="26"/>
  <c r="B4967" i="26"/>
  <c r="C4967" i="26" s="1"/>
  <c r="J2662" i="26"/>
  <c r="H4021" i="26"/>
  <c r="O1062" i="26"/>
  <c r="O1040" i="26"/>
  <c r="N4523" i="26"/>
  <c r="B340" i="26"/>
  <c r="C340" i="26" s="1"/>
  <c r="O1046" i="26"/>
  <c r="O1041" i="26"/>
  <c r="O1051" i="26"/>
  <c r="XFD1943" i="26"/>
  <c r="D4963" i="26"/>
  <c r="A4964" i="26" s="1"/>
  <c r="D4964" i="26" s="1"/>
  <c r="A4965" i="26" s="1"/>
  <c r="D4965" i="26" s="1"/>
  <c r="O1049" i="26"/>
  <c r="I1820" i="26"/>
  <c r="O1036" i="26"/>
  <c r="C1408" i="26"/>
  <c r="D1408" i="26" s="1"/>
  <c r="O974" i="26"/>
  <c r="O989" i="26"/>
  <c r="O984" i="26"/>
  <c r="L133" i="18"/>
  <c r="M133" i="18" s="1"/>
  <c r="L186" i="18"/>
  <c r="M186" i="18" s="1"/>
  <c r="C48" i="18"/>
  <c r="D652" i="18"/>
  <c r="D9" i="22" s="1"/>
  <c r="B9" i="22" s="1"/>
  <c r="C686" i="18"/>
  <c r="C691" i="18"/>
  <c r="H191" i="18"/>
  <c r="H94" i="18"/>
  <c r="C841" i="18"/>
  <c r="C887" i="18"/>
  <c r="C891" i="18" s="1"/>
  <c r="L147" i="18"/>
  <c r="M147" i="18" s="1"/>
  <c r="L177" i="18"/>
  <c r="M177" i="18" s="1"/>
  <c r="C869" i="18"/>
  <c r="H102" i="18"/>
  <c r="M1110" i="18"/>
  <c r="O1103" i="18" s="1"/>
  <c r="L183" i="18"/>
  <c r="M183" i="18" s="1"/>
  <c r="D1141" i="18"/>
  <c r="D1149" i="18" s="1"/>
  <c r="L90" i="18"/>
  <c r="M90" i="18" s="1"/>
  <c r="B840" i="18"/>
  <c r="L118" i="18"/>
  <c r="M118" i="18" s="1"/>
  <c r="L101" i="18"/>
  <c r="M101" i="18" s="1"/>
  <c r="N858" i="18"/>
  <c r="C669" i="18"/>
  <c r="C875" i="18"/>
  <c r="M899" i="18"/>
  <c r="C1090" i="18"/>
  <c r="M1111" i="18"/>
  <c r="L83" i="18"/>
  <c r="M83" i="18" s="1"/>
  <c r="C1171" i="18"/>
  <c r="C1170" i="18" s="1"/>
  <c r="H171" i="18"/>
  <c r="C660" i="18"/>
  <c r="C706" i="18"/>
  <c r="C710" i="18" s="1"/>
  <c r="D710" i="18" s="1"/>
  <c r="C659" i="18"/>
  <c r="C688" i="18"/>
  <c r="H142" i="18"/>
  <c r="M1138" i="18"/>
  <c r="O1131" i="18" s="1"/>
  <c r="C689" i="18"/>
  <c r="L129" i="18"/>
  <c r="M129" i="18" s="1"/>
  <c r="D851" i="18"/>
  <c r="C666" i="18"/>
  <c r="G772" i="18"/>
  <c r="H767" i="18" s="1"/>
  <c r="C662" i="18"/>
  <c r="C668" i="18"/>
  <c r="O17" i="1"/>
  <c r="C658" i="18"/>
  <c r="L170" i="18"/>
  <c r="M170" i="18" s="1"/>
  <c r="C1351" i="26"/>
  <c r="D1351" i="26" s="1"/>
  <c r="O1012" i="26"/>
  <c r="B1008" i="26"/>
  <c r="I3403" i="26"/>
  <c r="O1039" i="26"/>
  <c r="O1034" i="26"/>
  <c r="I3079" i="26"/>
  <c r="O1047" i="26"/>
  <c r="O1027" i="26"/>
  <c r="O1019" i="26"/>
  <c r="O1056" i="26"/>
  <c r="O1044" i="26"/>
  <c r="O1023" i="26"/>
  <c r="O1005" i="26"/>
  <c r="O1061" i="26"/>
  <c r="O1055" i="26"/>
  <c r="O1052" i="26"/>
  <c r="O1030" i="26"/>
  <c r="O1004" i="26"/>
  <c r="O986" i="26"/>
  <c r="O981" i="26"/>
  <c r="C4970" i="26"/>
  <c r="O1002" i="26"/>
  <c r="O997" i="26"/>
  <c r="K3938" i="26"/>
  <c r="C1329" i="26"/>
  <c r="D1329" i="26" s="1"/>
  <c r="O1020" i="26"/>
  <c r="O990" i="26"/>
  <c r="I3103" i="26"/>
  <c r="O1015" i="26"/>
  <c r="B338" i="26"/>
  <c r="C338" i="26" s="1"/>
  <c r="O1026" i="26"/>
  <c r="I1006" i="26"/>
  <c r="O1006" i="26" s="1"/>
  <c r="O1057" i="26"/>
  <c r="O1048" i="26"/>
  <c r="C1541" i="26"/>
  <c r="C1570" i="26" s="1"/>
  <c r="C1571" i="26" s="1"/>
  <c r="M4770" i="26"/>
  <c r="C874" i="18"/>
  <c r="M898" i="18"/>
  <c r="B610" i="18"/>
  <c r="B419" i="18"/>
  <c r="B607" i="18" s="1"/>
  <c r="B609" i="18"/>
  <c r="M874" i="18"/>
  <c r="C665" i="18"/>
  <c r="B328" i="18"/>
  <c r="C617" i="18"/>
  <c r="C619" i="18" s="1"/>
  <c r="C623" i="18" s="1"/>
  <c r="C624" i="18" s="1"/>
  <c r="C20" i="18" s="1"/>
  <c r="D40" i="22" s="1"/>
  <c r="L114" i="18"/>
  <c r="M114" i="18" s="1"/>
  <c r="K3937" i="26"/>
  <c r="J3935" i="26"/>
  <c r="C629" i="18"/>
  <c r="C632" i="18" s="1"/>
  <c r="H182" i="18"/>
  <c r="J891" i="18"/>
  <c r="I879" i="18"/>
  <c r="C661" i="18"/>
  <c r="C663" i="18"/>
  <c r="H185" i="18"/>
  <c r="M900" i="18"/>
  <c r="B605" i="18"/>
  <c r="H88" i="18"/>
  <c r="H81" i="18"/>
  <c r="H168" i="18"/>
  <c r="H95" i="18"/>
  <c r="L151" i="18"/>
  <c r="M151" i="18" s="1"/>
  <c r="L100" i="18"/>
  <c r="M100" i="18" s="1"/>
  <c r="H65" i="18"/>
  <c r="L86" i="18"/>
  <c r="M86" i="18" s="1"/>
  <c r="L89" i="18"/>
  <c r="M89" i="18" s="1"/>
  <c r="H70" i="18"/>
  <c r="H112" i="18"/>
  <c r="D199" i="18"/>
  <c r="L73" i="18"/>
  <c r="M73" i="18" s="1"/>
  <c r="L71" i="18"/>
  <c r="M71" i="18" s="1"/>
  <c r="L115" i="18"/>
  <c r="M115" i="18" s="1"/>
  <c r="L154" i="18"/>
  <c r="M154" i="18" s="1"/>
  <c r="H164" i="18"/>
  <c r="H85" i="18"/>
  <c r="L188" i="18"/>
  <c r="M188" i="18" s="1"/>
  <c r="L181" i="18"/>
  <c r="M181" i="18" s="1"/>
  <c r="H136" i="18"/>
  <c r="L156" i="18"/>
  <c r="M156" i="18" s="1"/>
  <c r="L146" i="18"/>
  <c r="M146" i="18" s="1"/>
  <c r="H141" i="18"/>
  <c r="H158" i="18"/>
  <c r="H107" i="18"/>
  <c r="H3439" i="26"/>
  <c r="H4022" i="26"/>
  <c r="O1042" i="26"/>
  <c r="O1003" i="26"/>
  <c r="O993" i="26"/>
  <c r="B1324" i="26"/>
  <c r="C1202" i="26"/>
  <c r="C1273" i="26" s="1"/>
  <c r="J2944" i="26"/>
  <c r="O1032" i="26"/>
  <c r="C2077" i="26"/>
  <c r="C2078" i="26" s="1"/>
  <c r="O985" i="26"/>
  <c r="I1165" i="26"/>
  <c r="O1165" i="26" s="1"/>
  <c r="O1068" i="26"/>
  <c r="O1050" i="26"/>
  <c r="O1069" i="26"/>
  <c r="I1819" i="26"/>
  <c r="L3940" i="26"/>
  <c r="J2752" i="26"/>
  <c r="H2752" i="26"/>
  <c r="I3100" i="26"/>
  <c r="O1060" i="26"/>
  <c r="O1045" i="26"/>
  <c r="B1470" i="26"/>
  <c r="C1530" i="26"/>
  <c r="C1531" i="26" s="1"/>
  <c r="C1291" i="26"/>
  <c r="D1291" i="26" s="1"/>
  <c r="H1465" i="26"/>
  <c r="H3446" i="26"/>
  <c r="B1273" i="26"/>
  <c r="I2913" i="26"/>
  <c r="K2913" i="26" s="1"/>
  <c r="C1324" i="26"/>
  <c r="H633" i="26"/>
  <c r="H624" i="26"/>
  <c r="K1499" i="26"/>
  <c r="K1500" i="26" s="1"/>
  <c r="H2900" i="26"/>
  <c r="I2907" i="26"/>
  <c r="K2907" i="26" s="1"/>
  <c r="O979" i="26"/>
  <c r="O969" i="26"/>
  <c r="J2941" i="26"/>
  <c r="C4978" i="26"/>
  <c r="K3936" i="26"/>
  <c r="O1053" i="26"/>
  <c r="O1000" i="26"/>
  <c r="O982" i="26"/>
  <c r="O980" i="26"/>
  <c r="O991" i="26"/>
  <c r="O1017" i="26"/>
  <c r="C1134" i="26"/>
  <c r="D1134" i="26" s="1"/>
  <c r="K1134" i="26" s="1"/>
  <c r="O994" i="26"/>
  <c r="O970" i="26"/>
  <c r="O1054" i="26"/>
  <c r="O1007" i="26"/>
  <c r="O978" i="26"/>
  <c r="C1366" i="26"/>
  <c r="C1382" i="26" s="1"/>
  <c r="B1382" i="26"/>
  <c r="B1400" i="26" s="1"/>
  <c r="C120" i="26"/>
  <c r="B244" i="26"/>
  <c r="B1519" i="26"/>
  <c r="B1522" i="26" s="1"/>
  <c r="O973" i="26"/>
  <c r="C26" i="26"/>
  <c r="C945" i="26"/>
  <c r="C946" i="26" s="1"/>
  <c r="G4964" i="26"/>
  <c r="C4964" i="26"/>
  <c r="B4965" i="26" s="1"/>
  <c r="C4965" i="26" s="1"/>
  <c r="I2899" i="26"/>
  <c r="K2899" i="26" s="1"/>
  <c r="C968" i="26"/>
  <c r="C1519" i="26"/>
  <c r="O1018" i="26"/>
  <c r="O1021" i="26"/>
  <c r="I3008" i="26"/>
  <c r="O976" i="26"/>
  <c r="C1430" i="26"/>
  <c r="C1470" i="26" s="1"/>
  <c r="N4524" i="26"/>
  <c r="H167" i="18"/>
  <c r="H124" i="18"/>
  <c r="L124" i="18"/>
  <c r="M124" i="18" s="1"/>
  <c r="L153" i="18"/>
  <c r="M153" i="18" s="1"/>
  <c r="H153" i="18"/>
  <c r="C750" i="18"/>
  <c r="M872" i="18"/>
  <c r="J868" i="18"/>
  <c r="J893" i="18"/>
  <c r="J892" i="18"/>
  <c r="C855" i="18"/>
  <c r="D855" i="18"/>
  <c r="J878" i="18"/>
  <c r="M901" i="18"/>
  <c r="D877" i="18"/>
  <c r="H75" i="18"/>
  <c r="L75" i="18"/>
  <c r="M75" i="18" s="1"/>
  <c r="M1108" i="18"/>
  <c r="O1101" i="18" s="1"/>
  <c r="O1094" i="18"/>
  <c r="C36" i="18"/>
  <c r="B42" i="18"/>
  <c r="B50" i="18" s="1"/>
  <c r="B51" i="18" s="1"/>
  <c r="C664" i="18"/>
  <c r="C667" i="18"/>
  <c r="H93" i="18"/>
  <c r="L93" i="18"/>
  <c r="M93" i="18" s="1"/>
  <c r="C901" i="18"/>
  <c r="B835" i="18"/>
  <c r="C831" i="18"/>
  <c r="C670" i="18"/>
  <c r="C671" i="18"/>
  <c r="M1127" i="18"/>
  <c r="P82" i="18"/>
  <c r="C693" i="18"/>
  <c r="B359" i="18"/>
  <c r="K3934" i="26"/>
  <c r="L161" i="18"/>
  <c r="M161" i="18" s="1"/>
  <c r="H161" i="18"/>
  <c r="M897" i="18"/>
  <c r="B880" i="18"/>
  <c r="C873" i="18"/>
  <c r="H150" i="18"/>
  <c r="H127" i="18"/>
  <c r="F902" i="18"/>
  <c r="M902" i="18"/>
  <c r="D878" i="18"/>
  <c r="C807" i="18"/>
  <c r="B289" i="18"/>
  <c r="H131" i="18"/>
  <c r="L131" i="18"/>
  <c r="M131" i="18" s="1"/>
  <c r="J865" i="18"/>
  <c r="C842" i="18"/>
  <c r="L84" i="18"/>
  <c r="M84" i="18" s="1"/>
  <c r="F872" i="18"/>
  <c r="C8" i="18"/>
  <c r="C9" i="18" s="1"/>
  <c r="H108" i="18"/>
  <c r="L91" i="18"/>
  <c r="M91" i="18" s="1"/>
  <c r="H91" i="18"/>
  <c r="H113" i="18"/>
  <c r="L113" i="18"/>
  <c r="M113" i="18" s="1"/>
  <c r="L99" i="18"/>
  <c r="M99" i="18" s="1"/>
  <c r="H99" i="18"/>
  <c r="L102" i="18"/>
  <c r="H148" i="18"/>
  <c r="C687" i="18"/>
  <c r="C896" i="18"/>
  <c r="L111" i="18"/>
  <c r="M111" i="18" s="1"/>
  <c r="H111" i="18"/>
  <c r="L174" i="18"/>
  <c r="L76" i="18"/>
  <c r="H76" i="18"/>
  <c r="L144" i="18"/>
  <c r="M144" i="18" s="1"/>
  <c r="L92" i="18"/>
  <c r="M92" i="18" s="1"/>
  <c r="H184" i="18"/>
  <c r="H119" i="18"/>
  <c r="H82" i="18"/>
  <c r="H69" i="18"/>
  <c r="L160" i="18"/>
  <c r="M160" i="18" s="1"/>
  <c r="H169" i="18"/>
  <c r="L68" i="18"/>
  <c r="M68" i="18" s="1"/>
  <c r="H132" i="18"/>
  <c r="L138" i="18"/>
  <c r="M138" i="18" s="1"/>
  <c r="L157" i="18"/>
  <c r="M157" i="18" s="1"/>
  <c r="H157" i="18"/>
  <c r="C1082" i="22" l="1"/>
  <c r="C1081" i="22"/>
  <c r="C1083" i="22"/>
  <c r="B2330" i="22"/>
  <c r="C1955" i="22"/>
  <c r="J110" i="1"/>
  <c r="C1223" i="22"/>
  <c r="B2388" i="22"/>
  <c r="C425" i="22"/>
  <c r="C1950" i="22"/>
  <c r="C628" i="22"/>
  <c r="C1842" i="22"/>
  <c r="C161" i="22"/>
  <c r="K4" i="1"/>
  <c r="C1862" i="22"/>
  <c r="B2343" i="22"/>
  <c r="C1610" i="22"/>
  <c r="C1839" i="22"/>
  <c r="C1105" i="22"/>
  <c r="C158" i="22"/>
  <c r="G1956" i="22"/>
  <c r="G1769" i="22"/>
  <c r="C457" i="22"/>
  <c r="C2019" i="22"/>
  <c r="C2127" i="22"/>
  <c r="C1611" i="22"/>
  <c r="C1840" i="22"/>
  <c r="C1533" i="22"/>
  <c r="B2332" i="22"/>
  <c r="F2332" i="22" s="1"/>
  <c r="G2332" i="22" s="1"/>
  <c r="B2246" i="22"/>
  <c r="K284" i="22"/>
  <c r="C1728" i="22"/>
  <c r="C1736" i="22" s="1"/>
  <c r="C1399" i="22"/>
  <c r="G2000" i="22"/>
  <c r="C442" i="22"/>
  <c r="C413" i="22"/>
  <c r="C1949" i="22"/>
  <c r="H273" i="22"/>
  <c r="I268" i="22" s="1"/>
  <c r="G1241" i="22"/>
  <c r="C1349" i="22"/>
  <c r="C1952" i="22"/>
  <c r="C1361" i="22"/>
  <c r="C447" i="22"/>
  <c r="C1162" i="22"/>
  <c r="B2365" i="22"/>
  <c r="G1549" i="22"/>
  <c r="C1953" i="22"/>
  <c r="D677" i="1"/>
  <c r="C679" i="1" s="1"/>
  <c r="C629" i="22"/>
  <c r="C1531" i="22"/>
  <c r="B2281" i="22"/>
  <c r="C1954" i="22"/>
  <c r="C1860" i="22"/>
  <c r="C1998" i="22"/>
  <c r="C2020" i="22"/>
  <c r="C2128" i="22"/>
  <c r="C1038" i="22"/>
  <c r="C1937" i="22"/>
  <c r="C1612" i="22"/>
  <c r="C1844" i="22"/>
  <c r="C1532" i="22"/>
  <c r="C1101" i="22"/>
  <c r="C159" i="22"/>
  <c r="C2118" i="22"/>
  <c r="B2359" i="22"/>
  <c r="C1993" i="22"/>
  <c r="C2085" i="22"/>
  <c r="B2409" i="22"/>
  <c r="G1879" i="22"/>
  <c r="B2401" i="22"/>
  <c r="F2402" i="22" s="1"/>
  <c r="G2402" i="22" s="1"/>
  <c r="B2374" i="22"/>
  <c r="I2374" i="22" s="1"/>
  <c r="B2077" i="22"/>
  <c r="C2070" i="22" s="1"/>
  <c r="D898" i="13"/>
  <c r="E898" i="13" s="1"/>
  <c r="C1951" i="22"/>
  <c r="B2287" i="22"/>
  <c r="C1157" i="22"/>
  <c r="C423" i="22"/>
  <c r="C1068" i="22"/>
  <c r="C630" i="22"/>
  <c r="C1346" i="22"/>
  <c r="B2406" i="22"/>
  <c r="F2407" i="22" s="1"/>
  <c r="G2407" i="22" s="1"/>
  <c r="C452" i="22"/>
  <c r="B781" i="28"/>
  <c r="B782" i="28" s="1"/>
  <c r="B783" i="28" s="1"/>
  <c r="I68" i="18"/>
  <c r="K68" i="18" s="1"/>
  <c r="C1222" i="22"/>
  <c r="C1607" i="22"/>
  <c r="C1156" i="22"/>
  <c r="C453" i="22"/>
  <c r="G1857" i="22"/>
  <c r="B2425" i="22"/>
  <c r="F2425" i="22" s="1"/>
  <c r="G2425" i="22" s="1"/>
  <c r="C1040" i="22"/>
  <c r="C1609" i="22"/>
  <c r="C1530" i="22"/>
  <c r="C1107" i="22"/>
  <c r="C1158" i="22"/>
  <c r="C1921" i="22"/>
  <c r="C2116" i="22"/>
  <c r="I2314" i="22"/>
  <c r="I2315" i="22" s="1"/>
  <c r="C2126" i="22"/>
  <c r="C420" i="22"/>
  <c r="H1329" i="22"/>
  <c r="I1327" i="22" s="1"/>
  <c r="H1307" i="22"/>
  <c r="I1302" i="22" s="1"/>
  <c r="G1362" i="22"/>
  <c r="G1428" i="22"/>
  <c r="K21" i="1"/>
  <c r="C1942" i="22"/>
  <c r="C458" i="22"/>
  <c r="C1412" i="22"/>
  <c r="C289" i="22"/>
  <c r="B2328" i="22"/>
  <c r="C1035" i="22"/>
  <c r="C2139" i="22"/>
  <c r="B2371" i="22"/>
  <c r="F2372" i="22" s="1"/>
  <c r="G2372" i="22" s="1"/>
  <c r="C1106" i="22"/>
  <c r="B2337" i="22"/>
  <c r="F2337" i="22" s="1"/>
  <c r="G2337" i="22" s="1"/>
  <c r="C1920" i="22"/>
  <c r="G2132" i="22"/>
  <c r="B2263" i="22"/>
  <c r="C903" i="22"/>
  <c r="C2084" i="22"/>
  <c r="C607" i="22"/>
  <c r="C2125" i="22"/>
  <c r="C426" i="22"/>
  <c r="G1934" i="22"/>
  <c r="C346" i="22"/>
  <c r="C1614" i="22"/>
  <c r="H1923" i="22"/>
  <c r="I1917" i="22" s="1"/>
  <c r="C456" i="22"/>
  <c r="C443" i="22"/>
  <c r="C2006" i="22"/>
  <c r="B2421" i="22"/>
  <c r="C292" i="22"/>
  <c r="C1062" i="22"/>
  <c r="C1042" i="22"/>
  <c r="C695" i="22"/>
  <c r="C1104" i="22"/>
  <c r="G1175" i="22"/>
  <c r="C1917" i="22"/>
  <c r="C796" i="22"/>
  <c r="C2115" i="22"/>
  <c r="C507" i="22"/>
  <c r="C1170" i="22"/>
  <c r="C2081" i="22"/>
  <c r="C213" i="22"/>
  <c r="C555" i="22"/>
  <c r="C446" i="22"/>
  <c r="C2131" i="22"/>
  <c r="C422" i="22"/>
  <c r="C1415" i="22"/>
  <c r="C1421" i="22"/>
  <c r="C1402" i="22"/>
  <c r="G218" i="22"/>
  <c r="C1613" i="22"/>
  <c r="F2253" i="22"/>
  <c r="G2253" i="22" s="1"/>
  <c r="G339" i="22"/>
  <c r="C2083" i="22"/>
  <c r="D257" i="1"/>
  <c r="I650" i="1"/>
  <c r="K650" i="1" s="1"/>
  <c r="C445" i="22"/>
  <c r="C1679" i="22"/>
  <c r="C1987" i="22"/>
  <c r="C1989" i="22" s="1"/>
  <c r="C290" i="22"/>
  <c r="C608" i="22"/>
  <c r="C1347" i="22"/>
  <c r="C1806" i="22"/>
  <c r="C1813" i="22" s="1"/>
  <c r="C696" i="22"/>
  <c r="C1103" i="22"/>
  <c r="H746" i="22"/>
  <c r="I740" i="22" s="1"/>
  <c r="C906" i="22"/>
  <c r="C487" i="22"/>
  <c r="C1377" i="22"/>
  <c r="C1910" i="22"/>
  <c r="C2082" i="22"/>
  <c r="B2272" i="22"/>
  <c r="F2273" i="22" s="1"/>
  <c r="G2273" i="22" s="1"/>
  <c r="C2124" i="22"/>
  <c r="C2132" i="22" s="1"/>
  <c r="C419" i="22"/>
  <c r="C1690" i="22"/>
  <c r="C1411" i="22"/>
  <c r="B2275" i="22"/>
  <c r="F2276" i="22" s="1"/>
  <c r="G2276" i="22" s="1"/>
  <c r="C1016" i="22"/>
  <c r="H1868" i="22"/>
  <c r="I1861" i="22" s="1"/>
  <c r="B2361" i="22"/>
  <c r="B2357" i="22"/>
  <c r="F2357" i="22" s="1"/>
  <c r="G2357" i="22" s="1"/>
  <c r="H372" i="22"/>
  <c r="I366" i="22" s="1"/>
  <c r="H636" i="22"/>
  <c r="I630" i="22" s="1"/>
  <c r="C1376" i="22"/>
  <c r="C1369" i="22"/>
  <c r="C1337" i="22"/>
  <c r="C182" i="22"/>
  <c r="C1237" i="22"/>
  <c r="C1018" i="22"/>
  <c r="C1566" i="22"/>
  <c r="C1370" i="22"/>
  <c r="C1422" i="22"/>
  <c r="G1373" i="22"/>
  <c r="G1384" i="22"/>
  <c r="H1076" i="22"/>
  <c r="I1070" i="22" s="1"/>
  <c r="C2179" i="22"/>
  <c r="C501" i="22"/>
  <c r="B2248" i="22"/>
  <c r="F2249" i="22" s="1"/>
  <c r="G2249" i="22" s="1"/>
  <c r="C1236" i="22"/>
  <c r="C2136" i="22"/>
  <c r="B2265" i="22"/>
  <c r="F2265" i="22" s="1"/>
  <c r="G2265" i="22" s="1"/>
  <c r="C479" i="22"/>
  <c r="H1021" i="22"/>
  <c r="H2000" i="22"/>
  <c r="I2007" i="22" s="1"/>
  <c r="B2349" i="22"/>
  <c r="H284" i="22"/>
  <c r="C1586" i="22"/>
  <c r="C2183" i="22"/>
  <c r="C496" i="22"/>
  <c r="C1371" i="22"/>
  <c r="C1373" i="22" s="1"/>
  <c r="C1233" i="22"/>
  <c r="C1227" i="22"/>
  <c r="J2088" i="22"/>
  <c r="C2138" i="22"/>
  <c r="C369" i="22"/>
  <c r="C652" i="22"/>
  <c r="C1019" i="22"/>
  <c r="C1025" i="22"/>
  <c r="B2417" i="22"/>
  <c r="C2181" i="22"/>
  <c r="C1382" i="22"/>
  <c r="C1292" i="22"/>
  <c r="C1697" i="22"/>
  <c r="H1131" i="22"/>
  <c r="C1866" i="22"/>
  <c r="C1865" i="22"/>
  <c r="C1424" i="22"/>
  <c r="C1401" i="22"/>
  <c r="C2025" i="22"/>
  <c r="C1379" i="22"/>
  <c r="G1703" i="22"/>
  <c r="C2039" i="22"/>
  <c r="C2044" i="22" s="1"/>
  <c r="C1368" i="22"/>
  <c r="G1868" i="22"/>
  <c r="C1239" i="22"/>
  <c r="G2143" i="22"/>
  <c r="G372" i="22"/>
  <c r="C1014" i="22"/>
  <c r="C1026" i="22"/>
  <c r="G2044" i="22"/>
  <c r="H2110" i="22"/>
  <c r="I2104" i="22" s="1"/>
  <c r="C551" i="22"/>
  <c r="C1365" i="22"/>
  <c r="C1289" i="22"/>
  <c r="C936" i="22"/>
  <c r="G515" i="22"/>
  <c r="C1425" i="22"/>
  <c r="C1357" i="22"/>
  <c r="C1362" i="22" s="1"/>
  <c r="B2416" i="22"/>
  <c r="G2033" i="22"/>
  <c r="C1360" i="22"/>
  <c r="B2256" i="22"/>
  <c r="C1294" i="22"/>
  <c r="C512" i="22"/>
  <c r="H581" i="22"/>
  <c r="I579" i="22" s="1"/>
  <c r="C1355" i="22"/>
  <c r="H1802" i="22"/>
  <c r="I1795" i="22" s="1"/>
  <c r="H1164" i="22"/>
  <c r="C2135" i="22"/>
  <c r="C1567" i="22"/>
  <c r="H438" i="22"/>
  <c r="I434" i="22" s="1"/>
  <c r="C586" i="22"/>
  <c r="C2153" i="22"/>
  <c r="C1420" i="22"/>
  <c r="C267" i="22"/>
  <c r="C2141" i="22"/>
  <c r="C365" i="22"/>
  <c r="C2097" i="22"/>
  <c r="C1028" i="22"/>
  <c r="H1318" i="22"/>
  <c r="I1310" i="22" s="1"/>
  <c r="H1934" i="22"/>
  <c r="C553" i="22"/>
  <c r="C498" i="22"/>
  <c r="D121" i="22"/>
  <c r="C1465" i="22"/>
  <c r="C1288" i="22"/>
  <c r="C509" i="22"/>
  <c r="C1701" i="22"/>
  <c r="C1400" i="22"/>
  <c r="C1354" i="22"/>
  <c r="C1535" i="22"/>
  <c r="H1824" i="22"/>
  <c r="C1587" i="22"/>
  <c r="C367" i="22"/>
  <c r="B2317" i="22"/>
  <c r="F2317" i="22" s="1"/>
  <c r="G2317" i="22" s="1"/>
  <c r="C566" i="22"/>
  <c r="C1426" i="22"/>
  <c r="C1943" i="22"/>
  <c r="C2142" i="22"/>
  <c r="C480" i="22"/>
  <c r="C2096" i="22"/>
  <c r="B2294" i="22"/>
  <c r="C1030" i="22"/>
  <c r="G878" i="22"/>
  <c r="H1153" i="22"/>
  <c r="G284" i="22"/>
  <c r="C554" i="22"/>
  <c r="H1890" i="22"/>
  <c r="I1885" i="22" s="1"/>
  <c r="G603" i="22"/>
  <c r="C1293" i="22"/>
  <c r="C510" i="22"/>
  <c r="C1689" i="22"/>
  <c r="H1901" i="22"/>
  <c r="G350" i="22"/>
  <c r="C1534" i="22"/>
  <c r="B2344" i="22"/>
  <c r="F2344" i="22" s="1"/>
  <c r="G2344" i="22" s="1"/>
  <c r="C1588" i="22"/>
  <c r="C2182" i="22"/>
  <c r="C529" i="22"/>
  <c r="C1335" i="22"/>
  <c r="G570" i="22"/>
  <c r="C265" i="22"/>
  <c r="B2408" i="22"/>
  <c r="F2408" i="22" s="1"/>
  <c r="G2408" i="22" s="1"/>
  <c r="B2426" i="22"/>
  <c r="C2028" i="22"/>
  <c r="C478" i="22"/>
  <c r="C2092" i="22"/>
  <c r="F2336" i="22"/>
  <c r="G2336" i="22" s="1"/>
  <c r="C557" i="22"/>
  <c r="C1290" i="22"/>
  <c r="C1684" i="22"/>
  <c r="H1340" i="22"/>
  <c r="I1335" i="22" s="1"/>
  <c r="C1238" i="22"/>
  <c r="C1591" i="22"/>
  <c r="H1989" i="22"/>
  <c r="C1695" i="22"/>
  <c r="G2154" i="22"/>
  <c r="C271" i="22"/>
  <c r="B2259" i="22"/>
  <c r="C1359" i="22"/>
  <c r="C655" i="22"/>
  <c r="F2252" i="22"/>
  <c r="G2252" i="22" s="1"/>
  <c r="C2140" i="22"/>
  <c r="G460" i="22"/>
  <c r="C1686" i="22"/>
  <c r="C535" i="22"/>
  <c r="C1589" i="22"/>
  <c r="M32" i="28"/>
  <c r="D814" i="28"/>
  <c r="S8" i="28"/>
  <c r="S29" i="28" s="1"/>
  <c r="S31" i="28" s="1"/>
  <c r="R29" i="28"/>
  <c r="R31" i="28" s="1"/>
  <c r="C1235" i="22"/>
  <c r="C477" i="22"/>
  <c r="G1296" i="22"/>
  <c r="C1569" i="22"/>
  <c r="C2185" i="22"/>
  <c r="B2277" i="22"/>
  <c r="F2278" i="22" s="1"/>
  <c r="G2278" i="22" s="1"/>
  <c r="C1380" i="22"/>
  <c r="C1381" i="22"/>
  <c r="C2184" i="22"/>
  <c r="G1043" i="22"/>
  <c r="C1015" i="22"/>
  <c r="C1024" i="22"/>
  <c r="C1565" i="22"/>
  <c r="C2026" i="22"/>
  <c r="C1570" i="22"/>
  <c r="C939" i="22"/>
  <c r="C1423" i="22"/>
  <c r="C2137" i="22"/>
  <c r="H1879" i="22"/>
  <c r="I1872" i="22" s="1"/>
  <c r="C531" i="22"/>
  <c r="C266" i="22"/>
  <c r="C1940" i="22"/>
  <c r="C2029" i="22"/>
  <c r="C476" i="22"/>
  <c r="G1153" i="22"/>
  <c r="H757" i="22"/>
  <c r="L1087" i="22"/>
  <c r="G273" i="22"/>
  <c r="C1938" i="22"/>
  <c r="C2031" i="22"/>
  <c r="G493" i="22"/>
  <c r="C291" i="22"/>
  <c r="C444" i="22"/>
  <c r="F2398" i="22"/>
  <c r="G2398" i="22" s="1"/>
  <c r="C612" i="22"/>
  <c r="H691" i="22"/>
  <c r="C1691" i="22"/>
  <c r="C1685" i="22"/>
  <c r="C1564" i="22"/>
  <c r="C1590" i="22"/>
  <c r="G1692" i="22"/>
  <c r="C786" i="22"/>
  <c r="C1568" i="22"/>
  <c r="H1791" i="22"/>
  <c r="G1054" i="22"/>
  <c r="C1049" i="22"/>
  <c r="C1046" i="22"/>
  <c r="B2327" i="22"/>
  <c r="F2328" i="22" s="1"/>
  <c r="G2328" i="22" s="1"/>
  <c r="C1048" i="22"/>
  <c r="C1052" i="22"/>
  <c r="C2109" i="22"/>
  <c r="B2423" i="22"/>
  <c r="F2423" i="22" s="1"/>
  <c r="G2423" i="22" s="1"/>
  <c r="C2105" i="22"/>
  <c r="C2102" i="22"/>
  <c r="G2110" i="22"/>
  <c r="C2103" i="22"/>
  <c r="C2107" i="22"/>
  <c r="C2106" i="22"/>
  <c r="C2108" i="22"/>
  <c r="G2121" i="22"/>
  <c r="C2120" i="22"/>
  <c r="C623" i="22"/>
  <c r="C618" i="22"/>
  <c r="C622" i="22"/>
  <c r="G636" i="22"/>
  <c r="C617" i="22"/>
  <c r="C619" i="22"/>
  <c r="C738" i="22"/>
  <c r="C744" i="22"/>
  <c r="B2299" i="22"/>
  <c r="F2299" i="22" s="1"/>
  <c r="G2299" i="22" s="1"/>
  <c r="C1270" i="22"/>
  <c r="G1274" i="22"/>
  <c r="C1272" i="22"/>
  <c r="B2347" i="22"/>
  <c r="F2347" i="22" s="1"/>
  <c r="G2347" i="22" s="1"/>
  <c r="C1268" i="22"/>
  <c r="C1271" i="22"/>
  <c r="C1266" i="22"/>
  <c r="C1267" i="22"/>
  <c r="I1564" i="22"/>
  <c r="I1567" i="22"/>
  <c r="I1570" i="22"/>
  <c r="I1563" i="22"/>
  <c r="H1659" i="22"/>
  <c r="I1651" i="22" s="1"/>
  <c r="C2021" i="22"/>
  <c r="C1977" i="22"/>
  <c r="C1978" i="22" s="1"/>
  <c r="C764" i="22"/>
  <c r="C435" i="22"/>
  <c r="C685" i="22"/>
  <c r="C785" i="22"/>
  <c r="B2255" i="22"/>
  <c r="H1846" i="22"/>
  <c r="I1844" i="22" s="1"/>
  <c r="I271" i="22"/>
  <c r="B2354" i="22"/>
  <c r="F2355" i="22" s="1"/>
  <c r="G2355" i="22" s="1"/>
  <c r="G1923" i="22"/>
  <c r="C631" i="22"/>
  <c r="C1343" i="22"/>
  <c r="C1085" i="22"/>
  <c r="C760" i="22"/>
  <c r="G1538" i="22"/>
  <c r="B2271" i="22"/>
  <c r="C2094" i="22"/>
  <c r="C684" i="22"/>
  <c r="C160" i="22"/>
  <c r="C1027" i="22"/>
  <c r="B2310" i="22"/>
  <c r="C192" i="22"/>
  <c r="C489" i="22"/>
  <c r="C1819" i="22"/>
  <c r="C1904" i="22"/>
  <c r="C1912" i="22" s="1"/>
  <c r="C1988" i="22"/>
  <c r="C2032" i="22"/>
  <c r="C1372" i="22"/>
  <c r="C1447" i="22"/>
  <c r="C256" i="22"/>
  <c r="C1744" i="22"/>
  <c r="C1742" i="22"/>
  <c r="C1722" i="22"/>
  <c r="C1964" i="22"/>
  <c r="C1074" i="22"/>
  <c r="C1073" i="22"/>
  <c r="C1076" i="22" s="1"/>
  <c r="C1070" i="22"/>
  <c r="C1072" i="22"/>
  <c r="C546" i="22"/>
  <c r="C543" i="22"/>
  <c r="C545" i="22"/>
  <c r="C1059" i="22"/>
  <c r="H669" i="22"/>
  <c r="I664" i="22" s="1"/>
  <c r="C191" i="22"/>
  <c r="C1717" i="22"/>
  <c r="G669" i="22"/>
  <c r="C1960" i="22"/>
  <c r="H1945" i="22"/>
  <c r="I1939" i="22" s="1"/>
  <c r="H1450" i="22"/>
  <c r="I1444" i="22" s="1"/>
  <c r="H350" i="22"/>
  <c r="I344" i="22" s="1"/>
  <c r="H1692" i="22"/>
  <c r="I1685" i="22" s="1"/>
  <c r="C1598" i="22"/>
  <c r="C1601" i="22"/>
  <c r="C1603" i="22"/>
  <c r="C1602" i="22"/>
  <c r="C1597" i="22"/>
  <c r="B2377" i="22"/>
  <c r="F2378" i="22" s="1"/>
  <c r="G2378" i="22" s="1"/>
  <c r="B2292" i="22"/>
  <c r="C663" i="22"/>
  <c r="C1723" i="22"/>
  <c r="C1962" i="22"/>
  <c r="G548" i="22"/>
  <c r="G295" i="22"/>
  <c r="C1064" i="22"/>
  <c r="C697" i="22"/>
  <c r="C2095" i="22"/>
  <c r="G306" i="22"/>
  <c r="H1637" i="22"/>
  <c r="C1599" i="22"/>
  <c r="C1721" i="22"/>
  <c r="C2010" i="22"/>
  <c r="C694" i="22"/>
  <c r="G1604" i="22"/>
  <c r="C1720" i="22"/>
  <c r="G2187" i="22"/>
  <c r="C1743" i="22"/>
  <c r="C1084" i="22"/>
  <c r="C2093" i="22"/>
  <c r="G1164" i="22"/>
  <c r="C304" i="22"/>
  <c r="H1230" i="22"/>
  <c r="H1670" i="22"/>
  <c r="H922" i="22"/>
  <c r="I916" i="22" s="1"/>
  <c r="G317" i="22"/>
  <c r="C665" i="22"/>
  <c r="C1596" i="22"/>
  <c r="G361" i="22"/>
  <c r="C345" i="22"/>
  <c r="C1719" i="22"/>
  <c r="C1959" i="22"/>
  <c r="B2329" i="22"/>
  <c r="F2329" i="22" s="1"/>
  <c r="G2329" i="22" s="1"/>
  <c r="C664" i="22"/>
  <c r="H1439" i="22"/>
  <c r="C784" i="22"/>
  <c r="Z34" i="22"/>
  <c r="C731" i="22"/>
  <c r="C1080" i="22"/>
  <c r="C431" i="22"/>
  <c r="B2422" i="22"/>
  <c r="C730" i="22"/>
  <c r="C1961" i="22"/>
  <c r="C194" i="22"/>
  <c r="C662" i="22"/>
  <c r="C260" i="22"/>
  <c r="B2405" i="22"/>
  <c r="G1912" i="22"/>
  <c r="C1905" i="22"/>
  <c r="C1600" i="22"/>
  <c r="C1963" i="22"/>
  <c r="H295" i="22"/>
  <c r="I349" i="22" s="1"/>
  <c r="C540" i="22"/>
  <c r="G735" i="22"/>
  <c r="C1741" i="22"/>
  <c r="C1079" i="22"/>
  <c r="G2099" i="22"/>
  <c r="C190" i="22"/>
  <c r="C193" i="22"/>
  <c r="C189" i="22"/>
  <c r="C1909" i="22"/>
  <c r="G504" i="22"/>
  <c r="H1560" i="22"/>
  <c r="I1552" i="22" s="1"/>
  <c r="B2410" i="22"/>
  <c r="I2410" i="22" s="1"/>
  <c r="I2411" i="22" s="1"/>
  <c r="C666" i="22"/>
  <c r="H1296" i="22"/>
  <c r="I1291" i="22" s="1"/>
  <c r="H1351" i="22"/>
  <c r="C1897" i="22"/>
  <c r="C1898" i="22"/>
  <c r="C1893" i="22"/>
  <c r="C1894" i="22"/>
  <c r="C1896" i="22"/>
  <c r="C2168" i="22"/>
  <c r="C258" i="22"/>
  <c r="C610" i="22"/>
  <c r="C2173" i="22"/>
  <c r="C255" i="22"/>
  <c r="C1739" i="22"/>
  <c r="G1230" i="22"/>
  <c r="C606" i="22"/>
  <c r="C1344" i="22"/>
  <c r="C282" i="22"/>
  <c r="G1087" i="22"/>
  <c r="C761" i="22"/>
  <c r="C430" i="22"/>
  <c r="C683" i="22"/>
  <c r="C156" i="22"/>
  <c r="B2325" i="22"/>
  <c r="F2325" i="22" s="1"/>
  <c r="G2325" i="22" s="1"/>
  <c r="H1263" i="22"/>
  <c r="C1205" i="22"/>
  <c r="B2404" i="22"/>
  <c r="F2404" i="22" s="1"/>
  <c r="G2404" i="22" s="1"/>
  <c r="C860" i="22"/>
  <c r="C270" i="22"/>
  <c r="C1908" i="22"/>
  <c r="B2249" i="22"/>
  <c r="C727" i="22"/>
  <c r="C1966" i="22"/>
  <c r="C938" i="22"/>
  <c r="B2386" i="22"/>
  <c r="G1351" i="22"/>
  <c r="C229" i="22"/>
  <c r="H1648" i="22"/>
  <c r="I1644" i="22" s="1"/>
  <c r="C661" i="22"/>
  <c r="H1120" i="22"/>
  <c r="C257" i="22"/>
  <c r="C211" i="22"/>
  <c r="C214" i="22"/>
  <c r="C212" i="22"/>
  <c r="C210" i="22"/>
  <c r="G229" i="22"/>
  <c r="C2003" i="22"/>
  <c r="C2009" i="22"/>
  <c r="C1996" i="22"/>
  <c r="B2295" i="22"/>
  <c r="F2295" i="22" s="1"/>
  <c r="G2295" i="22" s="1"/>
  <c r="H1714" i="22"/>
  <c r="I1709" i="22" s="1"/>
  <c r="C1712" i="22"/>
  <c r="G1747" i="22"/>
  <c r="C2175" i="22"/>
  <c r="C1907" i="22"/>
  <c r="C1213" i="22"/>
  <c r="C843" i="22"/>
  <c r="C720" i="22"/>
  <c r="C1345" i="22"/>
  <c r="C276" i="22"/>
  <c r="C762" i="22"/>
  <c r="G438" i="22"/>
  <c r="B2262" i="22"/>
  <c r="F2262" i="22" s="1"/>
  <c r="G2262" i="22" s="1"/>
  <c r="C687" i="22"/>
  <c r="C157" i="22"/>
  <c r="C874" i="22"/>
  <c r="G1901" i="22"/>
  <c r="C859" i="22"/>
  <c r="G691" i="22"/>
  <c r="C1965" i="22"/>
  <c r="H1758" i="22"/>
  <c r="G1967" i="22"/>
  <c r="C1740" i="22"/>
  <c r="F2361" i="22"/>
  <c r="G2361" i="22" s="1"/>
  <c r="C259" i="22"/>
  <c r="C1215" i="22"/>
  <c r="C1338" i="22"/>
  <c r="C1339" i="22"/>
  <c r="B2353" i="22"/>
  <c r="C1333" i="22"/>
  <c r="C1334" i="22"/>
  <c r="B2331" i="22"/>
  <c r="F2331" i="22" s="1"/>
  <c r="G2331" i="22" s="1"/>
  <c r="H361" i="22"/>
  <c r="C2171" i="22"/>
  <c r="C348" i="22"/>
  <c r="L1098" i="22"/>
  <c r="C287" i="22"/>
  <c r="C1383" i="22"/>
  <c r="C654" i="22"/>
  <c r="G449" i="22"/>
  <c r="C688" i="22"/>
  <c r="C2186" i="22"/>
  <c r="C982" i="22"/>
  <c r="C1899" i="22"/>
  <c r="C1818" i="22"/>
  <c r="C1817" i="22"/>
  <c r="C788" i="22"/>
  <c r="B2276" i="22"/>
  <c r="C1820" i="22"/>
  <c r="H702" i="22"/>
  <c r="G1978" i="22"/>
  <c r="H966" i="22"/>
  <c r="C541" i="22"/>
  <c r="H1373" i="22"/>
  <c r="C486" i="22"/>
  <c r="C1332" i="22"/>
  <c r="C216" i="22"/>
  <c r="C218" i="22" s="1"/>
  <c r="B2390" i="22"/>
  <c r="F2390" i="22" s="1"/>
  <c r="G2390" i="22" s="1"/>
  <c r="B2429" i="22"/>
  <c r="C343" i="22"/>
  <c r="C277" i="22"/>
  <c r="C1069" i="22"/>
  <c r="C565" i="22"/>
  <c r="C293" i="22"/>
  <c r="C650" i="22"/>
  <c r="H735" i="22"/>
  <c r="C686" i="22"/>
  <c r="C984" i="22"/>
  <c r="H251" i="22"/>
  <c r="C1895" i="22"/>
  <c r="C542" i="22"/>
  <c r="G1736" i="22"/>
  <c r="C485" i="22"/>
  <c r="G856" i="22"/>
  <c r="G427" i="22"/>
  <c r="H1681" i="22"/>
  <c r="I1575" i="22"/>
  <c r="H647" i="22"/>
  <c r="H1813" i="22"/>
  <c r="I1806" i="22" s="1"/>
  <c r="C1037" i="22"/>
  <c r="C1039" i="22"/>
  <c r="C1036" i="22"/>
  <c r="B2326" i="22"/>
  <c r="I2326" i="22" s="1"/>
  <c r="I2327" i="22" s="1"/>
  <c r="H2187" i="22"/>
  <c r="B2391" i="22"/>
  <c r="C1750" i="22"/>
  <c r="C1755" i="22"/>
  <c r="C1752" i="22"/>
  <c r="C1754" i="22"/>
  <c r="C1753" i="22"/>
  <c r="C1756" i="22"/>
  <c r="C1751" i="22"/>
  <c r="G1758" i="22"/>
  <c r="B2350" i="22"/>
  <c r="I2350" i="22" s="1"/>
  <c r="C1300" i="22"/>
  <c r="G1307" i="22"/>
  <c r="C1304" i="22"/>
  <c r="C1305" i="22"/>
  <c r="C1299" i="22"/>
  <c r="C1303" i="22"/>
  <c r="I1344" i="22"/>
  <c r="B174" i="22"/>
  <c r="C168" i="22"/>
  <c r="C1618" i="22"/>
  <c r="C1620" i="22"/>
  <c r="C381" i="22"/>
  <c r="C379" i="22"/>
  <c r="I1992" i="22"/>
  <c r="G614" i="22"/>
  <c r="C595" i="22"/>
  <c r="C596" i="22"/>
  <c r="B2286" i="22"/>
  <c r="F2287" i="22" s="1"/>
  <c r="G2287" i="22" s="1"/>
  <c r="C600" i="22"/>
  <c r="C598" i="22"/>
  <c r="C597" i="22"/>
  <c r="H196" i="22"/>
  <c r="H603" i="22"/>
  <c r="I601" i="22" s="1"/>
  <c r="I1387" i="22"/>
  <c r="I1446" i="22"/>
  <c r="I1443" i="22"/>
  <c r="C390" i="22"/>
  <c r="C386" i="22"/>
  <c r="B2267" i="22"/>
  <c r="C387" i="22"/>
  <c r="C389" i="22"/>
  <c r="C391" i="22"/>
  <c r="C388" i="22"/>
  <c r="C842" i="22"/>
  <c r="C838" i="22"/>
  <c r="B2279" i="22"/>
  <c r="F2279" i="22" s="1"/>
  <c r="G2279" i="22" s="1"/>
  <c r="C918" i="22"/>
  <c r="C830" i="22"/>
  <c r="I1322" i="22"/>
  <c r="H537" i="22"/>
  <c r="B2303" i="22"/>
  <c r="F2303" i="22" s="1"/>
  <c r="G2303" i="22" s="1"/>
  <c r="C244" i="22"/>
  <c r="C249" i="22"/>
  <c r="C248" i="22"/>
  <c r="B2254" i="22"/>
  <c r="F2255" i="22" s="1"/>
  <c r="G2255" i="22" s="1"/>
  <c r="G251" i="22"/>
  <c r="C247" i="22"/>
  <c r="C1762" i="22"/>
  <c r="C181" i="22"/>
  <c r="C579" i="22"/>
  <c r="C740" i="22"/>
  <c r="C832" i="22"/>
  <c r="C409" i="22"/>
  <c r="H328" i="22"/>
  <c r="C521" i="22"/>
  <c r="C577" i="22"/>
  <c r="C915" i="22"/>
  <c r="B2296" i="22"/>
  <c r="C817" i="22"/>
  <c r="C741" i="22"/>
  <c r="B2257" i="22"/>
  <c r="F2257" i="22" s="1"/>
  <c r="G2257" i="22" s="1"/>
  <c r="I365" i="22"/>
  <c r="B2291" i="22"/>
  <c r="H977" i="22"/>
  <c r="I975" i="22" s="1"/>
  <c r="C1017" i="22"/>
  <c r="H240" i="22"/>
  <c r="H229" i="22"/>
  <c r="I221" i="22" s="1"/>
  <c r="H801" i="22"/>
  <c r="I794" i="22" s="1"/>
  <c r="C201" i="22"/>
  <c r="H1395" i="22"/>
  <c r="I1427" i="22" s="1"/>
  <c r="B2269" i="22"/>
  <c r="F2270" i="22" s="1"/>
  <c r="G2270" i="22" s="1"/>
  <c r="C815" i="22"/>
  <c r="H1956" i="22"/>
  <c r="I1950" i="22" s="1"/>
  <c r="C178" i="22"/>
  <c r="C644" i="22"/>
  <c r="C642" i="22"/>
  <c r="C645" i="22"/>
  <c r="C639" i="22"/>
  <c r="B2290" i="22"/>
  <c r="I2290" i="22" s="1"/>
  <c r="C643" i="22"/>
  <c r="C980" i="22"/>
  <c r="C707" i="22"/>
  <c r="H2176" i="22"/>
  <c r="H680" i="22"/>
  <c r="I675" i="22" s="1"/>
  <c r="C852" i="22"/>
  <c r="B2309" i="22"/>
  <c r="X91" i="22"/>
  <c r="X102" i="22" s="1"/>
  <c r="X117" i="22" s="1"/>
  <c r="X128" i="22" s="1"/>
  <c r="G262" i="22"/>
  <c r="C564" i="22"/>
  <c r="C518" i="22"/>
  <c r="C574" i="22"/>
  <c r="C709" i="22"/>
  <c r="C828" i="22"/>
  <c r="C742" i="22"/>
  <c r="C872" i="22"/>
  <c r="B2311" i="22"/>
  <c r="Y34" i="22"/>
  <c r="Y46" i="22" s="1"/>
  <c r="Y55" i="22" s="1"/>
  <c r="Y70" i="22" s="1"/>
  <c r="Y81" i="22" s="1"/>
  <c r="Y92" i="22" s="1"/>
  <c r="Y103" i="22" s="1"/>
  <c r="Y118" i="22" s="1"/>
  <c r="Y129" i="22" s="1"/>
  <c r="C848" i="22"/>
  <c r="C202" i="22"/>
  <c r="G526" i="22"/>
  <c r="C183" i="22"/>
  <c r="C809" i="22"/>
  <c r="C805" i="22"/>
  <c r="C806" i="22"/>
  <c r="B2305" i="22"/>
  <c r="F2305" i="22" s="1"/>
  <c r="G2305" i="22" s="1"/>
  <c r="C807" i="22"/>
  <c r="C808" i="22"/>
  <c r="C810" i="22"/>
  <c r="C863" i="22"/>
  <c r="C865" i="22"/>
  <c r="C864" i="22"/>
  <c r="C862" i="22"/>
  <c r="B2348" i="22"/>
  <c r="G1285" i="22"/>
  <c r="G625" i="22"/>
  <c r="C620" i="22"/>
  <c r="B2288" i="22"/>
  <c r="F2288" i="22" s="1"/>
  <c r="G2288" i="22" s="1"/>
  <c r="C621" i="22"/>
  <c r="C243" i="22"/>
  <c r="C1640" i="22"/>
  <c r="C1642" i="22"/>
  <c r="C1643" i="22"/>
  <c r="B2381" i="22"/>
  <c r="C1645" i="22"/>
  <c r="C1647" i="22"/>
  <c r="C739" i="22"/>
  <c r="G1197" i="22"/>
  <c r="G207" i="22"/>
  <c r="C205" i="22"/>
  <c r="C200" i="22"/>
  <c r="C942" i="22"/>
  <c r="C523" i="22"/>
  <c r="C412" i="22"/>
  <c r="C414" i="22"/>
  <c r="C411" i="22"/>
  <c r="B2363" i="22"/>
  <c r="C1443" i="22"/>
  <c r="C1442" i="22"/>
  <c r="C1446" i="22"/>
  <c r="C1445" i="22"/>
  <c r="C279" i="22"/>
  <c r="C281" i="22"/>
  <c r="C653" i="22"/>
  <c r="G658" i="22"/>
  <c r="C1058" i="22"/>
  <c r="C1060" i="22"/>
  <c r="F2256" i="22"/>
  <c r="G2256" i="22" s="1"/>
  <c r="C180" i="22"/>
  <c r="I1326" i="22"/>
  <c r="G801" i="22"/>
  <c r="C917" i="22"/>
  <c r="C916" i="22"/>
  <c r="C920" i="22"/>
  <c r="C919" i="22"/>
  <c r="G933" i="22"/>
  <c r="C524" i="22"/>
  <c r="C706" i="22"/>
  <c r="C818" i="22"/>
  <c r="C1932" i="22"/>
  <c r="C1930" i="22"/>
  <c r="C1926" i="22"/>
  <c r="C1931" i="22"/>
  <c r="C1927" i="22"/>
  <c r="C575" i="22"/>
  <c r="C576" i="22"/>
  <c r="C1761" i="22"/>
  <c r="C1766" i="22"/>
  <c r="C1767" i="22"/>
  <c r="C177" i="22"/>
  <c r="G790" i="22"/>
  <c r="C914" i="22"/>
  <c r="C816" i="22"/>
  <c r="C799" i="22"/>
  <c r="H2011" i="22"/>
  <c r="H460" i="22"/>
  <c r="I453" i="22" s="1"/>
  <c r="H339" i="22"/>
  <c r="C783" i="22"/>
  <c r="C1646" i="22"/>
  <c r="C204" i="22"/>
  <c r="C246" i="22"/>
  <c r="C573" i="22"/>
  <c r="B2308" i="22"/>
  <c r="G746" i="22"/>
  <c r="F2399" i="22"/>
  <c r="G2399" i="22" s="1"/>
  <c r="I756" i="22"/>
  <c r="C656" i="22"/>
  <c r="C797" i="22"/>
  <c r="C300" i="22"/>
  <c r="C871" i="22"/>
  <c r="G1648" i="22"/>
  <c r="C1765" i="22"/>
  <c r="C578" i="22"/>
  <c r="G196" i="22"/>
  <c r="C587" i="22"/>
  <c r="C280" i="22"/>
  <c r="C410" i="22"/>
  <c r="C941" i="22"/>
  <c r="C519" i="22"/>
  <c r="G1076" i="22"/>
  <c r="C699" i="22"/>
  <c r="G702" i="22"/>
  <c r="C1115" i="22"/>
  <c r="C1047" i="22"/>
  <c r="C1522" i="22"/>
  <c r="C1521" i="22"/>
  <c r="B2370" i="22"/>
  <c r="C1519" i="22"/>
  <c r="C1524" i="22"/>
  <c r="C1523" i="22"/>
  <c r="C1520" i="22"/>
  <c r="C1537" i="22"/>
  <c r="C1763" i="22"/>
  <c r="H911" i="22"/>
  <c r="C782" i="22"/>
  <c r="C203" i="22"/>
  <c r="C1928" i="22"/>
  <c r="C840" i="22"/>
  <c r="C1063" i="22"/>
  <c r="C795" i="22"/>
  <c r="G1032" i="22"/>
  <c r="C873" i="22"/>
  <c r="B2392" i="22"/>
  <c r="B2250" i="22"/>
  <c r="C826" i="22"/>
  <c r="C588" i="22"/>
  <c r="H1241" i="22"/>
  <c r="I1235" i="22" s="1"/>
  <c r="C937" i="22"/>
  <c r="I266" i="22"/>
  <c r="C522" i="22"/>
  <c r="C1879" i="22"/>
  <c r="C499" i="22"/>
  <c r="C497" i="22"/>
  <c r="C1051" i="22"/>
  <c r="C347" i="22"/>
  <c r="C344" i="22"/>
  <c r="C804" i="22"/>
  <c r="H2132" i="22"/>
  <c r="I2127" i="22" s="1"/>
  <c r="B2407" i="22"/>
  <c r="C1061" i="22"/>
  <c r="C1013" i="22"/>
  <c r="C793" i="22"/>
  <c r="C876" i="22"/>
  <c r="C199" i="22"/>
  <c r="G416" i="22"/>
  <c r="C590" i="22"/>
  <c r="H1703" i="22"/>
  <c r="I1700" i="22" s="1"/>
  <c r="G944" i="22"/>
  <c r="C1852" i="22"/>
  <c r="C1849" i="22"/>
  <c r="C1854" i="22"/>
  <c r="B2400" i="22"/>
  <c r="C1850" i="22"/>
  <c r="C1855" i="22"/>
  <c r="C1851" i="22"/>
  <c r="C1853" i="22"/>
  <c r="C511" i="22"/>
  <c r="C508" i="22"/>
  <c r="C513" i="22"/>
  <c r="C729" i="22"/>
  <c r="C733" i="22"/>
  <c r="C641" i="22"/>
  <c r="C1444" i="22"/>
  <c r="C1202" i="22"/>
  <c r="B2341" i="22"/>
  <c r="C1203" i="22"/>
  <c r="C1204" i="22"/>
  <c r="C708" i="22"/>
  <c r="G713" i="22"/>
  <c r="C831" i="22"/>
  <c r="C821" i="22"/>
  <c r="C820" i="22"/>
  <c r="B2306" i="22"/>
  <c r="C829" i="22"/>
  <c r="C827" i="22"/>
  <c r="G823" i="22"/>
  <c r="G537" i="22"/>
  <c r="G1219" i="22"/>
  <c r="G559" i="22"/>
  <c r="B2282" i="22"/>
  <c r="F2282" i="22" s="1"/>
  <c r="G2282" i="22" s="1"/>
  <c r="C556" i="22"/>
  <c r="H1285" i="22"/>
  <c r="G922" i="22"/>
  <c r="C743" i="22"/>
  <c r="C794" i="22"/>
  <c r="H724" i="22"/>
  <c r="C985" i="22"/>
  <c r="B2321" i="22"/>
  <c r="C986" i="22"/>
  <c r="C983" i="22"/>
  <c r="C1117" i="22"/>
  <c r="B2333" i="22"/>
  <c r="F2333" i="22" s="1"/>
  <c r="G2333" i="22" s="1"/>
  <c r="C1118" i="22"/>
  <c r="C1113" i="22"/>
  <c r="C1112" i="22"/>
  <c r="C1114" i="22"/>
  <c r="H2143" i="22"/>
  <c r="I2135" i="22" s="1"/>
  <c r="B2284" i="22"/>
  <c r="C711" i="22"/>
  <c r="H1593" i="22"/>
  <c r="I1590" i="22" s="1"/>
  <c r="C1206" i="22"/>
  <c r="G1098" i="22"/>
  <c r="C839" i="22"/>
  <c r="H867" i="22"/>
  <c r="C1200" i="22"/>
  <c r="C1092" i="22"/>
  <c r="C1890" i="22"/>
  <c r="C1929" i="22"/>
  <c r="G1065" i="22"/>
  <c r="G1120" i="22"/>
  <c r="C798" i="22"/>
  <c r="C299" i="22"/>
  <c r="G845" i="22"/>
  <c r="H1406" i="22"/>
  <c r="I1402" i="22" s="1"/>
  <c r="H2022" i="22"/>
  <c r="H713" i="22"/>
  <c r="C2169" i="22"/>
  <c r="B2285" i="22"/>
  <c r="C502" i="22"/>
  <c r="B2280" i="22"/>
  <c r="F2281" i="22" s="1"/>
  <c r="G2281" i="22" s="1"/>
  <c r="C533" i="22"/>
  <c r="C1939" i="22"/>
  <c r="C1941" i="22"/>
  <c r="G1945" i="22"/>
  <c r="C1217" i="22"/>
  <c r="C1212" i="22"/>
  <c r="B2342" i="22"/>
  <c r="F2343" i="22" s="1"/>
  <c r="G2343" i="22" s="1"/>
  <c r="C1216" i="22"/>
  <c r="C1644" i="22"/>
  <c r="C710" i="22"/>
  <c r="B2338" i="22"/>
  <c r="I2338" i="22" s="1"/>
  <c r="C1171" i="22"/>
  <c r="C1169" i="22"/>
  <c r="C1168" i="22"/>
  <c r="C1173" i="22"/>
  <c r="C1269" i="22"/>
  <c r="I1842" i="22"/>
  <c r="I1838" i="22"/>
  <c r="I796" i="22"/>
  <c r="I741" i="22"/>
  <c r="I738" i="22"/>
  <c r="I245" i="22"/>
  <c r="I687" i="22"/>
  <c r="H493" i="22"/>
  <c r="I269" i="22"/>
  <c r="I1388" i="22"/>
  <c r="G2011" i="22"/>
  <c r="B2414" i="22"/>
  <c r="F2414" i="22" s="1"/>
  <c r="G2414" i="22" s="1"/>
  <c r="G1208" i="22"/>
  <c r="H625" i="22"/>
  <c r="I623" i="22" s="1"/>
  <c r="I617" i="22"/>
  <c r="C674" i="22"/>
  <c r="C675" i="22"/>
  <c r="C673" i="22"/>
  <c r="B2293" i="22"/>
  <c r="C676" i="22"/>
  <c r="C678" i="22"/>
  <c r="C677" i="22"/>
  <c r="G1472" i="22"/>
  <c r="C1466" i="22"/>
  <c r="C1464" i="22"/>
  <c r="C1469" i="22"/>
  <c r="C1467" i="22"/>
  <c r="C1468" i="22"/>
  <c r="I270" i="22"/>
  <c r="C1327" i="22"/>
  <c r="C1324" i="22"/>
  <c r="G1340" i="22"/>
  <c r="G1329" i="22"/>
  <c r="C1321" i="22"/>
  <c r="C1326" i="22"/>
  <c r="B2352" i="22"/>
  <c r="C1325" i="22"/>
  <c r="C1322" i="22"/>
  <c r="C1323" i="22"/>
  <c r="C144" i="22"/>
  <c r="G152" i="22"/>
  <c r="C146" i="22"/>
  <c r="B2245" i="22"/>
  <c r="C147" i="22"/>
  <c r="C145" i="22"/>
  <c r="C148" i="22"/>
  <c r="C149" i="22"/>
  <c r="C150" i="22"/>
  <c r="H1186" i="22"/>
  <c r="I1189" i="22" s="1"/>
  <c r="I1178" i="22"/>
  <c r="G680" i="22"/>
  <c r="I1882" i="22"/>
  <c r="I1887" i="22"/>
  <c r="C1707" i="22"/>
  <c r="C1708" i="22"/>
  <c r="G1714" i="22"/>
  <c r="C1710" i="22"/>
  <c r="G1725" i="22"/>
  <c r="B2387" i="22"/>
  <c r="F2388" i="22" s="1"/>
  <c r="G2388" i="22" s="1"/>
  <c r="C1711" i="22"/>
  <c r="F2360" i="22"/>
  <c r="G2360" i="22" s="1"/>
  <c r="I249" i="22"/>
  <c r="C1191" i="22"/>
  <c r="C1192" i="22"/>
  <c r="C1193" i="22"/>
  <c r="C1190" i="22"/>
  <c r="C1194" i="22"/>
  <c r="C1195" i="22"/>
  <c r="B2340" i="22"/>
  <c r="C1189" i="22"/>
  <c r="B2266" i="22"/>
  <c r="C1313" i="22"/>
  <c r="C1314" i="22"/>
  <c r="C1315" i="22"/>
  <c r="G1318" i="22"/>
  <c r="C1310" i="22"/>
  <c r="B2351" i="22"/>
  <c r="C1316" i="22"/>
  <c r="C1311" i="22"/>
  <c r="H2055" i="22"/>
  <c r="B2244" i="22"/>
  <c r="C136" i="22"/>
  <c r="C138" i="22"/>
  <c r="C135" i="22"/>
  <c r="C137" i="22"/>
  <c r="C134" i="22"/>
  <c r="C139" i="22"/>
  <c r="C133" i="22"/>
  <c r="C1651" i="22"/>
  <c r="C1656" i="22"/>
  <c r="C1657" i="22"/>
  <c r="B2382" i="22"/>
  <c r="C1658" i="22"/>
  <c r="C1654" i="22"/>
  <c r="C1652" i="22"/>
  <c r="C1653" i="22"/>
  <c r="C1655" i="22"/>
  <c r="C563" i="22"/>
  <c r="B2283" i="22"/>
  <c r="C568" i="22"/>
  <c r="C567" i="22"/>
  <c r="G581" i="22"/>
  <c r="C719" i="22"/>
  <c r="C745" i="22"/>
  <c r="C722" i="22"/>
  <c r="B2297" i="22"/>
  <c r="F2298" i="22" s="1"/>
  <c r="G2298" i="22" s="1"/>
  <c r="C723" i="22"/>
  <c r="C721" i="22"/>
  <c r="C716" i="22"/>
  <c r="G724" i="22"/>
  <c r="C718" i="22"/>
  <c r="C717" i="22"/>
  <c r="G328" i="22"/>
  <c r="I1883" i="22"/>
  <c r="C1706" i="22"/>
  <c r="C754" i="22"/>
  <c r="C750" i="22"/>
  <c r="C753" i="22"/>
  <c r="B2300" i="22"/>
  <c r="C755" i="22"/>
  <c r="G757" i="22"/>
  <c r="C752" i="22"/>
  <c r="C751" i="22"/>
  <c r="H163" i="22"/>
  <c r="I157" i="22" s="1"/>
  <c r="G383" i="22"/>
  <c r="I2005" i="22"/>
  <c r="I265" i="22"/>
  <c r="C1184" i="22"/>
  <c r="B2339" i="22"/>
  <c r="C1178" i="22"/>
  <c r="G1186" i="22"/>
  <c r="C1181" i="22"/>
  <c r="C1182" i="22"/>
  <c r="C1180" i="22"/>
  <c r="C1179" i="22"/>
  <c r="C1459" i="22"/>
  <c r="C1457" i="22"/>
  <c r="C1458" i="22"/>
  <c r="B2364" i="22"/>
  <c r="C1454" i="22"/>
  <c r="C1455" i="22"/>
  <c r="G1461" i="22"/>
  <c r="C1456" i="22"/>
  <c r="C634" i="22"/>
  <c r="B2289" i="22"/>
  <c r="C633" i="22"/>
  <c r="H1175" i="22"/>
  <c r="I1566" i="22"/>
  <c r="I1568" i="22"/>
  <c r="H1417" i="22"/>
  <c r="I1413" i="22" s="1"/>
  <c r="H592" i="22"/>
  <c r="C1437" i="22"/>
  <c r="G1450" i="22"/>
  <c r="B2362" i="22"/>
  <c r="C1434" i="22"/>
  <c r="C1435" i="22"/>
  <c r="C1432" i="22"/>
  <c r="C1433" i="22"/>
  <c r="G1439" i="22"/>
  <c r="C1436" i="22"/>
  <c r="C1636" i="22"/>
  <c r="C1629" i="22"/>
  <c r="C1634" i="22"/>
  <c r="C1632" i="22"/>
  <c r="C1631" i="22"/>
  <c r="C1635" i="22"/>
  <c r="B2380" i="22"/>
  <c r="C1633" i="22"/>
  <c r="C377" i="22"/>
  <c r="I1565" i="22"/>
  <c r="G394" i="22"/>
  <c r="C303" i="22"/>
  <c r="I267" i="22"/>
  <c r="H2033" i="22"/>
  <c r="I2031" i="22" s="1"/>
  <c r="B2415" i="22"/>
  <c r="G2022" i="22"/>
  <c r="H306" i="22"/>
  <c r="I301" i="22" s="1"/>
  <c r="C851" i="22"/>
  <c r="C853" i="22"/>
  <c r="G867" i="22"/>
  <c r="C854" i="22"/>
  <c r="C850" i="22"/>
  <c r="C1431" i="22"/>
  <c r="C1453" i="22"/>
  <c r="I1569" i="22"/>
  <c r="C392" i="22"/>
  <c r="C1668" i="22"/>
  <c r="G1670" i="22"/>
  <c r="C1667" i="22"/>
  <c r="C1664" i="22"/>
  <c r="C1666" i="22"/>
  <c r="B2383" i="22"/>
  <c r="G1681" i="22"/>
  <c r="C1665" i="22"/>
  <c r="C1663" i="22"/>
  <c r="C1669" i="22"/>
  <c r="C1662" i="22"/>
  <c r="H1604" i="22"/>
  <c r="C1312" i="22"/>
  <c r="H1109" i="22"/>
  <c r="I1105" i="22" s="1"/>
  <c r="C1263" i="22"/>
  <c r="H1087" i="22"/>
  <c r="I1082" i="22" s="1"/>
  <c r="C1835" i="22"/>
  <c r="G768" i="22"/>
  <c r="I1071" i="22"/>
  <c r="C314" i="22"/>
  <c r="C311" i="22"/>
  <c r="C313" i="22"/>
  <c r="C312" i="22"/>
  <c r="C309" i="22"/>
  <c r="C310" i="22"/>
  <c r="C315" i="22"/>
  <c r="B2260" i="22"/>
  <c r="F2261" i="22" s="1"/>
  <c r="G2261" i="22" s="1"/>
  <c r="C1090" i="22"/>
  <c r="C1094" i="22"/>
  <c r="C1091" i="22"/>
  <c r="C1096" i="22"/>
  <c r="C1093" i="22"/>
  <c r="C1095" i="22"/>
  <c r="C380" i="22"/>
  <c r="C378" i="22"/>
  <c r="C376" i="22"/>
  <c r="C375" i="22"/>
  <c r="F2389" i="22"/>
  <c r="G2389" i="22" s="1"/>
  <c r="C301" i="22"/>
  <c r="C1492" i="22"/>
  <c r="C1488" i="22"/>
  <c r="C1487" i="22"/>
  <c r="B2367" i="22"/>
  <c r="F2368" i="22" s="1"/>
  <c r="G2368" i="22" s="1"/>
  <c r="C1493" i="22"/>
  <c r="C1491" i="22"/>
  <c r="C1489" i="22"/>
  <c r="C1486" i="22"/>
  <c r="C1490" i="22"/>
  <c r="C399" i="22"/>
  <c r="C403" i="22"/>
  <c r="B2268" i="22"/>
  <c r="C398" i="22"/>
  <c r="C400" i="22"/>
  <c r="G405" i="22"/>
  <c r="C402" i="22"/>
  <c r="C401" i="22"/>
  <c r="C397" i="22"/>
  <c r="I1667" i="22"/>
  <c r="C298" i="22"/>
  <c r="H526" i="22"/>
  <c r="I522" i="22" s="1"/>
  <c r="I767" i="22"/>
  <c r="I921" i="22"/>
  <c r="C947" i="22"/>
  <c r="G966" i="22"/>
  <c r="C953" i="22"/>
  <c r="G955" i="22"/>
  <c r="C948" i="22"/>
  <c r="C952" i="22"/>
  <c r="C949" i="22"/>
  <c r="B2318" i="22"/>
  <c r="C950" i="22"/>
  <c r="C951" i="22"/>
  <c r="X46" i="22"/>
  <c r="I1888" i="22"/>
  <c r="B2307" i="22"/>
  <c r="F2307" i="22" s="1"/>
  <c r="G2307" i="22" s="1"/>
  <c r="G834" i="22"/>
  <c r="C240" i="22"/>
  <c r="G1659" i="22"/>
  <c r="C749" i="22"/>
  <c r="G647" i="22"/>
  <c r="B2198" i="22"/>
  <c r="C995" i="22"/>
  <c r="C994" i="22"/>
  <c r="C992" i="22"/>
  <c r="C997" i="22"/>
  <c r="C993" i="22"/>
  <c r="C996" i="22"/>
  <c r="B2322" i="22"/>
  <c r="C991" i="22"/>
  <c r="G999" i="22"/>
  <c r="H1461" i="22"/>
  <c r="I1456" i="22" s="1"/>
  <c r="I1346" i="22"/>
  <c r="I1348" i="22"/>
  <c r="I1080" i="22"/>
  <c r="H1615" i="22"/>
  <c r="I1607" i="22" s="1"/>
  <c r="H614" i="22"/>
  <c r="H658" i="22"/>
  <c r="C2157" i="22"/>
  <c r="B2428" i="22"/>
  <c r="F2428" i="22" s="1"/>
  <c r="G2428" i="22" s="1"/>
  <c r="C2158" i="22"/>
  <c r="C2162" i="22"/>
  <c r="G2165" i="22"/>
  <c r="C2160" i="22"/>
  <c r="C2163" i="22"/>
  <c r="C2161" i="22"/>
  <c r="C2159" i="22"/>
  <c r="G2176" i="22"/>
  <c r="I1591" i="22"/>
  <c r="H2066" i="22"/>
  <c r="H1002" i="22"/>
  <c r="H1208" i="22"/>
  <c r="H1219" i="22"/>
  <c r="F2316" i="22"/>
  <c r="G2316" i="22" s="1"/>
  <c r="F2315" i="22"/>
  <c r="G2315" i="22" s="1"/>
  <c r="H1472" i="22"/>
  <c r="I1469" i="22" s="1"/>
  <c r="H1626" i="22"/>
  <c r="I1623" i="22" s="1"/>
  <c r="I1621" i="22"/>
  <c r="H394" i="22"/>
  <c r="I386" i="22" s="1"/>
  <c r="H548" i="22"/>
  <c r="I546" i="22" s="1"/>
  <c r="H944" i="22"/>
  <c r="I936" i="22" s="1"/>
  <c r="H1857" i="22"/>
  <c r="I1855" i="22" s="1"/>
  <c r="I599" i="22"/>
  <c r="C1772" i="22"/>
  <c r="C1774" i="22"/>
  <c r="C1777" i="22"/>
  <c r="G1780" i="22"/>
  <c r="C1776" i="22"/>
  <c r="C1775" i="22"/>
  <c r="C1778" i="22"/>
  <c r="B2393" i="22"/>
  <c r="C1773" i="22"/>
  <c r="H1274" i="22"/>
  <c r="I1283" i="22" s="1"/>
  <c r="H1769" i="22"/>
  <c r="C466" i="22"/>
  <c r="C468" i="22"/>
  <c r="G471" i="22"/>
  <c r="C467" i="22"/>
  <c r="C463" i="22"/>
  <c r="C469" i="22"/>
  <c r="B2274" i="22"/>
  <c r="F2274" i="22" s="1"/>
  <c r="G2274" i="22" s="1"/>
  <c r="C465" i="22"/>
  <c r="C464" i="22"/>
  <c r="G482" i="22"/>
  <c r="C1581" i="22"/>
  <c r="C1579" i="22"/>
  <c r="C1574" i="22"/>
  <c r="C1576" i="22"/>
  <c r="C1578" i="22"/>
  <c r="B2375" i="22"/>
  <c r="G1582" i="22"/>
  <c r="C1580" i="22"/>
  <c r="C1577" i="22"/>
  <c r="G1593" i="22"/>
  <c r="C1575" i="22"/>
  <c r="H449" i="22"/>
  <c r="I447" i="22" s="1"/>
  <c r="H790" i="22"/>
  <c r="I1689" i="22"/>
  <c r="I1687" i="22"/>
  <c r="H889" i="22"/>
  <c r="I882" i="22"/>
  <c r="H2077" i="22"/>
  <c r="I2073" i="22" s="1"/>
  <c r="H1065" i="22"/>
  <c r="I1062" i="22" s="1"/>
  <c r="H1483" i="22"/>
  <c r="I1476" i="22" s="1"/>
  <c r="H779" i="22"/>
  <c r="I776" i="22" s="1"/>
  <c r="H482" i="22"/>
  <c r="I474" i="22" s="1"/>
  <c r="I1334" i="22"/>
  <c r="I1336" i="22"/>
  <c r="I1333" i="22"/>
  <c r="I1332" i="22"/>
  <c r="I1338" i="22"/>
  <c r="H152" i="22"/>
  <c r="I147" i="22" s="1"/>
  <c r="I2107" i="22"/>
  <c r="I2102" i="22"/>
  <c r="I2103" i="22"/>
  <c r="I2108" i="22"/>
  <c r="C1478" i="22"/>
  <c r="C1480" i="22"/>
  <c r="C1479" i="22"/>
  <c r="C1476" i="22"/>
  <c r="C1477" i="22"/>
  <c r="C1475" i="22"/>
  <c r="G1494" i="22"/>
  <c r="G1483" i="22"/>
  <c r="B2366" i="22"/>
  <c r="C1481" i="22"/>
  <c r="H1505" i="22"/>
  <c r="I1500" i="22" s="1"/>
  <c r="H856" i="22"/>
  <c r="I861" i="22" s="1"/>
  <c r="H383" i="22"/>
  <c r="I375" i="22"/>
  <c r="H955" i="22"/>
  <c r="I951" i="22" s="1"/>
  <c r="H1494" i="22"/>
  <c r="I1487" i="22" s="1"/>
  <c r="I2185" i="22"/>
  <c r="I2179" i="22"/>
  <c r="I2180" i="22"/>
  <c r="I2181" i="22"/>
  <c r="I1876" i="22"/>
  <c r="I459" i="22"/>
  <c r="I470" i="22"/>
  <c r="I287" i="22"/>
  <c r="I481" i="22"/>
  <c r="I514" i="22"/>
  <c r="I382" i="22"/>
  <c r="H1527" i="22"/>
  <c r="I1520" i="22" s="1"/>
  <c r="H878" i="22"/>
  <c r="C1245" i="22"/>
  <c r="C1250" i="22"/>
  <c r="G1263" i="22"/>
  <c r="G1252" i="22"/>
  <c r="C1249" i="22"/>
  <c r="B2345" i="22"/>
  <c r="C1244" i="22"/>
  <c r="C1248" i="22"/>
  <c r="C1247" i="22"/>
  <c r="C1246" i="22"/>
  <c r="C887" i="22"/>
  <c r="B2312" i="22"/>
  <c r="C883" i="22"/>
  <c r="C884" i="22"/>
  <c r="G889" i="22"/>
  <c r="C886" i="22"/>
  <c r="C885" i="22"/>
  <c r="C881" i="22"/>
  <c r="I1299" i="22"/>
  <c r="I1305" i="22"/>
  <c r="I1921" i="22"/>
  <c r="I1920" i="22"/>
  <c r="I1919" i="22"/>
  <c r="I1918" i="22"/>
  <c r="H834" i="22"/>
  <c r="I829" i="22"/>
  <c r="I1864" i="22"/>
  <c r="I1860" i="22"/>
  <c r="I1866" i="22"/>
  <c r="H933" i="22"/>
  <c r="I925" i="22" s="1"/>
  <c r="H427" i="22"/>
  <c r="I419" i="22" s="1"/>
  <c r="H1252" i="22"/>
  <c r="I1244" i="22" s="1"/>
  <c r="H1747" i="22"/>
  <c r="I1745" i="22" s="1"/>
  <c r="B2418" i="22"/>
  <c r="G2055" i="22"/>
  <c r="C2049" i="22"/>
  <c r="C2054" i="22"/>
  <c r="C2076" i="22"/>
  <c r="C2065" i="22"/>
  <c r="C2050" i="22"/>
  <c r="C2098" i="22"/>
  <c r="C2053" i="22"/>
  <c r="C2051" i="22"/>
  <c r="C2048" i="22"/>
  <c r="C2047" i="22"/>
  <c r="C2087" i="22"/>
  <c r="C2052" i="22"/>
  <c r="H845" i="22"/>
  <c r="I842" i="22" s="1"/>
  <c r="I837" i="22"/>
  <c r="I1915" i="22"/>
  <c r="C1681" i="22"/>
  <c r="I920" i="22"/>
  <c r="C2154" i="22"/>
  <c r="I2137" i="22"/>
  <c r="I2014" i="22"/>
  <c r="H999" i="22"/>
  <c r="I991" i="22" s="1"/>
  <c r="H988" i="22"/>
  <c r="H1054" i="22"/>
  <c r="I1051" i="22" s="1"/>
  <c r="H1516" i="22"/>
  <c r="I1509" i="22" s="1"/>
  <c r="I2006" i="22"/>
  <c r="H218" i="22"/>
  <c r="I1916" i="22"/>
  <c r="H900" i="22"/>
  <c r="I892" i="22" s="1"/>
  <c r="I1657" i="22"/>
  <c r="H768" i="22"/>
  <c r="H570" i="22"/>
  <c r="I565" i="22" s="1"/>
  <c r="I563" i="22"/>
  <c r="H515" i="22"/>
  <c r="I705" i="22"/>
  <c r="H2099" i="22"/>
  <c r="I2091" i="22" s="1"/>
  <c r="H471" i="22"/>
  <c r="I466" i="22" s="1"/>
  <c r="H1912" i="22"/>
  <c r="C1127" i="22"/>
  <c r="C1123" i="22"/>
  <c r="C1124" i="22"/>
  <c r="C1126" i="22"/>
  <c r="C1128" i="22"/>
  <c r="B2334" i="22"/>
  <c r="C1129" i="22"/>
  <c r="G1131" i="22"/>
  <c r="C1125" i="22"/>
  <c r="H1098" i="22"/>
  <c r="I1093" i="22" s="1"/>
  <c r="H1428" i="22"/>
  <c r="I1421" i="22" s="1"/>
  <c r="H262" i="22"/>
  <c r="I254" i="22" s="1"/>
  <c r="I1014" i="22"/>
  <c r="I1019" i="22"/>
  <c r="I1018" i="22"/>
  <c r="I1017" i="22"/>
  <c r="I1016" i="22"/>
  <c r="I1013" i="22"/>
  <c r="I1015" i="22"/>
  <c r="I673" i="22"/>
  <c r="I678" i="22"/>
  <c r="I1865" i="22"/>
  <c r="B2394" i="22"/>
  <c r="C1787" i="22"/>
  <c r="C1784" i="22"/>
  <c r="C1786" i="22"/>
  <c r="C1783" i="22"/>
  <c r="C1789" i="22"/>
  <c r="C1785" i="22"/>
  <c r="G1791" i="22"/>
  <c r="C1788" i="22"/>
  <c r="H1736" i="22"/>
  <c r="I1728" i="22" s="1"/>
  <c r="I798" i="22"/>
  <c r="I793" i="22"/>
  <c r="I799" i="22"/>
  <c r="H1725" i="22"/>
  <c r="I1718" i="22" s="1"/>
  <c r="H1978" i="22"/>
  <c r="I1972" i="22" s="1"/>
  <c r="H1967" i="22"/>
  <c r="I1965" i="22" s="1"/>
  <c r="F2356" i="22"/>
  <c r="G2356" i="22" s="1"/>
  <c r="H823" i="22"/>
  <c r="I820" i="22" s="1"/>
  <c r="H1384" i="22"/>
  <c r="H2088" i="22"/>
  <c r="I2085" i="22" s="1"/>
  <c r="C1558" i="22"/>
  <c r="C1554" i="22"/>
  <c r="B2373" i="22"/>
  <c r="C1557" i="22"/>
  <c r="C1559" i="22"/>
  <c r="C1553" i="22"/>
  <c r="C1555" i="22"/>
  <c r="G1571" i="22"/>
  <c r="G1560" i="22"/>
  <c r="C1556" i="22"/>
  <c r="I730" i="22"/>
  <c r="I731" i="22"/>
  <c r="I1937" i="22"/>
  <c r="F2397" i="22"/>
  <c r="G2397" i="22" s="1"/>
  <c r="F2396" i="22"/>
  <c r="G2396" i="22" s="1"/>
  <c r="H559" i="22"/>
  <c r="I551" i="22" s="1"/>
  <c r="I2010" i="22"/>
  <c r="I2015" i="22"/>
  <c r="I2008" i="22"/>
  <c r="I2009" i="22"/>
  <c r="I1999" i="22"/>
  <c r="I1998" i="22"/>
  <c r="I2016" i="22"/>
  <c r="I2020" i="22"/>
  <c r="I1994" i="22"/>
  <c r="I2021" i="22"/>
  <c r="I2019" i="22"/>
  <c r="I2004" i="22"/>
  <c r="I1993" i="22"/>
  <c r="I2017" i="22"/>
  <c r="I1995" i="22"/>
  <c r="I1997" i="22"/>
  <c r="I2003" i="22"/>
  <c r="I1996" i="22"/>
  <c r="I2018" i="22"/>
  <c r="I1841" i="22"/>
  <c r="I1839" i="22"/>
  <c r="I1840" i="22"/>
  <c r="F2271" i="22"/>
  <c r="G2271" i="22" s="1"/>
  <c r="F2272" i="22"/>
  <c r="G2272" i="22" s="1"/>
  <c r="H1362" i="22"/>
  <c r="I1355" i="22" s="1"/>
  <c r="H2165" i="22"/>
  <c r="I2163" i="22" s="1"/>
  <c r="G900" i="22"/>
  <c r="C897" i="22"/>
  <c r="C892" i="22"/>
  <c r="C896" i="22"/>
  <c r="C895" i="22"/>
  <c r="G911" i="22"/>
  <c r="C893" i="22"/>
  <c r="C898" i="22"/>
  <c r="B2313" i="22"/>
  <c r="C894" i="22"/>
  <c r="I1873" i="22"/>
  <c r="C2064" i="22"/>
  <c r="B2419" i="22"/>
  <c r="C2062" i="22"/>
  <c r="C2061" i="22"/>
  <c r="G2066" i="22"/>
  <c r="C2060" i="22"/>
  <c r="H1197" i="22"/>
  <c r="I1587" i="22"/>
  <c r="H504" i="22"/>
  <c r="I502" i="22" s="1"/>
  <c r="L185" i="22"/>
  <c r="H179" i="22"/>
  <c r="C2000" i="22"/>
  <c r="H1538" i="22"/>
  <c r="I1530" i="22" s="1"/>
  <c r="I192" i="22"/>
  <c r="H1549" i="22"/>
  <c r="H1142" i="22"/>
  <c r="H2121" i="22"/>
  <c r="I2119" i="22" s="1"/>
  <c r="C1510" i="22"/>
  <c r="G1516" i="22"/>
  <c r="C1512" i="22"/>
  <c r="C1515" i="22"/>
  <c r="C1513" i="22"/>
  <c r="C1511" i="22"/>
  <c r="B2369" i="22"/>
  <c r="C1509" i="22"/>
  <c r="G1527" i="22"/>
  <c r="C1514" i="22"/>
  <c r="H1032" i="22"/>
  <c r="H168" i="22"/>
  <c r="L174" i="22"/>
  <c r="Z46" i="22" s="1"/>
  <c r="Z55" i="22" s="1"/>
  <c r="Z70" i="22" s="1"/>
  <c r="Z81" i="22" s="1"/>
  <c r="Z92" i="22" s="1"/>
  <c r="Z103" i="22" s="1"/>
  <c r="Z118" i="22" s="1"/>
  <c r="Z129" i="22" s="1"/>
  <c r="H812" i="22"/>
  <c r="C1392" i="22"/>
  <c r="C1394" i="22"/>
  <c r="C1393" i="22"/>
  <c r="G1395" i="22"/>
  <c r="C1388" i="22"/>
  <c r="B2358" i="22"/>
  <c r="C1389" i="22"/>
  <c r="C1387" i="22"/>
  <c r="C1390" i="22"/>
  <c r="C1405" i="22"/>
  <c r="C1391" i="22"/>
  <c r="G1406" i="22"/>
  <c r="H2154" i="22"/>
  <c r="I2146" i="22" s="1"/>
  <c r="H2044" i="22"/>
  <c r="I2036" i="22" s="1"/>
  <c r="C1619" i="22"/>
  <c r="B2379" i="22"/>
  <c r="G1626" i="22"/>
  <c r="C1624" i="22"/>
  <c r="C1623" i="22"/>
  <c r="C1621" i="22"/>
  <c r="C1622" i="22"/>
  <c r="G1637" i="22"/>
  <c r="G977" i="22"/>
  <c r="C970" i="22"/>
  <c r="B2320" i="22"/>
  <c r="C972" i="22"/>
  <c r="C973" i="22"/>
  <c r="C975" i="22"/>
  <c r="G988" i="22"/>
  <c r="C971" i="22"/>
  <c r="C974" i="22"/>
  <c r="C969" i="22"/>
  <c r="C2058" i="22"/>
  <c r="I1553" i="22"/>
  <c r="H416" i="22"/>
  <c r="I414" i="22" s="1"/>
  <c r="H405" i="22"/>
  <c r="I402" i="22" s="1"/>
  <c r="I1863" i="22"/>
  <c r="C1549" i="22"/>
  <c r="I743" i="22"/>
  <c r="I742" i="22"/>
  <c r="I744" i="22"/>
  <c r="I739" i="22"/>
  <c r="H1043" i="22"/>
  <c r="I342" i="22"/>
  <c r="I345" i="22"/>
  <c r="I354" i="22"/>
  <c r="I356" i="22"/>
  <c r="I1832" i="22"/>
  <c r="I1827" i="22"/>
  <c r="I1833" i="22"/>
  <c r="I1829" i="22"/>
  <c r="I1828" i="22"/>
  <c r="C1802" i="22"/>
  <c r="I716" i="22"/>
  <c r="I1941" i="22"/>
  <c r="I1943" i="22"/>
  <c r="I1938" i="22"/>
  <c r="I914" i="22"/>
  <c r="I915" i="22"/>
  <c r="I917" i="22"/>
  <c r="I291" i="22"/>
  <c r="I444" i="22"/>
  <c r="C2063" i="22"/>
  <c r="B1010" i="22"/>
  <c r="C1002" i="22" s="1"/>
  <c r="H1780" i="22"/>
  <c r="I1775" i="22" s="1"/>
  <c r="I1118" i="22"/>
  <c r="I1117" i="22"/>
  <c r="I1116" i="22"/>
  <c r="H317" i="22"/>
  <c r="I312" i="22" s="1"/>
  <c r="I1831" i="22"/>
  <c r="H207" i="22"/>
  <c r="I201" i="22" s="1"/>
  <c r="I1580" i="22"/>
  <c r="I1579" i="22"/>
  <c r="I1578" i="22"/>
  <c r="I1574" i="22"/>
  <c r="I1581" i="22"/>
  <c r="I1576" i="22"/>
  <c r="I2183" i="22"/>
  <c r="D358" i="1"/>
  <c r="C649" i="1"/>
  <c r="C650" i="1" s="1"/>
  <c r="E677" i="1"/>
  <c r="K15" i="1"/>
  <c r="K10" i="1"/>
  <c r="K6" i="1"/>
  <c r="D241" i="1"/>
  <c r="D653" i="1" s="1"/>
  <c r="D1324" i="26"/>
  <c r="C139" i="18"/>
  <c r="A718" i="18"/>
  <c r="C630" i="18"/>
  <c r="C1274" i="26"/>
  <c r="C1009" i="26"/>
  <c r="M102" i="18"/>
  <c r="M904" i="18"/>
  <c r="C695" i="18"/>
  <c r="A703" i="18" s="1"/>
  <c r="M903" i="18"/>
  <c r="C880" i="18"/>
  <c r="M893" i="18"/>
  <c r="C673" i="18"/>
  <c r="D673" i="18" s="1"/>
  <c r="C155" i="18"/>
  <c r="C1471" i="26"/>
  <c r="C244" i="26"/>
  <c r="E244" i="26" s="1"/>
  <c r="D1382" i="26"/>
  <c r="C1400" i="26"/>
  <c r="D1400" i="26" s="1"/>
  <c r="C1521" i="26"/>
  <c r="C1522" i="26" s="1"/>
  <c r="E1522" i="26" s="1"/>
  <c r="E1523" i="26" s="1"/>
  <c r="C17" i="18"/>
  <c r="F9" i="18"/>
  <c r="F903" i="18"/>
  <c r="C902" i="18"/>
  <c r="M1112" i="18"/>
  <c r="O1105" i="18" s="1"/>
  <c r="B603" i="18"/>
  <c r="H174" i="18"/>
  <c r="M866" i="18"/>
  <c r="M894" i="18" s="1"/>
  <c r="N859" i="18"/>
  <c r="M174" i="18"/>
  <c r="C44" i="18"/>
  <c r="F36" i="18"/>
  <c r="C42" i="18"/>
  <c r="M76" i="18"/>
  <c r="I66" i="18" l="1"/>
  <c r="K66" i="18" s="1"/>
  <c r="I64" i="18"/>
  <c r="K64" i="18" s="1"/>
  <c r="I67" i="18"/>
  <c r="K67" i="18" s="1"/>
  <c r="I65" i="18"/>
  <c r="K65" i="18" s="1"/>
  <c r="B784" i="28"/>
  <c r="I734" i="22"/>
  <c r="I728" i="22"/>
  <c r="C2069" i="22"/>
  <c r="C2077" i="22" s="1"/>
  <c r="I1128" i="22"/>
  <c r="I1149" i="22"/>
  <c r="I1125" i="22"/>
  <c r="I1127" i="22"/>
  <c r="I1138" i="22"/>
  <c r="I1146" i="22"/>
  <c r="I1126" i="22"/>
  <c r="I1151" i="22"/>
  <c r="I1137" i="22"/>
  <c r="I1123" i="22"/>
  <c r="I1129" i="22"/>
  <c r="I1140" i="22"/>
  <c r="I1145" i="22"/>
  <c r="I1147" i="22"/>
  <c r="C460" i="22"/>
  <c r="C1956" i="22"/>
  <c r="C2022" i="22"/>
  <c r="I749" i="22"/>
  <c r="I932" i="22"/>
  <c r="I954" i="22"/>
  <c r="I753" i="22"/>
  <c r="I751" i="22"/>
  <c r="I752" i="22"/>
  <c r="I800" i="22"/>
  <c r="I789" i="22"/>
  <c r="I965" i="22"/>
  <c r="I899" i="22"/>
  <c r="I943" i="22"/>
  <c r="I754" i="22"/>
  <c r="I1927" i="22"/>
  <c r="I1932" i="22"/>
  <c r="I1926" i="22"/>
  <c r="I1928" i="22"/>
  <c r="I1929" i="22"/>
  <c r="I1931" i="22"/>
  <c r="I1135" i="22"/>
  <c r="I456" i="22"/>
  <c r="C559" i="22"/>
  <c r="I1666" i="22"/>
  <c r="I1665" i="22"/>
  <c r="I1670" i="22" s="1"/>
  <c r="I1663" i="22"/>
  <c r="I1669" i="22"/>
  <c r="I1668" i="22"/>
  <c r="C427" i="22"/>
  <c r="C1615" i="22"/>
  <c r="I668" i="22"/>
  <c r="I580" i="22"/>
  <c r="I690" i="22"/>
  <c r="I533" i="22"/>
  <c r="I531" i="22"/>
  <c r="I1437" i="22"/>
  <c r="I1433" i="22"/>
  <c r="I1439" i="22" s="1"/>
  <c r="I1435" i="22"/>
  <c r="I1432" i="22"/>
  <c r="I1431" i="22"/>
  <c r="I689" i="22"/>
  <c r="I685" i="22"/>
  <c r="I683" i="22"/>
  <c r="F2260" i="22"/>
  <c r="G2260" i="22" s="1"/>
  <c r="F2259" i="22"/>
  <c r="G2259" i="22" s="1"/>
  <c r="I1148" i="22"/>
  <c r="I535" i="22"/>
  <c r="I1633" i="22"/>
  <c r="I1636" i="22"/>
  <c r="C1923" i="22"/>
  <c r="I1662" i="22"/>
  <c r="C1868" i="22"/>
  <c r="I1150" i="22"/>
  <c r="I1311" i="22"/>
  <c r="I1664" i="22"/>
  <c r="I433" i="22"/>
  <c r="I1113" i="22"/>
  <c r="I1114" i="22"/>
  <c r="F2406" i="22"/>
  <c r="G2406" i="22" s="1"/>
  <c r="I969" i="22"/>
  <c r="I663" i="22"/>
  <c r="I684" i="22"/>
  <c r="C658" i="22"/>
  <c r="C251" i="22"/>
  <c r="I976" i="22"/>
  <c r="I1349" i="22"/>
  <c r="I1345" i="22"/>
  <c r="I1347" i="22"/>
  <c r="I624" i="22"/>
  <c r="I331" i="22"/>
  <c r="I332" i="22"/>
  <c r="I333" i="22"/>
  <c r="G2077" i="22"/>
  <c r="C2072" i="22"/>
  <c r="C2071" i="22"/>
  <c r="C2075" i="22"/>
  <c r="G2088" i="22"/>
  <c r="C2074" i="22"/>
  <c r="B2420" i="22"/>
  <c r="F2421" i="22" s="1"/>
  <c r="G2421" i="22" s="1"/>
  <c r="C2073" i="22"/>
  <c r="I436" i="22"/>
  <c r="I430" i="22"/>
  <c r="I432" i="22"/>
  <c r="I431" i="22"/>
  <c r="F2264" i="22"/>
  <c r="G2264" i="22" s="1"/>
  <c r="F2263" i="22"/>
  <c r="G2263" i="22" s="1"/>
  <c r="C1241" i="22"/>
  <c r="I1139" i="22"/>
  <c r="I452" i="22"/>
  <c r="I720" i="22"/>
  <c r="I719" i="22"/>
  <c r="I717" i="22"/>
  <c r="I721" i="22"/>
  <c r="I722" i="22"/>
  <c r="I710" i="22"/>
  <c r="I708" i="22"/>
  <c r="I707" i="22"/>
  <c r="F2292" i="22"/>
  <c r="G2292" i="22" s="1"/>
  <c r="C1846" i="22"/>
  <c r="I1124" i="22"/>
  <c r="I1930" i="22"/>
  <c r="I435" i="22"/>
  <c r="I1134" i="22"/>
  <c r="I970" i="22"/>
  <c r="I706" i="22"/>
  <c r="I833" i="22"/>
  <c r="I686" i="22"/>
  <c r="I691" i="22" s="1"/>
  <c r="I1136" i="22"/>
  <c r="C1043" i="22"/>
  <c r="I811" i="22"/>
  <c r="I1647" i="22"/>
  <c r="I1643" i="22"/>
  <c r="I1641" i="22"/>
  <c r="C1406" i="22"/>
  <c r="I974" i="22"/>
  <c r="I718" i="22"/>
  <c r="I750" i="22"/>
  <c r="I757" i="22" s="1"/>
  <c r="I688" i="22"/>
  <c r="I243" i="22"/>
  <c r="I251" i="22" s="1"/>
  <c r="I248" i="22"/>
  <c r="I244" i="22"/>
  <c r="I246" i="22"/>
  <c r="I247" i="22"/>
  <c r="I353" i="22"/>
  <c r="I355" i="22"/>
  <c r="I1753" i="22"/>
  <c r="I1754" i="22"/>
  <c r="I1755" i="22"/>
  <c r="I1259" i="22"/>
  <c r="I1256" i="22"/>
  <c r="I1654" i="22"/>
  <c r="F2365" i="22"/>
  <c r="G2365" i="22" s="1"/>
  <c r="I1658" i="22"/>
  <c r="I1301" i="22"/>
  <c r="I1304" i="22"/>
  <c r="F2422" i="22"/>
  <c r="G2422" i="22" s="1"/>
  <c r="I1323" i="22"/>
  <c r="I918" i="22"/>
  <c r="I1843" i="22"/>
  <c r="I1303" i="22"/>
  <c r="C2088" i="22"/>
  <c r="F2418" i="22"/>
  <c r="G2418" i="22" s="1"/>
  <c r="I1871" i="22"/>
  <c r="I2106" i="22"/>
  <c r="I1337" i="22"/>
  <c r="I1325" i="22"/>
  <c r="I1884" i="22"/>
  <c r="F2293" i="22"/>
  <c r="G2293" i="22" s="1"/>
  <c r="F2371" i="22"/>
  <c r="G2371" i="22" s="1"/>
  <c r="F2401" i="22"/>
  <c r="G2401" i="22" s="1"/>
  <c r="I1321" i="22"/>
  <c r="I367" i="22"/>
  <c r="C2187" i="22"/>
  <c r="C1703" i="22"/>
  <c r="C372" i="22"/>
  <c r="F2417" i="22"/>
  <c r="G2417" i="22" s="1"/>
  <c r="I1300" i="22"/>
  <c r="F2268" i="22"/>
  <c r="G2268" i="22" s="1"/>
  <c r="C295" i="22"/>
  <c r="F2410" i="22"/>
  <c r="G2410" i="22" s="1"/>
  <c r="C1571" i="22"/>
  <c r="F2426" i="22"/>
  <c r="G2426" i="22" s="1"/>
  <c r="I1391" i="22"/>
  <c r="C2121" i="22"/>
  <c r="I364" i="22"/>
  <c r="I576" i="22"/>
  <c r="I919" i="22"/>
  <c r="I2105" i="22"/>
  <c r="I1589" i="22"/>
  <c r="I1886" i="22"/>
  <c r="I368" i="22"/>
  <c r="I577" i="22"/>
  <c r="I1416" i="22"/>
  <c r="I1324" i="22"/>
  <c r="F2427" i="22"/>
  <c r="G2427" i="22" s="1"/>
  <c r="I536" i="22"/>
  <c r="I631" i="22"/>
  <c r="C625" i="22"/>
  <c r="C2143" i="22"/>
  <c r="C2033" i="22"/>
  <c r="I2130" i="22"/>
  <c r="I1680" i="22"/>
  <c r="I1679" i="22"/>
  <c r="I1677" i="22"/>
  <c r="I1674" i="22"/>
  <c r="I1678" i="22"/>
  <c r="I1676" i="22"/>
  <c r="I1376" i="22"/>
  <c r="I1378" i="22"/>
  <c r="C1769" i="22"/>
  <c r="I1819" i="22"/>
  <c r="I1822" i="22"/>
  <c r="I1820" i="22"/>
  <c r="I1816" i="22"/>
  <c r="I1818" i="22"/>
  <c r="I1821" i="22"/>
  <c r="I1316" i="22"/>
  <c r="I1314" i="22"/>
  <c r="I1160" i="22"/>
  <c r="I1172" i="22"/>
  <c r="I1169" i="22"/>
  <c r="I1168" i="22"/>
  <c r="I1157" i="22"/>
  <c r="I1173" i="22"/>
  <c r="I1170" i="22"/>
  <c r="I1162" i="22"/>
  <c r="I1312" i="22"/>
  <c r="I1673" i="22"/>
  <c r="I2047" i="22"/>
  <c r="I2052" i="22"/>
  <c r="M33" i="28"/>
  <c r="M34" i="28" s="1"/>
  <c r="D845" i="28"/>
  <c r="I1794" i="22"/>
  <c r="C1593" i="22"/>
  <c r="C1384" i="22"/>
  <c r="I1797" i="22"/>
  <c r="I1097" i="22"/>
  <c r="I1156" i="22"/>
  <c r="I628" i="22"/>
  <c r="I1877" i="22"/>
  <c r="I1875" i="22"/>
  <c r="I1874" i="22"/>
  <c r="I276" i="22"/>
  <c r="I280" i="22"/>
  <c r="I279" i="22"/>
  <c r="I278" i="22"/>
  <c r="I277" i="22"/>
  <c r="I1086" i="22"/>
  <c r="I1167" i="22"/>
  <c r="I1696" i="22"/>
  <c r="I1171" i="22"/>
  <c r="C537" i="22"/>
  <c r="I1586" i="22"/>
  <c r="I1585" i="22"/>
  <c r="I1592" i="22"/>
  <c r="I1112" i="22"/>
  <c r="I1115" i="22"/>
  <c r="C1901" i="22"/>
  <c r="I1436" i="22"/>
  <c r="I1434" i="22"/>
  <c r="I1224" i="22"/>
  <c r="I1223" i="22"/>
  <c r="I1225" i="22"/>
  <c r="I1222" i="22"/>
  <c r="I1228" i="22"/>
  <c r="I1226" i="22"/>
  <c r="I1227" i="22"/>
  <c r="C1274" i="22"/>
  <c r="I575" i="22"/>
  <c r="I573" i="22"/>
  <c r="I581" i="22" s="1"/>
  <c r="I578" i="22"/>
  <c r="I634" i="22"/>
  <c r="I633" i="22"/>
  <c r="I629" i="22"/>
  <c r="I632" i="22"/>
  <c r="I1849" i="22"/>
  <c r="I1159" i="22"/>
  <c r="C1824" i="22"/>
  <c r="I1712" i="22"/>
  <c r="I1707" i="22"/>
  <c r="I1708" i="22"/>
  <c r="I1706" i="22"/>
  <c r="I1714" i="22" s="1"/>
  <c r="I1711" i="22"/>
  <c r="I1710" i="22"/>
  <c r="I1634" i="22"/>
  <c r="I1631" i="22"/>
  <c r="I1630" i="22"/>
  <c r="I1635" i="22"/>
  <c r="I1629" i="22"/>
  <c r="C768" i="22"/>
  <c r="I1817" i="22"/>
  <c r="I1158" i="22"/>
  <c r="I1811" i="22"/>
  <c r="I1808" i="22"/>
  <c r="I1809" i="22"/>
  <c r="I1807" i="22"/>
  <c r="I1805" i="22"/>
  <c r="I1810" i="22"/>
  <c r="I665" i="22"/>
  <c r="I662" i="22"/>
  <c r="I666" i="22"/>
  <c r="C1692" i="22"/>
  <c r="I1027" i="22"/>
  <c r="I1025" i="22"/>
  <c r="I1038" i="22"/>
  <c r="I2128" i="22"/>
  <c r="I644" i="22"/>
  <c r="I639" i="22"/>
  <c r="I641" i="22"/>
  <c r="I643" i="22"/>
  <c r="I640" i="22"/>
  <c r="I642" i="22"/>
  <c r="I732" i="22"/>
  <c r="I729" i="22"/>
  <c r="I733" i="22"/>
  <c r="I727" i="22"/>
  <c r="I1750" i="22"/>
  <c r="I1756" i="22"/>
  <c r="I1260" i="22"/>
  <c r="I1258" i="22"/>
  <c r="I1257" i="22"/>
  <c r="I1255" i="22"/>
  <c r="F2330" i="22"/>
  <c r="G2330" i="22" s="1"/>
  <c r="C196" i="22"/>
  <c r="C2110" i="22"/>
  <c r="I1233" i="22"/>
  <c r="I1234" i="22"/>
  <c r="I1238" i="22"/>
  <c r="I1237" i="22"/>
  <c r="I189" i="22"/>
  <c r="I193" i="22"/>
  <c r="I190" i="22"/>
  <c r="I1239" i="22"/>
  <c r="I1796" i="22"/>
  <c r="I1799" i="22"/>
  <c r="I1800" i="22"/>
  <c r="I1695" i="22"/>
  <c r="I1697" i="22"/>
  <c r="C1538" i="22"/>
  <c r="I973" i="22"/>
  <c r="I972" i="22"/>
  <c r="I320" i="22"/>
  <c r="I326" i="22"/>
  <c r="I321" i="22"/>
  <c r="I323" i="22"/>
  <c r="I322" i="22"/>
  <c r="I1785" i="22"/>
  <c r="I1788" i="22"/>
  <c r="I1786" i="22"/>
  <c r="I1784" i="22"/>
  <c r="I1789" i="22"/>
  <c r="I1783" i="22"/>
  <c r="I1787" i="22"/>
  <c r="I1893" i="22"/>
  <c r="I1901" i="22" s="1"/>
  <c r="I1899" i="22"/>
  <c r="I1897" i="22"/>
  <c r="I1896" i="22"/>
  <c r="I1895" i="22"/>
  <c r="I1898" i="22"/>
  <c r="I1894" i="22"/>
  <c r="I2129" i="22"/>
  <c r="I2173" i="22"/>
  <c r="I2172" i="22"/>
  <c r="I1072" i="22"/>
  <c r="I1068" i="22"/>
  <c r="I1074" i="22"/>
  <c r="I1073" i="22"/>
  <c r="I574" i="22"/>
  <c r="I883" i="22"/>
  <c r="I885" i="22"/>
  <c r="I2168" i="22"/>
  <c r="I1948" i="22"/>
  <c r="I1954" i="22"/>
  <c r="I1949" i="22"/>
  <c r="I1951" i="22"/>
  <c r="I529" i="22"/>
  <c r="I534" i="22"/>
  <c r="I602" i="22"/>
  <c r="I532" i="22"/>
  <c r="I712" i="22"/>
  <c r="I657" i="22"/>
  <c r="I547" i="22"/>
  <c r="I558" i="22"/>
  <c r="I635" i="22"/>
  <c r="I613" i="22"/>
  <c r="I569" i="22"/>
  <c r="I646" i="22"/>
  <c r="I723" i="22"/>
  <c r="I679" i="22"/>
  <c r="I701" i="22"/>
  <c r="I1798" i="22"/>
  <c r="I1069" i="22"/>
  <c r="F2409" i="22"/>
  <c r="G2409" i="22" s="1"/>
  <c r="I1675" i="22"/>
  <c r="I1313" i="22"/>
  <c r="I282" i="22"/>
  <c r="C2208" i="22"/>
  <c r="C2209" i="22" s="1"/>
  <c r="G2209" i="22"/>
  <c r="G2198" i="22"/>
  <c r="I1236" i="22"/>
  <c r="I1952" i="22"/>
  <c r="I1315" i="22"/>
  <c r="I2124" i="22"/>
  <c r="I281" i="22"/>
  <c r="I1075" i="22"/>
  <c r="I1161" i="22"/>
  <c r="I1632" i="22"/>
  <c r="F2285" i="22"/>
  <c r="G2285" i="22" s="1"/>
  <c r="I645" i="22"/>
  <c r="I1752" i="22"/>
  <c r="I1343" i="22"/>
  <c r="C1967" i="22"/>
  <c r="C1747" i="22"/>
  <c r="C1725" i="22"/>
  <c r="I1471" i="22"/>
  <c r="F2391" i="22"/>
  <c r="G2391" i="22" s="1"/>
  <c r="C2176" i="22"/>
  <c r="I370" i="22"/>
  <c r="C1340" i="22"/>
  <c r="C1351" i="22"/>
  <c r="C2011" i="22"/>
  <c r="C262" i="22"/>
  <c r="C548" i="22"/>
  <c r="I503" i="22"/>
  <c r="F2297" i="22"/>
  <c r="G2297" i="22" s="1"/>
  <c r="I1445" i="22"/>
  <c r="C614" i="22"/>
  <c r="C735" i="22"/>
  <c r="I369" i="22"/>
  <c r="I2138" i="22"/>
  <c r="F2309" i="22"/>
  <c r="G2309" i="22" s="1"/>
  <c r="I844" i="22"/>
  <c r="I910" i="22"/>
  <c r="I877" i="22"/>
  <c r="I778" i="22"/>
  <c r="I822" i="22"/>
  <c r="I866" i="22"/>
  <c r="I888" i="22"/>
  <c r="I855" i="22"/>
  <c r="I755" i="22"/>
  <c r="I2140" i="22"/>
  <c r="F2286" i="22"/>
  <c r="G2286" i="22" s="1"/>
  <c r="F2283" i="22"/>
  <c r="G2283" i="22" s="1"/>
  <c r="F2277" i="22"/>
  <c r="G2277" i="22" s="1"/>
  <c r="C2099" i="22"/>
  <c r="I2142" i="22"/>
  <c r="F2339" i="22"/>
  <c r="G2339" i="22" s="1"/>
  <c r="F2306" i="22"/>
  <c r="G2306" i="22" s="1"/>
  <c r="I1656" i="22"/>
  <c r="I2139" i="22"/>
  <c r="I1862" i="22"/>
  <c r="I1868" i="22" s="1"/>
  <c r="I600" i="22"/>
  <c r="I1085" i="22"/>
  <c r="C193" i="18"/>
  <c r="L139" i="18"/>
  <c r="M139" i="18" s="1"/>
  <c r="N121" i="18"/>
  <c r="L155" i="18"/>
  <c r="M155" i="18" s="1"/>
  <c r="C19" i="18"/>
  <c r="D35" i="22" s="1"/>
  <c r="D39" i="22" s="1"/>
  <c r="C2191" i="22"/>
  <c r="C2196" i="22"/>
  <c r="C2197" i="22"/>
  <c r="C2192" i="22"/>
  <c r="C2195" i="22"/>
  <c r="C2193" i="22"/>
  <c r="C2194" i="22"/>
  <c r="C2190" i="22"/>
  <c r="I1382" i="22"/>
  <c r="C526" i="22"/>
  <c r="I2386" i="22"/>
  <c r="F2386" i="22"/>
  <c r="G2386" i="22" s="1"/>
  <c r="I1084" i="22"/>
  <c r="C1945" i="22"/>
  <c r="I1380" i="22"/>
  <c r="F2334" i="22"/>
  <c r="G2334" i="22" s="1"/>
  <c r="I457" i="22"/>
  <c r="I371" i="22"/>
  <c r="I2069" i="22"/>
  <c r="I1079" i="22"/>
  <c r="F2411" i="22"/>
  <c r="G2411" i="22" s="1"/>
  <c r="I2182" i="22"/>
  <c r="C1604" i="22"/>
  <c r="I1290" i="22"/>
  <c r="I1653" i="22"/>
  <c r="I290" i="22"/>
  <c r="I360" i="22"/>
  <c r="I2186" i="22"/>
  <c r="F2387" i="22"/>
  <c r="G2387" i="22" s="1"/>
  <c r="I696" i="22"/>
  <c r="I697" i="22"/>
  <c r="I700" i="22"/>
  <c r="I694" i="22"/>
  <c r="I695" i="22"/>
  <c r="I699" i="22"/>
  <c r="I1370" i="22"/>
  <c r="I1554" i="22"/>
  <c r="I1652" i="22"/>
  <c r="I346" i="22"/>
  <c r="I448" i="22"/>
  <c r="I305" i="22"/>
  <c r="I2184" i="22"/>
  <c r="I1655" i="22"/>
  <c r="I2339" i="22"/>
  <c r="I698" i="22"/>
  <c r="I1447" i="22"/>
  <c r="I2351" i="22"/>
  <c r="F2354" i="22"/>
  <c r="G2354" i="22" s="1"/>
  <c r="I1381" i="22"/>
  <c r="I1942" i="22"/>
  <c r="I359" i="22"/>
  <c r="I1293" i="22"/>
  <c r="I1557" i="22"/>
  <c r="I795" i="22"/>
  <c r="I1379" i="22"/>
  <c r="I711" i="22"/>
  <c r="I1369" i="22"/>
  <c r="I415" i="22"/>
  <c r="I338" i="22"/>
  <c r="I194" i="22"/>
  <c r="I1688" i="22"/>
  <c r="I2125" i="22"/>
  <c r="I2136" i="22"/>
  <c r="I1645" i="22"/>
  <c r="I661" i="22"/>
  <c r="I1392" i="22"/>
  <c r="I797" i="22"/>
  <c r="C746" i="22"/>
  <c r="I1460" i="22"/>
  <c r="I1377" i="22"/>
  <c r="I458" i="22"/>
  <c r="I1366" i="22"/>
  <c r="I1940" i="22"/>
  <c r="I1945" i="22" s="1"/>
  <c r="I357" i="22"/>
  <c r="I1292" i="22"/>
  <c r="I1555" i="22"/>
  <c r="I358" i="22"/>
  <c r="I1367" i="22"/>
  <c r="I745" i="22"/>
  <c r="I746" i="22" s="1"/>
  <c r="I1261" i="22"/>
  <c r="I709" i="22"/>
  <c r="I348" i="22"/>
  <c r="I404" i="22"/>
  <c r="I327" i="22"/>
  <c r="I2072" i="22"/>
  <c r="I591" i="22"/>
  <c r="I530" i="22"/>
  <c r="I537" i="22" s="1"/>
  <c r="I1083" i="22"/>
  <c r="I188" i="22"/>
  <c r="I1690" i="22"/>
  <c r="I2126" i="22"/>
  <c r="I2141" i="22"/>
  <c r="I2049" i="22"/>
  <c r="F2258" i="22"/>
  <c r="G2258" i="22" s="1"/>
  <c r="F2405" i="22"/>
  <c r="G2405" i="22" s="1"/>
  <c r="C922" i="22"/>
  <c r="F2348" i="22"/>
  <c r="G2348" i="22" s="1"/>
  <c r="I1448" i="22"/>
  <c r="I1365" i="22"/>
  <c r="I1751" i="22"/>
  <c r="C1758" i="22"/>
  <c r="F2327" i="22"/>
  <c r="G2327" i="22" s="1"/>
  <c r="I289" i="22"/>
  <c r="I1558" i="22"/>
  <c r="I1294" i="22"/>
  <c r="I1368" i="22"/>
  <c r="I1288" i="22"/>
  <c r="F2280" i="22"/>
  <c r="G2280" i="22" s="1"/>
  <c r="I334" i="22"/>
  <c r="I293" i="22"/>
  <c r="I292" i="22"/>
  <c r="I191" i="22"/>
  <c r="I1686" i="22"/>
  <c r="I597" i="22"/>
  <c r="I2131" i="22"/>
  <c r="F2296" i="22"/>
  <c r="G2296" i="22" s="1"/>
  <c r="I1393" i="22"/>
  <c r="I1389" i="22"/>
  <c r="I1415" i="22"/>
  <c r="I1438" i="22"/>
  <c r="I1646" i="22"/>
  <c r="C350" i="22"/>
  <c r="F2250" i="22"/>
  <c r="G2250" i="22" s="1"/>
  <c r="I1449" i="22"/>
  <c r="C603" i="22"/>
  <c r="I1371" i="22"/>
  <c r="F2311" i="22"/>
  <c r="G2311" i="22" s="1"/>
  <c r="I1289" i="22"/>
  <c r="F2326" i="22"/>
  <c r="G2326" i="22" s="1"/>
  <c r="I337" i="22"/>
  <c r="I437" i="22"/>
  <c r="I294" i="22"/>
  <c r="I1684" i="22"/>
  <c r="I595" i="22"/>
  <c r="F2424" i="22"/>
  <c r="G2424" i="22" s="1"/>
  <c r="I1642" i="22"/>
  <c r="I1640" i="22"/>
  <c r="F2351" i="22"/>
  <c r="G2351" i="22" s="1"/>
  <c r="C207" i="22"/>
  <c r="F2392" i="22"/>
  <c r="G2392" i="22" s="1"/>
  <c r="C185" i="22"/>
  <c r="I1482" i="22"/>
  <c r="C669" i="22"/>
  <c r="F2377" i="22"/>
  <c r="G2377" i="22" s="1"/>
  <c r="I525" i="22"/>
  <c r="I1556" i="22"/>
  <c r="I343" i="22"/>
  <c r="F2394" i="22"/>
  <c r="G2394" i="22" s="1"/>
  <c r="I335" i="22"/>
  <c r="F2312" i="22"/>
  <c r="G2312" i="22" s="1"/>
  <c r="I454" i="22"/>
  <c r="I460" i="22" s="1"/>
  <c r="I426" i="22"/>
  <c r="I316" i="22"/>
  <c r="I1691" i="22"/>
  <c r="I598" i="22"/>
  <c r="F2291" i="22"/>
  <c r="G2291" i="22" s="1"/>
  <c r="I1442" i="22"/>
  <c r="C1626" i="22"/>
  <c r="I347" i="22"/>
  <c r="I2157" i="22"/>
  <c r="I336" i="22"/>
  <c r="I455" i="22"/>
  <c r="I288" i="22"/>
  <c r="I393" i="22"/>
  <c r="I596" i="22"/>
  <c r="I1588" i="22"/>
  <c r="I1081" i="22"/>
  <c r="F2322" i="22"/>
  <c r="G2322" i="22" s="1"/>
  <c r="C1065" i="22"/>
  <c r="C988" i="22"/>
  <c r="I667" i="22"/>
  <c r="I2170" i="22"/>
  <c r="I2174" i="22"/>
  <c r="I2175" i="22"/>
  <c r="C172" i="22"/>
  <c r="C170" i="22"/>
  <c r="C169" i="22"/>
  <c r="C167" i="22"/>
  <c r="G174" i="22"/>
  <c r="B2247" i="22"/>
  <c r="C166" i="22"/>
  <c r="C171" i="22"/>
  <c r="I1401" i="22"/>
  <c r="I2171" i="22"/>
  <c r="F2364" i="22"/>
  <c r="G2364" i="22" s="1"/>
  <c r="F2310" i="22"/>
  <c r="G2310" i="22" s="1"/>
  <c r="I1400" i="22"/>
  <c r="I1953" i="22"/>
  <c r="I1410" i="22"/>
  <c r="F2245" i="22"/>
  <c r="G2245" i="22" s="1"/>
  <c r="H2245" i="22" s="1"/>
  <c r="I1398" i="22"/>
  <c r="F2269" i="22"/>
  <c r="G2269" i="22" s="1"/>
  <c r="F2349" i="22"/>
  <c r="G2349" i="22" s="1"/>
  <c r="G185" i="22"/>
  <c r="F2284" i="22"/>
  <c r="G2284" i="22" s="1"/>
  <c r="I1959" i="22"/>
  <c r="I225" i="22"/>
  <c r="C724" i="22"/>
  <c r="F2267" i="22"/>
  <c r="G2267" i="22" s="1"/>
  <c r="C152" i="22"/>
  <c r="C1527" i="22"/>
  <c r="C1648" i="22"/>
  <c r="I1403" i="22"/>
  <c r="I674" i="22"/>
  <c r="I222" i="22"/>
  <c r="I1890" i="22"/>
  <c r="I1405" i="22"/>
  <c r="I2169" i="22"/>
  <c r="I906" i="22"/>
  <c r="I227" i="22"/>
  <c r="F2382" i="22"/>
  <c r="G2382" i="22" s="1"/>
  <c r="C1934" i="22"/>
  <c r="I2254" i="22"/>
  <c r="F2254" i="22"/>
  <c r="G2254" i="22" s="1"/>
  <c r="I420" i="22"/>
  <c r="I1399" i="22"/>
  <c r="I872" i="22"/>
  <c r="I223" i="22"/>
  <c r="F2304" i="22"/>
  <c r="G2304" i="22" s="1"/>
  <c r="F2393" i="22"/>
  <c r="G2393" i="22" s="1"/>
  <c r="I1571" i="22"/>
  <c r="I273" i="22"/>
  <c r="I1701" i="22"/>
  <c r="I1699" i="22"/>
  <c r="I1698" i="22"/>
  <c r="I1702" i="22"/>
  <c r="I1390" i="22"/>
  <c r="I1394" i="22"/>
  <c r="F2251" i="22"/>
  <c r="G2251" i="22" s="1"/>
  <c r="F2338" i="22"/>
  <c r="G2338" i="22" s="1"/>
  <c r="F2342" i="22"/>
  <c r="G2342" i="22" s="1"/>
  <c r="I2303" i="22"/>
  <c r="I2291" i="22"/>
  <c r="I2433" i="22"/>
  <c r="I238" i="22"/>
  <c r="I236" i="22"/>
  <c r="I237" i="22"/>
  <c r="I233" i="22"/>
  <c r="I235" i="22"/>
  <c r="I234" i="22"/>
  <c r="I1404" i="22"/>
  <c r="C1516" i="22"/>
  <c r="I2000" i="22"/>
  <c r="C1857" i="22"/>
  <c r="I971" i="22"/>
  <c r="I232" i="22"/>
  <c r="F2350" i="22"/>
  <c r="G2350" i="22" s="1"/>
  <c r="I677" i="22"/>
  <c r="I325" i="22"/>
  <c r="I676" i="22"/>
  <c r="I226" i="22"/>
  <c r="I1423" i="22"/>
  <c r="I324" i="22"/>
  <c r="I672" i="22"/>
  <c r="F2400" i="22"/>
  <c r="G2400" i="22" s="1"/>
  <c r="F2275" i="22"/>
  <c r="G2275" i="22" s="1"/>
  <c r="I224" i="22"/>
  <c r="F2381" i="22"/>
  <c r="G2381" i="22" s="1"/>
  <c r="I2266" i="22"/>
  <c r="I2279" i="22" s="1"/>
  <c r="C317" i="22"/>
  <c r="F2289" i="22"/>
  <c r="G2289" i="22" s="1"/>
  <c r="F2290" i="22"/>
  <c r="G2290" i="22" s="1"/>
  <c r="I519" i="22"/>
  <c r="F2266" i="22"/>
  <c r="G2266" i="22" s="1"/>
  <c r="I854" i="22"/>
  <c r="I2053" i="22"/>
  <c r="I2048" i="22"/>
  <c r="I2051" i="22"/>
  <c r="I2054" i="22"/>
  <c r="I2050" i="22"/>
  <c r="I1470" i="22"/>
  <c r="I1372" i="22"/>
  <c r="I1361" i="22"/>
  <c r="I1306" i="22"/>
  <c r="I1284" i="22"/>
  <c r="I1108" i="22"/>
  <c r="I1240" i="22"/>
  <c r="I1218" i="22"/>
  <c r="I1152" i="22"/>
  <c r="I1207" i="22"/>
  <c r="I1119" i="22"/>
  <c r="I1141" i="22"/>
  <c r="I1130" i="22"/>
  <c r="I1262" i="22"/>
  <c r="I1104" i="22"/>
  <c r="I1103" i="22"/>
  <c r="I1163" i="22"/>
  <c r="I1229" i="22"/>
  <c r="I1174" i="22"/>
  <c r="I1185" i="22"/>
  <c r="I1328" i="22"/>
  <c r="I1329" i="22" s="1"/>
  <c r="I1295" i="22"/>
  <c r="I1196" i="22"/>
  <c r="I1273" i="22"/>
  <c r="I1317" i="22"/>
  <c r="I1251" i="22"/>
  <c r="I1383" i="22"/>
  <c r="I1339" i="22"/>
  <c r="I1101" i="22"/>
  <c r="I1107" i="22"/>
  <c r="I1102" i="22"/>
  <c r="I1350" i="22"/>
  <c r="I1106" i="22"/>
  <c r="F2383" i="22"/>
  <c r="G2383" i="22" s="1"/>
  <c r="F2384" i="22"/>
  <c r="G2384" i="22" s="1"/>
  <c r="I303" i="22"/>
  <c r="I302" i="22"/>
  <c r="I299" i="22"/>
  <c r="I304" i="22"/>
  <c r="I300" i="22"/>
  <c r="F2246" i="22"/>
  <c r="G2246" i="22" s="1"/>
  <c r="C1494" i="22"/>
  <c r="F2362" i="22"/>
  <c r="G2362" i="22" s="1"/>
  <c r="F2363" i="22"/>
  <c r="G2363" i="22" s="1"/>
  <c r="I2362" i="22"/>
  <c r="C1714" i="22"/>
  <c r="F2340" i="22"/>
  <c r="G2340" i="22" s="1"/>
  <c r="F2341" i="22"/>
  <c r="G2341" i="22" s="1"/>
  <c r="C680" i="22"/>
  <c r="I1454" i="22"/>
  <c r="I1458" i="22"/>
  <c r="I1453" i="22"/>
  <c r="I1455" i="22"/>
  <c r="I1459" i="22"/>
  <c r="I1457" i="22"/>
  <c r="F2415" i="22"/>
  <c r="G2415" i="22" s="1"/>
  <c r="F2416" i="22"/>
  <c r="G2416" i="22" s="1"/>
  <c r="I158" i="22"/>
  <c r="I159" i="22"/>
  <c r="I161" i="22"/>
  <c r="I155" i="22"/>
  <c r="I156" i="22"/>
  <c r="I160" i="22"/>
  <c r="C141" i="22"/>
  <c r="I1181" i="22"/>
  <c r="I1190" i="22"/>
  <c r="I1195" i="22"/>
  <c r="I1191" i="22"/>
  <c r="I1194" i="22"/>
  <c r="I1184" i="22"/>
  <c r="I1182" i="22"/>
  <c r="I1180" i="22"/>
  <c r="I1179" i="22"/>
  <c r="I1192" i="22"/>
  <c r="I1183" i="22"/>
  <c r="I1193" i="22"/>
  <c r="I1739" i="22"/>
  <c r="I524" i="22"/>
  <c r="F2352" i="22"/>
  <c r="G2352" i="22" s="1"/>
  <c r="F2353" i="22"/>
  <c r="G2353" i="22" s="1"/>
  <c r="I555" i="22"/>
  <c r="I2039" i="22"/>
  <c r="I520" i="22"/>
  <c r="I584" i="22"/>
  <c r="I588" i="22"/>
  <c r="I590" i="22"/>
  <c r="I589" i="22"/>
  <c r="I586" i="22"/>
  <c r="I1269" i="22"/>
  <c r="C1560" i="22"/>
  <c r="I521" i="22"/>
  <c r="I518" i="22"/>
  <c r="I947" i="22"/>
  <c r="I298" i="22"/>
  <c r="C757" i="22"/>
  <c r="F2318" i="22"/>
  <c r="G2318" i="22" s="1"/>
  <c r="F2319" i="22"/>
  <c r="G2319" i="22" s="1"/>
  <c r="I587" i="22"/>
  <c r="C1637" i="22"/>
  <c r="I1409" i="22"/>
  <c r="I1411" i="22"/>
  <c r="I1414" i="22"/>
  <c r="I1412" i="22"/>
  <c r="I619" i="22"/>
  <c r="I622" i="22"/>
  <c r="I618" i="22"/>
  <c r="I620" i="22"/>
  <c r="I621" i="22"/>
  <c r="I490" i="22"/>
  <c r="I487" i="22"/>
  <c r="I492" i="22"/>
  <c r="I488" i="22"/>
  <c r="I486" i="22"/>
  <c r="I489" i="22"/>
  <c r="I485" i="22"/>
  <c r="I491" i="22"/>
  <c r="I2147" i="22"/>
  <c r="I523" i="22"/>
  <c r="C2165" i="22"/>
  <c r="F2308" i="22"/>
  <c r="G2308" i="22" s="1"/>
  <c r="C1098" i="22"/>
  <c r="I1600" i="22"/>
  <c r="I1597" i="22"/>
  <c r="I1601" i="22"/>
  <c r="I1598" i="22"/>
  <c r="I1603" i="22"/>
  <c r="I1602" i="22"/>
  <c r="I1596" i="22"/>
  <c r="C1659" i="22"/>
  <c r="I585" i="22"/>
  <c r="I724" i="22"/>
  <c r="I1846" i="22"/>
  <c r="I1090" i="22"/>
  <c r="C1582" i="22"/>
  <c r="F2294" i="22"/>
  <c r="G2294" i="22" s="1"/>
  <c r="C1670" i="22"/>
  <c r="I2032" i="22"/>
  <c r="I2026" i="22"/>
  <c r="I2029" i="22"/>
  <c r="I2030" i="22"/>
  <c r="I2028" i="22"/>
  <c r="I2027" i="22"/>
  <c r="I2025" i="22"/>
  <c r="F2300" i="22"/>
  <c r="G2300" i="22" s="1"/>
  <c r="F2301" i="22"/>
  <c r="G2301" i="22" s="1"/>
  <c r="I1599" i="22"/>
  <c r="I786" i="22"/>
  <c r="I782" i="22"/>
  <c r="I788" i="22"/>
  <c r="I787" i="22"/>
  <c r="I785" i="22"/>
  <c r="I399" i="22"/>
  <c r="I783" i="22"/>
  <c r="I2083" i="22"/>
  <c r="I2080" i="22"/>
  <c r="I2084" i="22"/>
  <c r="I2086" i="22"/>
  <c r="I2081" i="22"/>
  <c r="I2082" i="22"/>
  <c r="I216" i="22"/>
  <c r="I212" i="22"/>
  <c r="I213" i="22"/>
  <c r="I211" i="22"/>
  <c r="I214" i="22"/>
  <c r="I215" i="22"/>
  <c r="C2055" i="22"/>
  <c r="C1780" i="22"/>
  <c r="I543" i="22"/>
  <c r="I540" i="22"/>
  <c r="I545" i="22"/>
  <c r="I541" i="22"/>
  <c r="I544" i="22"/>
  <c r="I1216" i="22"/>
  <c r="I1215" i="22"/>
  <c r="I1214" i="22"/>
  <c r="I1213" i="22"/>
  <c r="I1217" i="22"/>
  <c r="I1211" i="22"/>
  <c r="I650" i="22"/>
  <c r="I653" i="22"/>
  <c r="I655" i="22"/>
  <c r="I654" i="22"/>
  <c r="I652" i="22"/>
  <c r="I651" i="22"/>
  <c r="I410" i="22"/>
  <c r="I411" i="22"/>
  <c r="I413" i="22"/>
  <c r="I408" i="22"/>
  <c r="I409" i="22"/>
  <c r="I412" i="22"/>
  <c r="H174" i="22"/>
  <c r="I168" i="22" s="1"/>
  <c r="I1742" i="22"/>
  <c r="I1740" i="22"/>
  <c r="I1743" i="22"/>
  <c r="I1741" i="22"/>
  <c r="I1744" i="22"/>
  <c r="I443" i="22"/>
  <c r="I656" i="22"/>
  <c r="F2359" i="22"/>
  <c r="G2359" i="22" s="1"/>
  <c r="F2358" i="22"/>
  <c r="G2358" i="22" s="1"/>
  <c r="I1541" i="22"/>
  <c r="I1545" i="22"/>
  <c r="I1548" i="22"/>
  <c r="I1559" i="22"/>
  <c r="I1547" i="22"/>
  <c r="I1543" i="22"/>
  <c r="I1546" i="22"/>
  <c r="I1544" i="22"/>
  <c r="I556" i="22"/>
  <c r="I557" i="22"/>
  <c r="I554" i="22"/>
  <c r="I553" i="22"/>
  <c r="I552" i="22"/>
  <c r="I1202" i="22"/>
  <c r="I1206" i="22"/>
  <c r="I1200" i="22"/>
  <c r="I1201" i="22"/>
  <c r="I1204" i="22"/>
  <c r="I1205" i="22"/>
  <c r="I1835" i="22"/>
  <c r="I1024" i="22"/>
  <c r="I1039" i="22"/>
  <c r="I1029" i="22"/>
  <c r="I1035" i="22"/>
  <c r="I1041" i="22"/>
  <c r="I1040" i="22"/>
  <c r="I1028" i="22"/>
  <c r="I1037" i="22"/>
  <c r="I1036" i="22"/>
  <c r="I1030" i="22"/>
  <c r="I1026" i="22"/>
  <c r="I1542" i="22"/>
  <c r="I381" i="22"/>
  <c r="I378" i="22"/>
  <c r="I376" i="22"/>
  <c r="I380" i="22"/>
  <c r="I377" i="22"/>
  <c r="I379" i="22"/>
  <c r="I606" i="22"/>
  <c r="I610" i="22"/>
  <c r="I607" i="22"/>
  <c r="I612" i="22"/>
  <c r="I608" i="22"/>
  <c r="I611" i="22"/>
  <c r="C2066" i="22"/>
  <c r="I2043" i="22"/>
  <c r="I2040" i="22"/>
  <c r="I2041" i="22"/>
  <c r="I2042" i="22"/>
  <c r="I2037" i="22"/>
  <c r="I2038" i="22"/>
  <c r="I1356" i="22"/>
  <c r="I1359" i="22"/>
  <c r="I1360" i="22"/>
  <c r="I1357" i="22"/>
  <c r="I1358" i="22"/>
  <c r="I1354" i="22"/>
  <c r="I2011" i="22"/>
  <c r="I815" i="22"/>
  <c r="I816" i="22"/>
  <c r="I819" i="22"/>
  <c r="I818" i="22"/>
  <c r="I817" i="22"/>
  <c r="I821" i="22"/>
  <c r="I1988" i="22"/>
  <c r="I1963" i="22"/>
  <c r="I1966" i="22"/>
  <c r="I1964" i="22"/>
  <c r="I1960" i="22"/>
  <c r="I1962" i="22"/>
  <c r="I1977" i="22"/>
  <c r="I1961" i="22"/>
  <c r="I1906" i="22"/>
  <c r="I1907" i="22"/>
  <c r="I1905" i="22"/>
  <c r="I1908" i="22"/>
  <c r="I1909" i="22"/>
  <c r="I1910" i="22"/>
  <c r="I507" i="22"/>
  <c r="I508" i="22"/>
  <c r="I512" i="22"/>
  <c r="I509" i="22"/>
  <c r="I511" i="22"/>
  <c r="I513" i="22"/>
  <c r="I1513" i="22"/>
  <c r="I1511" i="22"/>
  <c r="I1512" i="22"/>
  <c r="I1514" i="22"/>
  <c r="I1515" i="22"/>
  <c r="I1508" i="22"/>
  <c r="I1510" i="22"/>
  <c r="I1923" i="22"/>
  <c r="I1250" i="22"/>
  <c r="I1248" i="22"/>
  <c r="I1246" i="22"/>
  <c r="I1245" i="22"/>
  <c r="I1247" i="22"/>
  <c r="I1249" i="22"/>
  <c r="I1934" i="22"/>
  <c r="I874" i="22"/>
  <c r="I864" i="22"/>
  <c r="I865" i="22"/>
  <c r="I859" i="22"/>
  <c r="I871" i="22"/>
  <c r="I851" i="22"/>
  <c r="I848" i="22"/>
  <c r="I875" i="22"/>
  <c r="I853" i="22"/>
  <c r="I870" i="22"/>
  <c r="I863" i="22"/>
  <c r="I852" i="22"/>
  <c r="I849" i="22"/>
  <c r="I862" i="22"/>
  <c r="I850" i="22"/>
  <c r="I860" i="22"/>
  <c r="I873" i="22"/>
  <c r="I876" i="22"/>
  <c r="I1475" i="22"/>
  <c r="I1479" i="22"/>
  <c r="I1481" i="22"/>
  <c r="I1477" i="22"/>
  <c r="I1480" i="22"/>
  <c r="I1478" i="22"/>
  <c r="I609" i="22"/>
  <c r="F2335" i="22"/>
  <c r="G2335" i="22" s="1"/>
  <c r="I761" i="22"/>
  <c r="I764" i="22"/>
  <c r="I760" i="22"/>
  <c r="I765" i="22"/>
  <c r="I762" i="22"/>
  <c r="I763" i="22"/>
  <c r="I926" i="22"/>
  <c r="I928" i="22"/>
  <c r="I929" i="22"/>
  <c r="I930" i="22"/>
  <c r="I931" i="22"/>
  <c r="I927" i="22"/>
  <c r="I948" i="22"/>
  <c r="I959" i="22"/>
  <c r="I958" i="22"/>
  <c r="I952" i="22"/>
  <c r="I949" i="22"/>
  <c r="I953" i="22"/>
  <c r="I960" i="22"/>
  <c r="I964" i="22"/>
  <c r="I950" i="22"/>
  <c r="I963" i="22"/>
  <c r="I962" i="22"/>
  <c r="I961" i="22"/>
  <c r="C1395" i="22"/>
  <c r="F2373" i="22"/>
  <c r="G2373" i="22" s="1"/>
  <c r="F2374" i="22"/>
  <c r="G2374" i="22" s="1"/>
  <c r="I766" i="22"/>
  <c r="I1064" i="22"/>
  <c r="I984" i="22"/>
  <c r="I982" i="22"/>
  <c r="I1020" i="22"/>
  <c r="I1021" i="22" s="1"/>
  <c r="I987" i="22"/>
  <c r="I980" i="22"/>
  <c r="I998" i="22"/>
  <c r="I985" i="22"/>
  <c r="I1053" i="22"/>
  <c r="I1031" i="22"/>
  <c r="I1042" i="22"/>
  <c r="I983" i="22"/>
  <c r="I1009" i="22"/>
  <c r="I986" i="22"/>
  <c r="C1252" i="22"/>
  <c r="F2366" i="22"/>
  <c r="G2366" i="22" s="1"/>
  <c r="F2367" i="22"/>
  <c r="G2367" i="22" s="1"/>
  <c r="I446" i="22"/>
  <c r="I442" i="22"/>
  <c r="I441" i="22"/>
  <c r="I445" i="22"/>
  <c r="I1767" i="22"/>
  <c r="I1764" i="22"/>
  <c r="I1762" i="22"/>
  <c r="I1761" i="22"/>
  <c r="I1766" i="22"/>
  <c r="I1765" i="22"/>
  <c r="F2320" i="22"/>
  <c r="G2320" i="22" s="1"/>
  <c r="F2321" i="22"/>
  <c r="G2321" i="22" s="1"/>
  <c r="F2314" i="22"/>
  <c r="G2314" i="22" s="1"/>
  <c r="F2313" i="22"/>
  <c r="G2313" i="22" s="1"/>
  <c r="I210" i="22"/>
  <c r="I981" i="22"/>
  <c r="F2345" i="22"/>
  <c r="G2345" i="22" s="1"/>
  <c r="F2346" i="22"/>
  <c r="G2346" i="22" s="1"/>
  <c r="I1094" i="22"/>
  <c r="I1763" i="22"/>
  <c r="I542" i="22"/>
  <c r="I1212" i="22"/>
  <c r="I2162" i="22"/>
  <c r="I2159" i="22"/>
  <c r="I2161" i="22"/>
  <c r="I2160" i="22"/>
  <c r="I2158" i="22"/>
  <c r="I1730" i="22"/>
  <c r="I1732" i="22"/>
  <c r="I1733" i="22"/>
  <c r="I1729" i="22"/>
  <c r="I1731" i="22"/>
  <c r="I1734" i="22"/>
  <c r="I994" i="22"/>
  <c r="I992" i="22"/>
  <c r="I997" i="22"/>
  <c r="I993" i="22"/>
  <c r="I995" i="22"/>
  <c r="I826" i="22"/>
  <c r="I830" i="22"/>
  <c r="I828" i="22"/>
  <c r="I827" i="22"/>
  <c r="I831" i="22"/>
  <c r="I832" i="22"/>
  <c r="I774" i="22"/>
  <c r="I777" i="22"/>
  <c r="I773" i="22"/>
  <c r="I775" i="22"/>
  <c r="I1266" i="22"/>
  <c r="I1272" i="22"/>
  <c r="I1282" i="22"/>
  <c r="I1271" i="22"/>
  <c r="I1281" i="22"/>
  <c r="I1279" i="22"/>
  <c r="I1277" i="22"/>
  <c r="I1268" i="22"/>
  <c r="I1280" i="22"/>
  <c r="I1267" i="22"/>
  <c r="I1278" i="22"/>
  <c r="I1582" i="22"/>
  <c r="I922" i="22"/>
  <c r="I771" i="22"/>
  <c r="I1270" i="22"/>
  <c r="I389" i="22"/>
  <c r="I387" i="22"/>
  <c r="I391" i="22"/>
  <c r="I390" i="22"/>
  <c r="I392" i="22"/>
  <c r="I388" i="22"/>
  <c r="I1203" i="22"/>
  <c r="I311" i="22"/>
  <c r="I315" i="22"/>
  <c r="I310" i="22"/>
  <c r="I313" i="22"/>
  <c r="I314" i="22"/>
  <c r="I309" i="22"/>
  <c r="I1773" i="22"/>
  <c r="I1772" i="22"/>
  <c r="I1776" i="22"/>
  <c r="I1778" i="22"/>
  <c r="I1774" i="22"/>
  <c r="I1777" i="22"/>
  <c r="I772" i="22"/>
  <c r="I1974" i="22"/>
  <c r="I1973" i="22"/>
  <c r="I1987" i="22"/>
  <c r="I1983" i="22"/>
  <c r="I1981" i="22"/>
  <c r="I1985" i="22"/>
  <c r="I1984" i="22"/>
  <c r="I1976" i="22"/>
  <c r="I1971" i="22"/>
  <c r="I1982" i="22"/>
  <c r="I1975" i="22"/>
  <c r="I1986" i="22"/>
  <c r="I1970" i="22"/>
  <c r="I996" i="22"/>
  <c r="I1904" i="22"/>
  <c r="I510" i="22"/>
  <c r="I909" i="22"/>
  <c r="I894" i="22"/>
  <c r="I908" i="22"/>
  <c r="I897" i="22"/>
  <c r="I893" i="22"/>
  <c r="I898" i="22"/>
  <c r="I903" i="22"/>
  <c r="I895" i="22"/>
  <c r="I896" i="22"/>
  <c r="I907" i="22"/>
  <c r="I905" i="22"/>
  <c r="I904" i="22"/>
  <c r="I2022" i="22"/>
  <c r="I146" i="22"/>
  <c r="V23" i="22"/>
  <c r="V34" i="22" s="1"/>
  <c r="I145" i="22"/>
  <c r="I149" i="22"/>
  <c r="I144" i="22"/>
  <c r="I148" i="22"/>
  <c r="I150" i="22"/>
  <c r="I1622" i="22"/>
  <c r="I1619" i="22"/>
  <c r="I1618" i="22"/>
  <c r="I1620" i="22"/>
  <c r="I1624" i="22"/>
  <c r="H1010" i="22"/>
  <c r="I1002" i="22" s="1"/>
  <c r="I478" i="22"/>
  <c r="F2380" i="22"/>
  <c r="G2380" i="22" s="1"/>
  <c r="F2379" i="22"/>
  <c r="G2379" i="22" s="1"/>
  <c r="F2369" i="22"/>
  <c r="G2369" i="22" s="1"/>
  <c r="F2370" i="22"/>
  <c r="G2370" i="22" s="1"/>
  <c r="I2098" i="22"/>
  <c r="I2095" i="22"/>
  <c r="I2109" i="22"/>
  <c r="I2120" i="22"/>
  <c r="I2093" i="22"/>
  <c r="I2096" i="22"/>
  <c r="I2092" i="22"/>
  <c r="I886" i="22"/>
  <c r="I884" i="22"/>
  <c r="I887" i="22"/>
  <c r="I881" i="22"/>
  <c r="I2151" i="22"/>
  <c r="I2164" i="22"/>
  <c r="I2153" i="22"/>
  <c r="I2149" i="22"/>
  <c r="I2150" i="22"/>
  <c r="I2148" i="22"/>
  <c r="I2152" i="22"/>
  <c r="I809" i="22"/>
  <c r="I806" i="22"/>
  <c r="I808" i="22"/>
  <c r="I805" i="22"/>
  <c r="I804" i="22"/>
  <c r="I810" i="22"/>
  <c r="I1532" i="22"/>
  <c r="I1535" i="22"/>
  <c r="I1534" i="22"/>
  <c r="I1536" i="22"/>
  <c r="I1533" i="22"/>
  <c r="I1531" i="22"/>
  <c r="C1003" i="22"/>
  <c r="C1004" i="22"/>
  <c r="B2323" i="22"/>
  <c r="C1006" i="22"/>
  <c r="G1010" i="22"/>
  <c r="C1005" i="22"/>
  <c r="C1008" i="22"/>
  <c r="C1007" i="22"/>
  <c r="G1021" i="22"/>
  <c r="H185" i="22"/>
  <c r="I1612" i="22"/>
  <c r="I1625" i="22"/>
  <c r="I1609" i="22"/>
  <c r="I1608" i="22"/>
  <c r="I1611" i="22"/>
  <c r="I1614" i="22"/>
  <c r="I1613" i="22"/>
  <c r="I1610" i="22"/>
  <c r="F2419" i="22"/>
  <c r="G2419" i="22" s="1"/>
  <c r="I1721" i="22"/>
  <c r="I1720" i="22"/>
  <c r="I1722" i="22"/>
  <c r="I1723" i="22"/>
  <c r="I1719" i="22"/>
  <c r="I1717" i="22"/>
  <c r="C1791" i="22"/>
  <c r="I465" i="22"/>
  <c r="I469" i="22"/>
  <c r="I463" i="22"/>
  <c r="I467" i="22"/>
  <c r="I464" i="22"/>
  <c r="I468" i="22"/>
  <c r="F2429" i="22"/>
  <c r="G2429" i="22" s="1"/>
  <c r="I438" i="22"/>
  <c r="I841" i="22"/>
  <c r="I839" i="22"/>
  <c r="I840" i="22"/>
  <c r="I838" i="22"/>
  <c r="I843" i="22"/>
  <c r="I2094" i="22"/>
  <c r="I1492" i="22"/>
  <c r="I1504" i="22"/>
  <c r="I1489" i="22"/>
  <c r="I1490" i="22"/>
  <c r="I1486" i="22"/>
  <c r="I1493" i="22"/>
  <c r="I1491" i="22"/>
  <c r="I1488" i="22"/>
  <c r="I2075" i="22"/>
  <c r="I2071" i="22"/>
  <c r="I2070" i="22"/>
  <c r="I2074" i="22"/>
  <c r="I1467" i="22"/>
  <c r="I1465" i="22"/>
  <c r="I1464" i="22"/>
  <c r="I1468" i="22"/>
  <c r="I1466" i="22"/>
  <c r="I400" i="22"/>
  <c r="I397" i="22"/>
  <c r="I401" i="22"/>
  <c r="I398" i="22"/>
  <c r="I403" i="22"/>
  <c r="I497" i="22"/>
  <c r="I501" i="22"/>
  <c r="I498" i="22"/>
  <c r="I500" i="22"/>
  <c r="I496" i="22"/>
  <c r="I1092" i="22"/>
  <c r="I1095" i="22"/>
  <c r="I1096" i="22"/>
  <c r="I1091" i="22"/>
  <c r="I1850" i="22"/>
  <c r="I1854" i="22"/>
  <c r="I1853" i="22"/>
  <c r="I1852" i="22"/>
  <c r="I1851" i="22"/>
  <c r="I2115" i="22"/>
  <c r="I2118" i="22"/>
  <c r="I2117" i="22"/>
  <c r="I2116" i="22"/>
  <c r="I2113" i="22"/>
  <c r="I256" i="22"/>
  <c r="I258" i="22"/>
  <c r="I255" i="22"/>
  <c r="I260" i="22"/>
  <c r="I259" i="22"/>
  <c r="I257" i="22"/>
  <c r="I2097" i="22"/>
  <c r="I1501" i="22"/>
  <c r="I1502" i="22"/>
  <c r="I1499" i="22"/>
  <c r="I1503" i="22"/>
  <c r="I1497" i="22"/>
  <c r="I1498" i="22"/>
  <c r="I1057" i="22"/>
  <c r="I1061" i="22"/>
  <c r="I1063" i="22"/>
  <c r="I1059" i="22"/>
  <c r="I1060" i="22"/>
  <c r="I2061" i="22"/>
  <c r="I2059" i="22"/>
  <c r="I2065" i="22"/>
  <c r="I2076" i="22"/>
  <c r="I2087" i="22"/>
  <c r="I2063" i="22"/>
  <c r="I2058" i="22"/>
  <c r="I2064" i="22"/>
  <c r="I2062" i="22"/>
  <c r="I807" i="22"/>
  <c r="I784" i="22"/>
  <c r="I562" i="22"/>
  <c r="I567" i="22"/>
  <c r="I568" i="22"/>
  <c r="I564" i="22"/>
  <c r="I566" i="22"/>
  <c r="I2114" i="22"/>
  <c r="I1058" i="22"/>
  <c r="F2375" i="22"/>
  <c r="G2375" i="22" s="1"/>
  <c r="F2376" i="22"/>
  <c r="G2376" i="22" s="1"/>
  <c r="I2060" i="22"/>
  <c r="I199" i="22"/>
  <c r="I200" i="22"/>
  <c r="I205" i="22"/>
  <c r="I203" i="22"/>
  <c r="I204" i="22"/>
  <c r="I202" i="22"/>
  <c r="I499" i="22"/>
  <c r="F2395" i="22"/>
  <c r="G2395" i="22" s="1"/>
  <c r="I1420" i="22"/>
  <c r="I1425" i="22"/>
  <c r="I1426" i="22"/>
  <c r="I1424" i="22"/>
  <c r="I1422" i="22"/>
  <c r="I1052" i="22"/>
  <c r="I1047" i="22"/>
  <c r="I1046" i="22"/>
  <c r="I1050" i="22"/>
  <c r="I1048" i="22"/>
  <c r="I1049" i="22"/>
  <c r="I422" i="22"/>
  <c r="I421" i="22"/>
  <c r="I423" i="22"/>
  <c r="I425" i="22"/>
  <c r="I424" i="22"/>
  <c r="I1521" i="22"/>
  <c r="I1522" i="22"/>
  <c r="I1525" i="22"/>
  <c r="I1537" i="22"/>
  <c r="I1526" i="22"/>
  <c r="I1523" i="22"/>
  <c r="I1519" i="22"/>
  <c r="I1524" i="22"/>
  <c r="I475" i="22"/>
  <c r="I476" i="22"/>
  <c r="I479" i="22"/>
  <c r="I480" i="22"/>
  <c r="I477" i="22"/>
  <c r="I941" i="22"/>
  <c r="I939" i="22"/>
  <c r="I942" i="22"/>
  <c r="I940" i="22"/>
  <c r="I937" i="22"/>
  <c r="I938" i="22"/>
  <c r="H139" i="18"/>
  <c r="A681" i="18"/>
  <c r="D695" i="18"/>
  <c r="H155" i="18"/>
  <c r="F904" i="18"/>
  <c r="C903" i="18"/>
  <c r="C50" i="18"/>
  <c r="C51" i="18" s="1"/>
  <c r="C43" i="18"/>
  <c r="D43" i="18" s="1"/>
  <c r="F43" i="18"/>
  <c r="F42" i="18"/>
  <c r="I1131" i="22" l="1"/>
  <c r="I1120" i="22"/>
  <c r="I977" i="22"/>
  <c r="I1637" i="22"/>
  <c r="I1879" i="22"/>
  <c r="I1351" i="22"/>
  <c r="I1263" i="22"/>
  <c r="I1087" i="22"/>
  <c r="I636" i="22"/>
  <c r="B785" i="28"/>
  <c r="I72" i="18"/>
  <c r="K72" i="18" s="1"/>
  <c r="I71" i="18"/>
  <c r="K71" i="18" s="1"/>
  <c r="I70" i="18"/>
  <c r="K70" i="18" s="1"/>
  <c r="I73" i="18"/>
  <c r="K73" i="18" s="1"/>
  <c r="I2132" i="22"/>
  <c r="I1659" i="22"/>
  <c r="I647" i="22"/>
  <c r="I339" i="22"/>
  <c r="I1648" i="22"/>
  <c r="I1164" i="22"/>
  <c r="I2110" i="22"/>
  <c r="I1142" i="22"/>
  <c r="I1791" i="22"/>
  <c r="I1153" i="22"/>
  <c r="I1296" i="22"/>
  <c r="I713" i="22"/>
  <c r="I735" i="22"/>
  <c r="I295" i="22"/>
  <c r="I2143" i="22"/>
  <c r="I1681" i="22"/>
  <c r="I196" i="22"/>
  <c r="W69" i="22" s="1"/>
  <c r="I1758" i="22"/>
  <c r="I669" i="22"/>
  <c r="I284" i="22"/>
  <c r="I1813" i="22"/>
  <c r="I1824" i="22"/>
  <c r="I1340" i="22"/>
  <c r="I1307" i="22"/>
  <c r="F2420" i="22"/>
  <c r="G2420" i="22" s="1"/>
  <c r="I1076" i="22"/>
  <c r="I2187" i="22"/>
  <c r="I1802" i="22"/>
  <c r="I1450" i="22"/>
  <c r="I603" i="22"/>
  <c r="I361" i="22"/>
  <c r="I350" i="22"/>
  <c r="I1175" i="22"/>
  <c r="I1241" i="22"/>
  <c r="I1593" i="22"/>
  <c r="I1230" i="22"/>
  <c r="I1692" i="22"/>
  <c r="I1395" i="22"/>
  <c r="I702" i="22"/>
  <c r="I1560" i="22"/>
  <c r="I1318" i="22"/>
  <c r="I801" i="22"/>
  <c r="I372" i="22"/>
  <c r="I1956" i="22"/>
  <c r="D43" i="22"/>
  <c r="D6" i="22" s="1"/>
  <c r="H163" i="18"/>
  <c r="H193" i="18" s="1"/>
  <c r="I2198" i="22"/>
  <c r="I680" i="22"/>
  <c r="I2267" i="22"/>
  <c r="J2257" i="22" s="1"/>
  <c r="J2269" i="22" s="1"/>
  <c r="J2281" i="22" s="1"/>
  <c r="J2293" i="22" s="1"/>
  <c r="I1406" i="22"/>
  <c r="I592" i="22"/>
  <c r="C174" i="22"/>
  <c r="I2387" i="22"/>
  <c r="I2399" i="22"/>
  <c r="I1384" i="22"/>
  <c r="I229" i="22"/>
  <c r="I2165" i="22"/>
  <c r="I1703" i="22"/>
  <c r="I1373" i="22"/>
  <c r="I328" i="22"/>
  <c r="I2176" i="22"/>
  <c r="I955" i="22"/>
  <c r="H2246" i="22"/>
  <c r="I1857" i="22"/>
  <c r="I526" i="22"/>
  <c r="F2248" i="22"/>
  <c r="G2248" i="22" s="1"/>
  <c r="F2247" i="22"/>
  <c r="G2247" i="22" s="1"/>
  <c r="I1967" i="22"/>
  <c r="I1417" i="22"/>
  <c r="I625" i="22"/>
  <c r="I2055" i="22"/>
  <c r="I240" i="22"/>
  <c r="I306" i="22"/>
  <c r="I999" i="22"/>
  <c r="I2154" i="22"/>
  <c r="I1197" i="22"/>
  <c r="I1615" i="22"/>
  <c r="I152" i="22"/>
  <c r="I845" i="22"/>
  <c r="I900" i="22"/>
  <c r="I1747" i="22"/>
  <c r="I1483" i="22"/>
  <c r="I856" i="22"/>
  <c r="I1252" i="22"/>
  <c r="I2044" i="22"/>
  <c r="I2099" i="22"/>
  <c r="I383" i="22"/>
  <c r="I548" i="22"/>
  <c r="I1538" i="22"/>
  <c r="I988" i="22"/>
  <c r="I559" i="22"/>
  <c r="I1604" i="22"/>
  <c r="I1461" i="22"/>
  <c r="I2363" i="22"/>
  <c r="I2375" i="22"/>
  <c r="I1505" i="22"/>
  <c r="I1098" i="22"/>
  <c r="I944" i="22"/>
  <c r="I427" i="22"/>
  <c r="I1736" i="22"/>
  <c r="I1516" i="22"/>
  <c r="I493" i="22"/>
  <c r="I163" i="22"/>
  <c r="W34" i="22" s="1"/>
  <c r="I1109" i="22"/>
  <c r="I482" i="22"/>
  <c r="I317" i="22"/>
  <c r="I1186" i="22"/>
  <c r="I1769" i="22"/>
  <c r="I262" i="22"/>
  <c r="I1912" i="22"/>
  <c r="I394" i="22"/>
  <c r="I933" i="22"/>
  <c r="I1032" i="22"/>
  <c r="I2077" i="22"/>
  <c r="I2033" i="22"/>
  <c r="I2121" i="22"/>
  <c r="I207" i="22"/>
  <c r="W80" i="22" s="1"/>
  <c r="I911" i="22"/>
  <c r="I1527" i="22"/>
  <c r="I183" i="22"/>
  <c r="I177" i="22"/>
  <c r="I182" i="22"/>
  <c r="I181" i="22"/>
  <c r="I178" i="22"/>
  <c r="I180" i="22"/>
  <c r="I171" i="22"/>
  <c r="I166" i="22"/>
  <c r="I172" i="22"/>
  <c r="I167" i="22"/>
  <c r="I170" i="22"/>
  <c r="I169" i="22"/>
  <c r="I471" i="22"/>
  <c r="V45" i="22"/>
  <c r="V54" i="22" s="1"/>
  <c r="V68" i="22" s="1"/>
  <c r="V79" i="22" s="1"/>
  <c r="V90" i="22" s="1"/>
  <c r="V101" i="22" s="1"/>
  <c r="V116" i="22" s="1"/>
  <c r="V127" i="22" s="1"/>
  <c r="I1274" i="22"/>
  <c r="I966" i="22"/>
  <c r="I1219" i="22"/>
  <c r="I2088" i="22"/>
  <c r="I768" i="22"/>
  <c r="I614" i="22"/>
  <c r="I1054" i="22"/>
  <c r="I449" i="22"/>
  <c r="I1065" i="22"/>
  <c r="I1626" i="22"/>
  <c r="I1989" i="22"/>
  <c r="I1780" i="22"/>
  <c r="I1208" i="22"/>
  <c r="I1549" i="22"/>
  <c r="I570" i="22"/>
  <c r="I834" i="22"/>
  <c r="I179" i="22"/>
  <c r="I1007" i="22"/>
  <c r="I1005" i="22"/>
  <c r="I1004" i="22"/>
  <c r="I1006" i="22"/>
  <c r="I1008" i="22"/>
  <c r="I1003" i="22"/>
  <c r="I658" i="22"/>
  <c r="I1428" i="22"/>
  <c r="I218" i="22"/>
  <c r="I878" i="22"/>
  <c r="I416" i="22"/>
  <c r="I2066" i="22"/>
  <c r="I405" i="22"/>
  <c r="I1725" i="22"/>
  <c r="I823" i="22"/>
  <c r="I1494" i="22"/>
  <c r="F2323" i="22"/>
  <c r="G2323" i="22" s="1"/>
  <c r="F2324" i="22"/>
  <c r="G2324" i="22" s="1"/>
  <c r="I812" i="22"/>
  <c r="I889" i="22"/>
  <c r="I1285" i="22"/>
  <c r="I1978" i="22"/>
  <c r="I779" i="22"/>
  <c r="I1362" i="22"/>
  <c r="I1043" i="22"/>
  <c r="I790" i="22"/>
  <c r="I504" i="22"/>
  <c r="I1472" i="22"/>
  <c r="I867" i="22"/>
  <c r="I515" i="22"/>
  <c r="D193" i="18"/>
  <c r="D195" i="18" s="1"/>
  <c r="C904" i="18"/>
  <c r="F905" i="18"/>
  <c r="B786" i="28" l="1"/>
  <c r="B787" i="28" s="1"/>
  <c r="B788" i="28" s="1"/>
  <c r="B789" i="28" s="1"/>
  <c r="B790" i="28" s="1"/>
  <c r="I78" i="18"/>
  <c r="K78" i="18" s="1"/>
  <c r="I77" i="18"/>
  <c r="K77" i="18" s="1"/>
  <c r="I69" i="18"/>
  <c r="K69" i="18" s="1"/>
  <c r="B6" i="22"/>
  <c r="D12" i="22"/>
  <c r="H2247" i="22"/>
  <c r="H2248" i="22" s="1"/>
  <c r="H2249" i="22" s="1"/>
  <c r="H2250" i="22" s="1"/>
  <c r="H2251" i="22" s="1"/>
  <c r="H2252" i="22" s="1"/>
  <c r="H2253" i="22" s="1"/>
  <c r="H2254" i="22" s="1"/>
  <c r="H2255" i="22" s="1"/>
  <c r="H2256" i="22" s="1"/>
  <c r="H2257" i="22" s="1"/>
  <c r="H2258" i="22" s="1"/>
  <c r="H2259" i="22" s="1"/>
  <c r="H2260" i="22" s="1"/>
  <c r="H2261" i="22" s="1"/>
  <c r="H2262" i="22" s="1"/>
  <c r="H2263" i="22" s="1"/>
  <c r="H2264" i="22" s="1"/>
  <c r="H2265" i="22" s="1"/>
  <c r="H2266" i="22" s="1"/>
  <c r="H2267" i="22" s="1"/>
  <c r="H2268" i="22" s="1"/>
  <c r="H2269" i="22" s="1"/>
  <c r="H2270" i="22" s="1"/>
  <c r="H2271" i="22" s="1"/>
  <c r="H2272" i="22" s="1"/>
  <c r="H2273" i="22" s="1"/>
  <c r="H2274" i="22" s="1"/>
  <c r="H2275" i="22" s="1"/>
  <c r="H2276" i="22" s="1"/>
  <c r="H2277" i="22" s="1"/>
  <c r="H2278" i="22" s="1"/>
  <c r="H2279" i="22" s="1"/>
  <c r="H2280" i="22" s="1"/>
  <c r="H2281" i="22" s="1"/>
  <c r="H2282" i="22" s="1"/>
  <c r="H2283" i="22" s="1"/>
  <c r="H2284" i="22" s="1"/>
  <c r="H2285" i="22" s="1"/>
  <c r="H2286" i="22" s="1"/>
  <c r="H2287" i="22" s="1"/>
  <c r="H2288" i="22" s="1"/>
  <c r="H2289" i="22" s="1"/>
  <c r="H2290" i="22" s="1"/>
  <c r="H2291" i="22" s="1"/>
  <c r="H2292" i="22" s="1"/>
  <c r="H2293" i="22" s="1"/>
  <c r="H2294" i="22" s="1"/>
  <c r="H2295" i="22" s="1"/>
  <c r="H2296" i="22" s="1"/>
  <c r="H2297" i="22" s="1"/>
  <c r="H2298" i="22" s="1"/>
  <c r="H2299" i="22" s="1"/>
  <c r="H2300" i="22" s="1"/>
  <c r="H2301" i="22" s="1"/>
  <c r="H2302" i="22" s="1"/>
  <c r="H2303" i="22" s="1"/>
  <c r="H2304" i="22" s="1"/>
  <c r="H2305" i="22" s="1"/>
  <c r="H2306" i="22" s="1"/>
  <c r="H2307" i="22" s="1"/>
  <c r="H2308" i="22" s="1"/>
  <c r="H2309" i="22" s="1"/>
  <c r="H2310" i="22" s="1"/>
  <c r="H2311" i="22" s="1"/>
  <c r="H2312" i="22" s="1"/>
  <c r="H2313" i="22" s="1"/>
  <c r="H2314" i="22" s="1"/>
  <c r="H2315" i="22" s="1"/>
  <c r="H2316" i="22" s="1"/>
  <c r="H2317" i="22" s="1"/>
  <c r="H2318" i="22" s="1"/>
  <c r="H2319" i="22" s="1"/>
  <c r="H2320" i="22" s="1"/>
  <c r="H2321" i="22" s="1"/>
  <c r="H2322" i="22" s="1"/>
  <c r="H2323" i="22" s="1"/>
  <c r="H2324" i="22" s="1"/>
  <c r="H2325" i="22" s="1"/>
  <c r="H2326" i="22" s="1"/>
  <c r="H2327" i="22" s="1"/>
  <c r="H2328" i="22" s="1"/>
  <c r="H2329" i="22" s="1"/>
  <c r="H2330" i="22" s="1"/>
  <c r="H2331" i="22" s="1"/>
  <c r="H2332" i="22" s="1"/>
  <c r="H2333" i="22" s="1"/>
  <c r="H2334" i="22" s="1"/>
  <c r="H2335" i="22" s="1"/>
  <c r="H2336" i="22" s="1"/>
  <c r="H2337" i="22" s="1"/>
  <c r="H2338" i="22" s="1"/>
  <c r="H2339" i="22" s="1"/>
  <c r="H2340" i="22" s="1"/>
  <c r="H2341" i="22" s="1"/>
  <c r="H2342" i="22" s="1"/>
  <c r="H2343" i="22" s="1"/>
  <c r="H2344" i="22" s="1"/>
  <c r="H2345" i="22" s="1"/>
  <c r="H2346" i="22" s="1"/>
  <c r="H2347" i="22" s="1"/>
  <c r="H2348" i="22" s="1"/>
  <c r="H2349" i="22" s="1"/>
  <c r="H2350" i="22" s="1"/>
  <c r="H2351" i="22" s="1"/>
  <c r="H2352" i="22" s="1"/>
  <c r="H2353" i="22" s="1"/>
  <c r="H2354" i="22" s="1"/>
  <c r="H2355" i="22" s="1"/>
  <c r="H2356" i="22" s="1"/>
  <c r="H2357" i="22" s="1"/>
  <c r="H2358" i="22" s="1"/>
  <c r="H2359" i="22" s="1"/>
  <c r="H2360" i="22" s="1"/>
  <c r="H2361" i="22" s="1"/>
  <c r="H2362" i="22" s="1"/>
  <c r="H2363" i="22" s="1"/>
  <c r="H2364" i="22" s="1"/>
  <c r="H2365" i="22" s="1"/>
  <c r="H2366" i="22" s="1"/>
  <c r="H2367" i="22" s="1"/>
  <c r="H2368" i="22" s="1"/>
  <c r="H2369" i="22" s="1"/>
  <c r="H2370" i="22" s="1"/>
  <c r="H2371" i="22" s="1"/>
  <c r="H2372" i="22" s="1"/>
  <c r="H2373" i="22" s="1"/>
  <c r="H2374" i="22" s="1"/>
  <c r="H2375" i="22" s="1"/>
  <c r="H2376" i="22" s="1"/>
  <c r="H2377" i="22" s="1"/>
  <c r="H2378" i="22" s="1"/>
  <c r="H2379" i="22" s="1"/>
  <c r="H2380" i="22" s="1"/>
  <c r="H2381" i="22" s="1"/>
  <c r="H2382" i="22" s="1"/>
  <c r="H2383" i="22" s="1"/>
  <c r="H2384" i="22" s="1"/>
  <c r="H2385" i="22" s="1"/>
  <c r="H2386" i="22" s="1"/>
  <c r="H2387" i="22" s="1"/>
  <c r="H2388" i="22" s="1"/>
  <c r="H2389" i="22" s="1"/>
  <c r="H2390" i="22" s="1"/>
  <c r="H2391" i="22" s="1"/>
  <c r="H2392" i="22" s="1"/>
  <c r="H2393" i="22" s="1"/>
  <c r="H2394" i="22" s="1"/>
  <c r="H2395" i="22" s="1"/>
  <c r="H2396" i="22" s="1"/>
  <c r="H2397" i="22" s="1"/>
  <c r="H2398" i="22" s="1"/>
  <c r="H2399" i="22" s="1"/>
  <c r="H2400" i="22" s="1"/>
  <c r="H2401" i="22" s="1"/>
  <c r="H2402" i="22" s="1"/>
  <c r="H2403" i="22" s="1"/>
  <c r="H2404" i="22" s="1"/>
  <c r="H2405" i="22" s="1"/>
  <c r="H2406" i="22" s="1"/>
  <c r="H2407" i="22" s="1"/>
  <c r="H2408" i="22" s="1"/>
  <c r="H2409" i="22" s="1"/>
  <c r="H2410" i="22" s="1"/>
  <c r="H2411" i="22" s="1"/>
  <c r="H2412" i="22" s="1"/>
  <c r="H2413" i="22" s="1"/>
  <c r="H2414" i="22" s="1"/>
  <c r="H2415" i="22" s="1"/>
  <c r="H2416" i="22" s="1"/>
  <c r="H2417" i="22" s="1"/>
  <c r="H2418" i="22" s="1"/>
  <c r="H2419" i="22" s="1"/>
  <c r="H2420" i="22" s="1"/>
  <c r="H2421" i="22" s="1"/>
  <c r="H2422" i="22" s="1"/>
  <c r="H2423" i="22" s="1"/>
  <c r="H2424" i="22" s="1"/>
  <c r="H2425" i="22" s="1"/>
  <c r="H2426" i="22" s="1"/>
  <c r="H2427" i="22" s="1"/>
  <c r="H2428" i="22" s="1"/>
  <c r="H2429" i="22" s="1"/>
  <c r="C2198" i="22"/>
  <c r="I1010" i="22"/>
  <c r="W91" i="22"/>
  <c r="W102" i="22" s="1"/>
  <c r="W117" i="22" s="1"/>
  <c r="W128" i="22" s="1"/>
  <c r="I174" i="22"/>
  <c r="W46" i="22" s="1"/>
  <c r="I185" i="22"/>
  <c r="F2433" i="22"/>
  <c r="D2433" i="22" s="1"/>
  <c r="E2433" i="22" s="1"/>
  <c r="F906" i="18"/>
  <c r="C905" i="18"/>
  <c r="B791" i="28" l="1"/>
  <c r="I74" i="18"/>
  <c r="K74" i="18" s="1"/>
  <c r="I80" i="18"/>
  <c r="K80" i="18" s="1"/>
  <c r="I75" i="18"/>
  <c r="K75" i="18" s="1"/>
  <c r="I82" i="18"/>
  <c r="K82" i="18" s="1"/>
  <c r="I83" i="18"/>
  <c r="K83" i="18" s="1"/>
  <c r="I76" i="18"/>
  <c r="K76" i="18" s="1"/>
  <c r="I81" i="18"/>
  <c r="K81" i="18" s="1"/>
  <c r="B12" i="22"/>
  <c r="C6" i="22"/>
  <c r="F907" i="18"/>
  <c r="C906" i="18"/>
  <c r="B792" i="28" l="1"/>
  <c r="I79" i="18"/>
  <c r="K79" i="18" s="1"/>
  <c r="I85" i="18"/>
  <c r="K85" i="18" s="1"/>
  <c r="I84" i="18"/>
  <c r="K84" i="18" s="1"/>
  <c r="C690" i="22"/>
  <c r="C691" i="22" s="1"/>
  <c r="C976" i="22"/>
  <c r="C977" i="22" s="1"/>
  <c r="C1020" i="22"/>
  <c r="C1021" i="22" s="1"/>
  <c r="C569" i="22"/>
  <c r="C570" i="22" s="1"/>
  <c r="C1281" i="22"/>
  <c r="C1174" i="22"/>
  <c r="C1175" i="22" s="1"/>
  <c r="C1137" i="22"/>
  <c r="C8" i="22"/>
  <c r="C855" i="22"/>
  <c r="C856" i="22" s="1"/>
  <c r="C1146" i="22"/>
  <c r="C877" i="22"/>
  <c r="C878" i="22" s="1"/>
  <c r="C1141" i="22"/>
  <c r="C800" i="22"/>
  <c r="C801" i="22" s="1"/>
  <c r="C1295" i="22"/>
  <c r="C1296" i="22" s="1"/>
  <c r="C1031" i="22"/>
  <c r="C1032" i="22" s="1"/>
  <c r="C1145" i="22"/>
  <c r="C355" i="22"/>
  <c r="C1009" i="22"/>
  <c r="C1010" i="22" s="1"/>
  <c r="C305" i="22"/>
  <c r="C306" i="22" s="1"/>
  <c r="C646" i="22"/>
  <c r="C647" i="22" s="1"/>
  <c r="C382" i="22"/>
  <c r="C383" i="22" s="1"/>
  <c r="C1053" i="22"/>
  <c r="C1054" i="22" s="1"/>
  <c r="C448" i="22"/>
  <c r="C449" i="22" s="1"/>
  <c r="C514" i="22"/>
  <c r="C515" i="22" s="1"/>
  <c r="C1147" i="22"/>
  <c r="C712" i="22"/>
  <c r="C713" i="22" s="1"/>
  <c r="C954" i="22"/>
  <c r="C955" i="22" s="1"/>
  <c r="C1416" i="22"/>
  <c r="C1417" i="22" s="1"/>
  <c r="C1185" i="22"/>
  <c r="C1186" i="22" s="1"/>
  <c r="C1134" i="22"/>
  <c r="C404" i="22"/>
  <c r="C405" i="22" s="1"/>
  <c r="C1460" i="22"/>
  <c r="C1461" i="22" s="1"/>
  <c r="C1140" i="22"/>
  <c r="C1108" i="22"/>
  <c r="C1109" i="22" s="1"/>
  <c r="C1471" i="22"/>
  <c r="C1472" i="22" s="1"/>
  <c r="C393" i="22"/>
  <c r="C394" i="22" s="1"/>
  <c r="C635" i="22"/>
  <c r="C636" i="22" s="1"/>
  <c r="C353" i="22"/>
  <c r="C1207" i="22"/>
  <c r="C1208" i="22" s="1"/>
  <c r="C1284" i="22"/>
  <c r="C9" i="22"/>
  <c r="C1139" i="22"/>
  <c r="C1152" i="22"/>
  <c r="C1138" i="22"/>
  <c r="C357" i="22"/>
  <c r="C1283" i="22"/>
  <c r="C1279" i="22"/>
  <c r="C833" i="22"/>
  <c r="C834" i="22" s="1"/>
  <c r="C1328" i="22"/>
  <c r="C1329" i="22" s="1"/>
  <c r="C1282" i="22"/>
  <c r="C844" i="22"/>
  <c r="C845" i="22" s="1"/>
  <c r="C1317" i="22"/>
  <c r="C1318" i="22" s="1"/>
  <c r="C866" i="22"/>
  <c r="C867" i="22" s="1"/>
  <c r="C503" i="22"/>
  <c r="C504" i="22" s="1"/>
  <c r="C888" i="22"/>
  <c r="C889" i="22" s="1"/>
  <c r="C1449" i="22"/>
  <c r="C1450" i="22" s="1"/>
  <c r="C1130" i="22"/>
  <c r="C1131" i="22" s="1"/>
  <c r="C415" i="22"/>
  <c r="C416" i="22" s="1"/>
  <c r="C789" i="22"/>
  <c r="C790" i="22" s="1"/>
  <c r="C356" i="22"/>
  <c r="C580" i="22"/>
  <c r="C581" i="22" s="1"/>
  <c r="C1218" i="22"/>
  <c r="C1219" i="22" s="1"/>
  <c r="B14" i="22"/>
  <c r="C1135" i="22"/>
  <c r="C1086" i="22"/>
  <c r="C1087" i="22" s="1"/>
  <c r="C1149" i="22"/>
  <c r="C1151" i="22"/>
  <c r="C943" i="22"/>
  <c r="C944" i="22" s="1"/>
  <c r="C1438" i="22"/>
  <c r="C1439" i="22" s="1"/>
  <c r="C359" i="22"/>
  <c r="C1148" i="22"/>
  <c r="C354" i="22"/>
  <c r="C492" i="22"/>
  <c r="C493" i="22" s="1"/>
  <c r="C998" i="22"/>
  <c r="C999" i="22" s="1"/>
  <c r="C1229" i="22"/>
  <c r="C1230" i="22" s="1"/>
  <c r="C1196" i="22"/>
  <c r="C1197" i="22" s="1"/>
  <c r="C481" i="22"/>
  <c r="C482" i="22" s="1"/>
  <c r="C899" i="22"/>
  <c r="C900" i="22" s="1"/>
  <c r="C811" i="22"/>
  <c r="C812" i="22" s="1"/>
  <c r="C1482" i="22"/>
  <c r="C1483" i="22" s="1"/>
  <c r="C822" i="22"/>
  <c r="C823" i="22" s="1"/>
  <c r="C360" i="22"/>
  <c r="C1280" i="22"/>
  <c r="C1136" i="22"/>
  <c r="C10" i="22"/>
  <c r="C1278" i="22"/>
  <c r="C358" i="22"/>
  <c r="C4" i="22"/>
  <c r="C1427" i="22"/>
  <c r="C1428" i="22" s="1"/>
  <c r="C1306" i="22"/>
  <c r="C1307" i="22" s="1"/>
  <c r="C1504" i="22"/>
  <c r="C1505" i="22" s="1"/>
  <c r="C437" i="22"/>
  <c r="C438" i="22" s="1"/>
  <c r="C470" i="22"/>
  <c r="C471" i="22" s="1"/>
  <c r="C7" i="22"/>
  <c r="C1150" i="22"/>
  <c r="C910" i="22"/>
  <c r="C911" i="22" s="1"/>
  <c r="C591" i="22"/>
  <c r="C592" i="22" s="1"/>
  <c r="C1119" i="22"/>
  <c r="C1120" i="22" s="1"/>
  <c r="C1163" i="22"/>
  <c r="C1164" i="22" s="1"/>
  <c r="C1277" i="22"/>
  <c r="C701" i="22"/>
  <c r="C702" i="22" s="1"/>
  <c r="C5" i="22"/>
  <c r="C11" i="22"/>
  <c r="F908" i="18"/>
  <c r="C907" i="18"/>
  <c r="B793" i="28" l="1"/>
  <c r="I87" i="18"/>
  <c r="K87" i="18" s="1"/>
  <c r="I92" i="18"/>
  <c r="K92" i="18" s="1"/>
  <c r="I88" i="18"/>
  <c r="K88" i="18" s="1"/>
  <c r="I86" i="18"/>
  <c r="K86" i="18" s="1"/>
  <c r="C1142" i="22"/>
  <c r="C12" i="22"/>
  <c r="C1153" i="22"/>
  <c r="C1285" i="22"/>
  <c r="C361" i="22"/>
  <c r="F909" i="18"/>
  <c r="C908" i="18"/>
  <c r="B794" i="28" l="1"/>
  <c r="I91" i="18"/>
  <c r="K91" i="18" s="1"/>
  <c r="I95" i="18"/>
  <c r="K95" i="18" s="1"/>
  <c r="I90" i="18"/>
  <c r="K90" i="18" s="1"/>
  <c r="F910" i="18"/>
  <c r="C909" i="18"/>
  <c r="B795" i="28" l="1"/>
  <c r="B796" i="28" s="1"/>
  <c r="B797" i="28" s="1"/>
  <c r="I93" i="18"/>
  <c r="K93" i="18" s="1"/>
  <c r="I89" i="18"/>
  <c r="K89" i="18" s="1"/>
  <c r="I94" i="18"/>
  <c r="K94" i="18" s="1"/>
  <c r="C910" i="18"/>
  <c r="F911" i="18"/>
  <c r="B798" i="28" l="1"/>
  <c r="B799" i="28" s="1"/>
  <c r="B800" i="28" s="1"/>
  <c r="B801" i="28" s="1"/>
  <c r="I98" i="18"/>
  <c r="K98" i="18" s="1"/>
  <c r="I102" i="18"/>
  <c r="K102" i="18" s="1"/>
  <c r="I101" i="18"/>
  <c r="K101" i="18" s="1"/>
  <c r="I100" i="18"/>
  <c r="K100" i="18" s="1"/>
  <c r="I99" i="18"/>
  <c r="K99" i="18" s="1"/>
  <c r="C911" i="18"/>
  <c r="F912" i="18"/>
  <c r="B802" i="28" l="1"/>
  <c r="B803" i="28" s="1"/>
  <c r="B804" i="28" s="1"/>
  <c r="I105" i="18"/>
  <c r="K105" i="18" s="1"/>
  <c r="I97" i="18"/>
  <c r="K97" i="18" s="1"/>
  <c r="I106" i="18"/>
  <c r="K106" i="18" s="1"/>
  <c r="I96" i="18"/>
  <c r="K96" i="18" s="1"/>
  <c r="C912" i="18"/>
  <c r="F913" i="18"/>
  <c r="B805" i="28" l="1"/>
  <c r="I104" i="18"/>
  <c r="K104" i="18" s="1"/>
  <c r="I109" i="18"/>
  <c r="K109" i="18" s="1"/>
  <c r="C913" i="18"/>
  <c r="F914" i="18"/>
  <c r="B806" i="28" l="1"/>
  <c r="I108" i="18"/>
  <c r="K108" i="18" s="1"/>
  <c r="I114" i="18"/>
  <c r="K114" i="18" s="1"/>
  <c r="I115" i="18"/>
  <c r="K115" i="18" s="1"/>
  <c r="C914" i="18"/>
  <c r="F915" i="18"/>
  <c r="B807" i="28" l="1"/>
  <c r="I112" i="18"/>
  <c r="K112" i="18" s="1"/>
  <c r="I111" i="18"/>
  <c r="K111" i="18" s="1"/>
  <c r="I107" i="18"/>
  <c r="K107" i="18" s="1"/>
  <c r="I113" i="18"/>
  <c r="K113" i="18" s="1"/>
  <c r="F916" i="18"/>
  <c r="C915" i="18"/>
  <c r="B808" i="28" l="1"/>
  <c r="B809" i="28" s="1"/>
  <c r="B810" i="28" s="1"/>
  <c r="B811" i="28" s="1"/>
  <c r="I110" i="18"/>
  <c r="K110" i="18" s="1"/>
  <c r="I118" i="18"/>
  <c r="K118" i="18" s="1"/>
  <c r="I119" i="18"/>
  <c r="K119" i="18" s="1"/>
  <c r="F917" i="18"/>
  <c r="C916" i="18"/>
  <c r="B812" i="28" l="1"/>
  <c r="I121" i="18"/>
  <c r="K121" i="18" s="1"/>
  <c r="I123" i="18"/>
  <c r="K123" i="18" s="1"/>
  <c r="I122" i="18"/>
  <c r="K122" i="18" s="1"/>
  <c r="I126" i="18"/>
  <c r="K126" i="18" s="1"/>
  <c r="I117" i="18"/>
  <c r="K117" i="18" s="1"/>
  <c r="I128" i="18"/>
  <c r="K128" i="18" s="1"/>
  <c r="I127" i="18"/>
  <c r="K127" i="18" s="1"/>
  <c r="F918" i="18"/>
  <c r="C917" i="18"/>
  <c r="B813" i="28" l="1"/>
  <c r="I125" i="18"/>
  <c r="K125" i="18" s="1"/>
  <c r="I120" i="18"/>
  <c r="K120" i="18" s="1"/>
  <c r="I116" i="18"/>
  <c r="K116" i="18" s="1"/>
  <c r="I191" i="18"/>
  <c r="K191" i="18" s="1"/>
  <c r="C918" i="18"/>
  <c r="F919" i="18"/>
  <c r="I131" i="18" l="1"/>
  <c r="K131" i="18" s="1"/>
  <c r="I133" i="18"/>
  <c r="K133" i="18" s="1"/>
  <c r="I124" i="18"/>
  <c r="K124" i="18" s="1"/>
  <c r="I132" i="18"/>
  <c r="K132" i="18" s="1"/>
  <c r="B814" i="28"/>
  <c r="F920" i="18"/>
  <c r="C919" i="18"/>
  <c r="B815" i="28" l="1"/>
  <c r="I140" i="18"/>
  <c r="K140" i="18" s="1"/>
  <c r="I130" i="18"/>
  <c r="K130" i="18" s="1"/>
  <c r="I103" i="18"/>
  <c r="K103" i="18" s="1"/>
  <c r="I129" i="18"/>
  <c r="K129" i="18" s="1"/>
  <c r="I142" i="18"/>
  <c r="K142" i="18" s="1"/>
  <c r="I141" i="18"/>
  <c r="K141" i="18" s="1"/>
  <c r="I139" i="18"/>
  <c r="K139" i="18" s="1"/>
  <c r="C920" i="18"/>
  <c r="F921" i="18"/>
  <c r="B816" i="28" l="1"/>
  <c r="B817" i="28" s="1"/>
  <c r="B818" i="28" s="1"/>
  <c r="I137" i="18"/>
  <c r="K137" i="18" s="1"/>
  <c r="I136" i="18"/>
  <c r="K136" i="18" s="1"/>
  <c r="I147" i="18"/>
  <c r="K147" i="18" s="1"/>
  <c r="I138" i="18"/>
  <c r="K138" i="18" s="1"/>
  <c r="C921" i="18"/>
  <c r="F922" i="18"/>
  <c r="B819" i="28" l="1"/>
  <c r="I143" i="18"/>
  <c r="K143" i="18" s="1"/>
  <c r="I135" i="18"/>
  <c r="K135" i="18" s="1"/>
  <c r="I145" i="18"/>
  <c r="K145" i="18" s="1"/>
  <c r="I151" i="18"/>
  <c r="K151" i="18" s="1"/>
  <c r="I144" i="18"/>
  <c r="K144" i="18" s="1"/>
  <c r="I146" i="18"/>
  <c r="K146" i="18" s="1"/>
  <c r="F923" i="18"/>
  <c r="C922" i="18"/>
  <c r="B820" i="28" l="1"/>
  <c r="I149" i="18"/>
  <c r="K149" i="18" s="1"/>
  <c r="I148" i="18"/>
  <c r="K148" i="18" s="1"/>
  <c r="I156" i="18"/>
  <c r="K156" i="18" s="1"/>
  <c r="I150" i="18"/>
  <c r="K150" i="18" s="1"/>
  <c r="C923" i="18"/>
  <c r="F924" i="18"/>
  <c r="B821" i="28" l="1"/>
  <c r="I152" i="18"/>
  <c r="K152" i="18" s="1"/>
  <c r="I155" i="18"/>
  <c r="K155" i="18" s="1"/>
  <c r="I154" i="18"/>
  <c r="K154" i="18" s="1"/>
  <c r="I153" i="18"/>
  <c r="K153" i="18" s="1"/>
  <c r="I161" i="18"/>
  <c r="K161" i="18" s="1"/>
  <c r="C924" i="18"/>
  <c r="F925" i="18"/>
  <c r="B822" i="28" l="1"/>
  <c r="I159" i="18"/>
  <c r="K159" i="18" s="1"/>
  <c r="I157" i="18"/>
  <c r="K157" i="18" s="1"/>
  <c r="I160" i="18"/>
  <c r="K160" i="18" s="1"/>
  <c r="I164" i="18"/>
  <c r="K164" i="18" s="1"/>
  <c r="I158" i="18"/>
  <c r="K158" i="18" s="1"/>
  <c r="C925" i="18"/>
  <c r="F926" i="18"/>
  <c r="B823" i="28" l="1"/>
  <c r="B824" i="28" s="1"/>
  <c r="B825" i="28" s="1"/>
  <c r="I162" i="18"/>
  <c r="K162" i="18" s="1"/>
  <c r="I163" i="18"/>
  <c r="K163" i="18" s="1"/>
  <c r="C926" i="18"/>
  <c r="F927" i="18"/>
  <c r="B826" i="28" l="1"/>
  <c r="I165" i="18"/>
  <c r="K165" i="18" s="1"/>
  <c r="I166" i="18"/>
  <c r="K166" i="18" s="1"/>
  <c r="I168" i="18"/>
  <c r="K168" i="18" s="1"/>
  <c r="I167" i="18"/>
  <c r="K167" i="18" s="1"/>
  <c r="C927" i="18"/>
  <c r="F928" i="18"/>
  <c r="B827" i="28" l="1"/>
  <c r="I175" i="18"/>
  <c r="K175" i="18" s="1"/>
  <c r="I170" i="18"/>
  <c r="K170" i="18" s="1"/>
  <c r="I169" i="18"/>
  <c r="K169" i="18" s="1"/>
  <c r="I171" i="18"/>
  <c r="K171" i="18" s="1"/>
  <c r="F929" i="18"/>
  <c r="C928" i="18"/>
  <c r="B828" i="28" l="1"/>
  <c r="I172" i="18"/>
  <c r="K172" i="18" s="1"/>
  <c r="I180" i="18"/>
  <c r="K180" i="18" s="1"/>
  <c r="I173" i="18"/>
  <c r="K173" i="18" s="1"/>
  <c r="I134" i="18"/>
  <c r="K134" i="18" s="1"/>
  <c r="I174" i="18"/>
  <c r="K174" i="18" s="1"/>
  <c r="I181" i="18"/>
  <c r="K181" i="18" s="1"/>
  <c r="F932" i="18"/>
  <c r="C929" i="18"/>
  <c r="F930" i="18"/>
  <c r="B829" i="28" l="1"/>
  <c r="I178" i="18"/>
  <c r="K178" i="18" s="1"/>
  <c r="I179" i="18"/>
  <c r="K179" i="18" s="1"/>
  <c r="I184" i="18"/>
  <c r="K184" i="18" s="1"/>
  <c r="I177" i="18"/>
  <c r="K177" i="18" s="1"/>
  <c r="I185" i="18"/>
  <c r="K185" i="18" s="1"/>
  <c r="I183" i="18"/>
  <c r="K183" i="18" s="1"/>
  <c r="F931" i="18"/>
  <c r="F933" i="18"/>
  <c r="C930" i="18"/>
  <c r="F935" i="18"/>
  <c r="C932" i="18"/>
  <c r="B830" i="28" l="1"/>
  <c r="B831" i="28" s="1"/>
  <c r="B832" i="28" s="1"/>
  <c r="I189" i="18"/>
  <c r="K189" i="18" s="1"/>
  <c r="I176" i="18"/>
  <c r="K176" i="18" s="1"/>
  <c r="I187" i="18"/>
  <c r="K187" i="18" s="1"/>
  <c r="I190" i="18"/>
  <c r="K190" i="18" s="1"/>
  <c r="I182" i="18"/>
  <c r="K182" i="18" s="1"/>
  <c r="I186" i="18"/>
  <c r="K186" i="18" s="1"/>
  <c r="I188" i="18"/>
  <c r="K188" i="18" s="1"/>
  <c r="C935" i="18"/>
  <c r="F938" i="18"/>
  <c r="F936" i="18"/>
  <c r="C933" i="18"/>
  <c r="C931" i="18"/>
  <c r="F934" i="18"/>
  <c r="B833" i="28" l="1"/>
  <c r="J66" i="18"/>
  <c r="J67" i="18"/>
  <c r="J64" i="18"/>
  <c r="J68" i="18"/>
  <c r="J65" i="18"/>
  <c r="F937" i="18"/>
  <c r="C934" i="18"/>
  <c r="C936" i="18"/>
  <c r="F939" i="18"/>
  <c r="F941" i="18"/>
  <c r="C938" i="18"/>
  <c r="B834" i="28" l="1"/>
  <c r="J72" i="18"/>
  <c r="J70" i="18"/>
  <c r="J73" i="18"/>
  <c r="J69" i="18"/>
  <c r="J71" i="18"/>
  <c r="C941" i="18"/>
  <c r="F944" i="18"/>
  <c r="F942" i="18"/>
  <c r="C939" i="18"/>
  <c r="C937" i="18"/>
  <c r="F940" i="18"/>
  <c r="B835" i="28" l="1"/>
  <c r="B836" i="28" s="1"/>
  <c r="J78" i="18"/>
  <c r="J74" i="18"/>
  <c r="J77" i="18"/>
  <c r="J76" i="18"/>
  <c r="J75" i="18"/>
  <c r="F943" i="18"/>
  <c r="C940" i="18"/>
  <c r="F945" i="18"/>
  <c r="C942" i="18"/>
  <c r="F947" i="18"/>
  <c r="C944" i="18"/>
  <c r="B837" i="28" l="1"/>
  <c r="B838" i="28" s="1"/>
  <c r="B839" i="28" s="1"/>
  <c r="J80" i="18"/>
  <c r="J79" i="18"/>
  <c r="J81" i="18"/>
  <c r="J83" i="18"/>
  <c r="J82" i="18"/>
  <c r="C947" i="18"/>
  <c r="F950" i="18"/>
  <c r="F948" i="18"/>
  <c r="C945" i="18"/>
  <c r="F946" i="18"/>
  <c r="C943" i="18"/>
  <c r="B840" i="28" l="1"/>
  <c r="J84" i="18"/>
  <c r="J85" i="18"/>
  <c r="C946" i="18"/>
  <c r="F949" i="18"/>
  <c r="F951" i="18"/>
  <c r="C948" i="18"/>
  <c r="F953" i="18"/>
  <c r="C950" i="18"/>
  <c r="B841" i="28" l="1"/>
  <c r="J87" i="18"/>
  <c r="J86" i="18"/>
  <c r="J88" i="18"/>
  <c r="C951" i="18"/>
  <c r="F954" i="18"/>
  <c r="F956" i="18"/>
  <c r="C953" i="18"/>
  <c r="C949" i="18"/>
  <c r="F952" i="18"/>
  <c r="B842" i="28" l="1"/>
  <c r="J89" i="18"/>
  <c r="J92" i="18"/>
  <c r="J90" i="18"/>
  <c r="J91" i="18"/>
  <c r="F955" i="18"/>
  <c r="C952" i="18"/>
  <c r="C956" i="18"/>
  <c r="F959" i="18"/>
  <c r="F957" i="18"/>
  <c r="C954" i="18"/>
  <c r="B843" i="28" l="1"/>
  <c r="J95" i="18"/>
  <c r="J94" i="18"/>
  <c r="J93" i="18"/>
  <c r="C957" i="18"/>
  <c r="F960" i="18"/>
  <c r="C959" i="18"/>
  <c r="F962" i="18"/>
  <c r="C962" i="18" s="1"/>
  <c r="C955" i="18"/>
  <c r="F958" i="18"/>
  <c r="B844" i="28" l="1"/>
  <c r="B845" i="28" s="1"/>
  <c r="B846" i="28" s="1"/>
  <c r="J97" i="18"/>
  <c r="J96" i="18"/>
  <c r="J98" i="18"/>
  <c r="J102" i="18"/>
  <c r="J101" i="18"/>
  <c r="J100" i="18"/>
  <c r="J99" i="18"/>
  <c r="C958" i="18"/>
  <c r="F961" i="18"/>
  <c r="C961" i="18" s="1"/>
  <c r="C960" i="18"/>
  <c r="F963" i="18"/>
  <c r="C963" i="18" s="1"/>
  <c r="B847" i="28" l="1"/>
  <c r="J103" i="18"/>
  <c r="J106" i="18"/>
  <c r="J105" i="18"/>
  <c r="J104" i="18"/>
  <c r="C971" i="18"/>
  <c r="A971" i="18" s="1"/>
  <c r="B848" i="28" l="1"/>
  <c r="J109" i="18"/>
  <c r="J107" i="18"/>
  <c r="J108" i="18"/>
  <c r="B849" i="28" l="1"/>
  <c r="J110" i="18"/>
  <c r="J114" i="18"/>
  <c r="J111" i="18"/>
  <c r="J113" i="18"/>
  <c r="J115" i="18"/>
  <c r="J112" i="18"/>
  <c r="B850" i="28" l="1"/>
  <c r="B851" i="28" s="1"/>
  <c r="B852" i="28" s="1"/>
  <c r="B853" i="28" s="1"/>
  <c r="B854" i="28" s="1"/>
  <c r="J116" i="18"/>
  <c r="J118" i="18"/>
  <c r="J119" i="18"/>
  <c r="J117" i="18"/>
  <c r="B855" i="28" l="1"/>
  <c r="J120" i="18"/>
  <c r="J122" i="18"/>
  <c r="J123" i="18"/>
  <c r="J121" i="18"/>
  <c r="B856" i="28" l="1"/>
  <c r="J125" i="18"/>
  <c r="J126" i="18"/>
  <c r="J127" i="18"/>
  <c r="J128" i="18"/>
  <c r="J124" i="18"/>
  <c r="B857" i="28" l="1"/>
  <c r="J130" i="18"/>
  <c r="J132" i="18"/>
  <c r="J129" i="18"/>
  <c r="J133" i="18"/>
  <c r="J131" i="18"/>
  <c r="B858" i="28" l="1"/>
  <c r="B859" i="28" s="1"/>
  <c r="B860" i="28" s="1"/>
  <c r="J140" i="18"/>
  <c r="J137" i="18"/>
  <c r="J135" i="18"/>
  <c r="J139" i="18"/>
  <c r="J142" i="18"/>
  <c r="J138" i="18"/>
  <c r="J141" i="18"/>
  <c r="J136" i="18"/>
  <c r="J134" i="18"/>
  <c r="B861" i="28" l="1"/>
  <c r="J143" i="18"/>
  <c r="J145" i="18"/>
  <c r="J147" i="18"/>
  <c r="J146" i="18"/>
  <c r="J144" i="18"/>
  <c r="B862" i="28" l="1"/>
  <c r="J149" i="18"/>
  <c r="J150" i="18"/>
  <c r="J151" i="18"/>
  <c r="J148" i="18"/>
  <c r="B863" i="28" l="1"/>
  <c r="J152" i="18"/>
  <c r="J155" i="18"/>
  <c r="J156" i="18"/>
  <c r="J153" i="18"/>
  <c r="J154" i="18"/>
  <c r="B864" i="28" l="1"/>
  <c r="J159" i="18"/>
  <c r="J158" i="18"/>
  <c r="J160" i="18"/>
  <c r="J161" i="18"/>
  <c r="J157" i="18"/>
  <c r="B865" i="28" l="1"/>
  <c r="B866" i="28" s="1"/>
  <c r="B867" i="28" s="1"/>
  <c r="B868" i="28" s="1"/>
  <c r="J162" i="18"/>
  <c r="J163" i="18"/>
  <c r="J164" i="18"/>
  <c r="B869" i="28" l="1"/>
  <c r="J165" i="18"/>
  <c r="J166" i="18"/>
  <c r="J168" i="18"/>
  <c r="J167" i="18"/>
  <c r="B870" i="28" l="1"/>
  <c r="J169" i="18"/>
  <c r="J171" i="18"/>
  <c r="J170" i="18"/>
  <c r="B871" i="28" l="1"/>
  <c r="J175" i="18"/>
  <c r="J172" i="18"/>
  <c r="J173" i="18"/>
  <c r="J174" i="18"/>
  <c r="B872" i="28" l="1"/>
  <c r="B873" i="28" s="1"/>
  <c r="B874" i="28" s="1"/>
  <c r="J180" i="18"/>
  <c r="J178" i="18"/>
  <c r="J179" i="18"/>
  <c r="J176" i="18"/>
  <c r="J177" i="18"/>
  <c r="J181" i="18"/>
  <c r="J189" i="18" l="1"/>
  <c r="J187" i="18"/>
  <c r="J190" i="18"/>
  <c r="J191" i="18"/>
  <c r="L191" i="18" s="1"/>
  <c r="M191" i="18" s="1"/>
  <c r="M192" i="18" s="1"/>
  <c r="J186" i="18"/>
  <c r="J188" i="18"/>
  <c r="J183" i="18"/>
  <c r="J184" i="18"/>
  <c r="J182" i="18"/>
  <c r="J185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arturo</author>
    <author>Arturo</author>
  </authors>
  <commentList>
    <comment ref="F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9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3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3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F147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48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F158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59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67" authorId="1" shapeId="0" xr:uid="{00000000-0006-0000-0100-00000A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169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70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78" authorId="1" shapeId="0" xr:uid="{00000000-0006-0000-0100-00000D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180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81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89" authorId="1" shapeId="0" xr:uid="{00000000-0006-0000-0100-000010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191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92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00" authorId="1" shapeId="0" xr:uid="{00000000-0006-0000-0100-000013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203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11" authorId="1" shapeId="0" xr:uid="{00000000-0006-0000-0100-000015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213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214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22" authorId="1" shapeId="0" xr:uid="{00000000-0006-0000-0100-000018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224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225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33" authorId="1" shapeId="0" xr:uid="{00000000-0006-0000-0100-00001B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235" authorId="0" shapeId="0" xr:uid="{00000000-0006-0000-0100-00001C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236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44" authorId="1" shapeId="0" xr:uid="{00000000-0006-0000-0100-00001E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246" authorId="0" shapeId="0" xr:uid="{00000000-0006-0000-0100-00001F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247" authorId="0" shapeId="0" xr:uid="{00000000-0006-0000-0100-000020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48" authorId="1" shapeId="0" xr:uid="{00000000-0006-0000-0100-000021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opciones
</t>
        </r>
      </text>
    </comment>
    <comment ref="E255" authorId="1" shapeId="0" xr:uid="{00000000-0006-0000-0100-000022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257" authorId="0" shapeId="0" xr:uid="{00000000-0006-0000-0100-000023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258" authorId="0" shapeId="0" xr:uid="{00000000-0006-0000-0100-000024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66" authorId="1" shapeId="0" xr:uid="{00000000-0006-0000-0100-000025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268" authorId="0" shapeId="0" xr:uid="{00000000-0006-0000-0100-000026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269" authorId="0" shapeId="0" xr:uid="{00000000-0006-0000-0100-000027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70" authorId="1" shapeId="0" xr:uid="{00000000-0006-0000-0100-000028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277" authorId="1" shapeId="0" xr:uid="{00000000-0006-0000-0100-000029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279" authorId="0" shapeId="0" xr:uid="{00000000-0006-0000-0100-00002A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280" authorId="0" shapeId="0" xr:uid="{00000000-0006-0000-0100-00002B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E281" authorId="1" shapeId="0" xr:uid="{00000000-0006-0000-0100-00002C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288" authorId="1" shapeId="0" xr:uid="{00000000-0006-0000-0100-00002D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290" authorId="0" shapeId="0" xr:uid="{00000000-0006-0000-0100-00002E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291" authorId="0" shapeId="0" xr:uid="{00000000-0006-0000-0100-00002F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92" authorId="1" shapeId="0" xr:uid="{00000000-0006-0000-0100-000030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299" authorId="1" shapeId="0" xr:uid="{00000000-0006-0000-0100-000031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301" authorId="0" shapeId="0" xr:uid="{00000000-0006-0000-0100-000032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302" authorId="0" shapeId="0" xr:uid="{00000000-0006-0000-0100-000033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303" authorId="1" shapeId="0" xr:uid="{00000000-0006-0000-0100-000034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310" authorId="1" shapeId="0" xr:uid="{00000000-0006-0000-0100-000035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312" authorId="0" shapeId="0" xr:uid="{00000000-0006-0000-0100-000036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313" authorId="0" shapeId="0" xr:uid="{00000000-0006-0000-0100-000037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314" authorId="1" shapeId="0" xr:uid="{00000000-0006-0000-0100-000038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321" authorId="1" shapeId="0" xr:uid="{00000000-0006-0000-0100-000039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323" authorId="0" shapeId="0" xr:uid="{00000000-0006-0000-0100-00003A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324" authorId="0" shapeId="0" xr:uid="{00000000-0006-0000-0100-00003B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325" authorId="1" shapeId="0" xr:uid="{00000000-0006-0000-0100-00003C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332" authorId="1" shapeId="0" xr:uid="{00000000-0006-0000-0100-00003D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334" authorId="0" shapeId="0" xr:uid="{00000000-0006-0000-0100-00003E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335" authorId="0" shapeId="0" xr:uid="{00000000-0006-0000-0100-00003F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336" authorId="1" shapeId="0" xr:uid="{00000000-0006-0000-0100-000040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343" authorId="1" shapeId="0" xr:uid="{00000000-0006-0000-0100-000041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345" authorId="0" shapeId="0" xr:uid="{00000000-0006-0000-0100-000042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346" authorId="0" shapeId="0" xr:uid="{00000000-0006-0000-0100-000043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347" authorId="1" shapeId="0" xr:uid="{00000000-0006-0000-0100-000044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354" authorId="1" shapeId="0" xr:uid="{00000000-0006-0000-0100-000045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356" authorId="0" shapeId="0" xr:uid="{00000000-0006-0000-0100-000046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357" authorId="0" shapeId="0" xr:uid="{00000000-0006-0000-0100-000047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358" authorId="1" shapeId="0" xr:uid="{00000000-0006-0000-0100-000048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365" authorId="1" shapeId="0" xr:uid="{00000000-0006-0000-0100-000049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367" authorId="0" shapeId="0" xr:uid="{00000000-0006-0000-0100-00004A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368" authorId="0" shapeId="0" xr:uid="{00000000-0006-0000-0100-00004B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369" authorId="1" shapeId="0" xr:uid="{00000000-0006-0000-0100-00004C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376" authorId="1" shapeId="0" xr:uid="{00000000-0006-0000-0100-00004D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378" authorId="0" shapeId="0" xr:uid="{00000000-0006-0000-0100-00004E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379" authorId="0" shapeId="0" xr:uid="{00000000-0006-0000-0100-00004F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380" authorId="1" shapeId="0" xr:uid="{00000000-0006-0000-0100-000050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387" authorId="1" shapeId="0" xr:uid="{00000000-0006-0000-0100-000051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389" authorId="0" shapeId="0" xr:uid="{00000000-0006-0000-0100-000052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390" authorId="0" shapeId="0" xr:uid="{00000000-0006-0000-0100-000053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391" authorId="1" shapeId="0" xr:uid="{00000000-0006-0000-0100-000054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398" authorId="1" shapeId="0" xr:uid="{00000000-0006-0000-0100-000055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400" authorId="0" shapeId="0" xr:uid="{00000000-0006-0000-0100-000056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401" authorId="0" shapeId="0" xr:uid="{00000000-0006-0000-0100-000057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402" authorId="1" shapeId="0" xr:uid="{00000000-0006-0000-0100-000058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409" authorId="1" shapeId="0" xr:uid="{00000000-0006-0000-0100-000059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411" authorId="0" shapeId="0" xr:uid="{00000000-0006-0000-0100-00005A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412" authorId="0" shapeId="0" xr:uid="{00000000-0006-0000-0100-00005B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413" authorId="1" shapeId="0" xr:uid="{00000000-0006-0000-0100-00005C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420" authorId="1" shapeId="0" xr:uid="{00000000-0006-0000-0100-00005D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422" authorId="0" shapeId="0" xr:uid="{00000000-0006-0000-0100-00005E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423" authorId="0" shapeId="0" xr:uid="{00000000-0006-0000-0100-00005F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424" authorId="1" shapeId="0" xr:uid="{00000000-0006-0000-0100-000060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431" authorId="1" shapeId="0" xr:uid="{00000000-0006-0000-0100-000061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433" authorId="0" shapeId="0" xr:uid="{00000000-0006-0000-0100-000062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434" authorId="0" shapeId="0" xr:uid="{00000000-0006-0000-0100-000063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435" authorId="1" shapeId="0" xr:uid="{00000000-0006-0000-0100-000064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442" authorId="1" shapeId="0" xr:uid="{00000000-0006-0000-0100-000065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444" authorId="0" shapeId="0" xr:uid="{00000000-0006-0000-0100-000066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445" authorId="0" shapeId="0" xr:uid="{00000000-0006-0000-0100-000067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446" authorId="1" shapeId="0" xr:uid="{00000000-0006-0000-0100-000068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453" authorId="1" shapeId="0" xr:uid="{00000000-0006-0000-0100-000069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455" authorId="0" shapeId="0" xr:uid="{00000000-0006-0000-0100-00006A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456" authorId="0" shapeId="0" xr:uid="{00000000-0006-0000-0100-00006B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457" authorId="1" shapeId="0" xr:uid="{00000000-0006-0000-0100-00006C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464" authorId="1" shapeId="0" xr:uid="{00000000-0006-0000-0100-00006D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466" authorId="0" shapeId="0" xr:uid="{00000000-0006-0000-0100-00006E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467" authorId="0" shapeId="0" xr:uid="{00000000-0006-0000-0100-00006F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468" authorId="1" shapeId="0" xr:uid="{00000000-0006-0000-0100-000070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475" authorId="1" shapeId="0" xr:uid="{00000000-0006-0000-0100-000071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477" authorId="0" shapeId="0" xr:uid="{00000000-0006-0000-0100-000072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478" authorId="0" shapeId="0" xr:uid="{00000000-0006-0000-0100-000073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479" authorId="1" shapeId="0" xr:uid="{00000000-0006-0000-0100-000074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486" authorId="1" shapeId="0" xr:uid="{00000000-0006-0000-0100-000075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488" authorId="0" shapeId="0" xr:uid="{00000000-0006-0000-0100-000076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489" authorId="0" shapeId="0" xr:uid="{00000000-0006-0000-0100-000077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490" authorId="1" shapeId="0" xr:uid="{00000000-0006-0000-0100-000078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497" authorId="1" shapeId="0" xr:uid="{00000000-0006-0000-0100-000079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499" authorId="0" shapeId="0" xr:uid="{00000000-0006-0000-0100-00007A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500" authorId="0" shapeId="0" xr:uid="{00000000-0006-0000-0100-00007B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501" authorId="1" shapeId="0" xr:uid="{00000000-0006-0000-0100-00007C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508" authorId="1" shapeId="0" xr:uid="{00000000-0006-0000-0100-00007D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510" authorId="0" shapeId="0" xr:uid="{00000000-0006-0000-0100-00007E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511" authorId="0" shapeId="0" xr:uid="{00000000-0006-0000-0100-00007F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512" authorId="1" shapeId="0" xr:uid="{00000000-0006-0000-0100-000080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519" authorId="1" shapeId="0" xr:uid="{00000000-0006-0000-0100-000081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521" authorId="0" shapeId="0" xr:uid="{00000000-0006-0000-0100-000082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522" authorId="0" shapeId="0" xr:uid="{00000000-0006-0000-0100-000083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523" authorId="1" shapeId="0" xr:uid="{00000000-0006-0000-0100-000084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530" authorId="1" shapeId="0" xr:uid="{00000000-0006-0000-0100-000085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532" authorId="0" shapeId="0" xr:uid="{00000000-0006-0000-0100-000086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533" authorId="0" shapeId="0" xr:uid="{00000000-0006-0000-0100-000087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534" authorId="1" shapeId="0" xr:uid="{00000000-0006-0000-0100-000088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541" authorId="1" shapeId="0" xr:uid="{00000000-0006-0000-0100-000089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543" authorId="0" shapeId="0" xr:uid="{00000000-0006-0000-0100-00008A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544" authorId="0" shapeId="0" xr:uid="{00000000-0006-0000-0100-00008B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545" authorId="1" shapeId="0" xr:uid="{00000000-0006-0000-0100-00008C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552" authorId="1" shapeId="0" xr:uid="{00000000-0006-0000-0100-00008D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554" authorId="0" shapeId="0" xr:uid="{00000000-0006-0000-0100-00008E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555" authorId="0" shapeId="0" xr:uid="{00000000-0006-0000-0100-00008F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556" authorId="1" shapeId="0" xr:uid="{00000000-0006-0000-0100-000090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563" authorId="1" shapeId="0" xr:uid="{00000000-0006-0000-0100-000091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565" authorId="0" shapeId="0" xr:uid="{00000000-0006-0000-0100-000092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566" authorId="0" shapeId="0" xr:uid="{00000000-0006-0000-0100-000093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567" authorId="1" shapeId="0" xr:uid="{00000000-0006-0000-0100-000094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574" authorId="1" shapeId="0" xr:uid="{00000000-0006-0000-0100-000095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576" authorId="0" shapeId="0" xr:uid="{00000000-0006-0000-0100-000096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577" authorId="0" shapeId="0" xr:uid="{00000000-0006-0000-0100-000097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578" authorId="1" shapeId="0" xr:uid="{00000000-0006-0000-0100-000098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585" authorId="1" shapeId="0" xr:uid="{00000000-0006-0000-0100-000099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587" authorId="0" shapeId="0" xr:uid="{00000000-0006-0000-0100-00009A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588" authorId="0" shapeId="0" xr:uid="{00000000-0006-0000-0100-00009B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589" authorId="1" shapeId="0" xr:uid="{00000000-0006-0000-0100-00009C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596" authorId="1" shapeId="0" xr:uid="{00000000-0006-0000-0100-00009D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598" authorId="0" shapeId="0" xr:uid="{00000000-0006-0000-0100-00009E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599" authorId="0" shapeId="0" xr:uid="{00000000-0006-0000-0100-00009F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600" authorId="1" shapeId="0" xr:uid="{00000000-0006-0000-0100-0000A0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607" authorId="1" shapeId="0" xr:uid="{00000000-0006-0000-0100-0000A1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609" authorId="0" shapeId="0" xr:uid="{00000000-0006-0000-0100-0000A2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610" authorId="0" shapeId="0" xr:uid="{00000000-0006-0000-0100-0000A3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611" authorId="1" shapeId="0" xr:uid="{00000000-0006-0000-0100-0000A4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618" authorId="1" shapeId="0" xr:uid="{00000000-0006-0000-0100-0000A5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620" authorId="0" shapeId="0" xr:uid="{00000000-0006-0000-0100-0000A6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621" authorId="0" shapeId="0" xr:uid="{00000000-0006-0000-0100-0000A7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622" authorId="1" shapeId="0" xr:uid="{00000000-0006-0000-0100-0000A8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629" authorId="1" shapeId="0" xr:uid="{00000000-0006-0000-0100-0000A9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631" authorId="0" shapeId="0" xr:uid="{00000000-0006-0000-0100-0000AA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632" authorId="0" shapeId="0" xr:uid="{00000000-0006-0000-0100-0000AB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633" authorId="1" shapeId="0" xr:uid="{00000000-0006-0000-0100-0000AC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640" authorId="1" shapeId="0" xr:uid="{00000000-0006-0000-0100-0000AD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642" authorId="0" shapeId="0" xr:uid="{00000000-0006-0000-0100-0000AE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643" authorId="0" shapeId="0" xr:uid="{00000000-0006-0000-0100-0000AF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644" authorId="1" shapeId="0" xr:uid="{00000000-0006-0000-0100-0000B0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651" authorId="1" shapeId="0" xr:uid="{00000000-0006-0000-0100-0000B1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653" authorId="0" shapeId="0" xr:uid="{00000000-0006-0000-0100-0000B2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654" authorId="0" shapeId="0" xr:uid="{00000000-0006-0000-0100-0000B3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655" authorId="1" shapeId="0" xr:uid="{00000000-0006-0000-0100-0000B4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662" authorId="1" shapeId="0" xr:uid="{00000000-0006-0000-0100-0000B5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664" authorId="0" shapeId="0" xr:uid="{00000000-0006-0000-0100-0000B6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665" authorId="0" shapeId="0" xr:uid="{00000000-0006-0000-0100-0000B7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666" authorId="1" shapeId="0" xr:uid="{00000000-0006-0000-0100-0000B8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673" authorId="1" shapeId="0" xr:uid="{00000000-0006-0000-0100-0000B9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675" authorId="0" shapeId="0" xr:uid="{00000000-0006-0000-0100-0000BA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676" authorId="0" shapeId="0" xr:uid="{00000000-0006-0000-0100-0000BB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677" authorId="1" shapeId="0" xr:uid="{00000000-0006-0000-0100-0000BC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684" authorId="1" shapeId="0" xr:uid="{00000000-0006-0000-0100-0000BD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686" authorId="0" shapeId="0" xr:uid="{00000000-0006-0000-0100-0000BE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687" authorId="0" shapeId="0" xr:uid="{00000000-0006-0000-0100-0000BF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688" authorId="1" shapeId="0" xr:uid="{00000000-0006-0000-0100-0000C0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695" authorId="1" shapeId="0" xr:uid="{00000000-0006-0000-0100-0000C1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697" authorId="0" shapeId="0" xr:uid="{00000000-0006-0000-0100-0000C2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698" authorId="0" shapeId="0" xr:uid="{00000000-0006-0000-0100-0000C3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699" authorId="1" shapeId="0" xr:uid="{00000000-0006-0000-0100-0000C4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706" authorId="1" shapeId="0" xr:uid="{00000000-0006-0000-0100-0000C5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708" authorId="0" shapeId="0" xr:uid="{00000000-0006-0000-0100-0000C6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709" authorId="0" shapeId="0" xr:uid="{00000000-0006-0000-0100-0000C7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710" authorId="1" shapeId="0" xr:uid="{00000000-0006-0000-0100-0000C8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717" authorId="1" shapeId="0" xr:uid="{00000000-0006-0000-0100-0000C9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719" authorId="0" shapeId="0" xr:uid="{00000000-0006-0000-0100-0000CA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720" authorId="0" shapeId="0" xr:uid="{00000000-0006-0000-0100-0000CB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721" authorId="1" shapeId="0" xr:uid="{00000000-0006-0000-0100-0000CC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728" authorId="1" shapeId="0" xr:uid="{00000000-0006-0000-0100-0000CD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730" authorId="0" shapeId="0" xr:uid="{00000000-0006-0000-0100-0000CE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731" authorId="0" shapeId="0" xr:uid="{00000000-0006-0000-0100-0000CF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732" authorId="1" shapeId="0" xr:uid="{00000000-0006-0000-0100-0000D0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739" authorId="1" shapeId="0" xr:uid="{00000000-0006-0000-0100-0000D1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741" authorId="0" shapeId="0" xr:uid="{00000000-0006-0000-0100-0000D2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742" authorId="0" shapeId="0" xr:uid="{00000000-0006-0000-0100-0000D3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743" authorId="1" shapeId="0" xr:uid="{00000000-0006-0000-0100-0000D4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750" authorId="1" shapeId="0" xr:uid="{00000000-0006-0000-0100-0000D5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752" authorId="0" shapeId="0" xr:uid="{00000000-0006-0000-0100-0000D6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753" authorId="0" shapeId="0" xr:uid="{00000000-0006-0000-0100-0000D7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754" authorId="1" shapeId="0" xr:uid="{00000000-0006-0000-0100-0000D8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761" authorId="1" shapeId="0" xr:uid="{00000000-0006-0000-0100-0000D9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763" authorId="0" shapeId="0" xr:uid="{00000000-0006-0000-0100-0000DA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764" authorId="0" shapeId="0" xr:uid="{00000000-0006-0000-0100-0000DB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765" authorId="1" shapeId="0" xr:uid="{00000000-0006-0000-0100-0000DC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772" authorId="1" shapeId="0" xr:uid="{00000000-0006-0000-0100-0000DD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774" authorId="0" shapeId="0" xr:uid="{00000000-0006-0000-0100-0000DE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775" authorId="0" shapeId="0" xr:uid="{00000000-0006-0000-0100-0000DF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776" authorId="1" shapeId="0" xr:uid="{00000000-0006-0000-0100-0000E0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783" authorId="1" shapeId="0" xr:uid="{00000000-0006-0000-0100-0000E1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785" authorId="0" shapeId="0" xr:uid="{00000000-0006-0000-0100-0000E2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786" authorId="0" shapeId="0" xr:uid="{00000000-0006-0000-0100-0000E3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787" authorId="1" shapeId="0" xr:uid="{00000000-0006-0000-0100-0000E4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794" authorId="1" shapeId="0" xr:uid="{00000000-0006-0000-0100-0000E5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796" authorId="0" shapeId="0" xr:uid="{00000000-0006-0000-0100-0000E6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797" authorId="0" shapeId="0" xr:uid="{00000000-0006-0000-0100-0000E7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798" authorId="1" shapeId="0" xr:uid="{00000000-0006-0000-0100-0000E8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805" authorId="1" shapeId="0" xr:uid="{00000000-0006-0000-0100-0000E9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807" authorId="0" shapeId="0" xr:uid="{00000000-0006-0000-0100-0000EA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808" authorId="0" shapeId="0" xr:uid="{00000000-0006-0000-0100-0000EB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809" authorId="1" shapeId="0" xr:uid="{00000000-0006-0000-0100-0000EC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816" authorId="1" shapeId="0" xr:uid="{00000000-0006-0000-0100-0000ED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818" authorId="0" shapeId="0" xr:uid="{00000000-0006-0000-0100-0000EE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819" authorId="0" shapeId="0" xr:uid="{00000000-0006-0000-0100-0000EF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820" authorId="1" shapeId="0" xr:uid="{00000000-0006-0000-0100-0000F0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827" authorId="1" shapeId="0" xr:uid="{00000000-0006-0000-0100-0000F1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829" authorId="0" shapeId="0" xr:uid="{00000000-0006-0000-0100-0000F2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830" authorId="0" shapeId="0" xr:uid="{00000000-0006-0000-0100-0000F3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831" authorId="1" shapeId="0" xr:uid="{00000000-0006-0000-0100-0000F4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838" authorId="1" shapeId="0" xr:uid="{00000000-0006-0000-0100-0000F5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840" authorId="0" shapeId="0" xr:uid="{00000000-0006-0000-0100-0000F6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841" authorId="0" shapeId="0" xr:uid="{00000000-0006-0000-0100-0000F7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842" authorId="1" shapeId="0" xr:uid="{00000000-0006-0000-0100-0000F8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849" authorId="1" shapeId="0" xr:uid="{00000000-0006-0000-0100-0000F9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851" authorId="0" shapeId="0" xr:uid="{00000000-0006-0000-0100-0000FA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852" authorId="0" shapeId="0" xr:uid="{00000000-0006-0000-0100-0000FB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853" authorId="1" shapeId="0" xr:uid="{00000000-0006-0000-0100-0000FC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860" authorId="1" shapeId="0" xr:uid="{00000000-0006-0000-0100-0000FD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862" authorId="0" shapeId="0" xr:uid="{00000000-0006-0000-0100-0000FE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863" authorId="0" shapeId="0" xr:uid="{00000000-0006-0000-0100-0000FF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864" authorId="1" shapeId="0" xr:uid="{00000000-0006-0000-0100-000000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871" authorId="1" shapeId="0" xr:uid="{00000000-0006-0000-0100-000001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873" authorId="0" shapeId="0" xr:uid="{00000000-0006-0000-0100-000002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874" authorId="0" shapeId="0" xr:uid="{00000000-0006-0000-0100-000003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875" authorId="1" shapeId="0" xr:uid="{00000000-0006-0000-0100-000004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882" authorId="1" shapeId="0" xr:uid="{00000000-0006-0000-0100-000005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884" authorId="0" shapeId="0" xr:uid="{00000000-0006-0000-0100-000006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885" authorId="0" shapeId="0" xr:uid="{00000000-0006-0000-0100-000007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886" authorId="1" shapeId="0" xr:uid="{00000000-0006-0000-0100-000008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893" authorId="1" shapeId="0" xr:uid="{00000000-0006-0000-0100-000009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895" authorId="0" shapeId="0" xr:uid="{00000000-0006-0000-0100-00000A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896" authorId="0" shapeId="0" xr:uid="{00000000-0006-0000-0100-00000B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897" authorId="1" shapeId="0" xr:uid="{00000000-0006-0000-0100-00000C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904" authorId="1" shapeId="0" xr:uid="{00000000-0006-0000-0100-00000D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906" authorId="0" shapeId="0" xr:uid="{00000000-0006-0000-0100-00000E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907" authorId="0" shapeId="0" xr:uid="{00000000-0006-0000-0100-00000F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908" authorId="1" shapeId="0" xr:uid="{00000000-0006-0000-0100-000010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915" authorId="1" shapeId="0" xr:uid="{00000000-0006-0000-0100-000011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917" authorId="0" shapeId="0" xr:uid="{00000000-0006-0000-0100-000012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918" authorId="0" shapeId="0" xr:uid="{00000000-0006-0000-0100-000013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919" authorId="1" shapeId="0" xr:uid="{00000000-0006-0000-0100-000014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926" authorId="1" shapeId="0" xr:uid="{00000000-0006-0000-0100-000015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928" authorId="0" shapeId="0" xr:uid="{00000000-0006-0000-0100-000016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929" authorId="0" shapeId="0" xr:uid="{00000000-0006-0000-0100-000017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930" authorId="1" shapeId="0" xr:uid="{00000000-0006-0000-0100-000018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937" authorId="1" shapeId="0" xr:uid="{00000000-0006-0000-0100-000019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939" authorId="0" shapeId="0" xr:uid="{00000000-0006-0000-0100-00001A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940" authorId="0" shapeId="0" xr:uid="{00000000-0006-0000-0100-00001B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941" authorId="1" shapeId="0" xr:uid="{00000000-0006-0000-0100-00001C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948" authorId="1" shapeId="0" xr:uid="{00000000-0006-0000-0100-00001D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950" authorId="0" shapeId="0" xr:uid="{00000000-0006-0000-0100-00001E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951" authorId="0" shapeId="0" xr:uid="{00000000-0006-0000-0100-00001F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952" authorId="1" shapeId="0" xr:uid="{00000000-0006-0000-0100-000020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959" authorId="1" shapeId="0" xr:uid="{00000000-0006-0000-0100-000021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961" authorId="0" shapeId="0" xr:uid="{00000000-0006-0000-0100-000022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962" authorId="0" shapeId="0" xr:uid="{00000000-0006-0000-0100-000023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963" authorId="1" shapeId="0" xr:uid="{00000000-0006-0000-0100-000024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970" authorId="1" shapeId="0" xr:uid="{00000000-0006-0000-0100-000025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972" authorId="0" shapeId="0" xr:uid="{00000000-0006-0000-0100-000026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973" authorId="0" shapeId="0" xr:uid="{00000000-0006-0000-0100-000027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974" authorId="1" shapeId="0" xr:uid="{00000000-0006-0000-0100-000028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981" authorId="1" shapeId="0" xr:uid="{00000000-0006-0000-0100-000029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983" authorId="0" shapeId="0" xr:uid="{00000000-0006-0000-0100-00002A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984" authorId="0" shapeId="0" xr:uid="{00000000-0006-0000-0100-00002B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985" authorId="1" shapeId="0" xr:uid="{00000000-0006-0000-0100-00002C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992" authorId="1" shapeId="0" xr:uid="{00000000-0006-0000-0100-00002D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994" authorId="0" shapeId="0" xr:uid="{00000000-0006-0000-0100-00002E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995" authorId="0" shapeId="0" xr:uid="{00000000-0006-0000-0100-00002F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996" authorId="1" shapeId="0" xr:uid="{00000000-0006-0000-0100-000030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1003" authorId="1" shapeId="0" xr:uid="{00000000-0006-0000-0100-000031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1005" authorId="0" shapeId="0" xr:uid="{00000000-0006-0000-0100-000032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006" authorId="0" shapeId="0" xr:uid="{00000000-0006-0000-0100-000033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007" authorId="1" shapeId="0" xr:uid="{00000000-0006-0000-0100-000034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1013" authorId="1" shapeId="0" xr:uid="{00000000-0006-0000-0100-000035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CAIDA DE LAS PARIDADES DE LOS TITULOS
</t>
        </r>
      </text>
    </comment>
    <comment ref="E1025" authorId="1" shapeId="0" xr:uid="{00000000-0006-0000-0100-000036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1027" authorId="0" shapeId="0" xr:uid="{00000000-0006-0000-0100-000037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028" authorId="0" shapeId="0" xr:uid="{00000000-0006-0000-0100-000038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029" authorId="1" shapeId="0" xr:uid="{00000000-0006-0000-0100-000039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1036" authorId="1" shapeId="0" xr:uid="{00000000-0006-0000-0100-00003A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1038" authorId="0" shapeId="0" xr:uid="{00000000-0006-0000-0100-00003B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039" authorId="0" shapeId="0" xr:uid="{00000000-0006-0000-0100-00003C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040" authorId="1" shapeId="0" xr:uid="{00000000-0006-0000-0100-00003D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1047" authorId="1" shapeId="0" xr:uid="{00000000-0006-0000-0100-00003E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1049" authorId="0" shapeId="0" xr:uid="{00000000-0006-0000-0100-00003F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050" authorId="0" shapeId="0" xr:uid="{00000000-0006-0000-0100-000040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051" authorId="1" shapeId="0" xr:uid="{00000000-0006-0000-0100-000041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1058" authorId="1" shapeId="0" xr:uid="{00000000-0006-0000-0100-000042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1060" authorId="0" shapeId="0" xr:uid="{00000000-0006-0000-0100-000043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061" authorId="0" shapeId="0" xr:uid="{00000000-0006-0000-0100-000044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062" authorId="1" shapeId="0" xr:uid="{00000000-0006-0000-0100-000045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1069" authorId="1" shapeId="0" xr:uid="{00000000-0006-0000-0100-000046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1071" authorId="0" shapeId="0" xr:uid="{00000000-0006-0000-0100-000047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072" authorId="0" shapeId="0" xr:uid="{00000000-0006-0000-0100-000048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073" authorId="1" shapeId="0" xr:uid="{00000000-0006-0000-0100-000049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E1091" authorId="1" shapeId="0" xr:uid="{00000000-0006-0000-0100-00004A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contiene acciones+fondos acciones-opciones
</t>
        </r>
      </text>
    </comment>
    <comment ref="F1093" authorId="0" shapeId="0" xr:uid="{00000000-0006-0000-0100-00004B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094" authorId="0" shapeId="0" xr:uid="{00000000-0006-0000-0100-00004C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095" authorId="1" shapeId="0" xr:uid="{00000000-0006-0000-0100-00004D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104" authorId="0" shapeId="0" xr:uid="{00000000-0006-0000-0100-00004E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105" authorId="0" shapeId="0" xr:uid="{00000000-0006-0000-0100-00004F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106" authorId="1" shapeId="0" xr:uid="{00000000-0006-0000-0100-000050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115" authorId="0" shapeId="0" xr:uid="{00000000-0006-0000-0100-000051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116" authorId="0" shapeId="0" xr:uid="{00000000-0006-0000-0100-000052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117" authorId="1" shapeId="0" xr:uid="{00000000-0006-0000-0100-000053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126" authorId="0" shapeId="0" xr:uid="{00000000-0006-0000-0100-000054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127" authorId="0" shapeId="0" xr:uid="{00000000-0006-0000-0100-000055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128" authorId="1" shapeId="0" xr:uid="{00000000-0006-0000-0100-000056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137" authorId="0" shapeId="0" xr:uid="{00000000-0006-0000-0100-000057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138" authorId="0" shapeId="0" xr:uid="{00000000-0006-0000-0100-000058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139" authorId="1" shapeId="0" xr:uid="{00000000-0006-0000-0100-000059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148" authorId="0" shapeId="0" xr:uid="{00000000-0006-0000-0100-00005A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149" authorId="0" shapeId="0" xr:uid="{00000000-0006-0000-0100-00005B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150" authorId="1" shapeId="0" xr:uid="{00000000-0006-0000-0100-00005C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159" authorId="0" shapeId="0" xr:uid="{00000000-0006-0000-0100-00005D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160" authorId="0" shapeId="0" xr:uid="{00000000-0006-0000-0100-00005E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161" authorId="1" shapeId="0" xr:uid="{00000000-0006-0000-0100-00005F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170" authorId="0" shapeId="0" xr:uid="{00000000-0006-0000-0100-000060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171" authorId="0" shapeId="0" xr:uid="{00000000-0006-0000-0100-000061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172" authorId="1" shapeId="0" xr:uid="{00000000-0006-0000-0100-000062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181" authorId="0" shapeId="0" xr:uid="{00000000-0006-0000-0100-000063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182" authorId="0" shapeId="0" xr:uid="{00000000-0006-0000-0100-000064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183" authorId="1" shapeId="0" xr:uid="{00000000-0006-0000-0100-000065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192" authorId="0" shapeId="0" xr:uid="{00000000-0006-0000-0100-000066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193" authorId="0" shapeId="0" xr:uid="{00000000-0006-0000-0100-000067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194" authorId="1" shapeId="0" xr:uid="{00000000-0006-0000-0100-000068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203" authorId="0" shapeId="0" xr:uid="{00000000-0006-0000-0100-000069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204" authorId="0" shapeId="0" xr:uid="{00000000-0006-0000-0100-00006A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205" authorId="1" shapeId="0" xr:uid="{00000000-0006-0000-0100-00006B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214" authorId="0" shapeId="0" xr:uid="{00000000-0006-0000-0100-00006C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215" authorId="0" shapeId="0" xr:uid="{00000000-0006-0000-0100-00006D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216" authorId="1" shapeId="0" xr:uid="{00000000-0006-0000-0100-00006E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225" authorId="0" shapeId="0" xr:uid="{00000000-0006-0000-0100-00006F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226" authorId="0" shapeId="0" xr:uid="{00000000-0006-0000-0100-000070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227" authorId="1" shapeId="0" xr:uid="{00000000-0006-0000-0100-000071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236" authorId="0" shapeId="0" xr:uid="{00000000-0006-0000-0100-000072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237" authorId="0" shapeId="0" xr:uid="{00000000-0006-0000-0100-000073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238" authorId="1" shapeId="0" xr:uid="{00000000-0006-0000-0100-000074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247" authorId="0" shapeId="0" xr:uid="{00000000-0006-0000-0100-000075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248" authorId="0" shapeId="0" xr:uid="{00000000-0006-0000-0100-000076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249" authorId="1" shapeId="0" xr:uid="{00000000-0006-0000-0100-000077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258" authorId="0" shapeId="0" xr:uid="{00000000-0006-0000-0100-000078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259" authorId="0" shapeId="0" xr:uid="{00000000-0006-0000-0100-000079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260" authorId="1" shapeId="0" xr:uid="{00000000-0006-0000-0100-00007A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269" authorId="0" shapeId="0" xr:uid="{00000000-0006-0000-0100-00007B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270" authorId="0" shapeId="0" xr:uid="{00000000-0006-0000-0100-00007C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271" authorId="1" shapeId="0" xr:uid="{00000000-0006-0000-0100-00007D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280" authorId="0" shapeId="0" xr:uid="{00000000-0006-0000-0100-00007E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281" authorId="0" shapeId="0" xr:uid="{00000000-0006-0000-0100-00007F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282" authorId="1" shapeId="0" xr:uid="{00000000-0006-0000-0100-000080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291" authorId="0" shapeId="0" xr:uid="{00000000-0006-0000-0100-000081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292" authorId="0" shapeId="0" xr:uid="{00000000-0006-0000-0100-000082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293" authorId="1" shapeId="0" xr:uid="{00000000-0006-0000-0100-000083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302" authorId="0" shapeId="0" xr:uid="{00000000-0006-0000-0100-000084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303" authorId="0" shapeId="0" xr:uid="{00000000-0006-0000-0100-000085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304" authorId="1" shapeId="0" xr:uid="{00000000-0006-0000-0100-000086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313" authorId="0" shapeId="0" xr:uid="{00000000-0006-0000-0100-000087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314" authorId="0" shapeId="0" xr:uid="{00000000-0006-0000-0100-000088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315" authorId="1" shapeId="0" xr:uid="{00000000-0006-0000-0100-000089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324" authorId="0" shapeId="0" xr:uid="{00000000-0006-0000-0100-00008A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325" authorId="0" shapeId="0" xr:uid="{00000000-0006-0000-0100-00008B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326" authorId="1" shapeId="0" xr:uid="{00000000-0006-0000-0100-00008C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335" authorId="0" shapeId="0" xr:uid="{00000000-0006-0000-0100-00008D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336" authorId="0" shapeId="0" xr:uid="{00000000-0006-0000-0100-00008E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337" authorId="1" shapeId="0" xr:uid="{00000000-0006-0000-0100-00008F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346" authorId="0" shapeId="0" xr:uid="{00000000-0006-0000-0100-000090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347" authorId="0" shapeId="0" xr:uid="{00000000-0006-0000-0100-000091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348" authorId="1" shapeId="0" xr:uid="{00000000-0006-0000-0100-000092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357" authorId="0" shapeId="0" xr:uid="{00000000-0006-0000-0100-000093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358" authorId="0" shapeId="0" xr:uid="{00000000-0006-0000-0100-000094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359" authorId="1" shapeId="0" xr:uid="{00000000-0006-0000-0100-000095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368" authorId="0" shapeId="0" xr:uid="{00000000-0006-0000-0100-000096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369" authorId="0" shapeId="0" xr:uid="{00000000-0006-0000-0100-000097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370" authorId="1" shapeId="0" xr:uid="{00000000-0006-0000-0100-000098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379" authorId="0" shapeId="0" xr:uid="{00000000-0006-0000-0100-000099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380" authorId="0" shapeId="0" xr:uid="{00000000-0006-0000-0100-00009A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381" authorId="1" shapeId="0" xr:uid="{00000000-0006-0000-0100-00009B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390" authorId="0" shapeId="0" xr:uid="{00000000-0006-0000-0100-00009C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391" authorId="0" shapeId="0" xr:uid="{00000000-0006-0000-0100-00009D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392" authorId="1" shapeId="0" xr:uid="{00000000-0006-0000-0100-00009E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401" authorId="0" shapeId="0" xr:uid="{00000000-0006-0000-0100-00009F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402" authorId="0" shapeId="0" xr:uid="{00000000-0006-0000-0100-0000A0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403" authorId="1" shapeId="0" xr:uid="{00000000-0006-0000-0100-0000A1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412" authorId="0" shapeId="0" xr:uid="{00000000-0006-0000-0100-0000A2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413" authorId="0" shapeId="0" xr:uid="{00000000-0006-0000-0100-0000A3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414" authorId="1" shapeId="0" xr:uid="{00000000-0006-0000-0100-0000A4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423" authorId="0" shapeId="0" xr:uid="{00000000-0006-0000-0100-0000A5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424" authorId="0" shapeId="0" xr:uid="{00000000-0006-0000-0100-0000A6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425" authorId="1" shapeId="0" xr:uid="{00000000-0006-0000-0100-0000A7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434" authorId="0" shapeId="0" xr:uid="{00000000-0006-0000-0100-0000A8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435" authorId="0" shapeId="0" xr:uid="{00000000-0006-0000-0100-0000A9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436" authorId="1" shapeId="0" xr:uid="{00000000-0006-0000-0100-0000AA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445" authorId="0" shapeId="0" xr:uid="{00000000-0006-0000-0100-0000AB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446" authorId="0" shapeId="0" xr:uid="{00000000-0006-0000-0100-0000AC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447" authorId="1" shapeId="0" xr:uid="{00000000-0006-0000-0100-0000AD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456" authorId="0" shapeId="0" xr:uid="{00000000-0006-0000-0100-0000AE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457" authorId="0" shapeId="0" xr:uid="{00000000-0006-0000-0100-0000AF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458" authorId="1" shapeId="0" xr:uid="{00000000-0006-0000-0100-0000B0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467" authorId="0" shapeId="0" xr:uid="{00000000-0006-0000-0100-0000B1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468" authorId="0" shapeId="0" xr:uid="{00000000-0006-0000-0100-0000B2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469" authorId="1" shapeId="0" xr:uid="{00000000-0006-0000-0100-0000B3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478" authorId="0" shapeId="0" xr:uid="{00000000-0006-0000-0100-0000B4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479" authorId="0" shapeId="0" xr:uid="{00000000-0006-0000-0100-0000B5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480" authorId="1" shapeId="0" xr:uid="{00000000-0006-0000-0100-0000B6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489" authorId="0" shapeId="0" xr:uid="{00000000-0006-0000-0100-0000B7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490" authorId="0" shapeId="0" xr:uid="{00000000-0006-0000-0100-0000B8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491" authorId="1" shapeId="0" xr:uid="{00000000-0006-0000-0100-0000B9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500" authorId="0" shapeId="0" xr:uid="{00000000-0006-0000-0100-0000BA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501" authorId="0" shapeId="0" xr:uid="{00000000-0006-0000-0100-0000BB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502" authorId="1" shapeId="0" xr:uid="{00000000-0006-0000-0100-0000BC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511" authorId="0" shapeId="0" xr:uid="{00000000-0006-0000-0100-0000BD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512" authorId="0" shapeId="0" xr:uid="{00000000-0006-0000-0100-0000BE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513" authorId="1" shapeId="0" xr:uid="{00000000-0006-0000-0100-0000BF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522" authorId="0" shapeId="0" xr:uid="{00000000-0006-0000-0100-0000C0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523" authorId="0" shapeId="0" xr:uid="{00000000-0006-0000-0100-0000C1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524" authorId="1" shapeId="0" xr:uid="{00000000-0006-0000-0100-0000C2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533" authorId="0" shapeId="0" xr:uid="{00000000-0006-0000-0100-0000C3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534" authorId="0" shapeId="0" xr:uid="{00000000-0006-0000-0100-0000C4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535" authorId="1" shapeId="0" xr:uid="{00000000-0006-0000-0100-0000C5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544" authorId="0" shapeId="0" xr:uid="{00000000-0006-0000-0100-0000C6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545" authorId="0" shapeId="0" xr:uid="{00000000-0006-0000-0100-0000C7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546" authorId="1" shapeId="0" xr:uid="{00000000-0006-0000-0100-0000C8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555" authorId="0" shapeId="0" xr:uid="{00000000-0006-0000-0100-0000C9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556" authorId="0" shapeId="0" xr:uid="{00000000-0006-0000-0100-0000CA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557" authorId="1" shapeId="0" xr:uid="{00000000-0006-0000-0100-0000CB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566" authorId="0" shapeId="0" xr:uid="{00000000-0006-0000-0100-0000CC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567" authorId="0" shapeId="0" xr:uid="{00000000-0006-0000-0100-0000CD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568" authorId="1" shapeId="0" xr:uid="{00000000-0006-0000-0100-0000CE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577" authorId="0" shapeId="0" xr:uid="{00000000-0006-0000-0100-0000CF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578" authorId="0" shapeId="0" xr:uid="{00000000-0006-0000-0100-0000D0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579" authorId="1" shapeId="0" xr:uid="{00000000-0006-0000-0100-0000D1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588" authorId="0" shapeId="0" xr:uid="{00000000-0006-0000-0100-0000D2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589" authorId="0" shapeId="0" xr:uid="{00000000-0006-0000-0100-0000D3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590" authorId="1" shapeId="0" xr:uid="{00000000-0006-0000-0100-0000D4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599" authorId="0" shapeId="0" xr:uid="{00000000-0006-0000-0100-0000D5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600" authorId="0" shapeId="0" xr:uid="{00000000-0006-0000-0100-0000D6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601" authorId="1" shapeId="0" xr:uid="{00000000-0006-0000-0100-0000D7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610" authorId="0" shapeId="0" xr:uid="{00000000-0006-0000-0100-0000D8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611" authorId="0" shapeId="0" xr:uid="{00000000-0006-0000-0100-0000D9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612" authorId="1" shapeId="0" xr:uid="{00000000-0006-0000-0100-0000DA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621" authorId="0" shapeId="0" xr:uid="{00000000-0006-0000-0100-0000DB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622" authorId="0" shapeId="0" xr:uid="{00000000-0006-0000-0100-0000DC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623" authorId="1" shapeId="0" xr:uid="{00000000-0006-0000-0100-0000DD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632" authorId="0" shapeId="0" xr:uid="{00000000-0006-0000-0100-0000DE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633" authorId="0" shapeId="0" xr:uid="{00000000-0006-0000-0100-0000DF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634" authorId="1" shapeId="0" xr:uid="{00000000-0006-0000-0100-0000E0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643" authorId="0" shapeId="0" xr:uid="{00000000-0006-0000-0100-0000E1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644" authorId="0" shapeId="0" xr:uid="{00000000-0006-0000-0100-0000E2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645" authorId="1" shapeId="0" xr:uid="{00000000-0006-0000-0100-0000E3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654" authorId="0" shapeId="0" xr:uid="{00000000-0006-0000-0100-0000E4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655" authorId="0" shapeId="0" xr:uid="{00000000-0006-0000-0100-0000E5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656" authorId="1" shapeId="0" xr:uid="{00000000-0006-0000-0100-0000E6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665" authorId="0" shapeId="0" xr:uid="{00000000-0006-0000-0100-0000E7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666" authorId="0" shapeId="0" xr:uid="{00000000-0006-0000-0100-0000E8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667" authorId="1" shapeId="0" xr:uid="{00000000-0006-0000-0100-0000E9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676" authorId="0" shapeId="0" xr:uid="{00000000-0006-0000-0100-0000EA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677" authorId="0" shapeId="0" xr:uid="{00000000-0006-0000-0100-0000EB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678" authorId="1" shapeId="0" xr:uid="{00000000-0006-0000-0100-0000EC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687" authorId="0" shapeId="0" xr:uid="{00000000-0006-0000-0100-0000ED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688" authorId="0" shapeId="0" xr:uid="{00000000-0006-0000-0100-0000EE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689" authorId="1" shapeId="0" xr:uid="{00000000-0006-0000-0100-0000EF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698" authorId="0" shapeId="0" xr:uid="{00000000-0006-0000-0100-0000F0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699" authorId="0" shapeId="0" xr:uid="{00000000-0006-0000-0100-0000F1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700" authorId="1" shapeId="0" xr:uid="{00000000-0006-0000-0100-0000F2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709" authorId="0" shapeId="0" xr:uid="{00000000-0006-0000-0100-0000F3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710" authorId="0" shapeId="0" xr:uid="{00000000-0006-0000-0100-0000F4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711" authorId="1" shapeId="0" xr:uid="{00000000-0006-0000-0100-0000F5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720" authorId="0" shapeId="0" xr:uid="{00000000-0006-0000-0100-0000F6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721" authorId="0" shapeId="0" xr:uid="{00000000-0006-0000-0100-0000F7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722" authorId="1" shapeId="0" xr:uid="{00000000-0006-0000-0100-0000F8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731" authorId="0" shapeId="0" xr:uid="{00000000-0006-0000-0100-0000F9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732" authorId="0" shapeId="0" xr:uid="{00000000-0006-0000-0100-0000FA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733" authorId="1" shapeId="0" xr:uid="{00000000-0006-0000-0100-0000FB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742" authorId="0" shapeId="0" xr:uid="{00000000-0006-0000-0100-0000FC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743" authorId="0" shapeId="0" xr:uid="{00000000-0006-0000-0100-0000FD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744" authorId="1" shapeId="0" xr:uid="{00000000-0006-0000-0100-0000FE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753" authorId="0" shapeId="0" xr:uid="{00000000-0006-0000-0100-0000FF01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754" authorId="0" shapeId="0" xr:uid="{00000000-0006-0000-0100-000000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755" authorId="1" shapeId="0" xr:uid="{00000000-0006-0000-0100-000001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764" authorId="0" shapeId="0" xr:uid="{00000000-0006-0000-0100-000002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765" authorId="0" shapeId="0" xr:uid="{00000000-0006-0000-0100-000003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766" authorId="1" shapeId="0" xr:uid="{00000000-0006-0000-0100-000004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775" authorId="0" shapeId="0" xr:uid="{00000000-0006-0000-0100-000005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776" authorId="0" shapeId="0" xr:uid="{00000000-0006-0000-0100-000006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777" authorId="1" shapeId="0" xr:uid="{00000000-0006-0000-0100-000007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786" authorId="0" shapeId="0" xr:uid="{00000000-0006-0000-0100-000008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787" authorId="0" shapeId="0" xr:uid="{00000000-0006-0000-0100-000009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788" authorId="1" shapeId="0" xr:uid="{00000000-0006-0000-0100-00000A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797" authorId="0" shapeId="0" xr:uid="{00000000-0006-0000-0100-00000B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798" authorId="0" shapeId="0" xr:uid="{00000000-0006-0000-0100-00000C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799" authorId="1" shapeId="0" xr:uid="{00000000-0006-0000-0100-00000D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808" authorId="0" shapeId="0" xr:uid="{00000000-0006-0000-0100-00000E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809" authorId="0" shapeId="0" xr:uid="{00000000-0006-0000-0100-00000F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810" authorId="1" shapeId="0" xr:uid="{00000000-0006-0000-0100-000010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819" authorId="0" shapeId="0" xr:uid="{00000000-0006-0000-0100-000011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820" authorId="0" shapeId="0" xr:uid="{00000000-0006-0000-0100-000012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821" authorId="1" shapeId="0" xr:uid="{00000000-0006-0000-0100-000013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830" authorId="0" shapeId="0" xr:uid="{00000000-0006-0000-0100-000014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831" authorId="0" shapeId="0" xr:uid="{00000000-0006-0000-0100-000015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832" authorId="1" shapeId="0" xr:uid="{00000000-0006-0000-0100-000016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841" authorId="0" shapeId="0" xr:uid="{00000000-0006-0000-0100-000017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842" authorId="0" shapeId="0" xr:uid="{00000000-0006-0000-0100-000018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843" authorId="1" shapeId="0" xr:uid="{00000000-0006-0000-0100-000019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852" authorId="0" shapeId="0" xr:uid="{00000000-0006-0000-0100-00001A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853" authorId="0" shapeId="0" xr:uid="{00000000-0006-0000-0100-00001B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854" authorId="1" shapeId="0" xr:uid="{00000000-0006-0000-0100-00001C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863" authorId="0" shapeId="0" xr:uid="{00000000-0006-0000-0100-00001D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864" authorId="0" shapeId="0" xr:uid="{00000000-0006-0000-0100-00001E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865" authorId="1" shapeId="0" xr:uid="{00000000-0006-0000-0100-00001F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874" authorId="0" shapeId="0" xr:uid="{00000000-0006-0000-0100-000020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875" authorId="0" shapeId="0" xr:uid="{00000000-0006-0000-0100-000021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876" authorId="1" shapeId="0" xr:uid="{00000000-0006-0000-0100-000022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885" authorId="0" shapeId="0" xr:uid="{00000000-0006-0000-0100-000023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886" authorId="0" shapeId="0" xr:uid="{00000000-0006-0000-0100-000024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887" authorId="1" shapeId="0" xr:uid="{00000000-0006-0000-0100-000025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896" authorId="0" shapeId="0" xr:uid="{00000000-0006-0000-0100-000026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897" authorId="0" shapeId="0" xr:uid="{00000000-0006-0000-0100-000027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898" authorId="1" shapeId="0" xr:uid="{00000000-0006-0000-0100-000028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907" authorId="0" shapeId="0" xr:uid="{00000000-0006-0000-0100-000029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908" authorId="0" shapeId="0" xr:uid="{00000000-0006-0000-0100-00002A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909" authorId="1" shapeId="0" xr:uid="{00000000-0006-0000-0100-00002B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918" authorId="0" shapeId="0" xr:uid="{00000000-0006-0000-0100-00002C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919" authorId="0" shapeId="0" xr:uid="{00000000-0006-0000-0100-00002D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920" authorId="1" shapeId="0" xr:uid="{00000000-0006-0000-0100-00002E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929" authorId="0" shapeId="0" xr:uid="{00000000-0006-0000-0100-00002F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930" authorId="0" shapeId="0" xr:uid="{00000000-0006-0000-0100-000030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931" authorId="1" shapeId="0" xr:uid="{00000000-0006-0000-0100-000031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940" authorId="0" shapeId="0" xr:uid="{00000000-0006-0000-0100-000032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941" authorId="0" shapeId="0" xr:uid="{00000000-0006-0000-0100-000033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942" authorId="1" shapeId="0" xr:uid="{00000000-0006-0000-0100-000034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951" authorId="0" shapeId="0" xr:uid="{00000000-0006-0000-0100-000035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952" authorId="0" shapeId="0" xr:uid="{00000000-0006-0000-0100-000036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953" authorId="1" shapeId="0" xr:uid="{00000000-0006-0000-0100-00003702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962" authorId="0" shapeId="0" xr:uid="{45EBC62E-903B-44BF-B844-AC7FCDF575E8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963" authorId="0" shapeId="0" xr:uid="{944D494E-3944-4C96-B69E-BE26131D1E4E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964" authorId="1" shapeId="0" xr:uid="{E7F0794D-5D9D-47A2-A872-599C31CEF3FF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973" authorId="0" shapeId="0" xr:uid="{A5FC500B-F163-4500-A57F-E2F61A26030C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974" authorId="0" shapeId="0" xr:uid="{53BB6118-BBA7-4848-8DA1-576E2A7DACA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975" authorId="1" shapeId="0" xr:uid="{80243220-37EC-4ECC-AA71-51758AC03205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984" authorId="0" shapeId="0" xr:uid="{4322A74B-E8FB-4E96-B7DB-3A7AF25807EE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985" authorId="0" shapeId="0" xr:uid="{87F5506F-38C8-47E8-9626-984DB9C936EF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986" authorId="1" shapeId="0" xr:uid="{63BCFF39-CEB9-4E00-9217-3A7711F183CD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1995" authorId="0" shapeId="0" xr:uid="{37576D7A-9E0D-4A70-B9A1-55FB0159E658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1996" authorId="0" shapeId="0" xr:uid="{B1EC2508-96B1-4966-B352-C2F22186B215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1997" authorId="1" shapeId="0" xr:uid="{D70CCBBA-38DE-4B7D-9422-B5CB58BF4B4E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2006" authorId="0" shapeId="0" xr:uid="{12FC8BB2-6DA2-473D-A679-0C6E41F93FC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2007" authorId="0" shapeId="0" xr:uid="{D4717855-5CCB-440A-8F97-B081A7A6CC89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008" authorId="1" shapeId="0" xr:uid="{77C91DB7-1748-4071-8DD4-D21E7FC1601B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2017" authorId="0" shapeId="0" xr:uid="{5FE5209A-8171-48BB-97CA-9F5BC51573D1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2018" authorId="0" shapeId="0" xr:uid="{E8DD3051-6771-4713-8F3E-8C813A1D10D4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019" authorId="1" shapeId="0" xr:uid="{A3016D77-C975-436C-958C-11F17AC15001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2028" authorId="0" shapeId="0" xr:uid="{FB6D5CE4-1A20-405F-A592-864E9F755D0A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2029" authorId="0" shapeId="0" xr:uid="{50250BAE-6677-4FB8-A38F-490EAB9BEEC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030" authorId="1" shapeId="0" xr:uid="{441FE091-CF16-4D2A-AF7E-92B978208B2B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2039" authorId="0" shapeId="0" xr:uid="{6D839FCC-1307-4AF1-AEF7-0B8BA4D79B43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2040" authorId="0" shapeId="0" xr:uid="{F44D4B9D-1B80-4900-91AF-C16BE1973FF4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041" authorId="1" shapeId="0" xr:uid="{30C8926E-9DDF-40A7-B76E-3373C07B45CB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2050" authorId="0" shapeId="0" xr:uid="{04F5BB2D-84CA-4ADC-B91C-DEAC61A4EC09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2051" authorId="0" shapeId="0" xr:uid="{1C9EC5C9-5943-4324-993F-BFDFB5339D6B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052" authorId="1" shapeId="0" xr:uid="{F52F2ED9-B240-480E-8E13-26076112F917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2061" authorId="0" shapeId="0" xr:uid="{6C8300B7-08FB-43FA-AD7C-9098FC073399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2062" authorId="0" shapeId="0" xr:uid="{A328E0B5-FBB3-4078-A42D-9CEF6005DF6C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063" authorId="1" shapeId="0" xr:uid="{9521DDB0-F5D3-4F0F-9028-8B3629E68DC9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2072" authorId="0" shapeId="0" xr:uid="{B8AC4657-BFAC-42CA-9B6B-F737C1BBC89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2073" authorId="0" shapeId="0" xr:uid="{CB4E6916-3944-4B16-B7AF-605E479F8E0D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074" authorId="1" shapeId="0" xr:uid="{560899A1-B5AE-44BE-BE0E-48E2FE4C1AA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2083" authorId="0" shapeId="0" xr:uid="{3F92E006-762F-4859-9A48-B1ABE4065C7C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2084" authorId="0" shapeId="0" xr:uid="{360CE1C6-2946-4082-92B0-C014648460C2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085" authorId="1" shapeId="0" xr:uid="{6D892D05-FA94-472E-A327-644037DC6CBC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2094" authorId="0" shapeId="0" xr:uid="{C9F45280-16FC-43AC-8E71-AA53F20174FA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2095" authorId="0" shapeId="0" xr:uid="{3D3EB2D8-13CA-469E-934C-3216D832EFAE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096" authorId="1" shapeId="0" xr:uid="{E27E9196-EF9F-42F8-80E4-F7FB63F7B0D4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2105" authorId="0" shapeId="0" xr:uid="{1180B115-CC19-44C3-A982-4FCC6F644E1B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2106" authorId="0" shapeId="0" xr:uid="{C32FE8CD-332D-4B5D-AD8D-210E0E02746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107" authorId="1" shapeId="0" xr:uid="{E0D82066-1002-489D-898E-BE07EC845526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2116" authorId="0" shapeId="0" xr:uid="{2F6393B6-8ADA-4BA9-A063-706E3CCA418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2117" authorId="0" shapeId="0" xr:uid="{3DC7AC4A-2975-4F85-B807-3E878717A542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118" authorId="1" shapeId="0" xr:uid="{1EEB214A-C7A1-481C-A35E-73594D1560F6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2127" authorId="0" shapeId="0" xr:uid="{8B8FC5EE-37DC-405F-9E33-CED758F9E25C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2128" authorId="0" shapeId="0" xr:uid="{C563A3E8-72C0-4DE0-978A-566C25F84EEE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129" authorId="1" shapeId="0" xr:uid="{69099301-531B-4E51-B78F-5116D6CFF4C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2138" authorId="0" shapeId="0" xr:uid="{3C2D165A-606C-462C-949B-3BFC929AF5DB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2139" authorId="0" shapeId="0" xr:uid="{A4AC921C-3347-49AE-A547-B18F02111DB4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140" authorId="1" shapeId="0" xr:uid="{13D73D62-63C3-4312-9300-782FDB654D8A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2149" authorId="0" shapeId="0" xr:uid="{3CA84108-0A30-4BEB-A3B6-A222F396BCFA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2150" authorId="0" shapeId="0" xr:uid="{BAB23FD8-8D88-4B6F-B52B-5858F709E636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151" authorId="1" shapeId="0" xr:uid="{906DF8DA-4AA2-46C9-A6D3-ACED1319670E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2160" authorId="0" shapeId="0" xr:uid="{049CAB0B-405D-412A-B6E3-997852378B34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2161" authorId="0" shapeId="0" xr:uid="{524D968C-E067-412F-9603-2624A048A1A9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162" authorId="1" shapeId="0" xr:uid="{54F89584-57D4-4605-A5A6-2F51EB17927B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2171" authorId="0" shapeId="0" xr:uid="{BD90A828-E5EA-4687-AC04-57AA4DFF55AE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2172" authorId="0" shapeId="0" xr:uid="{EED9483F-B56E-41E8-B909-3E6276AD19ED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173" authorId="1" shapeId="0" xr:uid="{4342AA36-C710-4A73-9CCA-701761ACA2D1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2182" authorId="0" shapeId="0" xr:uid="{8FF2AD30-ED97-48C6-871B-04504C5638FA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2183" authorId="0" shapeId="0" xr:uid="{4E116356-3528-4CA2-AA52-82060D3BB9A7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184" authorId="1" shapeId="0" xr:uid="{ADAAB88B-E894-4C49-A43A-5A5D6386738F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2193" authorId="0" shapeId="0" xr:uid="{1233C5B1-652A-43F3-AF36-989A9E4EA2DE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2194" authorId="0" shapeId="0" xr:uid="{FD75AA1D-171F-4EF0-ADBE-FBD8EA4DEBDC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195" authorId="1" shapeId="0" xr:uid="{70D5C2A5-D1AF-4F3A-BBEE-F0607495E9C5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  <comment ref="F2204" authorId="0" shapeId="0" xr:uid="{14DF949E-6BA7-4A34-9732-F664AF01486F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INCLUYE NOTAS ESTRUCTURADAS+BONOS SCH</t>
        </r>
      </text>
    </comment>
    <comment ref="F2205" authorId="0" shapeId="0" xr:uid="{2538EEF5-1055-4BA8-9E51-1E9A4EE577BF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RENTA VARIABLE</t>
        </r>
      </text>
    </comment>
    <comment ref="E2206" authorId="1" shapeId="0" xr:uid="{B942F0FC-E5AA-42EB-B04D-42EB1AC3CA2D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INTERNATIONA BONDS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Arturo</author>
    <author>arona arturo</author>
  </authors>
  <commentList>
    <comment ref="E79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SE VENDIERON EN $ (AZUL) Y SE DEPOSITARON EN COHEN</t>
        </r>
      </text>
    </comment>
    <comment ref="E79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SE VENDIERON EN $ (AZUL) Y SE DEPOSITARON EN COHEN</t>
        </r>
      </text>
    </comment>
    <comment ref="E797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SE VENDIERON EN $ (AZUL) Y SE DEPOSITARON EN COHEN</t>
        </r>
      </text>
    </comment>
    <comment ref="B826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se vendieron u$s a $ 4,10</t>
        </r>
      </text>
    </comment>
    <comment ref="G862" authorId="1" shapeId="0" xr:uid="{00000000-0006-0000-0300-000005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PAGADO CON DEPOSITO CUENTA MARIA $ 15,000+
AHORROS $ 6,950 +
VENTA DE u$s 10,500 EN TUTELAR A $ 3,825 = $ 40,162+
CHEQUE UF001 DE $ 3,522
</t>
        </r>
      </text>
    </comment>
    <comment ref="G863" authorId="1" shapeId="0" xr:uid="{00000000-0006-0000-0300-000006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PAGADO CON DEPOSITO CUENTA MARIA $ 15,000+
AHORROS $ 6,950 +
VENTA DE u$s 10,500 EN TUTELAR A $ 3,825 = $ 40,162+
CHEQUE UF001 DE $ 3,522
</t>
        </r>
      </text>
    </comment>
    <comment ref="G864" authorId="1" shapeId="0" xr:uid="{00000000-0006-0000-0300-000007000000}">
      <text>
        <r>
          <rPr>
            <sz val="9"/>
            <color indexed="81"/>
            <rFont val="Tahoma"/>
            <family val="2"/>
          </rPr>
          <t xml:space="preserve">UF001+UF073_LOC+RENTAS
</t>
        </r>
      </text>
    </comment>
    <comment ref="G865" authorId="1" shapeId="0" xr:uid="{00000000-0006-0000-0300-000008000000}">
      <text>
        <r>
          <rPr>
            <b/>
            <sz val="9"/>
            <color indexed="81"/>
            <rFont val="Tahoma"/>
            <family val="2"/>
          </rPr>
          <t>SE COBRARON 74,121- Y SE DEPOSITO EN LA CUENTA 64,000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866" authorId="1" shapeId="0" xr:uid="{00000000-0006-0000-0300-000009000000}">
      <text>
        <r>
          <rPr>
            <b/>
            <sz val="9"/>
            <color indexed="81"/>
            <rFont val="Tahoma"/>
            <family val="2"/>
          </rPr>
          <t>SE COBRARON 74,121- Y SE DEPOSITO EN LA CUENTA 64,000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894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PROVENIENTE DE COHEN (VENTA BODEN 2012)+DIVIDENDO PESA</t>
        </r>
      </text>
    </comment>
    <comment ref="B90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PROVENIENTE DE PF HSBC + AGREGUE AHORROS ??</t>
        </r>
      </text>
    </comment>
    <comment ref="B90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CAJA DE AHORRO -- AHORROS ??</t>
        </r>
      </text>
    </comment>
    <comment ref="B90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CAJA DE AHORRO HSBC</t>
        </r>
      </text>
    </comment>
    <comment ref="B904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CAJA DE AHORRO BANCO RIO</t>
        </r>
      </text>
    </comment>
    <comment ref="B905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CAJA DE AHORRO BANCO RIO</t>
        </r>
      </text>
    </comment>
    <comment ref="B90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CAJA DE AHORRO HSBC Y RIO($1600)</t>
        </r>
      </text>
    </comment>
    <comment ref="B907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CAJA DE AHORRO HSBC Y RIO($1600)</t>
        </r>
      </text>
    </comment>
    <comment ref="B908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CAJA DE AHORRO HSBC Y RIO($1600)</t>
        </r>
      </text>
    </comment>
    <comment ref="B909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CAJA DE AHORRO HSBC Y RIO($1600)</t>
        </r>
      </text>
    </comment>
    <comment ref="B910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CAJA DE AHORRO HSBC Y RIO($1600)</t>
        </r>
      </text>
    </comment>
    <comment ref="B911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CAJA DE AHORRO HSBC Y RIO($1600)</t>
        </r>
      </text>
    </comment>
    <comment ref="B912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CAJA DE AHORRO HSBC Y RIO($1600)</t>
        </r>
      </text>
    </comment>
    <comment ref="B913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CAJA DE AHORRO HSBC Y RIO($1600)</t>
        </r>
      </text>
    </comment>
    <comment ref="B914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CAJA DE AHORRO HSBC Y RIO($1600)</t>
        </r>
      </text>
    </comment>
    <comment ref="B915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DE MARIA
</t>
        </r>
      </text>
    </comment>
    <comment ref="B923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DE HSBC. PREVIAMENTE SE EXTRAJO DEL BBVA</t>
        </r>
      </text>
    </comment>
    <comment ref="B924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DE HSBC. PREVIAMENTE SE EXTRAJO DEL RIO
</t>
        </r>
      </text>
    </comment>
    <comment ref="B925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DE HSBC. PREVIAMENTE SE EXTRAJO DEL RIO
</t>
        </r>
      </text>
    </comment>
    <comment ref="B926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DE HSBC. </t>
        </r>
      </text>
    </comment>
    <comment ref="B928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VENTA BODEN 2015</t>
        </r>
      </text>
    </comment>
    <comment ref="B929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VENTA BODEN 2015</t>
        </r>
      </text>
    </comment>
    <comment ref="B930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VENTA BODEN 2015</t>
        </r>
      </text>
    </comment>
    <comment ref="B935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66323 numero de operacion</t>
        </r>
      </text>
    </comment>
    <comment ref="B936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DEL BANCO RIO</t>
        </r>
      </text>
    </comment>
    <comment ref="B937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DEL BANCO RIO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arturo</author>
    <author>arona arturo</author>
    <author>Arturo</author>
  </authors>
  <commentList>
    <comment ref="B1038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arturo:</t>
        </r>
        <r>
          <rPr>
            <sz val="8"/>
            <color indexed="81"/>
            <rFont val="Tahoma"/>
            <family val="2"/>
          </rPr>
          <t xml:space="preserve">
PROVENIENTE CHEQUE UF144 LIBRADO POR JUZGADO (122487,70)
</t>
        </r>
      </text>
    </comment>
    <comment ref="B1039" authorId="0" shapeId="0" xr:uid="{00000000-0006-0000-0500-000002000000}">
      <text>
        <r>
          <rPr>
            <b/>
            <sz val="8"/>
            <color indexed="81"/>
            <rFont val="Tahoma"/>
            <family val="2"/>
          </rPr>
          <t>arturo:</t>
        </r>
        <r>
          <rPr>
            <sz val="8"/>
            <color indexed="81"/>
            <rFont val="Tahoma"/>
            <family val="2"/>
          </rPr>
          <t xml:space="preserve">
PROVENIENTE CHEQUE UF144 LIBRADO POR JUZGADO (122487,70)
</t>
        </r>
      </text>
    </comment>
    <comment ref="B1046" authorId="0" shapeId="0" xr:uid="{00000000-0006-0000-0500-000003000000}">
      <text>
        <r>
          <rPr>
            <b/>
            <sz val="8"/>
            <color indexed="81"/>
            <rFont val="Tahoma"/>
            <family val="2"/>
          </rPr>
          <t>arturo:</t>
        </r>
        <r>
          <rPr>
            <sz val="8"/>
            <color indexed="81"/>
            <rFont val="Tahoma"/>
            <family val="2"/>
          </rPr>
          <t xml:space="preserve">
PROVENIENTE DE TRES CHEQUES ($41.300) UF107 LIBRADO POR JUZGADO+ $ 200 AGREGADOS
</t>
        </r>
      </text>
    </comment>
    <comment ref="B1051" authorId="0" shapeId="0" xr:uid="{00000000-0006-0000-0500-000004000000}">
      <text>
        <r>
          <rPr>
            <b/>
            <sz val="8"/>
            <color indexed="81"/>
            <rFont val="Tahoma"/>
            <family val="2"/>
          </rPr>
          <t>arturo:</t>
        </r>
        <r>
          <rPr>
            <sz val="8"/>
            <color indexed="81"/>
            <rFont val="Tahoma"/>
            <family val="2"/>
          </rPr>
          <t xml:space="preserve">
PROVENIENTE CHEQUE UF144 LIBRADO POR JUZGADO (122487,70)
</t>
        </r>
      </text>
    </comment>
    <comment ref="B1052" authorId="0" shapeId="0" xr:uid="{00000000-0006-0000-0500-000005000000}">
      <text>
        <r>
          <rPr>
            <b/>
            <sz val="8"/>
            <color indexed="81"/>
            <rFont val="Tahoma"/>
            <family val="2"/>
          </rPr>
          <t>arturo:</t>
        </r>
        <r>
          <rPr>
            <sz val="8"/>
            <color indexed="81"/>
            <rFont val="Tahoma"/>
            <family val="2"/>
          </rPr>
          <t xml:space="preserve">
PROVENIENTE CHEQUE UF144 LIBRADO POR JUZGADO (122487,70)
</t>
        </r>
      </text>
    </comment>
    <comment ref="B1054" authorId="0" shapeId="0" xr:uid="{00000000-0006-0000-0500-000006000000}">
      <text>
        <r>
          <rPr>
            <b/>
            <sz val="8"/>
            <color indexed="81"/>
            <rFont val="Tahoma"/>
            <family val="2"/>
          </rPr>
          <t>arturo:</t>
        </r>
        <r>
          <rPr>
            <sz val="8"/>
            <color indexed="81"/>
            <rFont val="Tahoma"/>
            <family val="2"/>
          </rPr>
          <t xml:space="preserve">
PROVENIENTES DEL VTO. DE AYER BCO. RIO
</t>
        </r>
      </text>
    </comment>
    <comment ref="B1055" authorId="0" shapeId="0" xr:uid="{00000000-0006-0000-0500-000007000000}">
      <text>
        <r>
          <rPr>
            <b/>
            <sz val="8"/>
            <color indexed="81"/>
            <rFont val="Tahoma"/>
            <family val="2"/>
          </rPr>
          <t>arturo:</t>
        </r>
        <r>
          <rPr>
            <sz val="8"/>
            <color indexed="81"/>
            <rFont val="Tahoma"/>
            <family val="2"/>
          </rPr>
          <t xml:space="preserve">
PROVENIENTES DEL VTO. DE AYER BCO. RIO</t>
        </r>
      </text>
    </comment>
    <comment ref="B1056" authorId="0" shapeId="0" xr:uid="{00000000-0006-0000-0500-000008000000}">
      <text>
        <r>
          <rPr>
            <b/>
            <sz val="8"/>
            <color indexed="81"/>
            <rFont val="Tahoma"/>
            <family val="2"/>
          </rPr>
          <t>arturo:</t>
        </r>
        <r>
          <rPr>
            <sz val="8"/>
            <color indexed="81"/>
            <rFont val="Tahoma"/>
            <family val="2"/>
          </rPr>
          <t xml:space="preserve">
COBRADO Y EL 3-8-7 RENOVADO EN EL HSBC POR $ 50.000
</t>
        </r>
      </text>
    </comment>
    <comment ref="B1061" authorId="1" shapeId="0" xr:uid="{00000000-0006-0000-0500-000009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COBRADO Y EL 3-8-7 RENOVADO EN EL HSBC</t>
        </r>
      </text>
    </comment>
    <comment ref="B1067" authorId="0" shapeId="0" xr:uid="{00000000-0006-0000-0500-00000A000000}">
      <text>
        <r>
          <rPr>
            <b/>
            <sz val="8"/>
            <color indexed="81"/>
            <rFont val="Tahoma"/>
            <family val="2"/>
          </rPr>
          <t>arturo:</t>
        </r>
        <r>
          <rPr>
            <sz val="8"/>
            <color indexed="81"/>
            <rFont val="Tahoma"/>
            <family val="2"/>
          </rPr>
          <t xml:space="preserve">
PROVENIENTES DEL VTO. DE AYER BCO. RIO
</t>
        </r>
      </text>
    </comment>
    <comment ref="B1068" authorId="0" shapeId="0" xr:uid="{00000000-0006-0000-0500-00000B000000}">
      <text>
        <r>
          <rPr>
            <b/>
            <sz val="8"/>
            <color indexed="81"/>
            <rFont val="Tahoma"/>
            <family val="2"/>
          </rPr>
          <t>arturo:</t>
        </r>
        <r>
          <rPr>
            <sz val="8"/>
            <color indexed="81"/>
            <rFont val="Tahoma"/>
            <family val="2"/>
          </rPr>
          <t xml:space="preserve">
PROVENIENTES DEL VTO. DE AYER BCO. RIO</t>
        </r>
      </text>
    </comment>
    <comment ref="B1075" authorId="1" shapeId="0" xr:uid="{00000000-0006-0000-0500-00000C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PROVIENE PF. BBVA VENCIDO 1-8-7</t>
        </r>
      </text>
    </comment>
    <comment ref="B1076" authorId="1" shapeId="0" xr:uid="{00000000-0006-0000-0500-00000D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PROVIENE PF. BBVA VENCIDO 25-7-7</t>
        </r>
      </text>
    </comment>
    <comment ref="B1079" authorId="0" shapeId="0" xr:uid="{00000000-0006-0000-0500-00000E000000}">
      <text>
        <r>
          <rPr>
            <b/>
            <sz val="8"/>
            <color indexed="81"/>
            <rFont val="Tahoma"/>
            <family val="2"/>
          </rPr>
          <t>arturo:</t>
        </r>
        <r>
          <rPr>
            <sz val="8"/>
            <color indexed="81"/>
            <rFont val="Tahoma"/>
            <family val="2"/>
          </rPr>
          <t xml:space="preserve">
PROVENIENTES DEL VTO. DE AYER BCO. RIO
</t>
        </r>
      </text>
    </comment>
    <comment ref="B1080" authorId="0" shapeId="0" xr:uid="{00000000-0006-0000-0500-00000F000000}">
      <text>
        <r>
          <rPr>
            <b/>
            <sz val="8"/>
            <color indexed="81"/>
            <rFont val="Tahoma"/>
            <family val="2"/>
          </rPr>
          <t>arturo:</t>
        </r>
        <r>
          <rPr>
            <sz val="8"/>
            <color indexed="81"/>
            <rFont val="Tahoma"/>
            <family val="2"/>
          </rPr>
          <t xml:space="preserve">
PROVENIENTES DEL VTO. DE AYER BCO. RIO</t>
        </r>
      </text>
    </comment>
    <comment ref="B1082" authorId="0" shapeId="0" xr:uid="{00000000-0006-0000-0500-000010000000}">
      <text>
        <r>
          <rPr>
            <b/>
            <sz val="8"/>
            <color indexed="81"/>
            <rFont val="Tahoma"/>
            <family val="2"/>
          </rPr>
          <t>arturo:</t>
        </r>
        <r>
          <rPr>
            <sz val="8"/>
            <color indexed="81"/>
            <rFont val="Tahoma"/>
            <family val="2"/>
          </rPr>
          <t xml:space="preserve">
RESCATE DE FONDO FBA HORIZONTE
</t>
        </r>
      </text>
    </comment>
    <comment ref="B1083" authorId="0" shapeId="0" xr:uid="{00000000-0006-0000-0500-000011000000}">
      <text>
        <r>
          <rPr>
            <b/>
            <sz val="8"/>
            <color indexed="81"/>
            <rFont val="Tahoma"/>
            <family val="2"/>
          </rPr>
          <t>arturo:</t>
        </r>
        <r>
          <rPr>
            <sz val="8"/>
            <color indexed="81"/>
            <rFont val="Tahoma"/>
            <family val="2"/>
          </rPr>
          <t xml:space="preserve">
RESCATE DE FONDO FBA HORIZONTE
</t>
        </r>
      </text>
    </comment>
    <comment ref="B1084" authorId="1" shapeId="0" xr:uid="{00000000-0006-0000-0500-000012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RESCATE FONDO DEL BANCO RIO
</t>
        </r>
      </text>
    </comment>
    <comment ref="B1085" authorId="1" shapeId="0" xr:uid="{00000000-0006-0000-0500-000013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DEL VTO. DEL BANCO DE GALICIA + REMANENTE DE RESCATE FONDO FIMA
</t>
        </r>
      </text>
    </comment>
    <comment ref="B1086" authorId="1" shapeId="0" xr:uid="{00000000-0006-0000-0500-000014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DEL VTO. DEL BANCO DE GALICIA + REMANENTE DE RESCATE FONDO FIMA
</t>
        </r>
      </text>
    </comment>
    <comment ref="B1087" authorId="1" shapeId="0" xr:uid="{00000000-0006-0000-0500-000015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PROVIENE DEL CERTIFICADO BANCO GALICIA VENCIDO EL 27-8-7
</t>
        </r>
      </text>
    </comment>
    <comment ref="B1093" authorId="1" shapeId="0" xr:uid="{00000000-0006-0000-0500-000016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DE PLAZO FIJO DEL BBVA VENCIDO EL 12-9-7</t>
        </r>
      </text>
    </comment>
    <comment ref="B1095" authorId="0" shapeId="0" xr:uid="{00000000-0006-0000-0500-000017000000}">
      <text>
        <r>
          <rPr>
            <b/>
            <sz val="8"/>
            <color indexed="81"/>
            <rFont val="Tahoma"/>
            <family val="2"/>
          </rPr>
          <t>arturo:</t>
        </r>
        <r>
          <rPr>
            <sz val="8"/>
            <color indexed="81"/>
            <rFont val="Tahoma"/>
            <family val="2"/>
          </rPr>
          <t xml:space="preserve">
PROVENIENTES DEL VTO. DEL BANCO DE GALICIA
</t>
        </r>
      </text>
    </comment>
    <comment ref="B1096" authorId="0" shapeId="0" xr:uid="{00000000-0006-0000-0500-000018000000}">
      <text>
        <r>
          <rPr>
            <b/>
            <sz val="8"/>
            <color indexed="81"/>
            <rFont val="Tahoma"/>
            <family val="2"/>
          </rPr>
          <t>arturo:</t>
        </r>
        <r>
          <rPr>
            <sz val="8"/>
            <color indexed="81"/>
            <rFont val="Tahoma"/>
            <family val="2"/>
          </rPr>
          <t xml:space="preserve">
PROVENIENTES DEL VTO. DEL BANCO DE GALICIA</t>
        </r>
      </text>
    </comment>
    <comment ref="B1104" authorId="1" shapeId="0" xr:uid="{00000000-0006-0000-0500-000019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DE LOS CERTIFICADOS VENCIDOS DEL BANCO DE GALICIA (3) POR UN TOTAL DE $ 115,066</t>
        </r>
      </text>
    </comment>
    <comment ref="B1105" authorId="1" shapeId="0" xr:uid="{00000000-0006-0000-0500-00001A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DE LOS CERTIFICADOS VENCIDOS DEL BANCO DE GALICIA (3) POR UN TOTAL DE $ 115,066</t>
        </r>
      </text>
    </comment>
    <comment ref="B1106" authorId="1" shapeId="0" xr:uid="{00000000-0006-0000-0500-00001B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DE PLAZOS FIJOS DEL HSBC  VENCIDOS EL 03-10-7</t>
        </r>
      </text>
    </comment>
    <comment ref="B1107" authorId="1" shapeId="0" xr:uid="{00000000-0006-0000-0500-00001C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DE PLAZOS FIJOS DEL HSBC  VENCIDOS EL 03-10-7</t>
        </r>
      </text>
    </comment>
    <comment ref="B1108" authorId="1" shapeId="0" xr:uid="{00000000-0006-0000-0500-00001D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DE PLAZO FIJO DEL BBVA VENCIDO EL 12-9-7</t>
        </r>
      </text>
    </comment>
    <comment ref="B1123" authorId="1" shapeId="0" xr:uid="{00000000-0006-0000-0500-00001E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DE PLAZO FIJO DEL BBVA VENCIDO EL 12-9-7</t>
        </r>
      </text>
    </comment>
    <comment ref="B1137" authorId="1" shapeId="0" xr:uid="{00000000-0006-0000-0500-00001F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SE RETIRARON $ 6214,30 DEL PLAZO FIJO VENCIDO</t>
        </r>
      </text>
    </comment>
    <comment ref="B1139" authorId="1" shapeId="0" xr:uid="{00000000-0006-0000-0500-000020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SE RETIRARAIN 4264,50 DEL PLAZO FIJO VENCIDO
</t>
        </r>
      </text>
    </comment>
    <comment ref="B1165" authorId="1" shapeId="0" xr:uid="{00000000-0006-0000-0500-000021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SE DEPOSITARON 35000 PARA LA COMPRA DE ACCIONES
</t>
        </r>
      </text>
    </comment>
    <comment ref="B1170" authorId="1" shapeId="0" xr:uid="{00000000-0006-0000-0500-000022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PROVIENE DEL PLAZO FIJO VENCIDO DEL HSBC+10000 EFECTIVO +7000 CAJA DE AHORRO BBVA (VENTA ACINDAR)
</t>
        </r>
      </text>
    </comment>
    <comment ref="B1172" authorId="1" shapeId="0" xr:uid="{00000000-0006-0000-0500-000023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PROVIENE DE PLAZO FIJO VENCIDO EN EL DIA DE LA FECHA DEL BBVA</t>
        </r>
      </text>
    </comment>
    <comment ref="B1182" authorId="1" shapeId="0" xr:uid="{00000000-0006-0000-0500-000024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PROVIENE PLAZO FIJO BBVA VENCIDO EL DIA ANTERIOR</t>
        </r>
      </text>
    </comment>
    <comment ref="B1183" authorId="1" shapeId="0" xr:uid="{00000000-0006-0000-0500-000025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PROVIENE PLAZO FIJO BBVA VENCIDO EL DIA ANTERIOR</t>
        </r>
      </text>
    </comment>
    <comment ref="B1184" authorId="1" shapeId="0" xr:uid="{00000000-0006-0000-0500-000026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PROVIENE DEL PLAZO FIJO VENCIDO DEL BBVA 
</t>
        </r>
      </text>
    </comment>
    <comment ref="B1185" authorId="1" shapeId="0" xr:uid="{00000000-0006-0000-0500-000027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PROVIENE DEL PLAZO FIJO VENCIDO DEL BBVA 
</t>
        </r>
      </text>
    </comment>
    <comment ref="B1188" authorId="1" shapeId="0" xr:uid="{00000000-0006-0000-0500-000028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PROVIENE DE PLAZO FIJO VENCIDO EN EL DIA DE LA FECHA DEL GALICIA Y SE RETIRO EN EFECTIVO LA DIFERENCIA</t>
        </r>
      </text>
    </comment>
    <comment ref="B1189" authorId="1" shapeId="0" xr:uid="{00000000-0006-0000-0500-000029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PROVIENE DE PLAZO FIJO VENCIDO EN EL DIA DE LA FECHA DEL BBVA</t>
        </r>
      </text>
    </comment>
    <comment ref="B1192" authorId="1" shapeId="0" xr:uid="{00000000-0006-0000-0500-00002A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DEL BBVA VENCIDO EN EL DIA DE LA FECHA</t>
        </r>
      </text>
    </comment>
    <comment ref="B1193" authorId="1" shapeId="0" xr:uid="{00000000-0006-0000-0500-00002B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DEL BBVA VENCIDO EN EL DIA DE LA FECHA</t>
        </r>
      </text>
    </comment>
    <comment ref="B1194" authorId="1" shapeId="0" xr:uid="{00000000-0006-0000-0500-00002C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DEL BBVA VENCIDO EN EL DIA DE LA FECHA DE 48.772,89  MENOS  $ 26.000 PARA COMPRA BONOS- PARA-</t>
        </r>
      </text>
    </comment>
    <comment ref="B1197" authorId="1" shapeId="0" xr:uid="{00000000-0006-0000-0500-00002D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PROVIENE DE LA RECUPERACION DE FONDOS TRANSFERENCIA DE ITALIA</t>
        </r>
      </text>
    </comment>
    <comment ref="B1202" authorId="1" shapeId="0" xr:uid="{00000000-0006-0000-0500-00002E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SE DESCONTO DEL PLAZO FIJO LA SUMA DE 40,000 PARA LA COMPRA DE PARA Y NF18</t>
        </r>
      </text>
    </comment>
    <comment ref="B1204" authorId="1" shapeId="0" xr:uid="{00000000-0006-0000-0500-00002F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SE DESCONTARON $ 20.000 DEL PLAZO VENCIDO PARA LA COMPRA DE BONOS
</t>
        </r>
      </text>
    </comment>
    <comment ref="B1205" authorId="1" shapeId="0" xr:uid="{00000000-0006-0000-0500-000030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PROVIENE DE PLAZO FIJO VENCIDO EN EL DIA DE LA FECHA DEL GALICIA</t>
        </r>
      </text>
    </comment>
    <comment ref="B1211" authorId="1" shapeId="0" xr:uid="{00000000-0006-0000-0500-000031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DEPLAZO FIJO HSBC VENCIDO EL 14-5-8+PF DEL BANCO FRANCES VTO. 14-5-8 (20.000), RESTO CAJA</t>
        </r>
      </text>
    </comment>
    <comment ref="B1214" authorId="1" shapeId="0" xr:uid="{00000000-0006-0000-0500-000032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PF HSBC VENCIDO DIA ANTERIOR</t>
        </r>
      </text>
    </comment>
    <comment ref="B1215" authorId="1" shapeId="0" xr:uid="{00000000-0006-0000-0500-000033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PF HSBC VENCIDO DIA ANTERIOR</t>
        </r>
      </text>
    </comment>
    <comment ref="B1216" authorId="1" shapeId="0" xr:uid="{00000000-0006-0000-0500-000034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PF HSBC VENCIDO DIA ANTERIOR</t>
        </r>
      </text>
    </comment>
    <comment ref="B1217" authorId="1" shapeId="0" xr:uid="{00000000-0006-0000-0500-000035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PF HSBC VENCIDO DIA ANTERIOR</t>
        </r>
      </text>
    </comment>
    <comment ref="B1218" authorId="1" shapeId="0" xr:uid="{00000000-0006-0000-0500-000036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PF HSBC VENCIDO DIA ANTERIOR
</t>
        </r>
      </text>
    </comment>
    <comment ref="B1225" authorId="1" shapeId="0" xr:uid="{00000000-0006-0000-0500-000037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DEPLAZO FIJO HSBC VENCIDO EL 18-6-8+PF RETIRO CAJA DE AHORRO HSBC 9,000</t>
        </r>
      </text>
    </comment>
    <comment ref="B1226" authorId="1" shapeId="0" xr:uid="{00000000-0006-0000-0500-000038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PROVIENE DE PF DEL HSBC VENCIDO AYER</t>
        </r>
      </text>
    </comment>
    <comment ref="B1227" authorId="1" shapeId="0" xr:uid="{00000000-0006-0000-0500-000039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PROVIENE DE PF DEL HSBC VENCIDO AYER</t>
        </r>
      </text>
    </comment>
    <comment ref="B1234" authorId="1" shapeId="0" xr:uid="{00000000-0006-0000-0500-00003A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CANCELACION UF151-PAGARE</t>
        </r>
      </text>
    </comment>
    <comment ref="B1285" authorId="1" shapeId="0" xr:uid="{00000000-0006-0000-0500-00003B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CANCELACION UF124</t>
        </r>
      </text>
    </comment>
    <comment ref="B1286" authorId="1" shapeId="0" xr:uid="{00000000-0006-0000-0500-00003C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CANCELACION UF124</t>
        </r>
      </text>
    </comment>
    <comment ref="B1287" authorId="1" shapeId="0" xr:uid="{00000000-0006-0000-0500-00003D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CANCELACION UF124</t>
        </r>
      </text>
    </comment>
    <comment ref="B1288" authorId="1" shapeId="0" xr:uid="{00000000-0006-0000-0500-00003E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CANCELACION UF124</t>
        </r>
      </text>
    </comment>
    <comment ref="B1289" authorId="1" shapeId="0" xr:uid="{00000000-0006-0000-0500-00003F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CANCELACION UF124</t>
        </r>
      </text>
    </comment>
    <comment ref="B1290" authorId="1" shapeId="0" xr:uid="{00000000-0006-0000-0500-000040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CANCELACION UF124</t>
        </r>
      </text>
    </comment>
    <comment ref="B1292" authorId="1" shapeId="0" xr:uid="{00000000-0006-0000-0500-000041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VTO. PF BBVA</t>
        </r>
      </text>
    </comment>
    <comment ref="B1293" authorId="1" shapeId="0" xr:uid="{00000000-0006-0000-0500-000042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VTO. PF BBVA</t>
        </r>
      </text>
    </comment>
    <comment ref="B1294" authorId="1" shapeId="0" xr:uid="{00000000-0006-0000-0500-000043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VTO. PF BBVA</t>
        </r>
      </text>
    </comment>
    <comment ref="B1296" authorId="1" shapeId="0" xr:uid="{00000000-0006-0000-0500-000044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VTO. PF BBVA</t>
        </r>
      </text>
    </comment>
    <comment ref="B1309" authorId="0" shapeId="0" xr:uid="{00000000-0006-0000-0500-000045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BANCO PRIVADO</t>
        </r>
      </text>
    </comment>
    <comment ref="B1312" authorId="0" shapeId="0" xr:uid="{00000000-0006-0000-0500-000046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DE BANCO PRIVADO</t>
        </r>
      </text>
    </comment>
    <comment ref="B1313" authorId="0" shapeId="0" xr:uid="{00000000-0006-0000-0500-000047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PLAZO FIJO BANCO PRIVADO $ 51,882,22</t>
        </r>
      </text>
    </comment>
    <comment ref="B1316" authorId="2" shapeId="0" xr:uid="{00000000-0006-0000-0500-000048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DEL B.HIPOT. VENCIDOS EL 27-4-10
</t>
        </r>
      </text>
    </comment>
    <comment ref="B1317" authorId="2" shapeId="0" xr:uid="{00000000-0006-0000-0500-000049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DEL B.HIPOT. VENCIDOS EL 04-05-10
</t>
        </r>
      </text>
    </comment>
    <comment ref="B1319" authorId="2" shapeId="0" xr:uid="{00000000-0006-0000-0500-00004A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DE COHEN
</t>
        </r>
      </text>
    </comment>
    <comment ref="B1326" authorId="2" shapeId="0" xr:uid="{00000000-0006-0000-0500-00004B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PROVENIENTE DE COHEN (VENTA BODEN 2012)+DIVIDENDO PESA</t>
        </r>
      </text>
    </comment>
    <comment ref="B1327" authorId="2" shapeId="0" xr:uid="{00000000-0006-0000-0500-00004C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PROCEDENCIA CUPONES TVPP Y RESCATE HF PESOS
</t>
        </r>
      </text>
    </comment>
    <comment ref="B1328" authorId="2" shapeId="0" xr:uid="{00000000-0006-0000-0500-00004D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PROCEDENCIA VENTA RO15 50.000
</t>
        </r>
      </text>
    </comment>
    <comment ref="B1333" authorId="2" shapeId="0" xr:uid="{00000000-0006-0000-0500-00004E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PROCEDENCIA fondo hf pesos
</t>
        </r>
      </text>
    </comment>
    <comment ref="B1334" authorId="2" shapeId="0" xr:uid="{00000000-0006-0000-0500-00004F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PROCEDENCIA VENTA RO15 130.000
</t>
        </r>
      </text>
    </comment>
    <comment ref="B1337" authorId="2" shapeId="0" xr:uid="{00000000-0006-0000-0500-000050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proveniente INDEMNIZACION LABORAL
</t>
        </r>
      </text>
    </comment>
    <comment ref="B1338" authorId="2" shapeId="0" xr:uid="{00000000-0006-0000-0500-000051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proveniente FONDO COMUN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arona arturo</author>
    <author>arturo</author>
    <author>Arturo</author>
  </authors>
  <commentList>
    <comment ref="B8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PFIJOS EN $ DEL HSBC VENCIDO EL 18-2-9
</t>
        </r>
      </text>
    </comment>
    <comment ref="B1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PF BBVA VENCIDO EL 27-2-9</t>
        </r>
      </text>
    </comment>
    <comment ref="B12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PF BBVA VENCIDO EL 04-03-09</t>
        </r>
      </text>
    </comment>
    <comment ref="B1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PFIJOS EN $ DEL HSBC VENCIDO EL 18-2-9
</t>
        </r>
      </text>
    </comment>
    <comment ref="B16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PF BBVA VENCIDO EL 1-4-9</t>
        </r>
      </text>
    </comment>
    <comment ref="B17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PF BBVA VENCIDO EL 08-04-09 + MAS SE AGREGO U$S 900 DE LA CAJA DE AHORRO U$S BBVA</t>
        </r>
      </text>
    </comment>
    <comment ref="B18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PF BBVA VENCIDO EL 08-04-09 + MAS SE AGREGO U$S 900 DE LA CAJA DE AHORRO U$S BBVA</t>
        </r>
      </text>
    </comment>
    <comment ref="B19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PFIJOS EN $ DEL HSBC VENCIDO EL 18-2-9
</t>
        </r>
      </text>
    </comment>
    <comment ref="B23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HONORARIOS DEBIDOS A JORGE</t>
        </r>
      </text>
    </comment>
    <comment ref="B28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PROVENIENTE PFIJOS EN $ DEL HSBC VENCIDO EL 18-2-9
</t>
        </r>
      </text>
    </comment>
    <comment ref="B29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CUPON BODEN 2012
</t>
        </r>
      </text>
    </comment>
    <comment ref="B30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arona arturo:</t>
        </r>
        <r>
          <rPr>
            <sz val="9"/>
            <color indexed="81"/>
            <rFont val="Tahoma"/>
            <family val="2"/>
          </rPr>
          <t xml:space="preserve">
CUPON BODEN 2012
</t>
        </r>
      </text>
    </comment>
    <comment ref="B57" authorId="1" shapeId="0" xr:uid="{00000000-0006-0000-0400-00000D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RENTAS BODEN 2015 Y PARA (COHEN)</t>
        </r>
      </text>
    </comment>
    <comment ref="B65" authorId="1" shapeId="0" xr:uid="{00000000-0006-0000-0400-00000E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RENTAS BODEN 2015 Y PARA (COHEN)</t>
        </r>
      </text>
    </comment>
    <comment ref="B72" authorId="2" shapeId="0" xr:uid="{00000000-0006-0000-0400-00000F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PLAZO FIJO B.HIPOT. 26-5 Y SE COMPARON DOLARES</t>
        </r>
      </text>
    </comment>
    <comment ref="B73" authorId="2" shapeId="0" xr:uid="{00000000-0006-0000-0400-000010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de fondo comun cohen
</t>
        </r>
      </text>
    </comment>
    <comment ref="B75" authorId="2" shapeId="0" xr:uid="{00000000-0006-0000-0400-000011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B. HIPOTECARIO 9-6-10 Y SE COMPARON DOLARES $3,96
</t>
        </r>
      </text>
    </comment>
    <comment ref="B77" authorId="2" shapeId="0" xr:uid="{00000000-0006-0000-0400-000012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PLAZO FIJO BANCO HIPOTECARIO VENCIDO EL 16-6-10
</t>
        </r>
      </text>
    </comment>
    <comment ref="B89" authorId="2" shapeId="0" xr:uid="{00000000-0006-0000-0400-000013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DEL RETIRO DEPOSITO DE GARANTIA CASO- VERA UF135-</t>
        </r>
      </text>
    </comment>
    <comment ref="B95" authorId="2" shapeId="0" xr:uid="{00000000-0006-0000-0400-000014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renta boden 2012
</t>
        </r>
      </text>
    </comment>
    <comment ref="B96" authorId="2" shapeId="0" xr:uid="{00000000-0006-0000-0400-000015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proviene renta boden 2012
</t>
        </r>
      </text>
    </comment>
    <comment ref="B108" authorId="2" shapeId="0" xr:uid="{00000000-0006-0000-0400-000016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PLAZO FIJO VENCIDO EL 20-10-10</t>
        </r>
      </text>
    </comment>
    <comment ref="B109" authorId="2" shapeId="0" xr:uid="{00000000-0006-0000-0400-000017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PLAZOS FIJOS VENCIDOS EL 28-10-10 HSBC + U$S 213 DE CAJA DE AHORRO HSBC</t>
        </r>
      </text>
    </comment>
    <comment ref="B110" authorId="2" shapeId="0" xr:uid="{00000000-0006-0000-0400-000018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PLAZO FIJO VENCIDO EL 03-11-10</t>
        </r>
      </text>
    </comment>
    <comment ref="B118" authorId="2" shapeId="0" xr:uid="{00000000-0006-0000-0400-000019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PROVENIENTE PF VENCIDO EL 03-11-10</t>
        </r>
      </text>
    </comment>
    <comment ref="B122" authorId="2" shapeId="0" xr:uid="{00000000-0006-0000-0400-00001A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DE CAJA DE AHORRO U$S HSBC</t>
        </r>
      </text>
    </comment>
    <comment ref="B142" authorId="2" shapeId="0" xr:uid="{00000000-0006-0000-0400-00001B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EXTRACCION DE CAJA DE AHORRO HSBC</t>
        </r>
      </text>
    </comment>
    <comment ref="C160" authorId="2" shapeId="0" xr:uid="{00000000-0006-0000-0400-00001C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SE VENDIERON EN $ (AZUL) Y SE DEPOSITARON EN COHEN</t>
        </r>
      </text>
    </comment>
    <comment ref="C161" authorId="2" shapeId="0" xr:uid="{00000000-0006-0000-0400-00001D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SE VENDIERON EN $ (AZUL) Y SE DEPOSITARON EN COHEN</t>
        </r>
      </text>
    </comment>
    <comment ref="C162" authorId="2" shapeId="0" xr:uid="{00000000-0006-0000-0400-00001E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SE VENDIERON EN $ (AZUL) Y SE DEPOSITARON EN COHEN</t>
        </r>
      </text>
    </comment>
    <comment ref="B185" authorId="2" shapeId="0" xr:uid="{00000000-0006-0000-0400-00001F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PROVENIENTE PF HSBC VENCIDO 6-4-11</t>
        </r>
      </text>
    </comment>
    <comment ref="B186" authorId="2" shapeId="0" xr:uid="{00000000-0006-0000-0400-000020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PROVENIENTE PF HSBC VENCIDO 6-4-11</t>
        </r>
      </text>
    </comment>
    <comment ref="B187" authorId="2" shapeId="0" xr:uid="{00000000-0006-0000-0400-000021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PROVENIENTE PF HSBC VENCIDO 6-4-11</t>
        </r>
      </text>
    </comment>
    <comment ref="B188" authorId="2" shapeId="0" xr:uid="{00000000-0006-0000-0400-000022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PROVENIENTE DE COHEN (RENTA RO15 Y PARA)</t>
        </r>
      </text>
    </comment>
    <comment ref="B200" authorId="2" shapeId="0" xr:uid="{00000000-0006-0000-0400-000023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PROVENIENTE COHEN RENTA BONOS PARA E RO15</t>
        </r>
      </text>
    </comment>
    <comment ref="B202" authorId="2" shapeId="0" xr:uid="{00000000-0006-0000-0400-000024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PLAZO FIJO (VTO. 30-11-11 Y NO COBRADO A SU VENCIMIENTO) +
PLAZOS FIJOS VENCIDOS EL 9-11-11 Y SE AGREGÒ COMPRA MARIA DE U$S
</t>
        </r>
      </text>
    </comment>
    <comment ref="B203" authorId="2" shapeId="0" xr:uid="{00000000-0006-0000-0400-000025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PLAZO FIJO (VTO. 30-11-11 Y NO COBRADO A SU VENCIMIENTO) +
RENTA TVPA
</t>
        </r>
      </text>
    </comment>
    <comment ref="B210" authorId="2" shapeId="0" xr:uid="{00000000-0006-0000-0400-000026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proveniente cohen renta tvpy y tvy0
</t>
        </r>
      </text>
    </comment>
    <comment ref="B213" authorId="2" shapeId="0" xr:uid="{00000000-0006-0000-0400-000027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proveniente cohen renta tvpy y tvy0
</t>
        </r>
      </text>
    </comment>
    <comment ref="B215" authorId="2" shapeId="0" xr:uid="{00000000-0006-0000-0400-000028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proveniente cohen renta tvpy y tvy0
</t>
        </r>
      </text>
    </comment>
    <comment ref="B216" authorId="2" shapeId="0" xr:uid="{00000000-0006-0000-0400-000029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proveniente cohen renta AA17, PARA RO15
</t>
        </r>
      </text>
    </comment>
    <comment ref="B219" authorId="2" shapeId="0" xr:uid="{00000000-0006-0000-0400-00002A000000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proveniente cohen renta tvpy y tvy0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 usuario de Microsoft Office satisfecho</author>
    <author>ARONA</author>
    <author>Ing. Arturo Arona</author>
    <author>arturo  arona</author>
    <author>arturo arona</author>
    <author>ARTURO</author>
    <author xml:space="preserve"> ARONA</author>
  </authors>
  <commentList>
    <comment ref="B450" authorId="0" shapeId="0" xr:uid="{00000000-0006-0000-0700-000001000000}">
      <text>
        <r>
          <rPr>
            <sz val="8"/>
            <color indexed="81"/>
            <rFont val="Tahoma"/>
            <family val="2"/>
          </rPr>
          <t>ARONA:
200 CORRIENTES 848 905</t>
        </r>
      </text>
    </comment>
    <comment ref="B486" authorId="1" shapeId="0" xr:uid="{00000000-0006-0000-0700-000002000000}">
      <text>
        <r>
          <rPr>
            <b/>
            <sz val="8"/>
            <color indexed="81"/>
            <rFont val="Tahoma"/>
            <family val="2"/>
          </rPr>
          <t>ARONA:</t>
        </r>
        <r>
          <rPr>
            <sz val="8"/>
            <color indexed="81"/>
            <rFont val="Tahoma"/>
            <family val="2"/>
          </rPr>
          <t xml:space="preserve">
pasjes cataratas= 556
pasaje porto seguro = 3013</t>
        </r>
      </text>
    </comment>
    <comment ref="B532" authorId="1" shapeId="0" xr:uid="{00000000-0006-0000-0700-000003000000}">
      <text>
        <r>
          <rPr>
            <b/>
            <sz val="8"/>
            <color indexed="81"/>
            <rFont val="Tahoma"/>
            <family val="2"/>
          </rPr>
          <t>ARONA:</t>
        </r>
        <r>
          <rPr>
            <sz val="8"/>
            <color indexed="81"/>
            <rFont val="Tahoma"/>
            <family val="2"/>
          </rPr>
          <t xml:space="preserve">
4-10-99 1100 GIMNASIO CLARIDGE
</t>
        </r>
      </text>
    </comment>
    <comment ref="B703" authorId="2" shapeId="0" xr:uid="{00000000-0006-0000-0700-000004000000}">
      <text>
        <r>
          <rPr>
            <b/>
            <sz val="8"/>
            <color indexed="81"/>
            <rFont val="Tahoma"/>
            <family val="2"/>
          </rPr>
          <t>Ing. Arturo Arona:</t>
        </r>
        <r>
          <rPr>
            <sz val="8"/>
            <color indexed="81"/>
            <rFont val="Tahoma"/>
            <family val="2"/>
          </rPr>
          <t xml:space="preserve">
SE LE ENREGÓ PLAZO FIJO DEL SUPERVIELLE</t>
        </r>
      </text>
    </comment>
    <comment ref="B721" authorId="2" shapeId="0" xr:uid="{00000000-0006-0000-0700-000005000000}">
      <text>
        <r>
          <rPr>
            <b/>
            <sz val="8"/>
            <color indexed="81"/>
            <rFont val="Tahoma"/>
            <family val="2"/>
          </rPr>
          <t>Ing. Arturo Arona:</t>
        </r>
        <r>
          <rPr>
            <sz val="8"/>
            <color indexed="81"/>
            <rFont val="Tahoma"/>
            <family val="2"/>
          </rPr>
          <t xml:space="preserve">
A CAUSA PLAZO FIJO ENTREGADO A ROSA U$S 38903</t>
        </r>
      </text>
    </comment>
    <comment ref="B774" authorId="2" shapeId="0" xr:uid="{00000000-0006-0000-0700-000006000000}">
      <text>
        <r>
          <rPr>
            <b/>
            <sz val="8"/>
            <color indexed="81"/>
            <rFont val="Tahoma"/>
            <family val="2"/>
          </rPr>
          <t>Ing. Arturo Arona:</t>
        </r>
        <r>
          <rPr>
            <sz val="8"/>
            <color indexed="81"/>
            <rFont val="Tahoma"/>
            <family val="2"/>
          </rPr>
          <t xml:space="preserve">
ENTRE PARENTESIS ESTA LA COMPRA DEL VOLVO)
</t>
        </r>
      </text>
    </comment>
    <comment ref="B836" authorId="2" shapeId="0" xr:uid="{00000000-0006-0000-0700-000007000000}">
      <text>
        <r>
          <rPr>
            <b/>
            <sz val="8"/>
            <color indexed="81"/>
            <rFont val="Tahoma"/>
            <family val="2"/>
          </rPr>
          <t>Ing. Arturo Arona:</t>
        </r>
        <r>
          <rPr>
            <sz val="8"/>
            <color indexed="81"/>
            <rFont val="Tahoma"/>
            <family val="2"/>
          </rPr>
          <t xml:space="preserve">
1/2/2001 GASTOS SUCESION PAGADOS A VASEN
</t>
        </r>
      </text>
    </comment>
    <comment ref="B839" authorId="2" shapeId="0" xr:uid="{00000000-0006-0000-0700-000008000000}">
      <text>
        <r>
          <rPr>
            <b/>
            <sz val="8"/>
            <color indexed="81"/>
            <rFont val="Tahoma"/>
            <family val="2"/>
          </rPr>
          <t>Ing. Arturo Arona:</t>
        </r>
        <r>
          <rPr>
            <sz val="8"/>
            <color indexed="81"/>
            <rFont val="Tahoma"/>
            <family val="2"/>
          </rPr>
          <t xml:space="preserve">
8/3/01 PAGO MULTICANAL MAR DEL PLATA
</t>
        </r>
      </text>
    </comment>
    <comment ref="B877" authorId="2" shapeId="0" xr:uid="{00000000-0006-0000-0700-000009000000}">
      <text>
        <r>
          <rPr>
            <b/>
            <sz val="8"/>
            <color indexed="81"/>
            <rFont val="Tahoma"/>
            <family val="2"/>
          </rPr>
          <t>Ing. Arturo Arona:</t>
        </r>
        <r>
          <rPr>
            <sz val="8"/>
            <color indexed="81"/>
            <rFont val="Tahoma"/>
            <family val="2"/>
          </rPr>
          <t xml:space="preserve">
SE CARGO LA VENTA UF 72 38000</t>
        </r>
      </text>
    </comment>
    <comment ref="B890" authorId="2" shapeId="0" xr:uid="{00000000-0006-0000-0700-00000A000000}">
      <text>
        <r>
          <rPr>
            <b/>
            <sz val="8"/>
            <color indexed="81"/>
            <rFont val="Tahoma"/>
            <family val="2"/>
          </rPr>
          <t>Ing. Arturo Arona:</t>
        </r>
        <r>
          <rPr>
            <sz val="8"/>
            <color indexed="81"/>
            <rFont val="Tahoma"/>
            <family val="2"/>
          </rPr>
          <t xml:space="preserve">
8/5/01 ANTICIPO PILETA
13-5-01 ANTICIPO POZO CIEGO $ 300 (TOTAL +350+74,98) 15-5-01 $ 125
24/5/01 2DA CUOTA CALCIYAN (3150)
</t>
        </r>
      </text>
    </comment>
    <comment ref="B910" authorId="2" shapeId="0" xr:uid="{00000000-0006-0000-0700-00000B000000}">
      <text>
        <r>
          <rPr>
            <b/>
            <sz val="8"/>
            <color indexed="81"/>
            <rFont val="Tahoma"/>
            <family val="2"/>
          </rPr>
          <t>Ing. Arturo Arona:</t>
        </r>
        <r>
          <rPr>
            <sz val="8"/>
            <color indexed="81"/>
            <rFont val="Tahoma"/>
            <family val="2"/>
          </rPr>
          <t xml:space="preserve">
11/6/01 PAGO 3 CUOTA PILETA (2100)
24/6/01 ULTIMA CUOTA PILETA $ 3150
24-6-01 DESPARRAMAR TIERRA JARDIN $ 250
</t>
        </r>
      </text>
    </comment>
    <comment ref="B916" authorId="2" shapeId="0" xr:uid="{00000000-0006-0000-0700-00000C000000}">
      <text>
        <r>
          <rPr>
            <b/>
            <sz val="8"/>
            <color indexed="81"/>
            <rFont val="Tahoma"/>
            <family val="2"/>
          </rPr>
          <t>Ing. Arturo Arona:</t>
        </r>
        <r>
          <rPr>
            <sz val="8"/>
            <color indexed="81"/>
            <rFont val="Tahoma"/>
            <family val="2"/>
          </rPr>
          <t xml:space="preserve">
9-6-01 ESTADO PARCELARIO UF 72 (300)
</t>
        </r>
      </text>
    </comment>
    <comment ref="B956" authorId="2" shapeId="0" xr:uid="{00000000-0006-0000-0700-00000D000000}">
      <text>
        <r>
          <rPr>
            <b/>
            <sz val="8"/>
            <color indexed="81"/>
            <rFont val="Tahoma"/>
            <family val="2"/>
          </rPr>
          <t>Ing. Arturo Arona:</t>
        </r>
        <r>
          <rPr>
            <sz val="8"/>
            <color indexed="81"/>
            <rFont val="Tahoma"/>
            <family val="2"/>
          </rPr>
          <t xml:space="preserve">
360 PASAJES A IGUAZU 
739 EQUIPO DE AIRE ACONDICIONADO LAVALLE
627,98 ALFOMBRA LAVALLE
</t>
        </r>
      </text>
    </comment>
    <comment ref="B977" authorId="2" shapeId="0" xr:uid="{00000000-0006-0000-0700-00000E000000}">
      <text>
        <r>
          <rPr>
            <b/>
            <sz val="8"/>
            <color indexed="81"/>
            <rFont val="Tahoma"/>
            <family val="2"/>
          </rPr>
          <t>Ing. Arturo Arona:</t>
        </r>
        <r>
          <rPr>
            <sz val="8"/>
            <color indexed="81"/>
            <rFont val="Tahoma"/>
            <family val="2"/>
          </rPr>
          <t xml:space="preserve">
SE CARGO AL UF 105 DE HIPOTECA JUICIO A  ALQUILER</t>
        </r>
      </text>
    </comment>
    <comment ref="B1082" authorId="3" shapeId="0" xr:uid="{00000000-0006-0000-0700-00000F000000}">
      <text>
        <r>
          <rPr>
            <b/>
            <sz val="8"/>
            <color indexed="81"/>
            <rFont val="Tahoma"/>
            <family val="2"/>
          </rPr>
          <t>arturo  arona:</t>
        </r>
        <r>
          <rPr>
            <sz val="8"/>
            <color indexed="81"/>
            <rFont val="Tahoma"/>
            <family val="2"/>
          </rPr>
          <t xml:space="preserve">
11-2-02 EDEA 22,60
10-2-02 COMPRA TELEVISOR 504,21
10/3/02 EXPENSAS MORENO
13-3-02 TELEFONO ROSA 84,99
</t>
        </r>
      </text>
    </comment>
    <comment ref="B1101" authorId="3" shapeId="0" xr:uid="{00000000-0006-0000-0700-000010000000}">
      <text>
        <r>
          <rPr>
            <b/>
            <sz val="8"/>
            <color indexed="81"/>
            <rFont val="Tahoma"/>
            <family val="2"/>
          </rPr>
          <t>arturo  arona:</t>
        </r>
        <r>
          <rPr>
            <sz val="8"/>
            <color indexed="81"/>
            <rFont val="Tahoma"/>
            <family val="2"/>
          </rPr>
          <t xml:space="preserve">
PESIFICACIÓN PLAZO FIJOS 
26-3-02 CANCELACION FERRARI +U$S 15.500 +52.700+9300-50866
</t>
        </r>
      </text>
    </comment>
    <comment ref="B1103" authorId="3" shapeId="0" xr:uid="{00000000-0006-0000-0700-000011000000}">
      <text>
        <r>
          <rPr>
            <b/>
            <sz val="8"/>
            <color indexed="81"/>
            <rFont val="Tahoma"/>
            <family val="2"/>
          </rPr>
          <t>arturo  arona:</t>
        </r>
        <r>
          <rPr>
            <sz val="8"/>
            <color indexed="81"/>
            <rFont val="Tahoma"/>
            <family val="2"/>
          </rPr>
          <t xml:space="preserve">
31-3-02 EFECTIVO 500
2-4-02 METROGAS MARIA 18,63
2-4-02 METROGAS ROSA 17,11
3-4-02 AGUAS ROSA 36,69
3-4-02 AGUAS MARIA 31,56
4-4-02 CELULAR MARIA 29,03
9-4-02 EXPENSAS ROSA 256,66
15-4-02 TELEFONO MARIA 97,50
17-4-02 LUZ MAR DEL PLATA 45,91
21-4-02 DIFERENCIA CHEQUE RECHAZADO 12,1
</t>
        </r>
      </text>
    </comment>
    <comment ref="B1124" authorId="3" shapeId="0" xr:uid="{00000000-0006-0000-0700-000012000000}">
      <text>
        <r>
          <rPr>
            <b/>
            <sz val="8"/>
            <color indexed="81"/>
            <rFont val="Tahoma"/>
            <family val="2"/>
          </rPr>
          <t>arturo  arona:</t>
        </r>
        <r>
          <rPr>
            <sz val="8"/>
            <color indexed="81"/>
            <rFont val="Tahoma"/>
            <family val="2"/>
          </rPr>
          <t xml:space="preserve">
8-5-02 CELULAR MARIA 32,50
8-5-02 EDESUR MARIA 31,56
8-5-02 EDESUR ROSA 36,40
12-5-02 EXPENSAS ROSA 259,67
12-5-02 EX´PENSAS MARIA 112
15-5-02 TELEFONO ROSA 78,87
16-5-02 EXPENSAS CATAMARCA 213
</t>
        </r>
      </text>
    </comment>
    <comment ref="B1131" authorId="3" shapeId="0" xr:uid="{00000000-0006-0000-0700-000013000000}">
      <text>
        <r>
          <rPr>
            <b/>
            <sz val="8"/>
            <color indexed="81"/>
            <rFont val="Tahoma"/>
            <family val="2"/>
          </rPr>
          <t>arturo  arona:</t>
        </r>
        <r>
          <rPr>
            <sz val="8"/>
            <color indexed="81"/>
            <rFont val="Tahoma"/>
            <family val="2"/>
          </rPr>
          <t xml:space="preserve">
16-5-02 HONORARIOS VASEN ESCRITURA 1500
16-5-02 INSCRIPCION 350
</t>
        </r>
      </text>
    </comment>
    <comment ref="B1143" authorId="3" shapeId="0" xr:uid="{00000000-0006-0000-0700-000014000000}">
      <text>
        <r>
          <rPr>
            <b/>
            <sz val="8"/>
            <color indexed="81"/>
            <rFont val="Tahoma"/>
            <family val="2"/>
          </rPr>
          <t>arturo  arona:</t>
        </r>
        <r>
          <rPr>
            <sz val="8"/>
            <color indexed="81"/>
            <rFont val="Tahoma"/>
            <family val="2"/>
          </rPr>
          <t xml:space="preserve">
24-5-02 DIFERENCIA CANCELACIÓN ALVARADO</t>
        </r>
      </text>
    </comment>
    <comment ref="B1145" authorId="4" shapeId="0" xr:uid="{00000000-0006-0000-0700-000015000000}">
      <text>
        <r>
          <rPr>
            <b/>
            <sz val="8"/>
            <color indexed="81"/>
            <rFont val="Tahoma"/>
            <family val="2"/>
          </rPr>
          <t>arturo arona:</t>
        </r>
        <r>
          <rPr>
            <sz val="8"/>
            <color indexed="81"/>
            <rFont val="Tahoma"/>
            <family val="2"/>
          </rPr>
          <t xml:space="preserve">
8-5-02 PASAJE 2875
12-6-02 CELULAR 38,13
11-6-02 EXPENSAS MARIA 120
11-6-02 EXPENSAS ROSA 262,30
12-6-02 AGUAS ROSA
4-6-02 AGUAS MARIA 31,15
18-6-02 EDEA 22,01
19-6-02 TELEFONO ABUELA 65,43
19-6-02 METROGAS ROSA 23,48
19-6-02 METROGAS MARIA 19,97
25-6-02 EDESUR MARIA 29,39
25-6-02 EDESUR ROSA 38,41
</t>
        </r>
      </text>
    </comment>
    <comment ref="B1167" authorId="4" shapeId="0" xr:uid="{00000000-0006-0000-0700-000016000000}">
      <text>
        <r>
          <rPr>
            <b/>
            <sz val="8"/>
            <color indexed="81"/>
            <rFont val="Tahoma"/>
            <family val="2"/>
          </rPr>
          <t>arturo arona:</t>
        </r>
        <r>
          <rPr>
            <sz val="8"/>
            <color indexed="81"/>
            <rFont val="Tahoma"/>
            <family val="2"/>
          </rPr>
          <t xml:space="preserve">
1-7-02 CELULAR MARIA 39,48
</t>
        </r>
      </text>
    </comment>
    <comment ref="B1186" authorId="3" shapeId="0" xr:uid="{00000000-0006-0000-0700-000017000000}">
      <text>
        <r>
          <rPr>
            <b/>
            <sz val="8"/>
            <color indexed="81"/>
            <rFont val="Tahoma"/>
            <family val="2"/>
          </rPr>
          <t>arturo  arona:</t>
        </r>
        <r>
          <rPr>
            <sz val="8"/>
            <color indexed="81"/>
            <rFont val="Tahoma"/>
            <family val="2"/>
          </rPr>
          <t xml:space="preserve">
SE REFINANCIÓ UF 89
</t>
        </r>
      </text>
    </comment>
    <comment ref="B1187" authorId="3" shapeId="0" xr:uid="{00000000-0006-0000-0700-000018000000}">
      <text>
        <r>
          <rPr>
            <b/>
            <sz val="8"/>
            <color indexed="81"/>
            <rFont val="Tahoma"/>
            <family val="2"/>
          </rPr>
          <t>arturo  arona:</t>
        </r>
        <r>
          <rPr>
            <sz val="8"/>
            <color indexed="81"/>
            <rFont val="Tahoma"/>
            <family val="2"/>
          </rPr>
          <t xml:space="preserve">
16-7-02 CANJE ENTRE DEPOSITO REPROGRAMABLES Y BODEN 2012
26-7-02 CANCELACIÓN ROSSI DIF.
</t>
        </r>
      </text>
    </comment>
    <comment ref="B1193" authorId="2" shapeId="0" xr:uid="{00000000-0006-0000-0700-000019000000}">
      <text>
        <r>
          <rPr>
            <b/>
            <sz val="8"/>
            <color indexed="81"/>
            <rFont val="Tahoma"/>
            <family val="2"/>
          </rPr>
          <t>Ing. Arturo Arona:</t>
        </r>
        <r>
          <rPr>
            <sz val="8"/>
            <color indexed="81"/>
            <rFont val="Tahoma"/>
            <family val="2"/>
          </rPr>
          <t xml:space="preserve">
8-8-02 INSTALACION SPLIT 230
9-8-02 ENTREGUE EMILIO 250
15-8-02 PULIDOR PISO
27-8-02 $ 386,20 EXPENSAS
27-8-02 $ 133,17 MATERIALES ELECTRICOS
30-8-02 ENTERGUE A EMILIO $ 150
</t>
        </r>
      </text>
    </comment>
    <comment ref="B1198" authorId="3" shapeId="0" xr:uid="{00000000-0006-0000-0700-00001A000000}">
      <text>
        <r>
          <rPr>
            <b/>
            <sz val="8"/>
            <color indexed="81"/>
            <rFont val="Tahoma"/>
            <family val="2"/>
          </rPr>
          <t>arturo  arona:</t>
        </r>
        <r>
          <rPr>
            <sz val="8"/>
            <color indexed="81"/>
            <rFont val="Tahoma"/>
            <family val="2"/>
          </rPr>
          <t xml:space="preserve">
9-8-02 818 EXPENSAS ATRASADAS $ 818
9-8-02 LUZ ATRASADAS $ 147
9-8-02 JARDINERO $ 100
9-8-02 COMISION VALLIER $ 211.75
GAS BAN $ 21,41
</t>
        </r>
      </text>
    </comment>
    <comment ref="B1215" authorId="2" shapeId="0" xr:uid="{00000000-0006-0000-0700-00001B000000}">
      <text>
        <r>
          <rPr>
            <b/>
            <sz val="8"/>
            <color indexed="81"/>
            <rFont val="Tahoma"/>
            <family val="2"/>
          </rPr>
          <t>Ing. Arturo Arona:</t>
        </r>
        <r>
          <rPr>
            <sz val="8"/>
            <color indexed="81"/>
            <rFont val="Tahoma"/>
            <family val="2"/>
          </rPr>
          <t xml:space="preserve">
4-9-02 EDESUR $ 24,37
1-8-02 MATERIALES $ 201,44
5-8-02 SPLIT $ 1299
7-8-02 EASY MATERIALES $ 115,77
9-8-02 PINTURAS $ 16,06
16-9-02 EMILIO $ 150
19-9-02EXPENSAS $ 90,59
</t>
        </r>
      </text>
    </comment>
    <comment ref="B1216" authorId="5" shapeId="0" xr:uid="{00000000-0006-0000-0700-00001C000000}">
      <text>
        <r>
          <rPr>
            <b/>
            <sz val="8"/>
            <color indexed="81"/>
            <rFont val="Tahoma"/>
            <family val="2"/>
          </rPr>
          <t>ARTURO:</t>
        </r>
        <r>
          <rPr>
            <sz val="8"/>
            <color indexed="81"/>
            <rFont val="Tahoma"/>
            <family val="2"/>
          </rPr>
          <t xml:space="preserve">
EXPENSAS POR TRANSFERENCIA
</t>
        </r>
      </text>
    </comment>
    <comment ref="B1217" authorId="5" shapeId="0" xr:uid="{00000000-0006-0000-0700-00001D000000}">
      <text>
        <r>
          <rPr>
            <b/>
            <sz val="8"/>
            <color indexed="81"/>
            <rFont val="Tahoma"/>
            <family val="2"/>
          </rPr>
          <t>ARTURO:</t>
        </r>
        <r>
          <rPr>
            <sz val="8"/>
            <color indexed="81"/>
            <rFont val="Tahoma"/>
            <family val="2"/>
          </rPr>
          <t xml:space="preserve">
BLAINSTEIN $11,90
EASY 165,55+2,05
</t>
        </r>
      </text>
    </comment>
    <comment ref="B1262" authorId="6" shapeId="0" xr:uid="{00000000-0006-0000-0700-00001E000000}">
      <text>
        <r>
          <rPr>
            <b/>
            <sz val="8"/>
            <color indexed="81"/>
            <rFont val="Tahoma"/>
            <family val="2"/>
          </rPr>
          <t xml:space="preserve"> ARONA:</t>
        </r>
        <r>
          <rPr>
            <sz val="8"/>
            <color indexed="81"/>
            <rFont val="Tahoma"/>
            <family val="2"/>
          </rPr>
          <t xml:space="preserve">
20-11-02 ROSA BS.PS=1691,92
20-11-02 ROSA GAN.=239,12
20-11-02 MARIA BS.PS=3432,08
20-11-02 MARIA GAN.=2374,11
</t>
        </r>
      </text>
    </comment>
    <comment ref="B1288" authorId="6" shapeId="0" xr:uid="{00000000-0006-0000-0700-00001F000000}">
      <text>
        <r>
          <rPr>
            <b/>
            <sz val="8"/>
            <color indexed="81"/>
            <rFont val="Tahoma"/>
            <family val="2"/>
          </rPr>
          <t xml:space="preserve"> ARONA:</t>
        </r>
        <r>
          <rPr>
            <sz val="8"/>
            <color indexed="81"/>
            <rFont val="Tahoma"/>
            <family val="2"/>
          </rPr>
          <t xml:space="preserve">
3-12-02 ARTURO  IMP. BS. PS ANTICIPO 3,4 Y 5 DE 2001 = 766,58*3;HONORARIOS ABOGADO $ 150; PUNITORIOS SOBRE IMPUESTOS $ 781,15
10-12-02 MARIA IMP. GAN. ANTICIPO 1, 2 Y 3= $ 3X553,56
10-12-02 MARIA IMP. BS. PS. ANT. 1,2 Y 3=$ 3X686,42
13-12-02 ROSA RECTIFICATIVA IMP. GAN. SALDO 2001= 112,00
13-12-02 ROSA IMP. BS. PS. ANT. 1 Y 2=$ 2X338,38
13-12-02 ROSA IMP. GAN. ANTICIPO 1= $ 1X229,61
18-12-02 ROSA IMP. BS. PS. ANT. 3=$ 338,38
18-12-02 ROSA IMP. GAN. ANTICIPO 2 Y 3= $ 2X229,61
18-12-02 ARTURO IMP. BS. PS. ANT. 2=$ 230,03 + COMPENSACIÓN
18-12-02 ARTURO IMP. BS. PS. ANT.3=$ 607,62
</t>
        </r>
      </text>
    </comment>
    <comment ref="B1310" authorId="6" shapeId="0" xr:uid="{00000000-0006-0000-0700-000020000000}">
      <text>
        <r>
          <rPr>
            <b/>
            <sz val="8"/>
            <color indexed="81"/>
            <rFont val="Tahoma"/>
            <family val="2"/>
          </rPr>
          <t xml:space="preserve"> ARONA:</t>
        </r>
        <r>
          <rPr>
            <sz val="8"/>
            <color indexed="81"/>
            <rFont val="Tahoma"/>
            <family val="2"/>
          </rPr>
          <t xml:space="preserve">
31-01-03 ROSA IMP. BS. PS. ANT. 4=$ 338,38
</t>
        </r>
      </text>
    </comment>
    <comment ref="B1326" authorId="6" shapeId="0" xr:uid="{00000000-0006-0000-0700-000021000000}">
      <text>
        <r>
          <rPr>
            <b/>
            <sz val="8"/>
            <color indexed="81"/>
            <rFont val="Tahoma"/>
            <family val="2"/>
          </rPr>
          <t xml:space="preserve"> ARONA:</t>
        </r>
        <r>
          <rPr>
            <sz val="8"/>
            <color indexed="81"/>
            <rFont val="Tahoma"/>
            <family val="2"/>
          </rPr>
          <t xml:space="preserve">
23-1-03 SE SEPARARON LAS HIPOTECAS EN U$S Y LAS PESIFICADAS</t>
        </r>
      </text>
    </comment>
    <comment ref="B1327" authorId="6" shapeId="0" xr:uid="{00000000-0006-0000-0700-000022000000}">
      <text>
        <r>
          <rPr>
            <b/>
            <sz val="8"/>
            <color indexed="81"/>
            <rFont val="Tahoma"/>
            <family val="2"/>
          </rPr>
          <t xml:space="preserve"> ARONA:</t>
        </r>
        <r>
          <rPr>
            <sz val="8"/>
            <color indexed="81"/>
            <rFont val="Tahoma"/>
            <family val="2"/>
          </rPr>
          <t xml:space="preserve">
23-1-03 SE SEPARARON LAS HIPOTECAS EN U$S Y LAS PESIFICADAS</t>
        </r>
      </text>
    </comment>
    <comment ref="B1336" authorId="6" shapeId="0" xr:uid="{00000000-0006-0000-0700-000023000000}">
      <text>
        <r>
          <rPr>
            <b/>
            <sz val="8"/>
            <color indexed="81"/>
            <rFont val="Tahoma"/>
            <family val="2"/>
          </rPr>
          <t xml:space="preserve"> ARONA:</t>
        </r>
        <r>
          <rPr>
            <sz val="8"/>
            <color indexed="81"/>
            <rFont val="Tahoma"/>
            <family val="2"/>
          </rPr>
          <t xml:space="preserve">
07-02-03 MARIA IMP. BS. PS. ANT. 4=$ 686,42
07-02-03 ROSA IMP. GAN. ANTICIPO 4= $ 229,61
25-02-03 ARTURO IMP. BS. PS. ANT. 4=$ 607,62
10-12-02 MARIA IMP. GAN. ANTICIPO 4= $ 553,56</t>
        </r>
      </text>
    </comment>
    <comment ref="C1336" authorId="6" shapeId="0" xr:uid="{00000000-0006-0000-0700-000024000000}">
      <text>
        <r>
          <rPr>
            <b/>
            <sz val="8"/>
            <color indexed="81"/>
            <rFont val="Tahoma"/>
            <family val="2"/>
          </rPr>
          <t xml:space="preserve"> ARONA:</t>
        </r>
        <r>
          <rPr>
            <sz val="8"/>
            <color indexed="81"/>
            <rFont val="Tahoma"/>
            <family val="2"/>
          </rPr>
          <t xml:space="preserve">
07-02-03 MARIA IMP. BS. PS. ANT. 4=$ 686,42
07-02-03 ROSA IMP. GAN. ANTICIPO 4= $ 229,61
25-02-03 ARTURO IMP. BS. PS. ANT. 4=$ 607,62
10-12-02 MARIA IMP. GAN. ANTICIPO 4= $ 553,56</t>
        </r>
      </text>
    </comment>
    <comment ref="B1352" authorId="6" shapeId="0" xr:uid="{00000000-0006-0000-0700-000025000000}">
      <text>
        <r>
          <rPr>
            <b/>
            <sz val="8"/>
            <color indexed="81"/>
            <rFont val="Tahoma"/>
            <family val="2"/>
          </rPr>
          <t xml:space="preserve"> ARONA:</t>
        </r>
        <r>
          <rPr>
            <sz val="8"/>
            <color indexed="81"/>
            <rFont val="Tahoma"/>
            <family val="2"/>
          </rPr>
          <t xml:space="preserve">
23-1-03 SE SEPARARON LAS HIPOTECAS EN U$S Y LAS PESIFICADAS</t>
        </r>
      </text>
    </comment>
    <comment ref="C1352" authorId="6" shapeId="0" xr:uid="{00000000-0006-0000-0700-000026000000}">
      <text>
        <r>
          <rPr>
            <b/>
            <sz val="8"/>
            <color indexed="81"/>
            <rFont val="Tahoma"/>
            <family val="2"/>
          </rPr>
          <t xml:space="preserve"> ARONA:</t>
        </r>
        <r>
          <rPr>
            <sz val="8"/>
            <color indexed="81"/>
            <rFont val="Tahoma"/>
            <family val="2"/>
          </rPr>
          <t xml:space="preserve">
23-1-03 SE SEPARARON LAS HIPOTECAS EN U$S Y LAS PESIFICADAS</t>
        </r>
      </text>
    </comment>
    <comment ref="B1353" authorId="6" shapeId="0" xr:uid="{00000000-0006-0000-0700-000027000000}">
      <text>
        <r>
          <rPr>
            <b/>
            <sz val="8"/>
            <color indexed="81"/>
            <rFont val="Tahoma"/>
            <family val="2"/>
          </rPr>
          <t xml:space="preserve"> ARONA:</t>
        </r>
        <r>
          <rPr>
            <sz val="8"/>
            <color indexed="81"/>
            <rFont val="Tahoma"/>
            <family val="2"/>
          </rPr>
          <t xml:space="preserve">
23-1-03 SE SEPARARON LAS HIPOTECAS EN U$S Y LAS PESIFICADAS</t>
        </r>
      </text>
    </comment>
    <comment ref="C1353" authorId="6" shapeId="0" xr:uid="{00000000-0006-0000-0700-000028000000}">
      <text>
        <r>
          <rPr>
            <b/>
            <sz val="8"/>
            <color indexed="81"/>
            <rFont val="Tahoma"/>
            <family val="2"/>
          </rPr>
          <t xml:space="preserve"> ARONA:</t>
        </r>
        <r>
          <rPr>
            <sz val="8"/>
            <color indexed="81"/>
            <rFont val="Tahoma"/>
            <family val="2"/>
          </rPr>
          <t xml:space="preserve">
23-1-03 SE SEPARARON LAS HIPOTECAS EN U$S Y LAS PESIFICADAS</t>
        </r>
      </text>
    </comment>
    <comment ref="B1376" authorId="6" shapeId="0" xr:uid="{00000000-0006-0000-0700-000029000000}">
      <text>
        <r>
          <rPr>
            <b/>
            <sz val="8"/>
            <color indexed="81"/>
            <rFont val="Tahoma"/>
            <family val="2"/>
          </rPr>
          <t xml:space="preserve"> ARONA:</t>
        </r>
        <r>
          <rPr>
            <sz val="8"/>
            <color indexed="81"/>
            <rFont val="Tahoma"/>
            <family val="2"/>
          </rPr>
          <t xml:space="preserve">
23-1-03 SE SEPARARON LAS HIPOTECAS EN U$S Y LAS PESIFICADAS</t>
        </r>
      </text>
    </comment>
    <comment ref="B1377" authorId="6" shapeId="0" xr:uid="{00000000-0006-0000-0700-00002A000000}">
      <text>
        <r>
          <rPr>
            <b/>
            <sz val="8"/>
            <color indexed="81"/>
            <rFont val="Tahoma"/>
            <family val="2"/>
          </rPr>
          <t xml:space="preserve"> ARONA:</t>
        </r>
        <r>
          <rPr>
            <sz val="8"/>
            <color indexed="81"/>
            <rFont val="Tahoma"/>
            <family val="2"/>
          </rPr>
          <t xml:space="preserve">
23-1-03 SE SEPARARON LAS HIPOTECAS EN U$S Y LAS PESIFICADAS</t>
        </r>
      </text>
    </comment>
    <comment ref="B1378" authorId="6" shapeId="0" xr:uid="{00000000-0006-0000-0700-00002B000000}">
      <text>
        <r>
          <rPr>
            <b/>
            <sz val="8"/>
            <color indexed="81"/>
            <rFont val="Tahoma"/>
            <family val="2"/>
          </rPr>
          <t xml:space="preserve"> ARONA:</t>
        </r>
        <r>
          <rPr>
            <sz val="8"/>
            <color indexed="81"/>
            <rFont val="Tahoma"/>
            <family val="2"/>
          </rPr>
          <t xml:space="preserve">
16-04-03 ROSA IMP. BS. PS. ANT. 5=$ 338,38
16-04-03 MARIA IMP. GAN. ANTICIPO 5= $ 553,56
22-04-03 MARIA IMP. BS. PS. ANT. 5=$ 686,42
22-04-03 ROSA IMP. GAN. ANTICIPO 5= $ 229,61
22-04-03 ARTURO IMP. BS. PS. ANT. 5=$ 607,62
25-04-03 MARIA IMP. BS. PS. ANT. DIF. = 4X225,02</t>
        </r>
      </text>
    </comment>
    <comment ref="B1401" authorId="6" shapeId="0" xr:uid="{00000000-0006-0000-0700-00002C000000}">
      <text>
        <r>
          <rPr>
            <b/>
            <sz val="8"/>
            <color indexed="81"/>
            <rFont val="Tahoma"/>
            <family val="2"/>
          </rPr>
          <t xml:space="preserve"> ARONA:</t>
        </r>
        <r>
          <rPr>
            <sz val="8"/>
            <color indexed="81"/>
            <rFont val="Tahoma"/>
            <family val="2"/>
          </rPr>
          <t xml:space="preserve">
23-1-03 SE SEPARARON LAS HIPOTECAS EN U$S Y LAS PESIFICADAS</t>
        </r>
      </text>
    </comment>
    <comment ref="B1430" authorId="6" shapeId="0" xr:uid="{00000000-0006-0000-0700-00002D000000}">
      <text>
        <r>
          <rPr>
            <b/>
            <sz val="8"/>
            <color indexed="81"/>
            <rFont val="Tahoma"/>
            <family val="2"/>
          </rPr>
          <t xml:space="preserve"> ARONA:</t>
        </r>
        <r>
          <rPr>
            <sz val="8"/>
            <color indexed="81"/>
            <rFont val="Tahoma"/>
            <family val="2"/>
          </rPr>
          <t xml:space="preserve">
12/6/3 ENTREGUE CHEQUE DE 400 DE LA SRA. VALITUTTI</t>
        </r>
      </text>
    </comment>
    <comment ref="B1450" authorId="6" shapeId="0" xr:uid="{00000000-0006-0000-0700-00002E000000}">
      <text>
        <r>
          <rPr>
            <b/>
            <sz val="8"/>
            <color indexed="81"/>
            <rFont val="Tahoma"/>
            <family val="2"/>
          </rPr>
          <t xml:space="preserve"> ARONA:</t>
        </r>
        <r>
          <rPr>
            <sz val="8"/>
            <color indexed="81"/>
            <rFont val="Tahoma"/>
            <family val="2"/>
          </rPr>
          <t xml:space="preserve">
8/7/3 ANT. IMP.GAN.1 ARTURO= $124,81
11/7/3 IMPUESTO SOBRE CAPITAL SH= $651,12
17/7/3 IMPUESTO SOBRE CAPITAL SH= $664,14
15/7/3 ANT. IMP.BS.PS.1 ARTURO= $69,83
17/7/3 ANT. IMP.BS.PS.1 ARTURO= $124,81
22/7/3 IMPUESTO SOBRE CAPITAL SH= $657.63</t>
        </r>
      </text>
    </comment>
    <comment ref="B1454" authorId="6" shapeId="0" xr:uid="{00000000-0006-0000-0700-00002F000000}">
      <text>
        <r>
          <rPr>
            <b/>
            <sz val="8"/>
            <color indexed="81"/>
            <rFont val="Tahoma"/>
            <family val="2"/>
          </rPr>
          <t xml:space="preserve"> ARONA:</t>
        </r>
        <r>
          <rPr>
            <sz val="8"/>
            <color indexed="81"/>
            <rFont val="Tahoma"/>
            <family val="2"/>
          </rPr>
          <t xml:space="preserve">
4/7/3 CHEQUE BNA DE TROMBETTA
</t>
        </r>
      </text>
    </comment>
    <comment ref="D1479" authorId="6" shapeId="0" xr:uid="{00000000-0006-0000-0700-000030000000}">
      <text>
        <r>
          <rPr>
            <b/>
            <sz val="8"/>
            <color indexed="81"/>
            <rFont val="Tahoma"/>
            <family val="2"/>
          </rPr>
          <t xml:space="preserve"> ARONA:</t>
        </r>
        <r>
          <rPr>
            <sz val="8"/>
            <color indexed="81"/>
            <rFont val="Tahoma"/>
            <family val="2"/>
          </rPr>
          <t xml:space="preserve">
23-1-03 SE SEPARARON LAS HIPOTECAS EN U$S Y LAS PESIFICADAS</t>
        </r>
      </text>
    </comment>
    <comment ref="B1498" authorId="6" shapeId="0" xr:uid="{00000000-0006-0000-0700-000031000000}">
      <text>
        <r>
          <rPr>
            <b/>
            <sz val="8"/>
            <color indexed="81"/>
            <rFont val="Tahoma"/>
            <family val="2"/>
          </rPr>
          <t xml:space="preserve"> ARONA:</t>
        </r>
        <r>
          <rPr>
            <sz val="8"/>
            <color indexed="81"/>
            <rFont val="Tahoma"/>
            <family val="2"/>
          </rPr>
          <t xml:space="preserve">
12/9/3 ANT. IMP.BS.PS.2 ARTURO= $434,78
12/9/3 ANT. IMP.BS.PS.2 ROSA= $341,78</t>
        </r>
      </text>
    </comment>
    <comment ref="B1522" authorId="6" shapeId="0" xr:uid="{00000000-0006-0000-0700-000032000000}">
      <text>
        <r>
          <rPr>
            <b/>
            <sz val="8"/>
            <color indexed="81"/>
            <rFont val="Tahoma"/>
            <family val="2"/>
          </rPr>
          <t xml:space="preserve"> ARONA:</t>
        </r>
        <r>
          <rPr>
            <sz val="8"/>
            <color indexed="81"/>
            <rFont val="Tahoma"/>
            <family val="2"/>
          </rPr>
          <t xml:space="preserve">
17-10-3 341,78
17-10-3 434,78</t>
        </r>
      </text>
    </comment>
    <comment ref="B1572" authorId="6" shapeId="0" xr:uid="{00000000-0006-0000-0700-000033000000}">
      <text>
        <r>
          <rPr>
            <b/>
            <sz val="8"/>
            <color indexed="81"/>
            <rFont val="Tahoma"/>
            <family val="2"/>
          </rPr>
          <t xml:space="preserve"> ARONA:</t>
        </r>
        <r>
          <rPr>
            <sz val="8"/>
            <color indexed="81"/>
            <rFont val="Tahoma"/>
            <family val="2"/>
          </rPr>
          <t xml:space="preserve">
31/12/03-3 341,78
31/12-3 434,78
31/12/3 104,25</t>
        </r>
      </text>
    </comment>
    <comment ref="B1622" authorId="6" shapeId="0" xr:uid="{00000000-0006-0000-0700-000034000000}">
      <text>
        <r>
          <rPr>
            <b/>
            <sz val="8"/>
            <color indexed="81"/>
            <rFont val="Tahoma"/>
            <family val="2"/>
          </rPr>
          <t xml:space="preserve"> ARONA:</t>
        </r>
        <r>
          <rPr>
            <sz val="8"/>
            <color indexed="81"/>
            <rFont val="Tahoma"/>
            <family val="2"/>
          </rPr>
          <t xml:space="preserve">
17/02/04 MARIA BS. PS. 454,21
17/02/04 ROSA  GAN $ 104,26
17/02/04 ROSA BS. PS. 341,78
17/02/04 ARTURO BS.PS. 434,78</t>
        </r>
      </text>
    </comment>
  </commentList>
</comments>
</file>

<file path=xl/sharedStrings.xml><?xml version="1.0" encoding="utf-8"?>
<sst xmlns="http://schemas.openxmlformats.org/spreadsheetml/2006/main" count="12675" uniqueCount="860">
  <si>
    <t>FECHA</t>
  </si>
  <si>
    <t>DIFERENCIAS</t>
  </si>
  <si>
    <t>TIPO DE CAMBIO CCL</t>
  </si>
  <si>
    <t>%</t>
  </si>
  <si>
    <t>LOCAL</t>
  </si>
  <si>
    <t>SB</t>
  </si>
  <si>
    <t>SB LETNA</t>
  </si>
  <si>
    <t>BONOS GUBERNAMENTALES</t>
  </si>
  <si>
    <t>ACCIONES/OPCIONES/fondos acciones</t>
  </si>
  <si>
    <t>LIQUIDEZ</t>
  </si>
  <si>
    <t>hsbc MIAMI</t>
  </si>
  <si>
    <t>FONDOS  /ETF/comodities</t>
  </si>
  <si>
    <t>HIPOTECAS</t>
  </si>
  <si>
    <t>INMUEBLES/INCLUYE TRACKER</t>
  </si>
  <si>
    <t>AÑO 2001</t>
  </si>
  <si>
    <t>DIFERENCIA</t>
  </si>
  <si>
    <t>RESUMEN EFECTIVO EN MONEDA EXTRANJERA</t>
  </si>
  <si>
    <t>NO CONSIDERADO EN EL CUADRO</t>
  </si>
  <si>
    <t>subtotal</t>
  </si>
  <si>
    <t>PLAZO FIJOS EN PESOS+FONDOS</t>
  </si>
  <si>
    <t>COHEN CAUCION/MARIA</t>
  </si>
  <si>
    <t>INVERSIONES SMITH BARNEY</t>
  </si>
  <si>
    <t>TOTAL</t>
  </si>
  <si>
    <t>total dolares</t>
  </si>
  <si>
    <t>POSICION ACTUAL AL 31/01/16</t>
  </si>
  <si>
    <t>Nombre de la Especie</t>
  </si>
  <si>
    <t>Cantidad</t>
  </si>
  <si>
    <t>Precio</t>
  </si>
  <si>
    <t>Importe</t>
  </si>
  <si>
    <t>Especie</t>
  </si>
  <si>
    <t>Cantidad Total</t>
  </si>
  <si>
    <t>Cotizacion</t>
  </si>
  <si>
    <t>Valor de Mercado</t>
  </si>
  <si>
    <t>BONOS EN DOLARES</t>
  </si>
  <si>
    <t>COTIZACION AFUERA</t>
  </si>
  <si>
    <t>00007 ALUAR ALUMINIO ARG. S.AI.I.C.</t>
  </si>
  <si>
    <t>20,174.0000000</t>
  </si>
  <si>
    <t>191,047.78</t>
  </si>
  <si>
    <t>DOLARES</t>
  </si>
  <si>
    <t>PESOS</t>
  </si>
  <si>
    <t>00251 COMERCIAL DEL PLATA</t>
  </si>
  <si>
    <t>4,600.0000000</t>
  </si>
  <si>
    <t>15,180.00</t>
  </si>
  <si>
    <t>00457 PAMPA ENERGIA S.A.</t>
  </si>
  <si>
    <t>15,000.0000000</t>
  </si>
  <si>
    <t>191,250.00</t>
  </si>
  <si>
    <t>00633 IRSA "B"</t>
  </si>
  <si>
    <t>2,000.0000000</t>
  </si>
  <si>
    <t>29,900.00</t>
  </si>
  <si>
    <t>DICEEXT</t>
  </si>
  <si>
    <t>00804 PETROBRAS ENERGIA S.A.</t>
  </si>
  <si>
    <t>18,352.0000000</t>
  </si>
  <si>
    <t>157,827.20</t>
  </si>
  <si>
    <t>PARA</t>
  </si>
  <si>
    <t>00807 TELECOM S.A.</t>
  </si>
  <si>
    <t>3,900.0000000</t>
  </si>
  <si>
    <t>175,500.00</t>
  </si>
  <si>
    <t>PAA0</t>
  </si>
  <si>
    <t>00839 SIDERAR -A- 1 VOTO</t>
  </si>
  <si>
    <t>4,485.0000000</t>
  </si>
  <si>
    <t>35,431.50</t>
  </si>
  <si>
    <t>DICY</t>
  </si>
  <si>
    <t>30031 PETROLERA PAMPA S.A. ORD. 1 VOTO $ ESC.</t>
  </si>
  <si>
    <t>1,362.0000000</t>
  </si>
  <si>
    <t>44,196.90</t>
  </si>
  <si>
    <t>GJ17</t>
  </si>
  <si>
    <t xml:space="preserve">_________________________ </t>
  </si>
  <si>
    <t>ACCIONES</t>
  </si>
  <si>
    <t>840,333.38</t>
  </si>
  <si>
    <t>02405 NF18 - BONOS GARANT. DECRETO 1579/02 $</t>
  </si>
  <si>
    <t>243,990.0000000</t>
  </si>
  <si>
    <t>311,087.25</t>
  </si>
  <si>
    <t>TOTAL RESUMEN COHEN $</t>
  </si>
  <si>
    <t>05445 BONOS REP.ARG. A LA PAR USD 2010/2038</t>
  </si>
  <si>
    <t>20,000.0000000</t>
  </si>
  <si>
    <t>176,000.00</t>
  </si>
  <si>
    <t>SALDO EN ACCIONES Y TITULOS $</t>
  </si>
  <si>
    <t>LECAP</t>
  </si>
  <si>
    <t>40785 VALORES NEG VINC PBI EURO V.2035</t>
  </si>
  <si>
    <t>369,495.0000000</t>
  </si>
  <si>
    <t>594,886.95</t>
  </si>
  <si>
    <t>162,247.80</t>
  </si>
  <si>
    <t>40786 BONOS C/DESCUENTO EUROS STEP</t>
  </si>
  <si>
    <t>200,000.0000000</t>
  </si>
  <si>
    <t>3,750,000.00</t>
  </si>
  <si>
    <t>COHEN U$S</t>
  </si>
  <si>
    <t>Pases y Cauciones a Liquidar 83,769.62</t>
  </si>
  <si>
    <t>44672 GJ17- BONOS GLOBALES 2017 U$S 2010/2017</t>
  </si>
  <si>
    <t>100,000.0000000</t>
  </si>
  <si>
    <t>1,545,000.00</t>
  </si>
  <si>
    <t>EN U$S OFICIAL</t>
  </si>
  <si>
    <t>44674 B.REP.ARG DIS CJ.PRE05-PAR-QUASI USD2033.</t>
  </si>
  <si>
    <t>250,000.0000000</t>
  </si>
  <si>
    <t>5,350,000.00</t>
  </si>
  <si>
    <t>TOTAL u$S</t>
  </si>
  <si>
    <t>45695 PARP-BONO PAR $ STEP UP 2038</t>
  </si>
  <si>
    <t>40,707.0000000</t>
  </si>
  <si>
    <t>102,378.11</t>
  </si>
  <si>
    <t>45699 PARA- BONO PAR U$S STEP UP 12/2038</t>
  </si>
  <si>
    <t>270,000.0000000</t>
  </si>
  <si>
    <t>2,443,500.00</t>
  </si>
  <si>
    <t>TITULOS PUBLICOS</t>
  </si>
  <si>
    <t>14,272,852.31</t>
  </si>
  <si>
    <t>06000 EUROS</t>
  </si>
  <si>
    <t>0.2500000</t>
  </si>
  <si>
    <t>3.49</t>
  </si>
  <si>
    <t>07000 DOLARES USA (CABLE)</t>
  </si>
  <si>
    <t>0.0700000</t>
  </si>
  <si>
    <t>0.98</t>
  </si>
  <si>
    <t>MONEDA</t>
  </si>
  <si>
    <t>4.47</t>
  </si>
  <si>
    <t>134.74</t>
  </si>
  <si>
    <t>CUENTA CORRIENTE</t>
  </si>
  <si>
    <t>15,113,324.89</t>
  </si>
  <si>
    <t>SCH</t>
  </si>
  <si>
    <t>SCHCOL</t>
  </si>
  <si>
    <t>SM</t>
  </si>
  <si>
    <t>GASTOS</t>
  </si>
  <si>
    <t>SB OK</t>
  </si>
  <si>
    <t>53800 EUROS DESDE BBVA</t>
  </si>
  <si>
    <t>HSBC</t>
  </si>
  <si>
    <t>TOTAL ACTUAL</t>
  </si>
  <si>
    <t>DOL-EUR</t>
  </si>
  <si>
    <t>EN AÑOS</t>
  </si>
  <si>
    <t>INTERESES EURO</t>
  </si>
  <si>
    <t>DOL</t>
  </si>
  <si>
    <t>NETO SIN CAMBIO</t>
  </si>
  <si>
    <t>Activos</t>
  </si>
  <si>
    <t>Valor período anterior</t>
  </si>
  <si>
    <t>Variación</t>
  </si>
  <si>
    <t>Valor este período</t>
  </si>
  <si>
    <t>% del total</t>
  </si>
  <si>
    <t>Corto Plazo</t>
  </si>
  <si>
    <t>12,814.13</t>
  </si>
  <si>
    <t>-685.45</t>
  </si>
  <si>
    <t>12,128.68</t>
  </si>
  <si>
    <t>1.91%</t>
  </si>
  <si>
    <t>ACCIONES/OPCIONES</t>
  </si>
  <si>
    <t>Renta Fija</t>
  </si>
  <si>
    <t>266,695.57</t>
  </si>
  <si>
    <t>4,427.08</t>
  </si>
  <si>
    <t>271,122.65</t>
  </si>
  <si>
    <t>42.70%</t>
  </si>
  <si>
    <t>Renta Variable</t>
  </si>
  <si>
    <t>249,464.74</t>
  </si>
  <si>
    <t>9,113.54</t>
  </si>
  <si>
    <t>258,578.28</t>
  </si>
  <si>
    <t>40.73%</t>
  </si>
  <si>
    <t>FONDOS MUTUOS</t>
  </si>
  <si>
    <t>Gestion Alternativa</t>
  </si>
  <si>
    <t>87,847.92</t>
  </si>
  <si>
    <t>5,237.47</t>
  </si>
  <si>
    <t>93,085.39</t>
  </si>
  <si>
    <t>14.66%</t>
  </si>
  <si>
    <t>FONDOS  /ETF</t>
  </si>
  <si>
    <t>Total activos al final del período</t>
  </si>
  <si>
    <t>616,822.36</t>
  </si>
  <si>
    <t>18,092.64</t>
  </si>
  <si>
    <t>634,915.00</t>
  </si>
  <si>
    <t>100.00%</t>
  </si>
  <si>
    <t>INMUEBLES</t>
  </si>
  <si>
    <t>SALDO INICIAL</t>
  </si>
  <si>
    <t>FONDOS MUTUOS/RENTAS FIJAS</t>
  </si>
  <si>
    <t>AGOSTO: TOMARLO CON LAS PINZAS PORQUE SE RECONSTRUYO UN MES DESPUES</t>
  </si>
  <si>
    <t>se introdujo la cuenta de UNOS  40,000</t>
  </si>
  <si>
    <t>SE UNIFICARON LOS TIPO DE CAMBIO DÓLAR LIBRE=DÓLAR OFICIAL</t>
  </si>
  <si>
    <t>ACTUALIZACION PARIDADA BONOS DEPOSITADOS EN COHEN</t>
  </si>
  <si>
    <t>SE TRANSFIRIERON  LOS BONOS DE COHEN A MSSB</t>
  </si>
  <si>
    <t>2,176,129.04</t>
  </si>
  <si>
    <t>SE TRANSFIRIERON  LOS BONOS PARA BLANQUEO EN DOLARES APROX. 225.000</t>
  </si>
  <si>
    <t>PAGO IMPUESTOS SOBRE BIENES PERSONALES $ 87000 mas 2 cuotas mensuales mas</t>
  </si>
  <si>
    <t>traspaso de bonos argetinos de LETNA a la otra cuenta</t>
  </si>
  <si>
    <t>ELECCIONES PASOS</t>
  </si>
  <si>
    <t>CORONAVIRUS</t>
  </si>
  <si>
    <t>QUARENTENA</t>
  </si>
  <si>
    <t>MESES</t>
  </si>
  <si>
    <t>variacion sin inmuebles</t>
  </si>
  <si>
    <t>VARIACION ANUAL</t>
  </si>
  <si>
    <t>BLANQUEO</t>
  </si>
  <si>
    <t>AÑOS</t>
  </si>
  <si>
    <t>UVA</t>
  </si>
  <si>
    <t>Valor</t>
  </si>
  <si>
    <t>Columna1</t>
  </si>
  <si>
    <t>12,7</t>
  </si>
  <si>
    <t>-</t>
  </si>
  <si>
    <t>porcentual</t>
  </si>
  <si>
    <t>UF010</t>
  </si>
  <si>
    <t>mes</t>
  </si>
  <si>
    <t>CONCEPTO</t>
  </si>
  <si>
    <t>importes</t>
  </si>
  <si>
    <t>en UVAs</t>
  </si>
  <si>
    <t>intereses</t>
  </si>
  <si>
    <t>HABER</t>
  </si>
  <si>
    <t>anterior</t>
  </si>
  <si>
    <t>Enero</t>
  </si>
  <si>
    <t>Alquiler agosto 2023</t>
  </si>
  <si>
    <t>Febrero</t>
  </si>
  <si>
    <t>BBVA DEBITO</t>
  </si>
  <si>
    <t>Marzo</t>
  </si>
  <si>
    <t>Abril</t>
  </si>
  <si>
    <t>Mayo</t>
  </si>
  <si>
    <t>Alquiler septiembre 2023</t>
  </si>
  <si>
    <t>Junio</t>
  </si>
  <si>
    <t>Alquiler octubre 2023</t>
  </si>
  <si>
    <t>Julio</t>
  </si>
  <si>
    <t>Agosto</t>
  </si>
  <si>
    <t>Alquiler noviembre 2023</t>
  </si>
  <si>
    <t>Septiembre</t>
  </si>
  <si>
    <t>Octubre</t>
  </si>
  <si>
    <t>Alquiler diciembre 2023</t>
  </si>
  <si>
    <t>Noviembre</t>
  </si>
  <si>
    <t>Diciembre</t>
  </si>
  <si>
    <t>Alquiler enero 2024</t>
  </si>
  <si>
    <t>TRANSFERENCIA adelanto EXPENSAS</t>
  </si>
  <si>
    <t>Alquiler FEBRERO 2024</t>
  </si>
  <si>
    <t>Alquiler MARZO 2024</t>
  </si>
  <si>
    <t>total nominales historicos</t>
  </si>
  <si>
    <t>DEUDA EN PESOS AL</t>
  </si>
  <si>
    <t>DEPOSITADO</t>
  </si>
  <si>
    <t>ACOBRAR</t>
  </si>
  <si>
    <t>VTO.</t>
  </si>
  <si>
    <t>DIAS</t>
  </si>
  <si>
    <t>TASA</t>
  </si>
  <si>
    <t>BANCO</t>
  </si>
  <si>
    <t xml:space="preserve">intereses </t>
  </si>
  <si>
    <t xml:space="preserve">UVA INICIO </t>
  </si>
  <si>
    <t>UVA VTO.</t>
  </si>
  <si>
    <t>UVA DEPOS</t>
  </si>
  <si>
    <t>AGREGAR UNOS</t>
  </si>
  <si>
    <t>miami</t>
  </si>
  <si>
    <t>CAJA DE AHORRO</t>
  </si>
  <si>
    <t>caja</t>
  </si>
  <si>
    <t>FONDO REATRIACION/PFIJO</t>
  </si>
  <si>
    <t>SUBTOTAL</t>
  </si>
  <si>
    <t>caja de ahorro ITAU</t>
  </si>
  <si>
    <t>CAJA</t>
  </si>
  <si>
    <t>LIBRAS</t>
  </si>
  <si>
    <t>TOTAL DOLARES</t>
  </si>
  <si>
    <t>TOTAL EUROS</t>
  </si>
  <si>
    <t>TOTAL LIQUIDO PESOS</t>
  </si>
  <si>
    <t>Invetna</t>
  </si>
  <si>
    <t>LETRAS DEL TESORO</t>
  </si>
  <si>
    <t>HSBC MIAMI</t>
  </si>
  <si>
    <t>sb Personal</t>
  </si>
  <si>
    <t>115,000  BONOS A 10 AÑOS CJUPON 4,375% 50.000 1/ CUSIP / ISIN: - / 91282CKQ3 / -----PAGA 15/5/ Y 15/11</t>
  </si>
  <si>
    <t xml:space="preserve">HSBC MIAMI </t>
  </si>
  <si>
    <t xml:space="preserve"> 57,000 --UNITED STATES TREAS NTS 4.250% 30/06/29 B/E----PAGA 30/06/ Y 31/12 -HSBC MIAMI </t>
  </si>
  <si>
    <t>65000 --BRAZILIAN GOVE 7,125%--105756BK5---VTO 20/01/37 ----PAGA 20/01 Y 20/07</t>
  </si>
  <si>
    <t xml:space="preserve">Invetna </t>
  </si>
  <si>
    <t>45000 --BRAZILIAN GOVE 7,125%--105756BK5---VTO 20/01/37 ----PAGA 20/01 Y 20/07</t>
  </si>
  <si>
    <t>Columna2</t>
  </si>
  <si>
    <t>PLAZO FIJO AFUERA</t>
  </si>
  <si>
    <t>PLAZO FIJO LOCALES</t>
  </si>
  <si>
    <t>CAJA DE AHORRO DOLARES</t>
  </si>
  <si>
    <t>BBVA DOLARES</t>
  </si>
  <si>
    <t>CAJA DE AHORRO EUROS</t>
  </si>
  <si>
    <t>BBVA BANCO</t>
  </si>
  <si>
    <t>BBVA BANCO RAMONA</t>
  </si>
  <si>
    <t>HSBC BANCO</t>
  </si>
  <si>
    <t>CIUDAD BANCO</t>
  </si>
  <si>
    <t>ITAU BANCO</t>
  </si>
  <si>
    <t>BNA BANCO</t>
  </si>
  <si>
    <t>HSBC BANCO MARIA</t>
  </si>
  <si>
    <t>CIUDAD ARTURO BANCO</t>
  </si>
  <si>
    <t>BNA JUBIL. BANCO</t>
  </si>
  <si>
    <t>BBVA BANCO BARBARA</t>
  </si>
  <si>
    <t>BNA RAMONA</t>
  </si>
  <si>
    <t>TOTAL INVERSIONES</t>
  </si>
  <si>
    <t>main,xls</t>
  </si>
  <si>
    <t>error</t>
  </si>
  <si>
    <t>titular</t>
  </si>
  <si>
    <t>RAMONA</t>
  </si>
  <si>
    <t>ANTERIORES</t>
  </si>
  <si>
    <t>RAMONA NUEVO</t>
  </si>
  <si>
    <t>COMPRA DOLARES</t>
  </si>
  <si>
    <t>black</t>
  </si>
  <si>
    <t>BBVA</t>
  </si>
  <si>
    <t>letes HSBC</t>
  </si>
  <si>
    <t>HSBC RESCATE FONDO ARTURO</t>
  </si>
  <si>
    <t>MARIA Y ROSINA</t>
  </si>
  <si>
    <t>HSBC RESCATE FONDO DE MARIA</t>
  </si>
  <si>
    <t>RESCATE LEBACS DE COHEN</t>
  </si>
  <si>
    <t>HSBC MARIA CAJA DE AHORRO</t>
  </si>
  <si>
    <t>HSBC CAJA DE AHORRO</t>
  </si>
  <si>
    <t>ADRIAN</t>
  </si>
  <si>
    <t>CASA DE CAMBIO ALPE--EFECTIVO ROSA</t>
  </si>
  <si>
    <t>BBVA DEBITO PLAZO FIJO</t>
  </si>
  <si>
    <t>HSBC -LECAP COHEN-</t>
  </si>
  <si>
    <t>HSBC pf bna rosa</t>
  </si>
  <si>
    <t>HSBC PF - cuenta maria</t>
  </si>
  <si>
    <t>HSBC BUENDOLAR ARTURO</t>
  </si>
  <si>
    <t>HSBC BUENDOLAR ARTURO de rosa</t>
  </si>
  <si>
    <t>HSBC MARIA CON FONDOS MIO</t>
  </si>
  <si>
    <t>HSBC MARIA CON FONDOS MARIA</t>
  </si>
  <si>
    <t>BBVA ARTURO CON FONDOS MIO</t>
  </si>
  <si>
    <t>ITAU ROSA CON FONDOS MIO</t>
  </si>
  <si>
    <t>de fondo HSBC</t>
  </si>
  <si>
    <t>CASA DE CAMBIO CALLAO-EFECTIVO DANTE</t>
  </si>
  <si>
    <t>CASA DE CAMBIO CALLAO-EFECTIVO BARBARA</t>
  </si>
  <si>
    <t>BBVA-EFECTIVO RAMONA</t>
  </si>
  <si>
    <t>HSBC ARTURO</t>
  </si>
  <si>
    <t>BUENDOLAR -EFECTIVO RAMONA</t>
  </si>
  <si>
    <t>BBVA - BARBARA CON FONDOS DE MARIA</t>
  </si>
  <si>
    <t>AÑO 2020</t>
  </si>
  <si>
    <t>MARIA HSBC CON FONDOS MARIA</t>
  </si>
  <si>
    <t>ARTURO HSBC</t>
  </si>
  <si>
    <t>ROSA ITAU FONDOS MIO</t>
  </si>
  <si>
    <t>RAMONA BBVA</t>
  </si>
  <si>
    <t>BARBARA BBVA</t>
  </si>
  <si>
    <t>ARTURO BBVA</t>
  </si>
  <si>
    <t>ROSA HSBC FONDOS MIO</t>
  </si>
  <si>
    <t>ROSA HSBC CON FONDOS MARIA</t>
  </si>
  <si>
    <t>RETENCIONES RG 4815 MARIA</t>
  </si>
  <si>
    <t>AÑO 2021</t>
  </si>
  <si>
    <t>RETENCIONES RG 4815 ARTURO</t>
  </si>
  <si>
    <t>AÑO 2022</t>
  </si>
  <si>
    <t>fecha</t>
  </si>
  <si>
    <t>pesos</t>
  </si>
  <si>
    <t>dolares</t>
  </si>
  <si>
    <t>cambio</t>
  </si>
  <si>
    <t>descripcion</t>
  </si>
  <si>
    <t>UF001</t>
  </si>
  <si>
    <t>BARBI</t>
  </si>
  <si>
    <t>IMPUESTO PAIS</t>
  </si>
  <si>
    <t>ARTURO ITAU</t>
  </si>
  <si>
    <t>ROSA HSBC</t>
  </si>
  <si>
    <t>RETENCIONES RG 4815 ROSA</t>
  </si>
  <si>
    <t>HSBC DEBITO MARIA</t>
  </si>
  <si>
    <t>INTERESES</t>
  </si>
  <si>
    <t xml:space="preserve">COHEN </t>
  </si>
  <si>
    <t>COLOCADOS</t>
  </si>
  <si>
    <t xml:space="preserve">FONDOS </t>
  </si>
  <si>
    <t>FONDOS HSBC</t>
  </si>
  <si>
    <t>FONDOS HSBC MARIA</t>
  </si>
  <si>
    <t>total pesos</t>
  </si>
  <si>
    <t>SUBTOTAL PESOS</t>
  </si>
  <si>
    <t xml:space="preserve">MARIA DEBO </t>
  </si>
  <si>
    <t>LETRAS</t>
  </si>
  <si>
    <t>rescate fondo</t>
  </si>
  <si>
    <t>total maria</t>
  </si>
  <si>
    <t>hay que actualizarselo en adelante</t>
  </si>
  <si>
    <t>CAPITAL</t>
  </si>
  <si>
    <t>DEUDA</t>
  </si>
  <si>
    <t>DÓLAR</t>
  </si>
  <si>
    <t>EJECUCION</t>
  </si>
  <si>
    <t>HONORARIOS</t>
  </si>
  <si>
    <t>YARULL SUCESION</t>
  </si>
  <si>
    <t>INTERESES HONORARIOS/GASTOS DE JUSTICIA</t>
  </si>
  <si>
    <t>ALQUILERES</t>
  </si>
  <si>
    <t>EJECUCION+SUCESION</t>
  </si>
  <si>
    <t>REAJUSTE</t>
  </si>
  <si>
    <t>PAGARE</t>
  </si>
  <si>
    <t>EJECUCION ALQUILERES</t>
  </si>
  <si>
    <t>LABORAL</t>
  </si>
  <si>
    <t>ACTUALIZADO AL</t>
  </si>
  <si>
    <t>HSBC HF Renta Fija Estrategica Clase G U$S</t>
  </si>
  <si>
    <t>renta y amortizacion aa17</t>
  </si>
  <si>
    <t>DIVIDENDO COHEN</t>
  </si>
  <si>
    <t>letes</t>
  </si>
  <si>
    <t>fecha actualizacion</t>
  </si>
  <si>
    <t>saldo</t>
  </si>
  <si>
    <t>tasa</t>
  </si>
  <si>
    <t>diferencia</t>
  </si>
  <si>
    <t>BBVA RENTA FIJA DOLARES PLUS</t>
  </si>
  <si>
    <t>BBVA RENTA FIJA DOLARES</t>
  </si>
  <si>
    <t>DEPOSITO GARANTIA UF 135</t>
  </si>
  <si>
    <t>CAUCIONADOS EN BODEN 2012</t>
  </si>
  <si>
    <t>COMPRA BONOS</t>
  </si>
  <si>
    <t>COBRO A CUENTA UF 144</t>
  </si>
  <si>
    <t>COBRO A CUENTA UF 107</t>
  </si>
  <si>
    <t>COBRO CANCELACION UF151-PAGARE</t>
  </si>
  <si>
    <t>COBRO CANCELACION UF151-HIPOTECARIO</t>
  </si>
  <si>
    <t>PAGO EXPENSAS UF119</t>
  </si>
  <si>
    <t>PAGO EXPENSAS UF135</t>
  </si>
  <si>
    <t>COMPRA ACCIONES (GALICIA ALUAR)</t>
  </si>
  <si>
    <t>COMPRA BONOS PARA</t>
  </si>
  <si>
    <t>COMPRA BONOS NF18</t>
  </si>
  <si>
    <t>COMPRA DOLARES PFIJO VENCIDO BBVA</t>
  </si>
  <si>
    <t>COMPRA DOLARES DE CAJA CHICA</t>
  </si>
  <si>
    <t>VENTA DE DOLARES DE LA CAJA DE SEGURIDAD</t>
  </si>
  <si>
    <t>VENDIDOS</t>
  </si>
  <si>
    <t>COMPRA DOLARES PFIJO HSBC VENCIDO 18-2-9</t>
  </si>
  <si>
    <t>COMPRA DOLARES DE CAJA DE AHORRO</t>
  </si>
  <si>
    <t>COMPRA DOLARES PFIJO BBVA VENCIDO 27-2-9</t>
  </si>
  <si>
    <t>COMPRA DOLARES CAJA CHICA EN HSBC</t>
  </si>
  <si>
    <t>PARA DEPOSITAR A COHEN</t>
  </si>
  <si>
    <t>COMPRA VENTA DE DOLARES 2010</t>
  </si>
  <si>
    <t>RETIRADO DE CAJA DE AHORRO MARIA</t>
  </si>
  <si>
    <t>MARIA</t>
  </si>
  <si>
    <t>RETIRADO DE CAJA DE AHORRO</t>
  </si>
  <si>
    <t>ANTICIPADO POR ARTURO DE EFECTIVO DANDO VUELTA</t>
  </si>
  <si>
    <t>PARTE EXTRACCION CAJA DE AHORRO MARIA</t>
  </si>
  <si>
    <t>ARTURO</t>
  </si>
  <si>
    <t>PLAZO FIJO B.HIPOT. 26-5-10+ AHORRO $ 5,000</t>
  </si>
  <si>
    <t>FONDO COMUN DE COHEN --TRANSFERIDO CAJA DE AHORRO HSBC--COMPRA DOLARES ----DEPOSITADO EN HSBC U$S---CONSTITUCION PLAZO FIJO</t>
  </si>
  <si>
    <t>PLAZO FIJO B. HIPOTECARIO --DEPOSITADO CAJA DE AHORRO HSBC--COMPRA DOLARES ----CONSTITUIDO PLAZO FIJO DOLARES HSBC</t>
  </si>
  <si>
    <t>AHORROS VARIOS</t>
  </si>
  <si>
    <t>COMPRA VENTA DE DOLARES 2011</t>
  </si>
  <si>
    <t>PLAZO FIJOS U$S HSBC QUE SE VENDIERO Y SE DEPOSITARON EN COHEN</t>
  </si>
  <si>
    <t>EFECTIVO ???</t>
  </si>
  <si>
    <t>DEBITO CAJA DE AHORRO + EFECTIVO DEPOSITADO EN LA CAJA DE AHORRO</t>
  </si>
  <si>
    <t>DEBITO CAJA DE AHORRO PROVENIENTE PLAZO FIJO HSBC</t>
  </si>
  <si>
    <t>DEBITO CAJA DE AHORRO DE CAJA AHORRO MARIA SUELDO</t>
  </si>
  <si>
    <t>DEBITO CAJA DE AHORRO DE CAJA AHORRO MARIA SUELDO Y PARTE MIA</t>
  </si>
  <si>
    <t>COMPRA VENTA DE DOLARES 2012</t>
  </si>
  <si>
    <t>DE SU CAJA DE AHORRO SUELDO HSBC</t>
  </si>
  <si>
    <t>ROSA</t>
  </si>
  <si>
    <t>EXTERIOR SMITHBARNEY</t>
  </si>
  <si>
    <t>enviado</t>
  </si>
  <si>
    <t>llegado</t>
  </si>
  <si>
    <t>DÓLAR IMPLICITO</t>
  </si>
  <si>
    <t>PROV. CAJA DE AH. HSBCC</t>
  </si>
  <si>
    <t>PROV. CAJA DE AH. U$S HSBC</t>
  </si>
  <si>
    <t>COMPRA AA17</t>
  </si>
  <si>
    <t>RENTA AA17</t>
  </si>
  <si>
    <t>COTIZACIÓN DÓLAR</t>
  </si>
  <si>
    <t>DENOMINACION</t>
  </si>
  <si>
    <t>BODEN 2012</t>
  </si>
  <si>
    <t>RENTA ANUAL</t>
  </si>
  <si>
    <t>PERDIDA</t>
  </si>
  <si>
    <t>PAR USD 2038 V</t>
  </si>
  <si>
    <t>VN PBI U$S</t>
  </si>
  <si>
    <t>PAR $ 2038 V</t>
  </si>
  <si>
    <t>BONOS</t>
  </si>
  <si>
    <t>VN PBI $</t>
  </si>
  <si>
    <t>CANJE</t>
  </si>
  <si>
    <t>NF18</t>
  </si>
  <si>
    <t>RO15</t>
  </si>
  <si>
    <t>PAMPA ENERGIA</t>
  </si>
  <si>
    <t>RENTA</t>
  </si>
  <si>
    <t>BODEN 2015</t>
  </si>
  <si>
    <t>PAGO VARIOS</t>
  </si>
  <si>
    <t>DEPOSITOS ALQUILERES</t>
  </si>
  <si>
    <t>CANTIDADES</t>
  </si>
  <si>
    <t>COBRO UF098</t>
  </si>
  <si>
    <t>INVERTIDO</t>
  </si>
  <si>
    <t>PETROBRAS</t>
  </si>
  <si>
    <t>VALOR COMPRA</t>
  </si>
  <si>
    <t>SIDERAR</t>
  </si>
  <si>
    <t>COMERCIAL DEL PLATA</t>
  </si>
  <si>
    <t>ALPARGATAS</t>
  </si>
  <si>
    <t>GALICIA</t>
  </si>
  <si>
    <t>TOTAL LABORAL</t>
  </si>
  <si>
    <t>ALUAR</t>
  </si>
  <si>
    <t>PLAZO FIJOS PESOS</t>
  </si>
  <si>
    <t>CANTIDAD</t>
  </si>
  <si>
    <t>COHEN</t>
  </si>
  <si>
    <t>CHEQUES</t>
  </si>
  <si>
    <t>HSBC HF PESOS</t>
  </si>
  <si>
    <t>SIN PBE</t>
  </si>
  <si>
    <t>VALOR CUOTA COMPRA</t>
  </si>
  <si>
    <t>Saldo Inicial</t>
  </si>
  <si>
    <t>Suscripción</t>
  </si>
  <si>
    <t>Saldo Final</t>
  </si>
  <si>
    <t>HF Pesos Plus G</t>
  </si>
  <si>
    <t>Cantidad:</t>
  </si>
  <si>
    <t>ARS</t>
  </si>
  <si>
    <t>Comisión: 0,00</t>
  </si>
  <si>
    <t>Neto: 0,00</t>
  </si>
  <si>
    <t>IVA: 0,00</t>
  </si>
  <si>
    <t>Bruto: 0,00</t>
  </si>
  <si>
    <t>Suscripcion</t>
  </si>
  <si>
    <t>Neto: 35.000,00</t>
  </si>
  <si>
    <t>Bruto: 35.000,00</t>
  </si>
  <si>
    <t>Neto: 10.000,00</t>
  </si>
  <si>
    <t>Bruto: 10.000,00</t>
  </si>
  <si>
    <t>Rescate</t>
  </si>
  <si>
    <t>Neto: 40.000,00</t>
  </si>
  <si>
    <t>Bruto: 40.000,00</t>
  </si>
  <si>
    <t>Neto: 15.000,00</t>
  </si>
  <si>
    <t>Bruto: 15.000,00</t>
  </si>
  <si>
    <t>Neto: 8.000,00</t>
  </si>
  <si>
    <t>Bruto: 8.000,00</t>
  </si>
  <si>
    <t>Neto: 18.000,00</t>
  </si>
  <si>
    <t>Bruto: 18.000,00</t>
  </si>
  <si>
    <t>Neto: 5.000,00</t>
  </si>
  <si>
    <t>Bruto: 5.000,00</t>
  </si>
  <si>
    <t>Neto: 3.000,00</t>
  </si>
  <si>
    <t>Bruto: 3.000,00</t>
  </si>
  <si>
    <t>Neto: 55.506,02</t>
  </si>
  <si>
    <t>Superfondo Renta $</t>
  </si>
  <si>
    <t>Superfondo Renta Variable</t>
  </si>
  <si>
    <t>CUOTA PARTE</t>
  </si>
  <si>
    <t>Superfondo Acciones</t>
  </si>
  <si>
    <t>FIMA RENTA $</t>
  </si>
  <si>
    <t>FIMA PB ACCIONES</t>
  </si>
  <si>
    <t>OPERACIONES CANCELADAS</t>
  </si>
  <si>
    <t>FBA HORIZONTE</t>
  </si>
  <si>
    <t>FONDOS</t>
  </si>
  <si>
    <t>RIO RENTA</t>
  </si>
  <si>
    <t>RIO VARIABLE</t>
  </si>
  <si>
    <t>GRUPO IN. GALICIA</t>
  </si>
  <si>
    <t>RIO MERVAL</t>
  </si>
  <si>
    <t>ACINDAR</t>
  </si>
  <si>
    <t>GALICIA RENTA</t>
  </si>
  <si>
    <t>GALICIA VARIABLE</t>
  </si>
  <si>
    <t>BBVA HORIZONTE</t>
  </si>
  <si>
    <t>HF PESOS PLUS CLASE G HSBC</t>
  </si>
  <si>
    <t xml:space="preserve">HF DEUDA PESOS PLUS </t>
  </si>
  <si>
    <t>RENTABILIDAD</t>
  </si>
  <si>
    <t>HF PESOS PLUS CLASE GHSBC</t>
  </si>
  <si>
    <t>A cobrar por caja</t>
  </si>
  <si>
    <t>033554/7-00009</t>
  </si>
  <si>
    <t>$</t>
  </si>
  <si>
    <t>033968/9-00006</t>
  </si>
  <si>
    <t>033969/7-00006</t>
  </si>
  <si>
    <t>033975/4-00006</t>
  </si>
  <si>
    <t>033976/2-00006</t>
  </si>
  <si>
    <t>VENTA</t>
  </si>
  <si>
    <t>RO15- BODEN GOB.NAC.7% U$S V.0</t>
  </si>
  <si>
    <t>VTAS 38292</t>
  </si>
  <si>
    <t>VENTA RO15 130,000</t>
  </si>
  <si>
    <t>VTAS 38185</t>
  </si>
  <si>
    <t>VENTA RO15 50.000</t>
  </si>
  <si>
    <t>RTA./ TVPP</t>
  </si>
  <si>
    <t>TVPP- VALOR NEG. VINC AL PBI $</t>
  </si>
  <si>
    <t>RTA 67614</t>
  </si>
  <si>
    <t>CUPONES Y SALDO FONDO</t>
  </si>
  <si>
    <t>DEPOSITADO FONDO</t>
  </si>
  <si>
    <t>HSBC LETRAS BCRA</t>
  </si>
  <si>
    <t>BBVA LETRAS BCRA</t>
  </si>
  <si>
    <t>Fecha</t>
  </si>
  <si>
    <t>Depositado</t>
  </si>
  <si>
    <t>A Cobrar</t>
  </si>
  <si>
    <t>Dias</t>
  </si>
  <si>
    <t>Fecha Vto.</t>
  </si>
  <si>
    <t>Tasa</t>
  </si>
  <si>
    <t xml:space="preserve">HSBC </t>
  </si>
  <si>
    <t>BANCO HIPOTECARIO</t>
  </si>
  <si>
    <t>HF SOBERANO</t>
  </si>
  <si>
    <t>HF PLUS</t>
  </si>
  <si>
    <t>HSBC dep. en caja de ahorro a su veto.</t>
  </si>
  <si>
    <t>FALTA CERTIFICADO</t>
  </si>
  <si>
    <t>HSBC SE LE AGREGARON U$S 2438 RENTA TVY0</t>
  </si>
  <si>
    <t>HSBC -GIRADO SCH</t>
  </si>
  <si>
    <t>HSBC--DEPOSITAO A COHEN</t>
  </si>
  <si>
    <t>HSBC  UF142 CANCELADA</t>
  </si>
  <si>
    <t>U$S 37.990,00</t>
  </si>
  <si>
    <t>3,10 %</t>
  </si>
  <si>
    <t>Vigente</t>
  </si>
  <si>
    <t>HSBC MARIA</t>
  </si>
  <si>
    <t>HSBC debito</t>
  </si>
  <si>
    <t>SE DEJO EN CUSTODIA</t>
  </si>
  <si>
    <t>HSBC SE DEPOSITO EL 5-4 EN BBVA</t>
  </si>
  <si>
    <t>HSBC MARIA SE DEPOSITO EN BBVA</t>
  </si>
  <si>
    <t>LETES BBVA</t>
  </si>
  <si>
    <t>LT16E7</t>
  </si>
  <si>
    <t>LT30E7</t>
  </si>
  <si>
    <t>LETES BBVA + PARTE EN PESOS</t>
  </si>
  <si>
    <t>LT20F7</t>
  </si>
  <si>
    <t>LT20M7</t>
  </si>
  <si>
    <t>LT03A7</t>
  </si>
  <si>
    <t>letes hsbc</t>
  </si>
  <si>
    <t>ITAU</t>
  </si>
  <si>
    <t>HSBC ARTURO REPATRIACION</t>
  </si>
  <si>
    <t>HSBC MARIA REPATRIACION</t>
  </si>
  <si>
    <t>HSBC ROSA REPATRIACION</t>
  </si>
  <si>
    <t>impuestos 2,29</t>
  </si>
  <si>
    <t>EXTERIOR ANTERIOR</t>
  </si>
  <si>
    <t>lugar</t>
  </si>
  <si>
    <t>Invetna REPATRIACION</t>
  </si>
  <si>
    <t>Invetna --45000 --BRAZILIAN GOVE 7,125%--VTO 20/01/37 ----PAGA 20/01 Y 20/07</t>
  </si>
  <si>
    <t xml:space="preserve">HSBC 50.000 --BONOS A 10 AÑOS 15/2/34 --91282CJZ5----PAGA 15/8/ Y 15/2 -HSBC MIAMI </t>
  </si>
  <si>
    <t>OPERACIÓN DE CAMBIOS</t>
  </si>
  <si>
    <t>CAMBIO</t>
  </si>
  <si>
    <t>PERCIBIDO u$s</t>
  </si>
  <si>
    <t>COMISION</t>
  </si>
  <si>
    <t>TOTAL GASTOS</t>
  </si>
  <si>
    <t xml:space="preserve">TOTAL </t>
  </si>
  <si>
    <t>BNL</t>
  </si>
  <si>
    <t>HSBC FONDO</t>
  </si>
  <si>
    <t>BNL FONDO</t>
  </si>
  <si>
    <t>ME PRESTÓ</t>
  </si>
  <si>
    <t>SE APLICA A PILAR</t>
  </si>
  <si>
    <t>MASTER BNL</t>
  </si>
  <si>
    <t>BANCO RIO</t>
  </si>
  <si>
    <t>IMPORTE</t>
  </si>
  <si>
    <t>CHEQUE</t>
  </si>
  <si>
    <t>SALDO</t>
  </si>
  <si>
    <t>ANULADO</t>
  </si>
  <si>
    <t>TRANSPORTE LIDIA</t>
  </si>
  <si>
    <t>COMEDOR FRANCA</t>
  </si>
  <si>
    <t>EXPENSAS UF023</t>
  </si>
  <si>
    <t>EXPENSAS ROSA</t>
  </si>
  <si>
    <t>EXPENSAS RINCON</t>
  </si>
  <si>
    <t>MEDIACION UF089</t>
  </si>
  <si>
    <t>EXPENSAS LAVALLE</t>
  </si>
  <si>
    <t>COLEGIO</t>
  </si>
  <si>
    <t>TRANSF</t>
  </si>
  <si>
    <t>EXPENSA</t>
  </si>
  <si>
    <t>TRANSF BNL</t>
  </si>
  <si>
    <t>CHEQUE UF151</t>
  </si>
  <si>
    <t>DEP</t>
  </si>
  <si>
    <t>DEPOSITO EFECTIVO</t>
  </si>
  <si>
    <t>EXPENSAS MARIA</t>
  </si>
  <si>
    <t>MEDIACION UF117</t>
  </si>
  <si>
    <t>HONORARIOS VASEN</t>
  </si>
  <si>
    <t>TRANSF. DE GALICIA</t>
  </si>
  <si>
    <t>alquiler country</t>
  </si>
  <si>
    <t>EXPENSAS GALERIA TRBUNALES</t>
  </si>
  <si>
    <t>RENTAS UF005</t>
  </si>
  <si>
    <t>EXPENSAS UF094</t>
  </si>
  <si>
    <t>COTO</t>
  </si>
  <si>
    <t>DEBITO</t>
  </si>
  <si>
    <t>INTER FUN CUMPLEAÑOS</t>
  </si>
  <si>
    <t>EXPENSAS UF024</t>
  </si>
  <si>
    <t>TARJETA AMEX RIO</t>
  </si>
  <si>
    <t>TARJETA VISA RIO</t>
  </si>
  <si>
    <t>EDESUR MARIA</t>
  </si>
  <si>
    <t>EDESUR ROSA</t>
  </si>
  <si>
    <t>EXTRACCION EFECTIVO</t>
  </si>
  <si>
    <t>BANCO HSBC</t>
  </si>
  <si>
    <t>CHEQUE DESDE 58548651 AL 8700</t>
  </si>
  <si>
    <t>BID</t>
  </si>
  <si>
    <t>MERCANTIL</t>
  </si>
  <si>
    <t>SUDECOR</t>
  </si>
  <si>
    <t>BUEN AYRE</t>
  </si>
  <si>
    <t>BNLU$S</t>
  </si>
  <si>
    <t>FRANCES</t>
  </si>
  <si>
    <t>CITI</t>
  </si>
  <si>
    <t>BCP</t>
  </si>
  <si>
    <t>MAYO</t>
  </si>
  <si>
    <t>BCPMAR</t>
  </si>
  <si>
    <t>JUNIO</t>
  </si>
  <si>
    <t>MAYOCAJA</t>
  </si>
  <si>
    <t>ROBERTS</t>
  </si>
  <si>
    <t>BANK</t>
  </si>
  <si>
    <t>CREDITO</t>
  </si>
  <si>
    <t>BBV</t>
  </si>
  <si>
    <t>BOSTON</t>
  </si>
  <si>
    <t>MBK</t>
  </si>
  <si>
    <t>LLOYDS</t>
  </si>
  <si>
    <t>RIO</t>
  </si>
  <si>
    <t>CITY</t>
  </si>
  <si>
    <t>AGROPECUARIA</t>
  </si>
  <si>
    <t>BGN</t>
  </si>
  <si>
    <t>BCO.PROV.</t>
  </si>
  <si>
    <t>SCOTIA</t>
  </si>
  <si>
    <t>SUPERVIELLE</t>
  </si>
  <si>
    <t>PMO EXTERIOR</t>
  </si>
  <si>
    <t>DIFERENCIA ASÍ NACE !</t>
  </si>
  <si>
    <t>CITIBANK</t>
  </si>
  <si>
    <t>GALICIA CER</t>
  </si>
  <si>
    <t>BBVA CER</t>
  </si>
  <si>
    <t xml:space="preserve">BBVA </t>
  </si>
  <si>
    <t>RIO CER</t>
  </si>
  <si>
    <t>HSBC CER</t>
  </si>
  <si>
    <t xml:space="preserve">GALICIA </t>
  </si>
  <si>
    <t>B.PRIVADO</t>
  </si>
  <si>
    <t>B.HIPOT.</t>
  </si>
  <si>
    <t>B.HIPOT. INTERNET</t>
  </si>
  <si>
    <t>HSBC PROV. RENTA TVPP</t>
  </si>
  <si>
    <t>HSBC PROV. CAJA DE AHORRO</t>
  </si>
  <si>
    <t>fondo</t>
  </si>
  <si>
    <t>HSBC AGILE</t>
  </si>
  <si>
    <t>HSBC maria</t>
  </si>
  <si>
    <t>CAUCION COHEN</t>
  </si>
  <si>
    <t>BBVA (maria $ 50000)</t>
  </si>
  <si>
    <t>HSBC maria+AGREGADO 20.000 DE CAJA DE AHORRO</t>
  </si>
  <si>
    <t xml:space="preserve">SE RETIRARON </t>
  </si>
  <si>
    <t>PARA LA FLACA A CAMBIO DE $ 5000</t>
  </si>
  <si>
    <t>VIAJE MAYO 2017</t>
  </si>
  <si>
    <t>" 56529</t>
  </si>
  <si>
    <t>"56528</t>
  </si>
  <si>
    <t>TEORICA</t>
  </si>
  <si>
    <t>A INVENTARIAR</t>
  </si>
  <si>
    <t>COHEN CAUCION</t>
  </si>
  <si>
    <t>COHEN LEBACS</t>
  </si>
  <si>
    <t>bbva</t>
  </si>
  <si>
    <t>COHEN LECAP CANT. 333,000</t>
  </si>
  <si>
    <t>bna HSBC</t>
  </si>
  <si>
    <t>bna BBVA</t>
  </si>
  <si>
    <t>bna bbva</t>
  </si>
  <si>
    <t>bna hsbc</t>
  </si>
  <si>
    <t>COHEN LECAP CANT. 237.900</t>
  </si>
  <si>
    <t>REPROGRAMACION EL 30-8-19 SE ABONARON EL 15%</t>
  </si>
  <si>
    <t>EL IMPORTE AL VTO.</t>
  </si>
  <si>
    <t>COHEN LECAP CANT. 162.500</t>
  </si>
  <si>
    <t>bna Rosa</t>
  </si>
  <si>
    <t>LUGAR</t>
  </si>
  <si>
    <t>BBVA BARBARA</t>
  </si>
  <si>
    <t>CIUDAD UVA</t>
  </si>
  <si>
    <t>Saenz Hsbc</t>
  </si>
  <si>
    <t>COHEN REPROGRAMADA LECAP CANT. 237.900:AL VTO. 15% A 90 DIAS 25% Y 60% A 180 DIAS</t>
  </si>
  <si>
    <t>Saenz BBVA</t>
  </si>
  <si>
    <t>Saenz Hsbc MARIA</t>
  </si>
  <si>
    <t>BBVA UVA</t>
  </si>
  <si>
    <t>HSBC UVA</t>
  </si>
  <si>
    <t>HSBC UVA PRECANCELABLE</t>
  </si>
  <si>
    <t>BBVA UVA PRECANCELABLE</t>
  </si>
  <si>
    <t>cancelado BBVA UVA PRECANCELABLE</t>
  </si>
  <si>
    <t>cancelado 3-8-20 HSBC UVA PRECANCELABLE</t>
  </si>
  <si>
    <t>cancelado 5-8-20 HSBC UVA PRECANCELABLE</t>
  </si>
  <si>
    <t>cancelado 15-7-20 HSBC UVA PRECANCELABLE</t>
  </si>
  <si>
    <t>cancelado 26-8-20 HSBC UVA PRECANCELABLE</t>
  </si>
  <si>
    <t>BBVA RAMONA</t>
  </si>
  <si>
    <t>BNA</t>
  </si>
  <si>
    <t>CIUDAD</t>
  </si>
  <si>
    <t>BBVA UVA RAMONA</t>
  </si>
  <si>
    <t>BNA UVA</t>
  </si>
  <si>
    <t>HSBC MARIA UVA</t>
  </si>
  <si>
    <t>BBVA UVA BARBARA</t>
  </si>
  <si>
    <t>HSBC MARIA UVA CHARLIE</t>
  </si>
  <si>
    <t>ITAU UVA</t>
  </si>
  <si>
    <t>HSBC UVA MARIA</t>
  </si>
  <si>
    <t>BBVA UVA RAMONA precancelado</t>
  </si>
  <si>
    <t>HSBC UVA MARIA precancelado</t>
  </si>
  <si>
    <t>BBVA UVA precancelado</t>
  </si>
  <si>
    <t>HSBC UVA precancelado</t>
  </si>
  <si>
    <t>BNA UVA precancelado</t>
  </si>
  <si>
    <t>ITAU UVA precancelado</t>
  </si>
  <si>
    <t>BBVA UVA BARBARA precancelado</t>
  </si>
  <si>
    <t>RENOVACION AUTOMATICA</t>
  </si>
  <si>
    <t>BBVA BANCO BARBARA UVA</t>
  </si>
  <si>
    <t>HSBC BANCO MARIA UVA</t>
  </si>
  <si>
    <t>ITAU BANCO UVA</t>
  </si>
  <si>
    <t>HSBC BANCO UVA</t>
  </si>
  <si>
    <t>BBVA BANCO RAMONA UVA</t>
  </si>
  <si>
    <t>BNA BANCO UVA</t>
  </si>
  <si>
    <t>BBVA BANCO UVA</t>
  </si>
  <si>
    <t>CIUDAD BANCO UVA</t>
  </si>
  <si>
    <t>BNA BANCO RAMONA</t>
  </si>
  <si>
    <t>banco</t>
  </si>
  <si>
    <t>HSBC BANCO PAGO MASTER</t>
  </si>
  <si>
    <t>HSBC BANCO MARIA -COMPRA DOALRES</t>
  </si>
  <si>
    <t>HSBC ROSA BANCO</t>
  </si>
  <si>
    <t>HSBC BANCO MARIA fondo comun</t>
  </si>
  <si>
    <t>programa</t>
  </si>
  <si>
    <t>capital</t>
  </si>
  <si>
    <t>cotiz</t>
  </si>
  <si>
    <t>invertido</t>
  </si>
  <si>
    <t>HSBC BANCO MARIA $ 100,000 -ANULADO 16/1/24</t>
  </si>
  <si>
    <t>EJEMPLO DE REINVERSION</t>
  </si>
  <si>
    <t>itau</t>
  </si>
  <si>
    <t>plazo fijo</t>
  </si>
  <si>
    <t>monto inicial</t>
  </si>
  <si>
    <t>fecha de vencimiento</t>
  </si>
  <si>
    <t>monto al vencimiento</t>
  </si>
  <si>
    <t>PF UVA - LEY 25.827 - PRECANCELABLE</t>
  </si>
  <si>
    <t>(*)</t>
  </si>
  <si>
    <t>PF UVA - LEY 25.827</t>
  </si>
  <si>
    <t>cupo</t>
  </si>
  <si>
    <t>importe</t>
  </si>
  <si>
    <t>AUSTRAL</t>
  </si>
  <si>
    <t>AUTO</t>
  </si>
  <si>
    <t>CATAMARCA</t>
  </si>
  <si>
    <t>IMPUESTOS</t>
  </si>
  <si>
    <t>NETO</t>
  </si>
  <si>
    <t>LAVALLE</t>
  </si>
  <si>
    <t>PERSONALES</t>
  </si>
  <si>
    <t>SAN JUAN</t>
  </si>
  <si>
    <t>ALQUILER</t>
  </si>
  <si>
    <t>LANDIN</t>
  </si>
  <si>
    <t>AVELLANEDA</t>
  </si>
  <si>
    <t>JUNCAL</t>
  </si>
  <si>
    <t>COUNTRY</t>
  </si>
  <si>
    <t>CORRIENTES 524</t>
  </si>
  <si>
    <t>CORRIENTES 848</t>
  </si>
  <si>
    <t>UF024</t>
  </si>
  <si>
    <t>T. PLAZA 3144</t>
  </si>
  <si>
    <t>SHECHO</t>
  </si>
  <si>
    <t>UF114</t>
  </si>
  <si>
    <t>IVA DEBITO</t>
  </si>
  <si>
    <t>IVA</t>
  </si>
  <si>
    <t>EXTRAS</t>
  </si>
  <si>
    <t>FLACA</t>
  </si>
  <si>
    <t>POR COMPRA U$S</t>
  </si>
  <si>
    <t xml:space="preserve">POR COMPRA EFECTIVO $ </t>
  </si>
  <si>
    <t>CONVERSIÓN</t>
  </si>
  <si>
    <t>SALUD</t>
  </si>
  <si>
    <t>DIF.PESOS</t>
  </si>
  <si>
    <t>EURO</t>
  </si>
  <si>
    <t>SUCESION</t>
  </si>
  <si>
    <t>BERNAL UF091</t>
  </si>
  <si>
    <t>SAN MARTIN UF094</t>
  </si>
  <si>
    <t>JUNCAL UF006</t>
  </si>
  <si>
    <t>CORRIENTES 524 UF001</t>
  </si>
  <si>
    <t>PILAR UF005</t>
  </si>
  <si>
    <t>CAPPA</t>
  </si>
  <si>
    <t>LOS INDIOS 2040 UF073</t>
  </si>
  <si>
    <t>AVDA. RIVADAVIA UF105</t>
  </si>
  <si>
    <t>VALENTIN ALSINA UF102</t>
  </si>
  <si>
    <t>FINANCIACIÓN TARJETA</t>
  </si>
  <si>
    <t>FINANCIACIÓN TARJETA(EXCLUYENTE UF004)</t>
  </si>
  <si>
    <t>ITUZAINGO UF147</t>
  </si>
  <si>
    <t>50000 --BRAZILIAN GOVE 7,125%--105756BK5---VTO 20/01/37 ----PAGA 20/01 Y 20/07</t>
  </si>
  <si>
    <t>50,000-    BONOS A 10 AÑOS CJUPON 4,375% 50.000 1/ CUSIP / ISIN: - / 91282CKQ3 / -----PAGA 15/5/ Y 15/11 -sb Pesonal</t>
  </si>
  <si>
    <t>66,000     BONOS A 10 AÑOS CJUPON 4,375% 50.000 1/ CUSIP / ISIN: - / 91282CKQ3 / -----PAGA 15/5/ Y 15/11</t>
  </si>
  <si>
    <t>115,000 --UNITED STATES TREAS NTS 4.250% 30/06/29  31/12 -</t>
  </si>
  <si>
    <t>CADA 6 MESES</t>
  </si>
  <si>
    <t>65.000 --BONOS A 2 AÑOS Treas Nts 4.875% 05/31/26 B/e ----CUSIP 91282CKS9--</t>
  </si>
  <si>
    <t>60.000 --BONOS A 2 AÑOS Treas Nts 4.875% 05/31/26 B/e ----CUSIP 91282CKS9--</t>
  </si>
  <si>
    <t>53,000  BONOS A 10 AÑOS CJUPON 4,375%  1/ CUSIP / ISIN: - / 91282CKQ3 / -----PAGA 15/5/ Y 15/11</t>
  </si>
  <si>
    <t>CERA</t>
  </si>
  <si>
    <t>kate Personal</t>
  </si>
  <si>
    <t>unicreidt</t>
  </si>
  <si>
    <t>depto via albertini</t>
  </si>
  <si>
    <t xml:space="preserve">reibp + blanqueo= $50,000,000/1220= </t>
  </si>
  <si>
    <t>compra via albertini</t>
  </si>
  <si>
    <t>PASO 2019</t>
  </si>
  <si>
    <t>INFLACIO INTERNACIONAL</t>
  </si>
  <si>
    <t>53.000 --BONOS A 4 AÑOS 31/05/28 3,625% --CUSIP 91282CHE4----PAGA 131/5 Y 30/11</t>
  </si>
  <si>
    <t>BLANQUEO 93,000 A HSBC MIAMI</t>
  </si>
  <si>
    <t>15/11/20241.250,8116/11/20241.252,2017/11/20241.252,2018/11/20241.252,2019/11/20241.252,2020/11/20241.256,6621/11/20241.257,7722/11/20241.258,8923/11/20241.260,0124/11/20241.260,0125/11/20241.260,0126/11/20241.263,3727/11/20241.264,4928/11/20241.265,6129/11/20241.266,7430/11/20241.267,8601/12/20241.267,8602/12/20241.267,8603/12/20241.271,2504/12/20241.272,3805/12/20241.273,5106/12/20241.274,6407/12/20241.275,7708/12/20241.275,7709/12/20241.275,7710/12/20241.279,1711/12/20241.280,3112/12/20241.281,4513/12/20241.282,5914/12/20241.283,7315/12/20241.283,7316/12/20241.283,7317/12/20241.286,9918/12/20241.287,9819/12/20241.288,9620/12/20241.289,9521/12/20241.290,9422/12/20241.290,9423/12/20241.290,9424/12/20241.293,9025/12/20241.294,8926/12/20241.294,8927/12/20241.296,8828/12/20241.297,8729/12/20241.297,8730/12/20241.297,8731/12/20241.300,8501/01/20251.301,8502/01/20251.301,8503/01/20251.303,8404/01/20251.304,8405/01/20251.304,8406/01/20251.304,8407/01/20251.307,8408/01/20251.308,8409/01/20251.309,8410/01/20251.310,8411/01/20251.311,8512/01/20251.311,8513/01/20251.311,8514/01/20251.314,8615/01/20251.315,87</t>
  </si>
  <si>
    <t>ERROR</t>
  </si>
  <si>
    <t>BNA RAAMONA</t>
  </si>
  <si>
    <t>PAGO AFIP ROSA</t>
  </si>
  <si>
    <t>Total general</t>
  </si>
  <si>
    <t>53,000-    BONOS A 10 AÑOS CJUPON 4,375% 50.000 1/ CUSIP / ISIN: - / 91282CKQ3 / -----PAGA 15/5/ Y 15/11 -sb Pesonal</t>
  </si>
  <si>
    <t>115,000-  BONOS A 10 AÑOS CJUPON 4,375% 50.000 1/ CUSIP / ISIN: - / 91282CKQ3 / -----PAGA 15/5/ Y 15/11 -sb Pesonal</t>
  </si>
  <si>
    <t>35,000-    BONOS A 10 AÑOS CJUPON 4,375% 50.000 1/ CUSIP / ISIN: - / 91282CKQ3 / -----PAGA 15/5/ Y 15/11 -sb Pesonal</t>
  </si>
  <si>
    <t>50.000   -BONOS A 10 AÑOS 15/2/34 -CUPON 4%--91282CJZ5----PAGA 15/8/ Y 15/2</t>
  </si>
  <si>
    <t>141.000 -BONOS A 10 AÑOS 15/2/34 -CUPON 4%--91282CJZ5----PAGA 15/8/ Y 15/2</t>
  </si>
  <si>
    <t>41.000   -BONOS A 10 AÑOS 15/2/34 -CUPON 4%--91282CJZ5----PAGA 15/8/ Y 15/2</t>
  </si>
  <si>
    <t>24.000   -BONOS A 10 AÑOS 15/2/34 -CUPON 4%--91282CJZ5----PAGA 15/8/ Y 15/2</t>
  </si>
  <si>
    <t>37,000-    LETRAS EUROS ITALIA</t>
  </si>
  <si>
    <t>PROGRAMA</t>
  </si>
  <si>
    <t>FONDOS/LEMON (de MAIN)</t>
  </si>
  <si>
    <t>Etiquetas de fila</t>
  </si>
  <si>
    <t>Suma de ACOBRAR</t>
  </si>
  <si>
    <t>PATAGONIA BANCO</t>
  </si>
  <si>
    <t>45,000 --UNITED STATES TREAS NTS 4.250% 30/06/29  31/12 -</t>
  </si>
  <si>
    <t>Coupon Rate 4.000%; Matures 02/15/2034; CUSIP 91282CJZ5</t>
  </si>
  <si>
    <t>Coupon Rate 4.250%; Matures 06/30/2029; CUSIP 91282CKX8</t>
  </si>
  <si>
    <t>Coupon Rate 7.125%; Matures 01/20/2037; CUSIP 105756BK5, COUPON PAYABLE SEMI-ANNUALLY ON JANUARY AND JULY 20th</t>
  </si>
  <si>
    <t>Columna8</t>
  </si>
  <si>
    <t>Columna9</t>
  </si>
  <si>
    <t>Columna10</t>
  </si>
  <si>
    <t>Columna11</t>
  </si>
  <si>
    <t>Columna12</t>
  </si>
  <si>
    <t>Columna13</t>
  </si>
  <si>
    <t>CIUDAD JUBIL</t>
  </si>
  <si>
    <t>PATAGONIA</t>
  </si>
  <si>
    <t>promedio</t>
  </si>
  <si>
    <t>COUPON 3,65% SEMESTRE 1/2 Y 1/8 VTO 1/8/2035. - Symbol / CUSIP / ISIN: - T6025AAC8-IT0005631590</t>
  </si>
  <si>
    <t>PFIJO U$S</t>
  </si>
  <si>
    <t>=</t>
  </si>
  <si>
    <t xml:space="preserve">
</t>
  </si>
  <si>
    <t>Total</t>
  </si>
  <si>
    <t>30-6-29 -UNITED STATES TREAS NTS 4.250% 06/30/29 B/E DTD 06/30/24 1ST
CPN DTE 12/31/24 CPN PMT SEMI ANNUAL ON JUN 30 AND DEC 31</t>
  </si>
  <si>
    <t>31-5-26 -UNITED STATES TREAS NTS 4.875% 05/31/26 B/E DTD 05/31/24 1ST
CPN DTE 11/30/24 CPN PMT SEMI ANNUAL ON MAY 31 AND NOV 30</t>
  </si>
  <si>
    <t>15-05-34 -UNITED STATES TREAS NTS 3.625% 05/31/28 B/E DTD 05/31/23 1ST
CPN DTE 11/30/23 CPN PMT SEMI ANNUAL ON MAY 31 AND NOV 30</t>
  </si>
  <si>
    <t>31-05-28 -UNITED STATES TREAS NTS 4,375% 05/31/28 B/E DTD 05/31/23 1ST
CPN DTE 11/30/23 CPN PMT SEMI ANNUAL ON MAY 31 AND NOV 30</t>
  </si>
  <si>
    <t>15-02-34 -UNITED STATES TREAS NTS 4.000% 02/15/34 B/E DTD 02/15/24 1ST
CPN DTE 08/15/24 CPN PMT SEMI ANNUAL ON FEB 15 AND AUG 15</t>
  </si>
  <si>
    <t>15-02-30 -ZERO CPN UNITED STATES TREAS SEC STRIPPED INT PMT STRIP INT OF 30-YR BOND 5.375 DUE 0.000% 02/15/30 B/E DTD 02/15/01</t>
  </si>
  <si>
    <t>15-08-34 -ZERO CPN UNITED STATES TREAS SEC STRIPPED INT PMT STRIP INT OF 30-YR BOND 4.50% DUE 02-15-2036 INT RATE 0.000% MATURITY 08/15/2034 DATED 02/15/2006 BOOK ENTRY ONLY ZERO CPN BD SUBJ TO FED TAX</t>
  </si>
  <si>
    <t>20-01-37 -Coupon Rate 7.125%; Matures 01/20/2037; CUSIP 105756BK5, COUPON PAYABLE SEMI-ANNUALLY ON JANUARY AND JULY 20th</t>
  </si>
  <si>
    <t>15-05-34 -Coupon Rate  4.375%; Matures 05/15/2034; CUSIP 91282CKQ3</t>
  </si>
  <si>
    <t>01-0835 -COUPON 3,65% SEMESTRE 1/2 Y 1/8 VTO 1/8/2035. - Symbol / CUSIP / ISIN: - T6025AAC8-IT0005631590</t>
  </si>
  <si>
    <t>15-02-34 -Coupon Rate 4.000%; Matures 02/15/2034; CUSIP 91282CJZ5</t>
  </si>
  <si>
    <t>30-06-29 -Coupon Rate 4.250%; Matures 06/30/2029; CUSIP 91282CKX8</t>
  </si>
  <si>
    <t>30-11-09 -Coupon Rate 4.125%; Matures 11/30/2029; CUSIP 91282CMA6</t>
  </si>
  <si>
    <t>AÑO 2025</t>
  </si>
  <si>
    <t>4,570,810.65</t>
  </si>
  <si>
    <t>$3,183,784.40</t>
  </si>
  <si>
    <t>Columna3</t>
  </si>
  <si>
    <t>Columna4</t>
  </si>
  <si>
    <t>Columna5</t>
  </si>
  <si>
    <t>Columna6</t>
  </si>
  <si>
    <t>Columna7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</si>
</sst>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6">
    <numFmt numFmtId="8" formatCode="&quot;$&quot;\ #,##0.00;[Red]\-&quot;$&quot;\ #,##0.00"/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_(&quot;$&quot;* #,##0.00_);_(&quot;$&quot;* \(#,##0.00\);_(&quot;$&quot;* &quot;-&quot;??_);_(@_)"/>
    <numFmt numFmtId="165" formatCode="_-* #,##0\ &quot;€&quot;_-;\-* #,##0\ &quot;€&quot;_-;_-* &quot;-&quot;\ &quot;€&quot;_-;_-@_-"/>
    <numFmt numFmtId="166" formatCode="&quot;$&quot;\ #,##0.00;&quot;$&quot;\ \-#,##0.00"/>
    <numFmt numFmtId="167" formatCode="&quot;$&quot;\ #,##0.00;[Red]&quot;$&quot;\ \-#,##0.00"/>
    <numFmt numFmtId="168" formatCode="_-* #,##0\ &quot;pta&quot;_-;\-* #,##0\ &quot;pta&quot;_-;_-* &quot;-&quot;\ &quot;pta&quot;_-;_-@_-"/>
    <numFmt numFmtId="169" formatCode="_-* #,##0.00\ &quot;pta&quot;_-;\-* #,##0.00\ &quot;pta&quot;_-;_-* &quot;-&quot;??\ &quot;pta&quot;_-;_-@_-"/>
    <numFmt numFmtId="170" formatCode="General_)"/>
    <numFmt numFmtId="171" formatCode="d/m/yy"/>
    <numFmt numFmtId="172" formatCode="dd\-mm\-yy"/>
    <numFmt numFmtId="173" formatCode="[$USD]\ #,##0.00"/>
    <numFmt numFmtId="174" formatCode="&quot;$&quot;\ #,##0.00"/>
    <numFmt numFmtId="175" formatCode="[$USD]\ #,##0"/>
    <numFmt numFmtId="176" formatCode="&quot;$&quot;\ #,##0"/>
    <numFmt numFmtId="177" formatCode="_ [$€-2]\ * #,##0.00_ ;_ [$€-2]\ * \-#,##0.00_ ;_ [$€-2]\ * &quot;-&quot;??_ "/>
    <numFmt numFmtId="178" formatCode="0.000"/>
    <numFmt numFmtId="179" formatCode="0.0000"/>
    <numFmt numFmtId="180" formatCode="0.000%"/>
    <numFmt numFmtId="181" formatCode="#,##0.000"/>
    <numFmt numFmtId="182" formatCode="#,##0.00_ ;\-#,##0.00\ "/>
    <numFmt numFmtId="183" formatCode="_ [$$-2C0A]\ * #,##0.00_ ;_ [$$-2C0A]\ * \-#,##0.00_ ;_ [$$-2C0A]\ * &quot;-&quot;??_ ;_ @_ "/>
    <numFmt numFmtId="184" formatCode="[$$-409]#,##0.00"/>
    <numFmt numFmtId="185" formatCode="#,##0.00_ ;[Red]\-#,##0.00\ "/>
    <numFmt numFmtId="186" formatCode="0.0%"/>
    <numFmt numFmtId="187" formatCode="[$-C0A]mmmm\-yy;@"/>
    <numFmt numFmtId="188" formatCode="#,##0.00\ [$USD]"/>
    <numFmt numFmtId="189" formatCode="0.000000"/>
    <numFmt numFmtId="190" formatCode="[$USD]\ #,##0.000000"/>
    <numFmt numFmtId="191" formatCode="#,##0.00\ &quot;€&quot;"/>
    <numFmt numFmtId="192" formatCode="dd/mm/yyyy;@"/>
    <numFmt numFmtId="193" formatCode="[$£-809]#,##0.00"/>
    <numFmt numFmtId="194" formatCode="_-[$$-2C0A]\ * #,##0.00_-;\-[$$-2C0A]\ * #,##0.00_-;_-[$$-2C0A]\ * &quot;-&quot;??_-;_-@_-"/>
    <numFmt numFmtId="195" formatCode="_-[$£-809]* #,##0.00_-;\-[$£-809]* #,##0.00_-;_-[$£-809]* &quot;-&quot;??_-;_-@_-"/>
    <numFmt numFmtId="196" formatCode="[$USD]\ #,##0.00;[$USD]\ \-#,##0.00"/>
    <numFmt numFmtId="197" formatCode="dd/mm/yy;@"/>
    <numFmt numFmtId="198" formatCode="_-* #,##0.00\ &quot;pta&quot;_-;\-* #,##0.00\ &quot;pta&quot;_-;_-* &quot;-&quot;\ &quot;pta&quot;_-;_-@_-"/>
    <numFmt numFmtId="199" formatCode="0.0000%"/>
    <numFmt numFmtId="200" formatCode="0.00000%"/>
    <numFmt numFmtId="201" formatCode="[$USS]\ #,##0.00;\-[$USS]\ #,##0.00"/>
    <numFmt numFmtId="202" formatCode="_-[$USD]\ * #,##0.00_-;\-[$USD]\ * #,##0.00_-;_-[$USD]\ * &quot;-&quot;??_-;_-@"/>
    <numFmt numFmtId="203" formatCode="[$€-2]\ #,##0.00"/>
    <numFmt numFmtId="204" formatCode="dd\-mm\-yy;@"/>
    <numFmt numFmtId="205" formatCode="_-[$€-2]\ * #,##0.00_-;\-[$€-2]\ * #,##0.00_-;_-[$€-2]\ * &quot;-&quot;??_-;_-@_-"/>
    <numFmt numFmtId="206" formatCode="_-* #,##0.00\ [$€-C0A]_-;\-* #,##0.00\ [$€-C0A]_-;_-* &quot;-&quot;??\ [$€-C0A]_-;_-@_-"/>
  </numFmts>
  <fonts count="9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10"/>
      <name val="Arial"/>
      <family val="2"/>
    </font>
    <font>
      <sz val="12"/>
      <color indexed="10"/>
      <name val="Arial"/>
      <family val="2"/>
    </font>
    <font>
      <sz val="10"/>
      <name val="Courier"/>
      <family val="3"/>
    </font>
    <font>
      <b/>
      <sz val="10"/>
      <color indexed="10"/>
      <name val="Arial"/>
      <family val="2"/>
    </font>
    <font>
      <b/>
      <sz val="12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color indexed="12"/>
      <name val="Arial"/>
      <family val="2"/>
    </font>
    <font>
      <b/>
      <i/>
      <sz val="10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10"/>
      <color indexed="13"/>
      <name val="Arial"/>
      <family val="2"/>
    </font>
    <font>
      <b/>
      <sz val="10"/>
      <name val="Courier"/>
      <family val="3"/>
    </font>
    <font>
      <sz val="8"/>
      <color indexed="1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5"/>
      <name val="Courier"/>
      <family val="3"/>
    </font>
    <font>
      <b/>
      <sz val="14"/>
      <name val="Arial"/>
      <family val="2"/>
    </font>
    <font>
      <sz val="10"/>
      <name val="Verdana"/>
      <family val="2"/>
    </font>
    <font>
      <b/>
      <sz val="10"/>
      <name val="Verdana"/>
      <family val="2"/>
    </font>
    <font>
      <sz val="7.5"/>
      <name val="Verdana"/>
      <family val="2"/>
    </font>
    <font>
      <b/>
      <sz val="11"/>
      <name val="Arial"/>
      <family val="2"/>
    </font>
    <font>
      <sz val="16"/>
      <name val="Arial"/>
      <family val="2"/>
    </font>
    <font>
      <b/>
      <sz val="8"/>
      <name val="Arial"/>
      <family val="2"/>
    </font>
    <font>
      <b/>
      <sz val="11"/>
      <name val="Verdana"/>
      <family val="2"/>
    </font>
    <font>
      <sz val="10"/>
      <color theme="0"/>
      <name val="Arial"/>
      <family val="2"/>
    </font>
    <font>
      <sz val="10"/>
      <color theme="0"/>
      <name val="Courier"/>
      <family val="3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Courier"/>
      <family val="3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0"/>
      <color rgb="FF00B050"/>
      <name val="Arial"/>
      <family val="2"/>
    </font>
    <font>
      <b/>
      <sz val="11"/>
      <color rgb="FF00B050"/>
      <name val="Arial"/>
      <family val="2"/>
    </font>
    <font>
      <b/>
      <sz val="11"/>
      <color rgb="FFFF0000"/>
      <name val="Arial"/>
      <family val="2"/>
    </font>
    <font>
      <b/>
      <sz val="10"/>
      <color rgb="FFFF0000"/>
      <name val="Courier"/>
      <family val="3"/>
    </font>
    <font>
      <b/>
      <sz val="11"/>
      <color rgb="FF002060"/>
      <name val="Arial"/>
      <family val="2"/>
    </font>
    <font>
      <b/>
      <sz val="10"/>
      <color rgb="FF002060"/>
      <name val="Arial"/>
      <family val="2"/>
    </font>
    <font>
      <b/>
      <sz val="12"/>
      <color rgb="FFFF0000"/>
      <name val="Arial"/>
      <family val="2"/>
    </font>
    <font>
      <b/>
      <sz val="10"/>
      <color theme="0"/>
      <name val="Arial"/>
      <family val="2"/>
    </font>
    <font>
      <b/>
      <sz val="7.5"/>
      <color rgb="FFFFFFFF"/>
      <name val="Verdana"/>
      <family val="2"/>
    </font>
    <font>
      <sz val="7.5"/>
      <color theme="1"/>
      <name val="Verdana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sz val="9"/>
      <color rgb="FF333333"/>
      <name val="Arial"/>
      <family val="2"/>
    </font>
    <font>
      <sz val="9"/>
      <name val="Arial"/>
      <family val="2"/>
    </font>
    <font>
      <sz val="6.95"/>
      <color rgb="FFFFFFFF"/>
      <name val="Arial"/>
      <family val="2"/>
    </font>
    <font>
      <b/>
      <sz val="10"/>
      <name val="Courie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4"/>
      <color theme="0"/>
      <name val="Arial"/>
      <family val="2"/>
    </font>
    <font>
      <sz val="10"/>
      <color theme="1"/>
      <name val="Courier"/>
      <family val="3"/>
    </font>
    <font>
      <sz val="12"/>
      <color theme="0"/>
      <name val="Arial"/>
      <family val="2"/>
    </font>
    <font>
      <sz val="8"/>
      <name val="Arial"/>
      <family val="2"/>
    </font>
    <font>
      <b/>
      <sz val="14"/>
      <name val="Courier"/>
    </font>
    <font>
      <sz val="11"/>
      <color indexed="9"/>
      <name val="Arial"/>
      <family val="2"/>
    </font>
    <font>
      <b/>
      <sz val="12"/>
      <name val="Courier"/>
    </font>
    <font>
      <b/>
      <sz val="12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11"/>
      <name val="Arial"/>
      <family val="2"/>
    </font>
    <font>
      <b/>
      <sz val="8"/>
      <color rgb="FF000000"/>
      <name val="Verdana"/>
      <family val="2"/>
    </font>
    <font>
      <b/>
      <sz val="8"/>
      <color rgb="FFCCCCCC"/>
      <name val="Verdana"/>
      <family val="2"/>
    </font>
    <font>
      <sz val="8"/>
      <color rgb="FF000000"/>
      <name val="Verdana"/>
      <family val="2"/>
    </font>
    <font>
      <b/>
      <sz val="10"/>
      <name val="Arial Black"/>
      <family val="2"/>
    </font>
    <font>
      <sz val="10"/>
      <name val="Arial Black"/>
      <family val="2"/>
    </font>
    <font>
      <sz val="11"/>
      <color theme="1"/>
      <name val="Arial"/>
      <family val="2"/>
    </font>
    <font>
      <b/>
      <sz val="10"/>
      <color rgb="FF464646"/>
      <name val="Arial"/>
      <family val="2"/>
    </font>
    <font>
      <sz val="10"/>
      <color rgb="FF464646"/>
      <name val="Itau Display"/>
    </font>
    <font>
      <sz val="9"/>
      <color rgb="FF464646"/>
      <name val="Arial"/>
      <family val="2"/>
    </font>
    <font>
      <b/>
      <sz val="11"/>
      <color theme="1"/>
      <name val="Arial"/>
      <family val="2"/>
    </font>
    <font>
      <b/>
      <sz val="16"/>
      <name val="Arial"/>
      <family val="2"/>
    </font>
    <font>
      <sz val="8"/>
      <color rgb="FFFF0000"/>
      <name val="Verdana"/>
      <family val="2"/>
    </font>
    <font>
      <sz val="8"/>
      <name val="Verdana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rgb="FF00B050"/>
      <name val="Arial"/>
      <family val="2"/>
    </font>
    <font>
      <sz val="7"/>
      <color rgb="FF333333"/>
      <name val="Arial"/>
      <family val="2"/>
    </font>
    <font>
      <sz val="11"/>
      <color rgb="FFFF0000"/>
      <name val="Arial"/>
      <family val="2"/>
    </font>
    <font>
      <b/>
      <sz val="10"/>
      <color theme="1"/>
      <name val="Helvetica Neue"/>
    </font>
    <font>
      <sz val="10"/>
      <color theme="1"/>
      <name val="Arial"/>
      <family val="2"/>
    </font>
    <font>
      <sz val="11"/>
      <name val="Arial"/>
      <family val="2"/>
    </font>
  </fonts>
  <fills count="6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CECE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theme="4" tint="0.59999389629810485"/>
      </patternFill>
    </fill>
    <fill>
      <patternFill patternType="solid">
        <fgColor rgb="FF00B0F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EB1946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theme="4" tint="0.59999389629810485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CCC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EFEFEF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4"/>
        <bgColor theme="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99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7" tint="0.79998168889431442"/>
        <bgColor theme="7" tint="0.79998168889431442"/>
      </patternFill>
    </fill>
  </fills>
  <borders count="103">
    <border>
      <left/>
      <right/>
      <top/>
      <bottom/>
      <diagonal/>
    </border>
    <border>
      <left style="thick">
        <color indexed="10"/>
      </left>
      <right/>
      <top style="thick">
        <color indexed="10"/>
      </top>
      <bottom style="thick">
        <color indexed="10"/>
      </bottom>
      <diagonal/>
    </border>
    <border>
      <left/>
      <right/>
      <top style="thick">
        <color indexed="10"/>
      </top>
      <bottom style="thick">
        <color indexed="10"/>
      </bottom>
      <diagonal/>
    </border>
    <border>
      <left/>
      <right style="thick">
        <color indexed="10"/>
      </right>
      <top style="thick">
        <color indexed="10"/>
      </top>
      <bottom style="thick">
        <color indexed="10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12"/>
      </left>
      <right/>
      <top style="thick">
        <color indexed="12"/>
      </top>
      <bottom/>
      <diagonal/>
    </border>
    <border>
      <left/>
      <right/>
      <top style="thick">
        <color indexed="12"/>
      </top>
      <bottom/>
      <diagonal/>
    </border>
    <border>
      <left/>
      <right style="thick">
        <color indexed="12"/>
      </right>
      <top style="thick">
        <color indexed="12"/>
      </top>
      <bottom/>
      <diagonal/>
    </border>
    <border>
      <left style="thick">
        <color indexed="12"/>
      </left>
      <right/>
      <top/>
      <bottom/>
      <diagonal/>
    </border>
    <border>
      <left/>
      <right style="thick">
        <color indexed="12"/>
      </right>
      <top/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 style="thick">
        <color indexed="10"/>
      </left>
      <right/>
      <top/>
      <bottom/>
      <diagonal/>
    </border>
    <border>
      <left/>
      <right/>
      <top style="thick">
        <color indexed="11"/>
      </top>
      <bottom/>
      <diagonal/>
    </border>
    <border>
      <left/>
      <right style="thick">
        <color indexed="11"/>
      </right>
      <top style="thick">
        <color indexed="11"/>
      </top>
      <bottom/>
      <diagonal/>
    </border>
    <border>
      <left style="thick">
        <color indexed="11"/>
      </left>
      <right/>
      <top/>
      <bottom/>
      <diagonal/>
    </border>
    <border>
      <left/>
      <right style="thick">
        <color indexed="11"/>
      </right>
      <top/>
      <bottom/>
      <diagonal/>
    </border>
    <border>
      <left style="thick">
        <color indexed="52"/>
      </left>
      <right/>
      <top style="thick">
        <color indexed="52"/>
      </top>
      <bottom/>
      <diagonal/>
    </border>
    <border>
      <left/>
      <right/>
      <top style="thick">
        <color indexed="52"/>
      </top>
      <bottom/>
      <diagonal/>
    </border>
    <border>
      <left style="thick">
        <color indexed="52"/>
      </left>
      <right/>
      <top/>
      <bottom/>
      <diagonal/>
    </border>
    <border>
      <left/>
      <right style="thick">
        <color indexed="52"/>
      </right>
      <top/>
      <bottom/>
      <diagonal/>
    </border>
    <border>
      <left style="thick">
        <color indexed="33"/>
      </left>
      <right/>
      <top style="thick">
        <color indexed="33"/>
      </top>
      <bottom/>
      <diagonal/>
    </border>
    <border>
      <left/>
      <right/>
      <top style="thick">
        <color indexed="33"/>
      </top>
      <bottom/>
      <diagonal/>
    </border>
    <border>
      <left style="thick">
        <color indexed="33"/>
      </left>
      <right/>
      <top/>
      <bottom/>
      <diagonal/>
    </border>
    <border>
      <left style="thick">
        <color indexed="33"/>
      </left>
      <right/>
      <top/>
      <bottom style="thick">
        <color indexed="33"/>
      </bottom>
      <diagonal/>
    </border>
    <border>
      <left/>
      <right/>
      <top/>
      <bottom style="thick">
        <color indexed="33"/>
      </bottom>
      <diagonal/>
    </border>
    <border>
      <left style="thick">
        <color indexed="9"/>
      </left>
      <right/>
      <top style="thick">
        <color indexed="9"/>
      </top>
      <bottom/>
      <diagonal/>
    </border>
    <border>
      <left/>
      <right/>
      <top style="thick">
        <color indexed="9"/>
      </top>
      <bottom/>
      <diagonal/>
    </border>
    <border>
      <left style="thick">
        <color indexed="9"/>
      </left>
      <right/>
      <top/>
      <bottom/>
      <diagonal/>
    </border>
    <border>
      <left style="thick">
        <color indexed="9"/>
      </left>
      <right/>
      <top/>
      <bottom style="thick">
        <color indexed="9"/>
      </bottom>
      <diagonal/>
    </border>
    <border>
      <left/>
      <right/>
      <top/>
      <bottom style="thick">
        <color indexed="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11"/>
      </left>
      <right/>
      <top style="thick">
        <color indexed="1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17"/>
      </left>
      <right/>
      <top/>
      <bottom/>
      <diagonal/>
    </border>
    <border>
      <left/>
      <right style="medium">
        <color indexed="17"/>
      </right>
      <top/>
      <bottom/>
      <diagonal/>
    </border>
    <border>
      <left/>
      <right/>
      <top/>
      <bottom style="thin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17"/>
      </bottom>
      <diagonal/>
    </border>
    <border>
      <left style="medium">
        <color indexed="17"/>
      </left>
      <right/>
      <top/>
      <bottom style="medium">
        <color indexed="64"/>
      </bottom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D2D2D2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medium">
        <color rgb="FFDDDDDD"/>
      </left>
      <right/>
      <top/>
      <bottom style="thick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thick">
        <color rgb="FFDDDDDD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9"/>
      </left>
      <right/>
      <top/>
      <bottom/>
      <diagonal/>
    </border>
  </borders>
  <cellStyleXfs count="80">
    <xf numFmtId="0" fontId="0" fillId="0" borderId="0"/>
    <xf numFmtId="177" fontId="5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69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0" fontId="12" fillId="0" borderId="0"/>
    <xf numFmtId="9" fontId="5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5" fillId="0" borderId="0"/>
    <xf numFmtId="169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9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74">
    <xf numFmtId="0" fontId="0" fillId="0" borderId="0" xfId="0"/>
    <xf numFmtId="0" fontId="8" fillId="0" borderId="0" xfId="0" applyFont="1"/>
    <xf numFmtId="171" fontId="7" fillId="2" borderId="1" xfId="0" applyNumberFormat="1" applyFont="1" applyFill="1" applyBorder="1"/>
    <xf numFmtId="39" fontId="7" fillId="2" borderId="2" xfId="0" applyNumberFormat="1" applyFont="1" applyFill="1" applyBorder="1"/>
    <xf numFmtId="170" fontId="7" fillId="2" borderId="2" xfId="0" applyNumberFormat="1" applyFont="1" applyFill="1" applyBorder="1"/>
    <xf numFmtId="171" fontId="7" fillId="2" borderId="2" xfId="0" applyNumberFormat="1" applyFont="1" applyFill="1" applyBorder="1"/>
    <xf numFmtId="0" fontId="7" fillId="2" borderId="3" xfId="0" applyFont="1" applyFill="1" applyBorder="1"/>
    <xf numFmtId="171" fontId="0" fillId="0" borderId="0" xfId="0" applyNumberFormat="1"/>
    <xf numFmtId="39" fontId="0" fillId="0" borderId="0" xfId="0" applyNumberFormat="1"/>
    <xf numFmtId="170" fontId="0" fillId="0" borderId="0" xfId="0" applyNumberFormat="1"/>
    <xf numFmtId="10" fontId="0" fillId="0" borderId="0" xfId="0" applyNumberFormat="1"/>
    <xf numFmtId="170" fontId="0" fillId="0" borderId="0" xfId="0" applyNumberFormat="1" applyAlignment="1">
      <alignment horizontal="left"/>
    </xf>
    <xf numFmtId="171" fontId="0" fillId="0" borderId="0" xfId="0" applyNumberFormat="1" applyAlignment="1">
      <alignment horizontal="center"/>
    </xf>
    <xf numFmtId="39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71" fontId="0" fillId="0" borderId="0" xfId="0" applyNumberFormat="1" applyAlignment="1">
      <alignment horizontal="left"/>
    </xf>
    <xf numFmtId="171" fontId="0" fillId="3" borderId="0" xfId="0" applyNumberFormat="1" applyFill="1"/>
    <xf numFmtId="39" fontId="0" fillId="3" borderId="0" xfId="0" applyNumberFormat="1" applyFill="1"/>
    <xf numFmtId="170" fontId="0" fillId="3" borderId="0" xfId="0" applyNumberFormat="1" applyFill="1"/>
    <xf numFmtId="10" fontId="0" fillId="3" borderId="0" xfId="0" applyNumberFormat="1" applyFill="1"/>
    <xf numFmtId="170" fontId="0" fillId="3" borderId="0" xfId="0" applyNumberFormat="1" applyFill="1" applyAlignment="1">
      <alignment horizontal="left"/>
    </xf>
    <xf numFmtId="170" fontId="12" fillId="0" borderId="0" xfId="5"/>
    <xf numFmtId="2" fontId="0" fillId="4" borderId="0" xfId="0" applyNumberFormat="1" applyFill="1"/>
    <xf numFmtId="0" fontId="0" fillId="4" borderId="0" xfId="0" applyFill="1"/>
    <xf numFmtId="14" fontId="0" fillId="4" borderId="0" xfId="0" applyNumberFormat="1" applyFill="1"/>
    <xf numFmtId="3" fontId="11" fillId="0" borderId="0" xfId="0" applyNumberFormat="1" applyFont="1"/>
    <xf numFmtId="3" fontId="0" fillId="0" borderId="0" xfId="0" applyNumberFormat="1"/>
    <xf numFmtId="0" fontId="0" fillId="5" borderId="4" xfId="0" applyFill="1" applyBorder="1"/>
    <xf numFmtId="1" fontId="0" fillId="6" borderId="5" xfId="0" applyNumberFormat="1" applyFill="1" applyBorder="1"/>
    <xf numFmtId="3" fontId="0" fillId="6" borderId="5" xfId="0" applyNumberFormat="1" applyFill="1" applyBorder="1"/>
    <xf numFmtId="3" fontId="8" fillId="0" borderId="0" xfId="0" applyNumberFormat="1" applyFont="1"/>
    <xf numFmtId="0" fontId="7" fillId="0" borderId="0" xfId="0" applyFont="1"/>
    <xf numFmtId="4" fontId="0" fillId="0" borderId="0" xfId="0" applyNumberFormat="1"/>
    <xf numFmtId="17" fontId="9" fillId="0" borderId="0" xfId="5" quotePrefix="1" applyNumberFormat="1" applyFont="1" applyAlignment="1">
      <alignment horizontal="center"/>
    </xf>
    <xf numFmtId="17" fontId="9" fillId="0" borderId="0" xfId="5" applyNumberFormat="1" applyFont="1" applyAlignment="1">
      <alignment horizontal="center"/>
    </xf>
    <xf numFmtId="170" fontId="8" fillId="0" borderId="0" xfId="5" quotePrefix="1" applyFont="1" applyAlignment="1">
      <alignment horizontal="left"/>
    </xf>
    <xf numFmtId="4" fontId="8" fillId="0" borderId="0" xfId="5" applyNumberFormat="1" applyFont="1"/>
    <xf numFmtId="170" fontId="8" fillId="0" borderId="0" xfId="5" applyFont="1" applyAlignment="1">
      <alignment horizontal="left"/>
    </xf>
    <xf numFmtId="170" fontId="8" fillId="0" borderId="0" xfId="5" applyFont="1"/>
    <xf numFmtId="0" fontId="0" fillId="2" borderId="0" xfId="0" applyFill="1"/>
    <xf numFmtId="0" fontId="10" fillId="0" borderId="0" xfId="0" applyFont="1"/>
    <xf numFmtId="14" fontId="0" fillId="0" borderId="0" xfId="0" applyNumberFormat="1"/>
    <xf numFmtId="171" fontId="19" fillId="7" borderId="0" xfId="0" applyNumberFormat="1" applyFont="1" applyFill="1"/>
    <xf numFmtId="39" fontId="19" fillId="7" borderId="0" xfId="0" applyNumberFormat="1" applyFont="1" applyFill="1"/>
    <xf numFmtId="170" fontId="19" fillId="7" borderId="0" xfId="0" applyNumberFormat="1" applyFont="1" applyFill="1"/>
    <xf numFmtId="10" fontId="19" fillId="7" borderId="0" xfId="0" applyNumberFormat="1" applyFont="1" applyFill="1"/>
    <xf numFmtId="170" fontId="19" fillId="7" borderId="0" xfId="0" applyNumberFormat="1" applyFont="1" applyFill="1" applyAlignment="1">
      <alignment horizontal="left"/>
    </xf>
    <xf numFmtId="0" fontId="20" fillId="7" borderId="0" xfId="0" applyFont="1" applyFill="1"/>
    <xf numFmtId="4" fontId="0" fillId="8" borderId="0" xfId="0" applyNumberFormat="1" applyFill="1"/>
    <xf numFmtId="171" fontId="19" fillId="7" borderId="0" xfId="5" applyNumberFormat="1" applyFont="1" applyFill="1"/>
    <xf numFmtId="39" fontId="19" fillId="7" borderId="0" xfId="5" applyNumberFormat="1" applyFont="1" applyFill="1"/>
    <xf numFmtId="170" fontId="19" fillId="7" borderId="0" xfId="5" applyFont="1" applyFill="1"/>
    <xf numFmtId="10" fontId="19" fillId="7" borderId="0" xfId="5" applyNumberFormat="1" applyFont="1" applyFill="1"/>
    <xf numFmtId="170" fontId="19" fillId="7" borderId="0" xfId="5" applyFont="1" applyFill="1" applyAlignment="1">
      <alignment horizontal="left"/>
    </xf>
    <xf numFmtId="39" fontId="0" fillId="4" borderId="0" xfId="0" applyNumberFormat="1" applyFill="1"/>
    <xf numFmtId="14" fontId="14" fillId="9" borderId="6" xfId="0" applyNumberFormat="1" applyFont="1" applyFill="1" applyBorder="1"/>
    <xf numFmtId="0" fontId="14" fillId="9" borderId="7" xfId="0" applyFont="1" applyFill="1" applyBorder="1"/>
    <xf numFmtId="2" fontId="0" fillId="0" borderId="0" xfId="0" applyNumberFormat="1"/>
    <xf numFmtId="14" fontId="0" fillId="5" borderId="8" xfId="0" applyNumberFormat="1" applyFill="1" applyBorder="1"/>
    <xf numFmtId="2" fontId="0" fillId="5" borderId="9" xfId="0" applyNumberFormat="1" applyFill="1" applyBorder="1"/>
    <xf numFmtId="0" fontId="7" fillId="5" borderId="9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14" fontId="0" fillId="5" borderId="11" xfId="0" applyNumberFormat="1" applyFill="1" applyBorder="1"/>
    <xf numFmtId="2" fontId="0" fillId="5" borderId="0" xfId="0" applyNumberFormat="1" applyFill="1"/>
    <xf numFmtId="0" fontId="0" fillId="5" borderId="0" xfId="0" applyFill="1"/>
    <xf numFmtId="2" fontId="0" fillId="5" borderId="12" xfId="0" applyNumberFormat="1" applyFill="1" applyBorder="1"/>
    <xf numFmtId="3" fontId="12" fillId="0" borderId="0" xfId="5" applyNumberFormat="1"/>
    <xf numFmtId="0" fontId="0" fillId="5" borderId="12" xfId="0" applyFill="1" applyBorder="1"/>
    <xf numFmtId="2" fontId="13" fillId="5" borderId="0" xfId="0" applyNumberFormat="1" applyFont="1" applyFill="1"/>
    <xf numFmtId="0" fontId="18" fillId="5" borderId="13" xfId="0" applyFont="1" applyFill="1" applyBorder="1"/>
    <xf numFmtId="2" fontId="7" fillId="5" borderId="4" xfId="0" applyNumberFormat="1" applyFont="1" applyFill="1" applyBorder="1"/>
    <xf numFmtId="0" fontId="0" fillId="5" borderId="14" xfId="0" applyFill="1" applyBorder="1"/>
    <xf numFmtId="171" fontId="8" fillId="0" borderId="0" xfId="0" applyNumberFormat="1" applyFont="1"/>
    <xf numFmtId="170" fontId="8" fillId="0" borderId="0" xfId="0" applyNumberFormat="1" applyFont="1"/>
    <xf numFmtId="10" fontId="8" fillId="0" borderId="0" xfId="0" applyNumberFormat="1" applyFont="1"/>
    <xf numFmtId="14" fontId="8" fillId="0" borderId="0" xfId="0" applyNumberFormat="1" applyFont="1"/>
    <xf numFmtId="175" fontId="8" fillId="0" borderId="9" xfId="0" applyNumberFormat="1" applyFont="1" applyBorder="1"/>
    <xf numFmtId="3" fontId="8" fillId="0" borderId="10" xfId="0" applyNumberFormat="1" applyFont="1" applyBorder="1"/>
    <xf numFmtId="0" fontId="8" fillId="0" borderId="11" xfId="0" applyFont="1" applyBorder="1"/>
    <xf numFmtId="175" fontId="8" fillId="0" borderId="0" xfId="0" applyNumberFormat="1" applyFont="1"/>
    <xf numFmtId="3" fontId="8" fillId="0" borderId="12" xfId="0" applyNumberFormat="1" applyFont="1" applyBorder="1"/>
    <xf numFmtId="14" fontId="8" fillId="0" borderId="11" xfId="0" applyNumberFormat="1" applyFont="1" applyBorder="1"/>
    <xf numFmtId="177" fontId="8" fillId="0" borderId="0" xfId="1" applyFont="1" applyFill="1" applyBorder="1"/>
    <xf numFmtId="175" fontId="8" fillId="0" borderId="12" xfId="0" applyNumberFormat="1" applyFont="1" applyBorder="1"/>
    <xf numFmtId="0" fontId="8" fillId="0" borderId="12" xfId="0" applyFont="1" applyBorder="1"/>
    <xf numFmtId="176" fontId="8" fillId="0" borderId="0" xfId="0" applyNumberFormat="1" applyFont="1"/>
    <xf numFmtId="37" fontId="0" fillId="0" borderId="0" xfId="0" applyNumberFormat="1"/>
    <xf numFmtId="0" fontId="21" fillId="10" borderId="15" xfId="0" applyFont="1" applyFill="1" applyBorder="1"/>
    <xf numFmtId="4" fontId="0" fillId="0" borderId="16" xfId="0" applyNumberFormat="1" applyBorder="1"/>
    <xf numFmtId="170" fontId="22" fillId="0" borderId="16" xfId="5" applyFont="1" applyBorder="1"/>
    <xf numFmtId="0" fontId="0" fillId="0" borderId="16" xfId="0" applyBorder="1"/>
    <xf numFmtId="0" fontId="0" fillId="0" borderId="17" xfId="0" applyBorder="1"/>
    <xf numFmtId="0" fontId="7" fillId="0" borderId="1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9" xfId="0" applyFont="1" applyBorder="1" applyAlignment="1">
      <alignment horizontal="center"/>
    </xf>
    <xf numFmtId="14" fontId="0" fillId="0" borderId="18" xfId="0" applyNumberFormat="1" applyBorder="1"/>
    <xf numFmtId="0" fontId="0" fillId="0" borderId="19" xfId="0" applyBorder="1"/>
    <xf numFmtId="14" fontId="10" fillId="0" borderId="18" xfId="0" applyNumberFormat="1" applyFont="1" applyBorder="1"/>
    <xf numFmtId="4" fontId="10" fillId="0" borderId="0" xfId="0" applyNumberFormat="1" applyFont="1"/>
    <xf numFmtId="0" fontId="10" fillId="0" borderId="19" xfId="0" applyFont="1" applyBorder="1"/>
    <xf numFmtId="0" fontId="19" fillId="3" borderId="20" xfId="0" applyFont="1" applyFill="1" applyBorder="1"/>
    <xf numFmtId="4" fontId="0" fillId="0" borderId="21" xfId="0" applyNumberFormat="1" applyBorder="1"/>
    <xf numFmtId="170" fontId="22" fillId="0" borderId="21" xfId="5" applyFont="1" applyBorder="1"/>
    <xf numFmtId="0" fontId="18" fillId="0" borderId="21" xfId="0" applyFont="1" applyBorder="1"/>
    <xf numFmtId="14" fontId="0" fillId="0" borderId="22" xfId="0" applyNumberFormat="1" applyBorder="1"/>
    <xf numFmtId="171" fontId="0" fillId="2" borderId="0" xfId="0" applyNumberFormat="1" applyFill="1"/>
    <xf numFmtId="39" fontId="0" fillId="2" borderId="0" xfId="0" applyNumberFormat="1" applyFill="1"/>
    <xf numFmtId="170" fontId="0" fillId="2" borderId="0" xfId="0" applyNumberFormat="1" applyFill="1"/>
    <xf numFmtId="10" fontId="0" fillId="2" borderId="0" xfId="0" applyNumberFormat="1" applyFill="1"/>
    <xf numFmtId="170" fontId="0" fillId="2" borderId="0" xfId="0" applyNumberFormat="1" applyFill="1" applyAlignment="1">
      <alignment horizontal="left"/>
    </xf>
    <xf numFmtId="39" fontId="10" fillId="0" borderId="0" xfId="0" applyNumberFormat="1" applyFont="1"/>
    <xf numFmtId="39" fontId="13" fillId="7" borderId="0" xfId="5" applyNumberFormat="1" applyFont="1" applyFill="1"/>
    <xf numFmtId="170" fontId="13" fillId="7" borderId="0" xfId="5" applyFont="1" applyFill="1"/>
    <xf numFmtId="171" fontId="13" fillId="7" borderId="0" xfId="5" applyNumberFormat="1" applyFont="1" applyFill="1"/>
    <xf numFmtId="10" fontId="13" fillId="7" borderId="0" xfId="5" applyNumberFormat="1" applyFont="1" applyFill="1"/>
    <xf numFmtId="39" fontId="19" fillId="7" borderId="23" xfId="5" applyNumberFormat="1" applyFont="1" applyFill="1" applyBorder="1"/>
    <xf numFmtId="170" fontId="19" fillId="7" borderId="23" xfId="5" applyFont="1" applyFill="1" applyBorder="1"/>
    <xf numFmtId="171" fontId="19" fillId="7" borderId="23" xfId="5" applyNumberFormat="1" applyFont="1" applyFill="1" applyBorder="1"/>
    <xf numFmtId="10" fontId="19" fillId="7" borderId="23" xfId="5" applyNumberFormat="1" applyFont="1" applyFill="1" applyBorder="1"/>
    <xf numFmtId="170" fontId="19" fillId="7" borderId="24" xfId="5" applyFont="1" applyFill="1" applyBorder="1" applyAlignment="1">
      <alignment horizontal="left"/>
    </xf>
    <xf numFmtId="171" fontId="19" fillId="7" borderId="25" xfId="5" applyNumberFormat="1" applyFont="1" applyFill="1" applyBorder="1"/>
    <xf numFmtId="170" fontId="19" fillId="7" borderId="26" xfId="5" applyFont="1" applyFill="1" applyBorder="1" applyAlignment="1">
      <alignment horizontal="left"/>
    </xf>
    <xf numFmtId="171" fontId="13" fillId="7" borderId="27" xfId="5" applyNumberFormat="1" applyFont="1" applyFill="1" applyBorder="1"/>
    <xf numFmtId="39" fontId="19" fillId="7" borderId="28" xfId="5" applyNumberFormat="1" applyFont="1" applyFill="1" applyBorder="1"/>
    <xf numFmtId="170" fontId="19" fillId="7" borderId="28" xfId="5" applyFont="1" applyFill="1" applyBorder="1"/>
    <xf numFmtId="171" fontId="19" fillId="7" borderId="28" xfId="5" applyNumberFormat="1" applyFont="1" applyFill="1" applyBorder="1"/>
    <xf numFmtId="10" fontId="19" fillId="7" borderId="28" xfId="5" applyNumberFormat="1" applyFont="1" applyFill="1" applyBorder="1"/>
    <xf numFmtId="171" fontId="19" fillId="7" borderId="29" xfId="5" applyNumberFormat="1" applyFont="1" applyFill="1" applyBorder="1"/>
    <xf numFmtId="170" fontId="19" fillId="7" borderId="30" xfId="5" applyFont="1" applyFill="1" applyBorder="1" applyAlignment="1">
      <alignment horizontal="left"/>
    </xf>
    <xf numFmtId="171" fontId="13" fillId="7" borderId="31" xfId="5" applyNumberFormat="1" applyFont="1" applyFill="1" applyBorder="1"/>
    <xf numFmtId="39" fontId="19" fillId="7" borderId="32" xfId="5" applyNumberFormat="1" applyFont="1" applyFill="1" applyBorder="1"/>
    <xf numFmtId="170" fontId="19" fillId="7" borderId="32" xfId="5" applyFont="1" applyFill="1" applyBorder="1"/>
    <xf numFmtId="171" fontId="19" fillId="7" borderId="32" xfId="5" applyNumberFormat="1" applyFont="1" applyFill="1" applyBorder="1"/>
    <xf numFmtId="0" fontId="20" fillId="7" borderId="32" xfId="0" applyFont="1" applyFill="1" applyBorder="1"/>
    <xf numFmtId="171" fontId="19" fillId="7" borderId="33" xfId="5" applyNumberFormat="1" applyFont="1" applyFill="1" applyBorder="1"/>
    <xf numFmtId="171" fontId="17" fillId="7" borderId="34" xfId="5" applyNumberFormat="1" applyFont="1" applyFill="1" applyBorder="1"/>
    <xf numFmtId="39" fontId="19" fillId="7" borderId="35" xfId="5" applyNumberFormat="1" applyFont="1" applyFill="1" applyBorder="1"/>
    <xf numFmtId="170" fontId="19" fillId="7" borderId="35" xfId="5" applyFont="1" applyFill="1" applyBorder="1"/>
    <xf numFmtId="171" fontId="19" fillId="7" borderId="35" xfId="5" applyNumberFormat="1" applyFont="1" applyFill="1" applyBorder="1"/>
    <xf numFmtId="171" fontId="13" fillId="7" borderId="36" xfId="5" applyNumberFormat="1" applyFont="1" applyFill="1" applyBorder="1"/>
    <xf numFmtId="39" fontId="19" fillId="7" borderId="37" xfId="5" applyNumberFormat="1" applyFont="1" applyFill="1" applyBorder="1"/>
    <xf numFmtId="170" fontId="19" fillId="7" borderId="37" xfId="5" applyFont="1" applyFill="1" applyBorder="1"/>
    <xf numFmtId="171" fontId="19" fillId="7" borderId="37" xfId="5" applyNumberFormat="1" applyFont="1" applyFill="1" applyBorder="1"/>
    <xf numFmtId="0" fontId="20" fillId="7" borderId="37" xfId="0" applyFont="1" applyFill="1" applyBorder="1"/>
    <xf numFmtId="171" fontId="19" fillId="7" borderId="38" xfId="5" applyNumberFormat="1" applyFont="1" applyFill="1" applyBorder="1"/>
    <xf numFmtId="171" fontId="17" fillId="7" borderId="39" xfId="5" applyNumberFormat="1" applyFont="1" applyFill="1" applyBorder="1"/>
    <xf numFmtId="39" fontId="19" fillId="7" borderId="40" xfId="5" applyNumberFormat="1" applyFont="1" applyFill="1" applyBorder="1"/>
    <xf numFmtId="170" fontId="19" fillId="7" borderId="40" xfId="5" applyFont="1" applyFill="1" applyBorder="1"/>
    <xf numFmtId="171" fontId="19" fillId="7" borderId="40" xfId="5" applyNumberFormat="1" applyFont="1" applyFill="1" applyBorder="1"/>
    <xf numFmtId="0" fontId="20" fillId="7" borderId="40" xfId="0" applyFont="1" applyFill="1" applyBorder="1"/>
    <xf numFmtId="170" fontId="19" fillId="7" borderId="28" xfId="5" applyFont="1" applyFill="1" applyBorder="1" applyAlignment="1">
      <alignment horizontal="left"/>
    </xf>
    <xf numFmtId="4" fontId="7" fillId="11" borderId="0" xfId="5" applyNumberFormat="1" applyFont="1" applyFill="1" applyAlignment="1">
      <alignment horizontal="right"/>
    </xf>
    <xf numFmtId="170" fontId="7" fillId="11" borderId="5" xfId="5" applyFont="1" applyFill="1" applyBorder="1" applyAlignment="1">
      <alignment horizontal="centerContinuous" vertical="justify"/>
    </xf>
    <xf numFmtId="39" fontId="7" fillId="11" borderId="5" xfId="5" applyNumberFormat="1" applyFont="1" applyFill="1" applyBorder="1" applyAlignment="1">
      <alignment horizontal="right"/>
    </xf>
    <xf numFmtId="170" fontId="7" fillId="11" borderId="5" xfId="5" applyFont="1" applyFill="1" applyBorder="1" applyAlignment="1">
      <alignment horizontal="right"/>
    </xf>
    <xf numFmtId="4" fontId="7" fillId="11" borderId="5" xfId="5" applyNumberFormat="1" applyFont="1" applyFill="1" applyBorder="1" applyAlignment="1">
      <alignment horizontal="right"/>
    </xf>
    <xf numFmtId="10" fontId="7" fillId="11" borderId="5" xfId="5" applyNumberFormat="1" applyFont="1" applyFill="1" applyBorder="1"/>
    <xf numFmtId="170" fontId="7" fillId="11" borderId="5" xfId="5" applyFont="1" applyFill="1" applyBorder="1" applyAlignment="1">
      <alignment horizontal="left"/>
    </xf>
    <xf numFmtId="0" fontId="7" fillId="11" borderId="5" xfId="5" applyNumberFormat="1" applyFont="1" applyFill="1" applyBorder="1" applyAlignment="1">
      <alignment horizontal="left"/>
    </xf>
    <xf numFmtId="0" fontId="7" fillId="11" borderId="5" xfId="5" applyNumberFormat="1" applyFont="1" applyFill="1" applyBorder="1" applyAlignment="1">
      <alignment horizontal="right"/>
    </xf>
    <xf numFmtId="10" fontId="7" fillId="11" borderId="5" xfId="6" applyNumberFormat="1" applyFont="1" applyFill="1" applyBorder="1" applyAlignment="1" applyProtection="1">
      <alignment horizontal="right"/>
    </xf>
    <xf numFmtId="10" fontId="0" fillId="0" borderId="0" xfId="6" applyNumberFormat="1" applyFont="1"/>
    <xf numFmtId="173" fontId="19" fillId="7" borderId="0" xfId="5" applyNumberFormat="1" applyFont="1" applyFill="1"/>
    <xf numFmtId="170" fontId="10" fillId="11" borderId="5" xfId="5" applyFont="1" applyFill="1" applyBorder="1" applyAlignment="1">
      <alignment horizontal="right"/>
    </xf>
    <xf numFmtId="0" fontId="10" fillId="11" borderId="5" xfId="5" applyNumberFormat="1" applyFont="1" applyFill="1" applyBorder="1"/>
    <xf numFmtId="0" fontId="10" fillId="11" borderId="5" xfId="5" applyNumberFormat="1" applyFont="1" applyFill="1" applyBorder="1" applyAlignment="1">
      <alignment horizontal="right"/>
    </xf>
    <xf numFmtId="4" fontId="10" fillId="11" borderId="5" xfId="5" applyNumberFormat="1" applyFont="1" applyFill="1" applyBorder="1" applyAlignment="1">
      <alignment horizontal="right"/>
    </xf>
    <xf numFmtId="10" fontId="10" fillId="11" borderId="5" xfId="6" applyNumberFormat="1" applyFont="1" applyFill="1" applyBorder="1" applyAlignment="1" applyProtection="1">
      <alignment horizontal="right"/>
    </xf>
    <xf numFmtId="0" fontId="10" fillId="11" borderId="5" xfId="5" applyNumberFormat="1" applyFont="1" applyFill="1" applyBorder="1" applyAlignment="1">
      <alignment horizontal="left"/>
    </xf>
    <xf numFmtId="39" fontId="10" fillId="11" borderId="5" xfId="5" applyNumberFormat="1" applyFont="1" applyFill="1" applyBorder="1" applyAlignment="1">
      <alignment horizontal="right"/>
    </xf>
    <xf numFmtId="181" fontId="10" fillId="11" borderId="5" xfId="5" applyNumberFormat="1" applyFont="1" applyFill="1" applyBorder="1" applyAlignment="1">
      <alignment horizontal="right"/>
    </xf>
    <xf numFmtId="179" fontId="10" fillId="11" borderId="5" xfId="5" applyNumberFormat="1" applyFont="1" applyFill="1" applyBorder="1" applyAlignment="1">
      <alignment horizontal="right"/>
    </xf>
    <xf numFmtId="10" fontId="10" fillId="11" borderId="41" xfId="6" applyNumberFormat="1" applyFont="1" applyFill="1" applyBorder="1" applyAlignment="1" applyProtection="1">
      <alignment horizontal="right"/>
    </xf>
    <xf numFmtId="4" fontId="23" fillId="0" borderId="0" xfId="0" applyNumberFormat="1" applyFont="1" applyAlignment="1">
      <alignment horizontal="right" wrapText="1"/>
    </xf>
    <xf numFmtId="4" fontId="10" fillId="11" borderId="5" xfId="5" applyNumberFormat="1" applyFont="1" applyFill="1" applyBorder="1"/>
    <xf numFmtId="171" fontId="19" fillId="7" borderId="42" xfId="5" applyNumberFormat="1" applyFont="1" applyFill="1" applyBorder="1"/>
    <xf numFmtId="171" fontId="19" fillId="7" borderId="44" xfId="5" applyNumberFormat="1" applyFont="1" applyFill="1" applyBorder="1"/>
    <xf numFmtId="170" fontId="19" fillId="7" borderId="45" xfId="5" applyFont="1" applyFill="1" applyBorder="1" applyAlignment="1">
      <alignment horizontal="left"/>
    </xf>
    <xf numFmtId="171" fontId="13" fillId="7" borderId="44" xfId="5" applyNumberFormat="1" applyFont="1" applyFill="1" applyBorder="1"/>
    <xf numFmtId="10" fontId="19" fillId="7" borderId="46" xfId="5" applyNumberFormat="1" applyFont="1" applyFill="1" applyBorder="1"/>
    <xf numFmtId="0" fontId="9" fillId="8" borderId="0" xfId="0" applyFont="1" applyFill="1" applyAlignment="1">
      <alignment horizontal="center"/>
    </xf>
    <xf numFmtId="1" fontId="0" fillId="6" borderId="0" xfId="0" applyNumberFormat="1" applyFill="1"/>
    <xf numFmtId="3" fontId="0" fillId="6" borderId="0" xfId="0" applyNumberFormat="1" applyFill="1"/>
    <xf numFmtId="0" fontId="0" fillId="13" borderId="0" xfId="0" applyFill="1" applyAlignment="1">
      <alignment horizontal="center" wrapText="1"/>
    </xf>
    <xf numFmtId="173" fontId="35" fillId="14" borderId="0" xfId="0" applyNumberFormat="1" applyFont="1" applyFill="1"/>
    <xf numFmtId="178" fontId="20" fillId="7" borderId="0" xfId="0" applyNumberFormat="1" applyFont="1" applyFill="1"/>
    <xf numFmtId="39" fontId="7" fillId="15" borderId="0" xfId="5" applyNumberFormat="1" applyFont="1" applyFill="1"/>
    <xf numFmtId="171" fontId="7" fillId="15" borderId="0" xfId="5" applyNumberFormat="1" applyFont="1" applyFill="1"/>
    <xf numFmtId="170" fontId="36" fillId="0" borderId="0" xfId="5" applyFont="1"/>
    <xf numFmtId="0" fontId="35" fillId="0" borderId="0" xfId="0" applyFont="1"/>
    <xf numFmtId="170" fontId="26" fillId="15" borderId="0" xfId="5" applyFont="1" applyFill="1"/>
    <xf numFmtId="39" fontId="37" fillId="15" borderId="5" xfId="5" applyNumberFormat="1" applyFont="1" applyFill="1" applyBorder="1" applyAlignment="1">
      <alignment horizontal="right"/>
    </xf>
    <xf numFmtId="182" fontId="20" fillId="7" borderId="0" xfId="0" applyNumberFormat="1" applyFont="1" applyFill="1"/>
    <xf numFmtId="0" fontId="0" fillId="15" borderId="0" xfId="0" applyFill="1"/>
    <xf numFmtId="10" fontId="0" fillId="6" borderId="5" xfId="0" applyNumberFormat="1" applyFill="1" applyBorder="1"/>
    <xf numFmtId="3" fontId="7" fillId="6" borderId="5" xfId="0" applyNumberFormat="1" applyFont="1" applyFill="1" applyBorder="1"/>
    <xf numFmtId="170" fontId="39" fillId="15" borderId="0" xfId="5" applyFont="1" applyFill="1"/>
    <xf numFmtId="173" fontId="27" fillId="0" borderId="0" xfId="0" applyNumberFormat="1" applyFont="1"/>
    <xf numFmtId="39" fontId="20" fillId="7" borderId="0" xfId="0" applyNumberFormat="1" applyFont="1" applyFill="1"/>
    <xf numFmtId="39" fontId="19" fillId="17" borderId="0" xfId="0" applyNumberFormat="1" applyFont="1" applyFill="1"/>
    <xf numFmtId="39" fontId="20" fillId="7" borderId="37" xfId="0" applyNumberFormat="1" applyFont="1" applyFill="1" applyBorder="1"/>
    <xf numFmtId="39" fontId="37" fillId="18" borderId="5" xfId="5" applyNumberFormat="1" applyFont="1" applyFill="1" applyBorder="1" applyAlignment="1">
      <alignment horizontal="right"/>
    </xf>
    <xf numFmtId="39" fontId="37" fillId="19" borderId="5" xfId="5" applyNumberFormat="1" applyFont="1" applyFill="1" applyBorder="1" applyAlignment="1">
      <alignment horizontal="right"/>
    </xf>
    <xf numFmtId="39" fontId="37" fillId="19" borderId="47" xfId="5" applyNumberFormat="1" applyFont="1" applyFill="1" applyBorder="1" applyAlignment="1">
      <alignment horizontal="right"/>
    </xf>
    <xf numFmtId="170" fontId="7" fillId="11" borderId="48" xfId="5" applyFont="1" applyFill="1" applyBorder="1" applyAlignment="1">
      <alignment horizontal="left"/>
    </xf>
    <xf numFmtId="0" fontId="8" fillId="20" borderId="49" xfId="5" applyNumberFormat="1" applyFont="1" applyFill="1" applyBorder="1"/>
    <xf numFmtId="182" fontId="8" fillId="20" borderId="50" xfId="0" applyNumberFormat="1" applyFont="1" applyFill="1" applyBorder="1"/>
    <xf numFmtId="39" fontId="8" fillId="20" borderId="51" xfId="5" applyNumberFormat="1" applyFont="1" applyFill="1" applyBorder="1" applyAlignment="1">
      <alignment horizontal="right"/>
    </xf>
    <xf numFmtId="170" fontId="8" fillId="20" borderId="52" xfId="5" applyFont="1" applyFill="1" applyBorder="1"/>
    <xf numFmtId="0" fontId="37" fillId="0" borderId="0" xfId="0" applyFont="1"/>
    <xf numFmtId="0" fontId="9" fillId="0" borderId="0" xfId="0" applyFont="1" applyAlignment="1">
      <alignment horizontal="center"/>
    </xf>
    <xf numFmtId="170" fontId="7" fillId="0" borderId="0" xfId="5" applyFont="1"/>
    <xf numFmtId="171" fontId="7" fillId="0" borderId="0" xfId="5" applyNumberFormat="1" applyFont="1"/>
    <xf numFmtId="10" fontId="7" fillId="0" borderId="0" xfId="5" applyNumberFormat="1" applyFont="1"/>
    <xf numFmtId="170" fontId="7" fillId="0" borderId="0" xfId="5" applyFont="1" applyAlignment="1">
      <alignment horizontal="left"/>
    </xf>
    <xf numFmtId="39" fontId="7" fillId="0" borderId="0" xfId="5" applyNumberFormat="1" applyFont="1"/>
    <xf numFmtId="170" fontId="19" fillId="0" borderId="0" xfId="5" applyFont="1" applyAlignment="1">
      <alignment horizontal="left"/>
    </xf>
    <xf numFmtId="170" fontId="22" fillId="0" borderId="0" xfId="5" applyFont="1" applyAlignment="1">
      <alignment horizontal="center"/>
    </xf>
    <xf numFmtId="0" fontId="20" fillId="0" borderId="0" xfId="0" applyFont="1"/>
    <xf numFmtId="39" fontId="37" fillId="19" borderId="0" xfId="5" applyNumberFormat="1" applyFont="1" applyFill="1" applyAlignment="1">
      <alignment horizontal="right"/>
    </xf>
    <xf numFmtId="0" fontId="0" fillId="22" borderId="53" xfId="0" applyFill="1" applyBorder="1"/>
    <xf numFmtId="0" fontId="28" fillId="22" borderId="54" xfId="0" applyFont="1" applyFill="1" applyBorder="1" applyAlignment="1">
      <alignment wrapText="1"/>
    </xf>
    <xf numFmtId="174" fontId="28" fillId="22" borderId="0" xfId="0" applyNumberFormat="1" applyFont="1" applyFill="1" applyAlignment="1">
      <alignment horizontal="right" wrapText="1"/>
    </xf>
    <xf numFmtId="171" fontId="38" fillId="7" borderId="33" xfId="5" applyNumberFormat="1" applyFont="1" applyFill="1" applyBorder="1"/>
    <xf numFmtId="39" fontId="38" fillId="7" borderId="0" xfId="5" applyNumberFormat="1" applyFont="1" applyFill="1"/>
    <xf numFmtId="178" fontId="37" fillId="7" borderId="0" xfId="0" applyNumberFormat="1" applyFont="1" applyFill="1"/>
    <xf numFmtId="171" fontId="38" fillId="7" borderId="0" xfId="5" applyNumberFormat="1" applyFont="1" applyFill="1"/>
    <xf numFmtId="0" fontId="37" fillId="7" borderId="0" xfId="0" applyFont="1" applyFill="1"/>
    <xf numFmtId="0" fontId="0" fillId="13" borderId="0" xfId="0" applyFill="1"/>
    <xf numFmtId="0" fontId="29" fillId="23" borderId="0" xfId="0" applyFont="1" applyFill="1" applyAlignment="1">
      <alignment horizontal="center" wrapText="1"/>
    </xf>
    <xf numFmtId="39" fontId="28" fillId="22" borderId="0" xfId="0" applyNumberFormat="1" applyFont="1" applyFill="1" applyAlignment="1">
      <alignment horizontal="right" wrapText="1"/>
    </xf>
    <xf numFmtId="173" fontId="7" fillId="15" borderId="0" xfId="0" applyNumberFormat="1" applyFont="1" applyFill="1"/>
    <xf numFmtId="173" fontId="7" fillId="15" borderId="55" xfId="0" applyNumberFormat="1" applyFont="1" applyFill="1" applyBorder="1"/>
    <xf numFmtId="173" fontId="0" fillId="15" borderId="0" xfId="0" applyNumberFormat="1" applyFill="1"/>
    <xf numFmtId="173" fontId="9" fillId="15" borderId="0" xfId="0" applyNumberFormat="1" applyFont="1" applyFill="1"/>
    <xf numFmtId="168" fontId="12" fillId="0" borderId="0" xfId="4" applyFont="1" applyProtection="1"/>
    <xf numFmtId="168" fontId="12" fillId="0" borderId="0" xfId="4" applyFont="1" applyBorder="1" applyAlignment="1">
      <alignment horizontal="center"/>
    </xf>
    <xf numFmtId="0" fontId="0" fillId="0" borderId="5" xfId="0" applyBorder="1"/>
    <xf numFmtId="0" fontId="7" fillId="0" borderId="5" xfId="0" applyFont="1" applyBorder="1" applyAlignment="1">
      <alignment horizontal="center"/>
    </xf>
    <xf numFmtId="3" fontId="0" fillId="0" borderId="5" xfId="0" applyNumberFormat="1" applyBorder="1"/>
    <xf numFmtId="9" fontId="7" fillId="0" borderId="5" xfId="6" applyFont="1" applyBorder="1" applyAlignment="1">
      <alignment horizontal="right"/>
    </xf>
    <xf numFmtId="10" fontId="0" fillId="0" borderId="5" xfId="6" applyNumberFormat="1" applyFont="1" applyBorder="1" applyAlignment="1">
      <alignment horizontal="right"/>
    </xf>
    <xf numFmtId="4" fontId="0" fillId="0" borderId="5" xfId="0" applyNumberFormat="1" applyBorder="1" applyAlignment="1">
      <alignment horizontal="right"/>
    </xf>
    <xf numFmtId="4" fontId="7" fillId="0" borderId="5" xfId="0" applyNumberFormat="1" applyFont="1" applyBorder="1" applyAlignment="1">
      <alignment horizontal="right"/>
    </xf>
    <xf numFmtId="0" fontId="30" fillId="23" borderId="0" xfId="0" applyFont="1" applyFill="1" applyAlignment="1">
      <alignment wrapText="1"/>
    </xf>
    <xf numFmtId="3" fontId="30" fillId="23" borderId="0" xfId="0" applyNumberFormat="1" applyFont="1" applyFill="1" applyAlignment="1">
      <alignment horizontal="right" wrapText="1"/>
    </xf>
    <xf numFmtId="0" fontId="28" fillId="23" borderId="0" xfId="0" applyFont="1" applyFill="1" applyAlignment="1">
      <alignment wrapText="1"/>
    </xf>
    <xf numFmtId="0" fontId="28" fillId="23" borderId="0" xfId="0" applyFont="1" applyFill="1" applyAlignment="1">
      <alignment horizontal="right" wrapText="1"/>
    </xf>
    <xf numFmtId="0" fontId="28" fillId="23" borderId="0" xfId="0" applyFont="1" applyFill="1" applyAlignment="1">
      <alignment vertical="top" wrapText="1"/>
    </xf>
    <xf numFmtId="0" fontId="28" fillId="23" borderId="0" xfId="0" applyFont="1" applyFill="1" applyAlignment="1">
      <alignment horizontal="right" vertical="top" wrapText="1"/>
    </xf>
    <xf numFmtId="4" fontId="0" fillId="0" borderId="48" xfId="0" applyNumberFormat="1" applyBorder="1" applyAlignment="1">
      <alignment horizontal="right"/>
    </xf>
    <xf numFmtId="0" fontId="0" fillId="0" borderId="56" xfId="0" applyBorder="1"/>
    <xf numFmtId="0" fontId="37" fillId="0" borderId="5" xfId="0" applyFont="1" applyBorder="1"/>
    <xf numFmtId="187" fontId="40" fillId="25" borderId="0" xfId="0" applyNumberFormat="1" applyFont="1" applyFill="1" applyAlignment="1">
      <alignment horizontal="center"/>
    </xf>
    <xf numFmtId="187" fontId="41" fillId="25" borderId="0" xfId="0" applyNumberFormat="1" applyFont="1" applyFill="1" applyAlignment="1">
      <alignment horizontal="center"/>
    </xf>
    <xf numFmtId="0" fontId="29" fillId="23" borderId="49" xfId="0" applyFont="1" applyFill="1" applyBorder="1" applyAlignment="1">
      <alignment horizontal="center" wrapText="1"/>
    </xf>
    <xf numFmtId="0" fontId="29" fillId="23" borderId="57" xfId="0" applyFont="1" applyFill="1" applyBorder="1" applyAlignment="1">
      <alignment horizontal="center" wrapText="1"/>
    </xf>
    <xf numFmtId="0" fontId="7" fillId="0" borderId="51" xfId="0" applyFont="1" applyBorder="1"/>
    <xf numFmtId="0" fontId="0" fillId="21" borderId="57" xfId="0" applyFill="1" applyBorder="1"/>
    <xf numFmtId="170" fontId="12" fillId="21" borderId="54" xfId="5" applyFill="1" applyBorder="1"/>
    <xf numFmtId="0" fontId="0" fillId="21" borderId="0" xfId="0" applyFill="1"/>
    <xf numFmtId="14" fontId="8" fillId="21" borderId="0" xfId="0" applyNumberFormat="1" applyFont="1" applyFill="1"/>
    <xf numFmtId="39" fontId="0" fillId="21" borderId="0" xfId="0" applyNumberFormat="1" applyFill="1"/>
    <xf numFmtId="182" fontId="0" fillId="21" borderId="0" xfId="0" applyNumberFormat="1" applyFill="1"/>
    <xf numFmtId="0" fontId="8" fillId="21" borderId="0" xfId="0" applyFont="1" applyFill="1"/>
    <xf numFmtId="39" fontId="0" fillId="21" borderId="58" xfId="0" applyNumberFormat="1" applyFill="1" applyBorder="1"/>
    <xf numFmtId="0" fontId="8" fillId="21" borderId="59" xfId="0" applyFont="1" applyFill="1" applyBorder="1"/>
    <xf numFmtId="0" fontId="8" fillId="21" borderId="61" xfId="0" applyFont="1" applyFill="1" applyBorder="1"/>
    <xf numFmtId="0" fontId="8" fillId="21" borderId="62" xfId="0" applyFont="1" applyFill="1" applyBorder="1"/>
    <xf numFmtId="39" fontId="8" fillId="21" borderId="62" xfId="0" applyNumberFormat="1" applyFont="1" applyFill="1" applyBorder="1"/>
    <xf numFmtId="0" fontId="8" fillId="21" borderId="63" xfId="0" applyFont="1" applyFill="1" applyBorder="1"/>
    <xf numFmtId="10" fontId="9" fillId="21" borderId="0" xfId="6" applyNumberFormat="1" applyFont="1" applyFill="1" applyBorder="1"/>
    <xf numFmtId="4" fontId="8" fillId="21" borderId="0" xfId="0" applyNumberFormat="1" applyFont="1" applyFill="1"/>
    <xf numFmtId="0" fontId="7" fillId="21" borderId="0" xfId="0" applyFont="1" applyFill="1" applyAlignment="1">
      <alignment horizontal="right"/>
    </xf>
    <xf numFmtId="2" fontId="7" fillId="21" borderId="0" xfId="3" applyNumberFormat="1" applyFont="1" applyFill="1" applyBorder="1" applyAlignment="1">
      <alignment horizontal="center"/>
    </xf>
    <xf numFmtId="0" fontId="0" fillId="21" borderId="52" xfId="0" applyFill="1" applyBorder="1"/>
    <xf numFmtId="0" fontId="8" fillId="21" borderId="55" xfId="0" applyFont="1" applyFill="1" applyBorder="1"/>
    <xf numFmtId="4" fontId="8" fillId="21" borderId="55" xfId="0" applyNumberFormat="1" applyFont="1" applyFill="1" applyBorder="1"/>
    <xf numFmtId="0" fontId="0" fillId="21" borderId="55" xfId="0" applyFill="1" applyBorder="1"/>
    <xf numFmtId="0" fontId="8" fillId="21" borderId="54" xfId="0" applyFont="1" applyFill="1" applyBorder="1"/>
    <xf numFmtId="170" fontId="12" fillId="21" borderId="49" xfId="5" applyFill="1" applyBorder="1"/>
    <xf numFmtId="39" fontId="38" fillId="7" borderId="0" xfId="0" applyNumberFormat="1" applyFont="1" applyFill="1"/>
    <xf numFmtId="39" fontId="0" fillId="16" borderId="55" xfId="0" applyNumberFormat="1" applyFill="1" applyBorder="1"/>
    <xf numFmtId="0" fontId="31" fillId="21" borderId="57" xfId="0" applyFont="1" applyFill="1" applyBorder="1" applyAlignment="1">
      <alignment horizontal="center"/>
    </xf>
    <xf numFmtId="0" fontId="30" fillId="23" borderId="0" xfId="0" applyFont="1" applyFill="1" applyAlignment="1">
      <alignment horizontal="right" wrapText="1"/>
    </xf>
    <xf numFmtId="171" fontId="7" fillId="15" borderId="49" xfId="5" applyNumberFormat="1" applyFont="1" applyFill="1" applyBorder="1"/>
    <xf numFmtId="39" fontId="7" fillId="15" borderId="57" xfId="5" applyNumberFormat="1" applyFont="1" applyFill="1" applyBorder="1"/>
    <xf numFmtId="171" fontId="7" fillId="15" borderId="54" xfId="5" applyNumberFormat="1" applyFont="1" applyFill="1" applyBorder="1"/>
    <xf numFmtId="170" fontId="12" fillId="15" borderId="52" xfId="5" applyFill="1" applyBorder="1"/>
    <xf numFmtId="170" fontId="12" fillId="15" borderId="55" xfId="5" applyFill="1" applyBorder="1"/>
    <xf numFmtId="170" fontId="12" fillId="15" borderId="50" xfId="5" applyFill="1" applyBorder="1"/>
    <xf numFmtId="171" fontId="19" fillId="26" borderId="0" xfId="5" applyNumberFormat="1" applyFont="1" applyFill="1"/>
    <xf numFmtId="39" fontId="19" fillId="26" borderId="0" xfId="5" applyNumberFormat="1" applyFont="1" applyFill="1"/>
    <xf numFmtId="39" fontId="20" fillId="26" borderId="0" xfId="5" applyNumberFormat="1" applyFont="1" applyFill="1"/>
    <xf numFmtId="171" fontId="19" fillId="26" borderId="44" xfId="5" applyNumberFormat="1" applyFont="1" applyFill="1" applyBorder="1"/>
    <xf numFmtId="4" fontId="42" fillId="0" borderId="5" xfId="0" applyNumberFormat="1" applyFont="1" applyBorder="1" applyAlignment="1">
      <alignment horizontal="right"/>
    </xf>
    <xf numFmtId="4" fontId="43" fillId="0" borderId="5" xfId="0" applyNumberFormat="1" applyFont="1" applyBorder="1" applyAlignment="1">
      <alignment horizontal="right"/>
    </xf>
    <xf numFmtId="174" fontId="28" fillId="22" borderId="55" xfId="0" applyNumberFormat="1" applyFont="1" applyFill="1" applyBorder="1" applyAlignment="1">
      <alignment horizontal="right" wrapText="1"/>
    </xf>
    <xf numFmtId="168" fontId="0" fillId="0" borderId="0" xfId="4" applyFont="1" applyProtection="1"/>
    <xf numFmtId="168" fontId="0" fillId="0" borderId="0" xfId="4" applyFont="1" applyBorder="1" applyAlignment="1">
      <alignment horizontal="center"/>
    </xf>
    <xf numFmtId="168" fontId="20" fillId="7" borderId="0" xfId="4" applyFont="1" applyFill="1" applyProtection="1"/>
    <xf numFmtId="3" fontId="0" fillId="6" borderId="65" xfId="0" applyNumberFormat="1" applyFill="1" applyBorder="1"/>
    <xf numFmtId="10" fontId="0" fillId="6" borderId="43" xfId="0" applyNumberFormat="1" applyFill="1" applyBorder="1"/>
    <xf numFmtId="3" fontId="0" fillId="6" borderId="47" xfId="0" applyNumberFormat="1" applyFill="1" applyBorder="1"/>
    <xf numFmtId="3" fontId="0" fillId="6" borderId="66" xfId="0" applyNumberFormat="1" applyFill="1" applyBorder="1"/>
    <xf numFmtId="3" fontId="0" fillId="6" borderId="67" xfId="0" applyNumberFormat="1" applyFill="1" applyBorder="1"/>
    <xf numFmtId="189" fontId="0" fillId="0" borderId="0" xfId="0" applyNumberFormat="1"/>
    <xf numFmtId="10" fontId="0" fillId="6" borderId="0" xfId="0" applyNumberFormat="1" applyFill="1"/>
    <xf numFmtId="170" fontId="37" fillId="11" borderId="0" xfId="5" applyFont="1" applyFill="1" applyAlignment="1">
      <alignment horizontal="right"/>
    </xf>
    <xf numFmtId="4" fontId="37" fillId="11" borderId="0" xfId="5" applyNumberFormat="1" applyFont="1" applyFill="1" applyAlignment="1">
      <alignment horizontal="left"/>
    </xf>
    <xf numFmtId="10" fontId="37" fillId="11" borderId="0" xfId="6" applyNumberFormat="1" applyFont="1" applyFill="1" applyBorder="1" applyAlignment="1" applyProtection="1">
      <alignment horizontal="left"/>
    </xf>
    <xf numFmtId="4" fontId="37" fillId="11" borderId="0" xfId="5" applyNumberFormat="1" applyFont="1" applyFill="1" applyAlignment="1">
      <alignment horizontal="right"/>
    </xf>
    <xf numFmtId="4" fontId="0" fillId="0" borderId="41" xfId="0" applyNumberFormat="1" applyBorder="1" applyAlignment="1">
      <alignment horizontal="right"/>
    </xf>
    <xf numFmtId="186" fontId="0" fillId="0" borderId="0" xfId="6" applyNumberFormat="1" applyFont="1"/>
    <xf numFmtId="173" fontId="20" fillId="7" borderId="0" xfId="0" applyNumberFormat="1" applyFont="1" applyFill="1"/>
    <xf numFmtId="171" fontId="31" fillId="0" borderId="44" xfId="5" applyNumberFormat="1" applyFont="1" applyBorder="1"/>
    <xf numFmtId="173" fontId="31" fillId="0" borderId="0" xfId="0" applyNumberFormat="1" applyFont="1"/>
    <xf numFmtId="170" fontId="31" fillId="0" borderId="0" xfId="5" applyFont="1"/>
    <xf numFmtId="171" fontId="31" fillId="0" borderId="0" xfId="5" applyNumberFormat="1" applyFont="1"/>
    <xf numFmtId="10" fontId="31" fillId="0" borderId="46" xfId="5" applyNumberFormat="1" applyFont="1" applyBorder="1"/>
    <xf numFmtId="170" fontId="31" fillId="0" borderId="0" xfId="5" applyFont="1" applyAlignment="1">
      <alignment horizontal="left"/>
    </xf>
    <xf numFmtId="170" fontId="12" fillId="15" borderId="0" xfId="5" applyFill="1"/>
    <xf numFmtId="171" fontId="7" fillId="26" borderId="44" xfId="5" applyNumberFormat="1" applyFont="1" applyFill="1" applyBorder="1" applyAlignment="1">
      <alignment horizontal="center"/>
    </xf>
    <xf numFmtId="39" fontId="7" fillId="26" borderId="0" xfId="5" applyNumberFormat="1" applyFont="1" applyFill="1" applyAlignment="1">
      <alignment horizontal="center"/>
    </xf>
    <xf numFmtId="171" fontId="7" fillId="15" borderId="57" xfId="5" applyNumberFormat="1" applyFont="1" applyFill="1" applyBorder="1"/>
    <xf numFmtId="171" fontId="7" fillId="15" borderId="52" xfId="5" applyNumberFormat="1" applyFont="1" applyFill="1" applyBorder="1"/>
    <xf numFmtId="39" fontId="7" fillId="15" borderId="55" xfId="5" applyNumberFormat="1" applyFont="1" applyFill="1" applyBorder="1"/>
    <xf numFmtId="171" fontId="7" fillId="15" borderId="55" xfId="5" applyNumberFormat="1" applyFont="1" applyFill="1" applyBorder="1"/>
    <xf numFmtId="171" fontId="44" fillId="26" borderId="49" xfId="5" applyNumberFormat="1" applyFont="1" applyFill="1" applyBorder="1"/>
    <xf numFmtId="39" fontId="19" fillId="26" borderId="57" xfId="5" applyNumberFormat="1" applyFont="1" applyFill="1" applyBorder="1"/>
    <xf numFmtId="170" fontId="12" fillId="15" borderId="57" xfId="5" applyFill="1" applyBorder="1"/>
    <xf numFmtId="170" fontId="12" fillId="15" borderId="51" xfId="5" applyFill="1" applyBorder="1"/>
    <xf numFmtId="170" fontId="12" fillId="15" borderId="54" xfId="5" applyFill="1" applyBorder="1"/>
    <xf numFmtId="170" fontId="12" fillId="15" borderId="53" xfId="5" applyFill="1" applyBorder="1"/>
    <xf numFmtId="4" fontId="7" fillId="0" borderId="0" xfId="0" applyNumberFormat="1" applyFont="1" applyAlignment="1">
      <alignment horizontal="right"/>
    </xf>
    <xf numFmtId="9" fontId="7" fillId="0" borderId="0" xfId="6" applyFont="1" applyBorder="1" applyAlignment="1">
      <alignment horizontal="right"/>
    </xf>
    <xf numFmtId="39" fontId="20" fillId="20" borderId="0" xfId="5" applyNumberFormat="1" applyFont="1" applyFill="1"/>
    <xf numFmtId="170" fontId="19" fillId="20" borderId="0" xfId="5" applyFont="1" applyFill="1"/>
    <xf numFmtId="171" fontId="19" fillId="20" borderId="0" xfId="5" applyNumberFormat="1" applyFont="1" applyFill="1"/>
    <xf numFmtId="10" fontId="19" fillId="20" borderId="0" xfId="5" applyNumberFormat="1" applyFont="1" applyFill="1"/>
    <xf numFmtId="170" fontId="19" fillId="20" borderId="0" xfId="5" applyFont="1" applyFill="1" applyAlignment="1">
      <alignment horizontal="left"/>
    </xf>
    <xf numFmtId="170" fontId="12" fillId="20" borderId="0" xfId="5" applyFill="1"/>
    <xf numFmtId="39" fontId="19" fillId="20" borderId="0" xfId="5" applyNumberFormat="1" applyFont="1" applyFill="1"/>
    <xf numFmtId="171" fontId="19" fillId="20" borderId="44" xfId="5" applyNumberFormat="1" applyFont="1" applyFill="1" applyBorder="1"/>
    <xf numFmtId="170" fontId="19" fillId="20" borderId="45" xfId="5" applyFont="1" applyFill="1" applyBorder="1" applyAlignment="1">
      <alignment horizontal="left"/>
    </xf>
    <xf numFmtId="0" fontId="20" fillId="20" borderId="49" xfId="0" applyFont="1" applyFill="1" applyBorder="1"/>
    <xf numFmtId="0" fontId="20" fillId="20" borderId="57" xfId="0" applyFont="1" applyFill="1" applyBorder="1"/>
    <xf numFmtId="39" fontId="20" fillId="20" borderId="57" xfId="5" applyNumberFormat="1" applyFont="1" applyFill="1" applyBorder="1"/>
    <xf numFmtId="170" fontId="19" fillId="20" borderId="57" xfId="5" applyFont="1" applyFill="1" applyBorder="1"/>
    <xf numFmtId="171" fontId="19" fillId="20" borderId="57" xfId="5" applyNumberFormat="1" applyFont="1" applyFill="1" applyBorder="1"/>
    <xf numFmtId="10" fontId="19" fillId="20" borderId="57" xfId="5" applyNumberFormat="1" applyFont="1" applyFill="1" applyBorder="1"/>
    <xf numFmtId="170" fontId="19" fillId="20" borderId="57" xfId="5" applyFont="1" applyFill="1" applyBorder="1" applyAlignment="1">
      <alignment horizontal="left"/>
    </xf>
    <xf numFmtId="171" fontId="19" fillId="20" borderId="54" xfId="5" applyNumberFormat="1" applyFont="1" applyFill="1" applyBorder="1"/>
    <xf numFmtId="0" fontId="0" fillId="20" borderId="53" xfId="0" applyFill="1" applyBorder="1"/>
    <xf numFmtId="170" fontId="12" fillId="20" borderId="53" xfId="5" applyFill="1" applyBorder="1"/>
    <xf numFmtId="0" fontId="0" fillId="20" borderId="0" xfId="0" applyFill="1"/>
    <xf numFmtId="170" fontId="36" fillId="20" borderId="0" xfId="5" applyFont="1" applyFill="1"/>
    <xf numFmtId="170" fontId="36" fillId="20" borderId="53" xfId="5" applyFont="1" applyFill="1" applyBorder="1"/>
    <xf numFmtId="0" fontId="35" fillId="20" borderId="0" xfId="0" applyFont="1" applyFill="1"/>
    <xf numFmtId="10" fontId="20" fillId="20" borderId="53" xfId="6" applyNumberFormat="1" applyFont="1" applyFill="1" applyBorder="1" applyProtection="1"/>
    <xf numFmtId="39" fontId="20" fillId="20" borderId="53" xfId="5" applyNumberFormat="1" applyFont="1" applyFill="1" applyBorder="1"/>
    <xf numFmtId="171" fontId="19" fillId="20" borderId="52" xfId="5" applyNumberFormat="1" applyFont="1" applyFill="1" applyBorder="1"/>
    <xf numFmtId="39" fontId="19" fillId="20" borderId="55" xfId="5" applyNumberFormat="1" applyFont="1" applyFill="1" applyBorder="1"/>
    <xf numFmtId="39" fontId="20" fillId="20" borderId="55" xfId="5" applyNumberFormat="1" applyFont="1" applyFill="1" applyBorder="1"/>
    <xf numFmtId="171" fontId="19" fillId="20" borderId="70" xfId="5" applyNumberFormat="1" applyFont="1" applyFill="1" applyBorder="1"/>
    <xf numFmtId="0" fontId="0" fillId="20" borderId="55" xfId="0" applyFill="1" applyBorder="1"/>
    <xf numFmtId="0" fontId="0" fillId="20" borderId="50" xfId="0" applyFill="1" applyBorder="1"/>
    <xf numFmtId="170" fontId="22" fillId="24" borderId="0" xfId="5" applyFont="1" applyFill="1" applyAlignment="1">
      <alignment horizontal="center"/>
    </xf>
    <xf numFmtId="0" fontId="37" fillId="24" borderId="0" xfId="0" applyFont="1" applyFill="1"/>
    <xf numFmtId="0" fontId="20" fillId="24" borderId="0" xfId="0" applyFont="1" applyFill="1"/>
    <xf numFmtId="39" fontId="38" fillId="24" borderId="0" xfId="0" applyNumberFormat="1" applyFont="1" applyFill="1"/>
    <xf numFmtId="170" fontId="19" fillId="24" borderId="0" xfId="5" applyFont="1" applyFill="1"/>
    <xf numFmtId="171" fontId="19" fillId="24" borderId="0" xfId="5" applyNumberFormat="1" applyFont="1" applyFill="1"/>
    <xf numFmtId="10" fontId="19" fillId="24" borderId="0" xfId="5" applyNumberFormat="1" applyFont="1" applyFill="1"/>
    <xf numFmtId="170" fontId="19" fillId="24" borderId="0" xfId="5" applyFont="1" applyFill="1" applyAlignment="1">
      <alignment horizontal="left"/>
    </xf>
    <xf numFmtId="168" fontId="38" fillId="11" borderId="0" xfId="4" applyFont="1" applyFill="1" applyBorder="1" applyAlignment="1" applyProtection="1">
      <alignment horizontal="right"/>
    </xf>
    <xf numFmtId="168" fontId="45" fillId="0" borderId="0" xfId="4" applyFont="1" applyProtection="1"/>
    <xf numFmtId="0" fontId="0" fillId="19" borderId="0" xfId="0" applyFill="1"/>
    <xf numFmtId="4" fontId="0" fillId="19" borderId="48" xfId="0" applyNumberFormat="1" applyFill="1" applyBorder="1" applyAlignment="1">
      <alignment horizontal="right"/>
    </xf>
    <xf numFmtId="171" fontId="19" fillId="30" borderId="44" xfId="5" applyNumberFormat="1" applyFont="1" applyFill="1" applyBorder="1"/>
    <xf numFmtId="39" fontId="19" fillId="30" borderId="0" xfId="5" applyNumberFormat="1" applyFont="1" applyFill="1"/>
    <xf numFmtId="170" fontId="19" fillId="30" borderId="0" xfId="5" applyFont="1" applyFill="1"/>
    <xf numFmtId="10" fontId="19" fillId="30" borderId="0" xfId="5" applyNumberFormat="1" applyFont="1" applyFill="1"/>
    <xf numFmtId="170" fontId="19" fillId="30" borderId="45" xfId="5" applyFont="1" applyFill="1" applyBorder="1" applyAlignment="1">
      <alignment horizontal="left"/>
    </xf>
    <xf numFmtId="39" fontId="7" fillId="24" borderId="0" xfId="5" applyNumberFormat="1" applyFont="1" applyFill="1"/>
    <xf numFmtId="0" fontId="20" fillId="29" borderId="0" xfId="0" applyFont="1" applyFill="1"/>
    <xf numFmtId="170" fontId="19" fillId="29" borderId="0" xfId="5" applyFont="1" applyFill="1"/>
    <xf numFmtId="171" fontId="19" fillId="29" borderId="0" xfId="5" applyNumberFormat="1" applyFont="1" applyFill="1"/>
    <xf numFmtId="10" fontId="19" fillId="29" borderId="0" xfId="5" applyNumberFormat="1" applyFont="1" applyFill="1"/>
    <xf numFmtId="0" fontId="7" fillId="29" borderId="0" xfId="0" applyFont="1" applyFill="1"/>
    <xf numFmtId="171" fontId="7" fillId="29" borderId="0" xfId="5" applyNumberFormat="1" applyFont="1" applyFill="1"/>
    <xf numFmtId="170" fontId="19" fillId="29" borderId="0" xfId="5" applyFont="1" applyFill="1" applyAlignment="1">
      <alignment horizontal="left"/>
    </xf>
    <xf numFmtId="170" fontId="7" fillId="29" borderId="0" xfId="5" applyFont="1" applyFill="1" applyAlignment="1">
      <alignment horizontal="left"/>
    </xf>
    <xf numFmtId="39" fontId="7" fillId="29" borderId="0" xfId="0" applyNumberFormat="1" applyFont="1" applyFill="1"/>
    <xf numFmtId="170" fontId="7" fillId="29" borderId="0" xfId="5" applyFont="1" applyFill="1"/>
    <xf numFmtId="178" fontId="7" fillId="29" borderId="0" xfId="5" applyNumberFormat="1" applyFont="1" applyFill="1"/>
    <xf numFmtId="168" fontId="38" fillId="11" borderId="0" xfId="4" applyFont="1" applyFill="1" applyBorder="1" applyAlignment="1" applyProtection="1">
      <alignment horizontal="left"/>
    </xf>
    <xf numFmtId="0" fontId="38" fillId="0" borderId="0" xfId="0" applyFont="1"/>
    <xf numFmtId="173" fontId="0" fillId="0" borderId="0" xfId="0" applyNumberFormat="1"/>
    <xf numFmtId="0" fontId="20" fillId="26" borderId="0" xfId="0" applyFont="1" applyFill="1"/>
    <xf numFmtId="171" fontId="7" fillId="26" borderId="0" xfId="5" applyNumberFormat="1" applyFont="1" applyFill="1"/>
    <xf numFmtId="184" fontId="7" fillId="26" borderId="0" xfId="5" applyNumberFormat="1" applyFont="1" applyFill="1"/>
    <xf numFmtId="184" fontId="7" fillId="26" borderId="0" xfId="6" applyNumberFormat="1" applyFont="1" applyFill="1" applyBorder="1" applyProtection="1"/>
    <xf numFmtId="10" fontId="7" fillId="26" borderId="0" xfId="5" applyNumberFormat="1" applyFont="1" applyFill="1"/>
    <xf numFmtId="170" fontId="7" fillId="26" borderId="0" xfId="5" applyFont="1" applyFill="1" applyAlignment="1">
      <alignment horizontal="left"/>
    </xf>
    <xf numFmtId="4" fontId="7" fillId="26" borderId="0" xfId="5" applyNumberFormat="1" applyFont="1" applyFill="1" applyAlignment="1">
      <alignment horizontal="right"/>
    </xf>
    <xf numFmtId="0" fontId="0" fillId="26" borderId="0" xfId="0" applyFill="1"/>
    <xf numFmtId="171" fontId="46" fillId="26" borderId="49" xfId="5" applyNumberFormat="1" applyFont="1" applyFill="1" applyBorder="1"/>
    <xf numFmtId="39" fontId="47" fillId="26" borderId="57" xfId="5" applyNumberFormat="1" applyFont="1" applyFill="1" applyBorder="1"/>
    <xf numFmtId="171" fontId="37" fillId="32" borderId="0" xfId="5" applyNumberFormat="1" applyFont="1" applyFill="1"/>
    <xf numFmtId="4" fontId="12" fillId="0" borderId="0" xfId="5" applyNumberFormat="1"/>
    <xf numFmtId="14" fontId="12" fillId="0" borderId="0" xfId="5" applyNumberFormat="1"/>
    <xf numFmtId="4" fontId="22" fillId="0" borderId="0" xfId="5" applyNumberFormat="1" applyFont="1"/>
    <xf numFmtId="9" fontId="7" fillId="29" borderId="0" xfId="6" applyFont="1" applyFill="1" applyBorder="1" applyProtection="1"/>
    <xf numFmtId="186" fontId="7" fillId="29" borderId="0" xfId="6" applyNumberFormat="1" applyFont="1" applyFill="1" applyBorder="1" applyProtection="1"/>
    <xf numFmtId="187" fontId="0" fillId="0" borderId="0" xfId="0" applyNumberFormat="1"/>
    <xf numFmtId="4" fontId="37" fillId="0" borderId="5" xfId="0" applyNumberFormat="1" applyFont="1" applyBorder="1" applyAlignment="1">
      <alignment horizontal="right"/>
    </xf>
    <xf numFmtId="0" fontId="48" fillId="8" borderId="0" xfId="0" applyFont="1" applyFill="1" applyAlignment="1">
      <alignment horizontal="center"/>
    </xf>
    <xf numFmtId="4" fontId="33" fillId="0" borderId="5" xfId="0" applyNumberFormat="1" applyFont="1" applyBorder="1" applyAlignment="1">
      <alignment horizontal="right"/>
    </xf>
    <xf numFmtId="167" fontId="0" fillId="0" borderId="0" xfId="0" applyNumberFormat="1"/>
    <xf numFmtId="171" fontId="35" fillId="33" borderId="54" xfId="5" applyNumberFormat="1" applyFont="1" applyFill="1" applyBorder="1"/>
    <xf numFmtId="170" fontId="35" fillId="33" borderId="0" xfId="5" applyFont="1" applyFill="1"/>
    <xf numFmtId="171" fontId="35" fillId="33" borderId="0" xfId="5" applyNumberFormat="1" applyFont="1" applyFill="1"/>
    <xf numFmtId="10" fontId="35" fillId="33" borderId="0" xfId="5" applyNumberFormat="1" applyFont="1" applyFill="1"/>
    <xf numFmtId="170" fontId="35" fillId="33" borderId="53" xfId="5" applyFont="1" applyFill="1" applyBorder="1" applyAlignment="1">
      <alignment horizontal="left"/>
    </xf>
    <xf numFmtId="173" fontId="35" fillId="33" borderId="0" xfId="0" applyNumberFormat="1" applyFont="1" applyFill="1" applyAlignment="1">
      <alignment horizontal="right"/>
    </xf>
    <xf numFmtId="171" fontId="35" fillId="33" borderId="54" xfId="0" applyNumberFormat="1" applyFont="1" applyFill="1" applyBorder="1"/>
    <xf numFmtId="171" fontId="35" fillId="33" borderId="0" xfId="0" applyNumberFormat="1" applyFont="1" applyFill="1"/>
    <xf numFmtId="10" fontId="35" fillId="33" borderId="0" xfId="0" applyNumberFormat="1" applyFont="1" applyFill="1"/>
    <xf numFmtId="183" fontId="35" fillId="33" borderId="0" xfId="0" applyNumberFormat="1" applyFont="1" applyFill="1"/>
    <xf numFmtId="183" fontId="49" fillId="33" borderId="0" xfId="0" applyNumberFormat="1" applyFont="1" applyFill="1"/>
    <xf numFmtId="183" fontId="35" fillId="33" borderId="0" xfId="0" applyNumberFormat="1" applyFont="1" applyFill="1" applyAlignment="1">
      <alignment horizontal="right"/>
    </xf>
    <xf numFmtId="171" fontId="49" fillId="33" borderId="52" xfId="5" applyNumberFormat="1" applyFont="1" applyFill="1" applyBorder="1"/>
    <xf numFmtId="184" fontId="49" fillId="33" borderId="55" xfId="5" applyNumberFormat="1" applyFont="1" applyFill="1" applyBorder="1"/>
    <xf numFmtId="184" fontId="49" fillId="33" borderId="55" xfId="6" applyNumberFormat="1" applyFont="1" applyFill="1" applyBorder="1" applyProtection="1"/>
    <xf numFmtId="10" fontId="49" fillId="33" borderId="55" xfId="5" applyNumberFormat="1" applyFont="1" applyFill="1" applyBorder="1"/>
    <xf numFmtId="170" fontId="49" fillId="33" borderId="50" xfId="5" applyFont="1" applyFill="1" applyBorder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6" fillId="0" borderId="0" xfId="2" applyAlignment="1" applyProtection="1">
      <alignment horizontal="left" vertical="center" wrapText="1"/>
    </xf>
    <xf numFmtId="3" fontId="30" fillId="23" borderId="0" xfId="0" applyNumberFormat="1" applyFont="1" applyFill="1" applyAlignment="1">
      <alignment horizontal="right" vertical="center" wrapText="1"/>
    </xf>
    <xf numFmtId="0" fontId="30" fillId="23" borderId="0" xfId="0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186" fontId="0" fillId="0" borderId="0" xfId="0" applyNumberFormat="1"/>
    <xf numFmtId="3" fontId="48" fillId="6" borderId="5" xfId="0" applyNumberFormat="1" applyFont="1" applyFill="1" applyBorder="1"/>
    <xf numFmtId="166" fontId="0" fillId="0" borderId="0" xfId="0" applyNumberFormat="1"/>
    <xf numFmtId="192" fontId="28" fillId="22" borderId="0" xfId="0" applyNumberFormat="1" applyFont="1" applyFill="1" applyAlignment="1">
      <alignment horizontal="right" wrapText="1"/>
    </xf>
    <xf numFmtId="9" fontId="28" fillId="22" borderId="0" xfId="6" applyFont="1" applyFill="1" applyBorder="1" applyAlignment="1">
      <alignment horizontal="right" wrapText="1"/>
    </xf>
    <xf numFmtId="173" fontId="28" fillId="22" borderId="0" xfId="0" applyNumberFormat="1" applyFont="1" applyFill="1" applyAlignment="1">
      <alignment horizontal="right" wrapText="1"/>
    </xf>
    <xf numFmtId="173" fontId="28" fillId="22" borderId="55" xfId="0" applyNumberFormat="1" applyFont="1" applyFill="1" applyBorder="1" applyAlignment="1">
      <alignment horizontal="right" wrapText="1"/>
    </xf>
    <xf numFmtId="173" fontId="34" fillId="22" borderId="0" xfId="0" applyNumberFormat="1" applyFont="1" applyFill="1" applyAlignment="1">
      <alignment horizontal="right" wrapText="1"/>
    </xf>
    <xf numFmtId="186" fontId="7" fillId="16" borderId="0" xfId="6" applyNumberFormat="1" applyFont="1" applyFill="1"/>
    <xf numFmtId="0" fontId="7" fillId="30" borderId="0" xfId="0" applyFont="1" applyFill="1"/>
    <xf numFmtId="0" fontId="9" fillId="30" borderId="0" xfId="0" applyFont="1" applyFill="1" applyAlignment="1">
      <alignment horizontal="center"/>
    </xf>
    <xf numFmtId="173" fontId="35" fillId="33" borderId="0" xfId="0" applyNumberFormat="1" applyFont="1" applyFill="1"/>
    <xf numFmtId="14" fontId="0" fillId="0" borderId="0" xfId="0" applyNumberFormat="1" applyAlignment="1">
      <alignment vertical="center" wrapText="1"/>
    </xf>
    <xf numFmtId="4" fontId="30" fillId="23" borderId="0" xfId="0" applyNumberFormat="1" applyFont="1" applyFill="1" applyAlignment="1">
      <alignment horizontal="right" vertical="center" wrapText="1"/>
    </xf>
    <xf numFmtId="9" fontId="30" fillId="23" borderId="0" xfId="0" applyNumberFormat="1" applyFont="1" applyFill="1" applyAlignment="1">
      <alignment horizontal="right" vertical="center" wrapText="1"/>
    </xf>
    <xf numFmtId="0" fontId="31" fillId="30" borderId="0" xfId="0" applyFont="1" applyFill="1"/>
    <xf numFmtId="0" fontId="31" fillId="30" borderId="0" xfId="0" applyFont="1" applyFill="1" applyAlignment="1">
      <alignment horizontal="center"/>
    </xf>
    <xf numFmtId="0" fontId="50" fillId="35" borderId="0" xfId="0" applyFont="1" applyFill="1" applyAlignment="1">
      <alignment horizontal="left" vertical="center" wrapText="1" indent="1"/>
    </xf>
    <xf numFmtId="0" fontId="50" fillId="35" borderId="0" xfId="0" applyFont="1" applyFill="1" applyAlignment="1">
      <alignment horizontal="right" vertical="center" wrapText="1" indent="1"/>
    </xf>
    <xf numFmtId="0" fontId="51" fillId="36" borderId="0" xfId="0" applyFont="1" applyFill="1" applyAlignment="1">
      <alignment horizontal="left" wrapText="1" indent="1"/>
    </xf>
    <xf numFmtId="0" fontId="51" fillId="36" borderId="0" xfId="0" applyFont="1" applyFill="1" applyAlignment="1">
      <alignment horizontal="right" wrapText="1" indent="1"/>
    </xf>
    <xf numFmtId="3" fontId="51" fillId="36" borderId="0" xfId="0" applyNumberFormat="1" applyFont="1" applyFill="1" applyAlignment="1">
      <alignment horizontal="right" wrapText="1" indent="1"/>
    </xf>
    <xf numFmtId="0" fontId="51" fillId="13" borderId="0" xfId="0" applyFont="1" applyFill="1" applyAlignment="1">
      <alignment horizontal="left" wrapText="1" indent="1"/>
    </xf>
    <xf numFmtId="0" fontId="51" fillId="13" borderId="0" xfId="0" applyFont="1" applyFill="1" applyAlignment="1">
      <alignment horizontal="right" wrapText="1" indent="1"/>
    </xf>
    <xf numFmtId="3" fontId="51" fillId="13" borderId="0" xfId="0" applyNumberFormat="1" applyFont="1" applyFill="1" applyAlignment="1">
      <alignment horizontal="right" wrapText="1" indent="1"/>
    </xf>
    <xf numFmtId="168" fontId="48" fillId="11" borderId="0" xfId="4" applyFont="1" applyFill="1" applyBorder="1" applyAlignment="1" applyProtection="1">
      <alignment horizontal="left"/>
    </xf>
    <xf numFmtId="170" fontId="35" fillId="33" borderId="0" xfId="5" applyFont="1" applyFill="1" applyAlignment="1">
      <alignment horizontal="left"/>
    </xf>
    <xf numFmtId="171" fontId="35" fillId="37" borderId="54" xfId="5" applyNumberFormat="1" applyFont="1" applyFill="1" applyBorder="1"/>
    <xf numFmtId="184" fontId="49" fillId="37" borderId="0" xfId="5" applyNumberFormat="1" applyFont="1" applyFill="1"/>
    <xf numFmtId="184" fontId="49" fillId="37" borderId="0" xfId="6" applyNumberFormat="1" applyFont="1" applyFill="1" applyBorder="1" applyProtection="1"/>
    <xf numFmtId="10" fontId="49" fillId="37" borderId="0" xfId="5" applyNumberFormat="1" applyFont="1" applyFill="1"/>
    <xf numFmtId="170" fontId="49" fillId="37" borderId="0" xfId="5" applyFont="1" applyFill="1" applyAlignment="1">
      <alignment horizontal="left"/>
    </xf>
    <xf numFmtId="183" fontId="49" fillId="37" borderId="0" xfId="0" applyNumberFormat="1" applyFont="1" applyFill="1"/>
    <xf numFmtId="170" fontId="35" fillId="37" borderId="0" xfId="5" applyFont="1" applyFill="1"/>
    <xf numFmtId="171" fontId="35" fillId="37" borderId="0" xfId="5" applyNumberFormat="1" applyFont="1" applyFill="1"/>
    <xf numFmtId="10" fontId="35" fillId="37" borderId="0" xfId="5" applyNumberFormat="1" applyFont="1" applyFill="1"/>
    <xf numFmtId="170" fontId="35" fillId="37" borderId="53" xfId="5" applyFont="1" applyFill="1" applyBorder="1" applyAlignment="1">
      <alignment horizontal="left"/>
    </xf>
    <xf numFmtId="171" fontId="49" fillId="37" borderId="0" xfId="5" applyNumberFormat="1" applyFont="1" applyFill="1"/>
    <xf numFmtId="171" fontId="9" fillId="37" borderId="54" xfId="5" applyNumberFormat="1" applyFont="1" applyFill="1" applyBorder="1"/>
    <xf numFmtId="183" fontId="49" fillId="37" borderId="55" xfId="0" applyNumberFormat="1" applyFont="1" applyFill="1" applyBorder="1"/>
    <xf numFmtId="0" fontId="52" fillId="13" borderId="71" xfId="0" applyFont="1" applyFill="1" applyBorder="1" applyAlignment="1">
      <alignment horizontal="left" vertical="center" wrapText="1"/>
    </xf>
    <xf numFmtId="14" fontId="52" fillId="13" borderId="71" xfId="0" applyNumberFormat="1" applyFont="1" applyFill="1" applyBorder="1" applyAlignment="1">
      <alignment horizontal="center" vertical="center" wrapText="1"/>
    </xf>
    <xf numFmtId="3" fontId="52" fillId="13" borderId="71" xfId="0" applyNumberFormat="1" applyFont="1" applyFill="1" applyBorder="1" applyAlignment="1">
      <alignment horizontal="right" vertical="center" wrapText="1"/>
    </xf>
    <xf numFmtId="0" fontId="52" fillId="13" borderId="71" xfId="0" applyFont="1" applyFill="1" applyBorder="1" applyAlignment="1">
      <alignment horizontal="right" vertical="center" wrapText="1"/>
    </xf>
    <xf numFmtId="3" fontId="53" fillId="13" borderId="71" xfId="0" applyNumberFormat="1" applyFont="1" applyFill="1" applyBorder="1" applyAlignment="1">
      <alignment horizontal="right" vertical="center" wrapText="1"/>
    </xf>
    <xf numFmtId="171" fontId="49" fillId="14" borderId="54" xfId="5" applyNumberFormat="1" applyFont="1" applyFill="1" applyBorder="1"/>
    <xf numFmtId="184" fontId="49" fillId="14" borderId="0" xfId="5" applyNumberFormat="1" applyFont="1" applyFill="1"/>
    <xf numFmtId="184" fontId="49" fillId="14" borderId="0" xfId="6" applyNumberFormat="1" applyFont="1" applyFill="1" applyBorder="1" applyProtection="1"/>
    <xf numFmtId="10" fontId="49" fillId="14" borderId="0" xfId="5" applyNumberFormat="1" applyFont="1" applyFill="1"/>
    <xf numFmtId="170" fontId="49" fillId="14" borderId="0" xfId="5" applyFont="1" applyFill="1" applyAlignment="1">
      <alignment horizontal="left"/>
    </xf>
    <xf numFmtId="171" fontId="35" fillId="14" borderId="0" xfId="0" applyNumberFormat="1" applyFont="1" applyFill="1"/>
    <xf numFmtId="183" fontId="35" fillId="14" borderId="0" xfId="0" applyNumberFormat="1" applyFont="1" applyFill="1"/>
    <xf numFmtId="170" fontId="35" fillId="14" borderId="0" xfId="5" applyFont="1" applyFill="1"/>
    <xf numFmtId="171" fontId="35" fillId="14" borderId="0" xfId="5" applyNumberFormat="1" applyFont="1" applyFill="1"/>
    <xf numFmtId="10" fontId="35" fillId="14" borderId="0" xfId="5" applyNumberFormat="1" applyFont="1" applyFill="1"/>
    <xf numFmtId="170" fontId="35" fillId="14" borderId="0" xfId="5" applyFont="1" applyFill="1" applyAlignment="1">
      <alignment horizontal="left"/>
    </xf>
    <xf numFmtId="39" fontId="9" fillId="21" borderId="0" xfId="5" applyNumberFormat="1" applyFont="1" applyFill="1"/>
    <xf numFmtId="171" fontId="35" fillId="33" borderId="49" xfId="5" applyNumberFormat="1" applyFont="1" applyFill="1" applyBorder="1"/>
    <xf numFmtId="183" fontId="49" fillId="33" borderId="57" xfId="0" applyNumberFormat="1" applyFont="1" applyFill="1" applyBorder="1"/>
    <xf numFmtId="183" fontId="49" fillId="33" borderId="51" xfId="0" applyNumberFormat="1" applyFont="1" applyFill="1" applyBorder="1"/>
    <xf numFmtId="171" fontId="35" fillId="33" borderId="52" xfId="5" applyNumberFormat="1" applyFont="1" applyFill="1" applyBorder="1"/>
    <xf numFmtId="183" fontId="49" fillId="33" borderId="55" xfId="0" applyNumberFormat="1" applyFont="1" applyFill="1" applyBorder="1"/>
    <xf numFmtId="183" fontId="49" fillId="33" borderId="50" xfId="0" applyNumberFormat="1" applyFont="1" applyFill="1" applyBorder="1"/>
    <xf numFmtId="0" fontId="52" fillId="13" borderId="0" xfId="0" applyFont="1" applyFill="1" applyAlignment="1">
      <alignment horizontal="left" vertical="center" wrapText="1"/>
    </xf>
    <xf numFmtId="10" fontId="31" fillId="0" borderId="0" xfId="5" applyNumberFormat="1" applyFont="1"/>
    <xf numFmtId="10" fontId="12" fillId="0" borderId="0" xfId="6" applyNumberFormat="1" applyFont="1"/>
    <xf numFmtId="173" fontId="0" fillId="0" borderId="0" xfId="0" applyNumberFormat="1" applyAlignment="1">
      <alignment vertical="center" wrapText="1"/>
    </xf>
    <xf numFmtId="0" fontId="5" fillId="15" borderId="0" xfId="0" applyFont="1" applyFill="1"/>
    <xf numFmtId="187" fontId="0" fillId="15" borderId="0" xfId="0" applyNumberFormat="1" applyFill="1"/>
    <xf numFmtId="4" fontId="0" fillId="15" borderId="0" xfId="0" applyNumberFormat="1" applyFill="1"/>
    <xf numFmtId="0" fontId="41" fillId="38" borderId="54" xfId="0" applyFont="1" applyFill="1" applyBorder="1"/>
    <xf numFmtId="183" fontId="35" fillId="38" borderId="0" xfId="0" applyNumberFormat="1" applyFont="1" applyFill="1"/>
    <xf numFmtId="170" fontId="35" fillId="38" borderId="0" xfId="5" applyFont="1" applyFill="1"/>
    <xf numFmtId="171" fontId="35" fillId="38" borderId="0" xfId="5" applyNumberFormat="1" applyFont="1" applyFill="1"/>
    <xf numFmtId="10" fontId="35" fillId="38" borderId="0" xfId="5" applyNumberFormat="1" applyFont="1" applyFill="1"/>
    <xf numFmtId="170" fontId="35" fillId="38" borderId="53" xfId="5" applyFont="1" applyFill="1" applyBorder="1" applyAlignment="1">
      <alignment horizontal="left"/>
    </xf>
    <xf numFmtId="171" fontId="35" fillId="38" borderId="54" xfId="5" applyNumberFormat="1" applyFont="1" applyFill="1" applyBorder="1"/>
    <xf numFmtId="173" fontId="35" fillId="38" borderId="0" xfId="0" applyNumberFormat="1" applyFont="1" applyFill="1"/>
    <xf numFmtId="0" fontId="20" fillId="38" borderId="0" xfId="0" applyFont="1" applyFill="1"/>
    <xf numFmtId="170" fontId="35" fillId="38" borderId="0" xfId="5" applyFont="1" applyFill="1" applyAlignment="1">
      <alignment horizontal="left"/>
    </xf>
    <xf numFmtId="0" fontId="55" fillId="0" borderId="0" xfId="0" applyFont="1" applyAlignment="1">
      <alignment horizontal="left" vertical="top" wrapText="1"/>
    </xf>
    <xf numFmtId="0" fontId="55" fillId="0" borderId="72" xfId="0" applyFont="1" applyBorder="1" applyAlignment="1">
      <alignment horizontal="left" vertical="top" wrapText="1"/>
    </xf>
    <xf numFmtId="15" fontId="55" fillId="0" borderId="0" xfId="0" applyNumberFormat="1" applyFont="1" applyAlignment="1">
      <alignment horizontal="left" vertical="top" wrapText="1"/>
    </xf>
    <xf numFmtId="0" fontId="55" fillId="0" borderId="0" xfId="0" applyFont="1" applyAlignment="1">
      <alignment horizontal="left" vertical="center" wrapText="1"/>
    </xf>
    <xf numFmtId="0" fontId="56" fillId="0" borderId="72" xfId="0" applyFont="1" applyBorder="1" applyAlignment="1">
      <alignment horizontal="center" vertical="center" wrapText="1"/>
    </xf>
    <xf numFmtId="0" fontId="55" fillId="0" borderId="72" xfId="0" applyFont="1" applyBorder="1" applyAlignment="1">
      <alignment horizontal="left" vertical="center" wrapText="1"/>
    </xf>
    <xf numFmtId="0" fontId="54" fillId="0" borderId="0" xfId="0" applyFont="1" applyAlignment="1">
      <alignment horizontal="left" vertical="center" wrapText="1"/>
    </xf>
    <xf numFmtId="0" fontId="54" fillId="0" borderId="72" xfId="0" applyFont="1" applyBorder="1" applyAlignment="1">
      <alignment horizontal="left" vertical="center" wrapText="1"/>
    </xf>
    <xf numFmtId="4" fontId="55" fillId="0" borderId="0" xfId="0" applyNumberFormat="1" applyFont="1" applyAlignment="1">
      <alignment horizontal="left" vertical="top" wrapText="1"/>
    </xf>
    <xf numFmtId="171" fontId="35" fillId="39" borderId="0" xfId="5" applyNumberFormat="1" applyFont="1" applyFill="1"/>
    <xf numFmtId="183" fontId="49" fillId="39" borderId="0" xfId="0" applyNumberFormat="1" applyFont="1" applyFill="1"/>
    <xf numFmtId="170" fontId="35" fillId="39" borderId="0" xfId="5" applyFont="1" applyFill="1"/>
    <xf numFmtId="10" fontId="35" fillId="39" borderId="0" xfId="5" applyNumberFormat="1" applyFont="1" applyFill="1"/>
    <xf numFmtId="170" fontId="35" fillId="39" borderId="0" xfId="5" applyFont="1" applyFill="1" applyAlignment="1">
      <alignment horizontal="left"/>
    </xf>
    <xf numFmtId="0" fontId="0" fillId="39" borderId="0" xfId="0" applyFill="1"/>
    <xf numFmtId="4" fontId="0" fillId="39" borderId="0" xfId="0" applyNumberFormat="1" applyFill="1"/>
    <xf numFmtId="0" fontId="20" fillId="39" borderId="0" xfId="0" applyFont="1" applyFill="1"/>
    <xf numFmtId="4" fontId="49" fillId="39" borderId="0" xfId="0" applyNumberFormat="1" applyFont="1" applyFill="1"/>
    <xf numFmtId="15" fontId="59" fillId="30" borderId="0" xfId="0" applyNumberFormat="1" applyFont="1" applyFill="1" applyAlignment="1">
      <alignment horizontal="left" vertical="top" wrapText="1"/>
    </xf>
    <xf numFmtId="15" fontId="5" fillId="30" borderId="0" xfId="0" applyNumberFormat="1" applyFont="1" applyFill="1" applyAlignment="1">
      <alignment horizontal="left" vertical="top" wrapText="1"/>
    </xf>
    <xf numFmtId="170" fontId="57" fillId="30" borderId="66" xfId="5" applyFont="1" applyFill="1" applyBorder="1"/>
    <xf numFmtId="15" fontId="55" fillId="30" borderId="67" xfId="0" applyNumberFormat="1" applyFont="1" applyFill="1" applyBorder="1" applyAlignment="1">
      <alignment horizontal="left" vertical="top" wrapText="1"/>
    </xf>
    <xf numFmtId="170" fontId="57" fillId="30" borderId="66" xfId="5" applyFont="1" applyFill="1" applyBorder="1" applyAlignment="1">
      <alignment horizontal="center"/>
    </xf>
    <xf numFmtId="194" fontId="5" fillId="30" borderId="67" xfId="0" applyNumberFormat="1" applyFont="1" applyFill="1" applyBorder="1" applyAlignment="1">
      <alignment vertical="top" wrapText="1"/>
    </xf>
    <xf numFmtId="10" fontId="57" fillId="30" borderId="67" xfId="6" applyNumberFormat="1" applyFont="1" applyFill="1" applyBorder="1" applyAlignment="1">
      <alignment horizontal="center"/>
    </xf>
    <xf numFmtId="194" fontId="5" fillId="30" borderId="67" xfId="0" applyNumberFormat="1" applyFont="1" applyFill="1" applyBorder="1" applyAlignment="1">
      <alignment horizontal="center" vertical="top" wrapText="1"/>
    </xf>
    <xf numFmtId="194" fontId="59" fillId="30" borderId="0" xfId="0" applyNumberFormat="1" applyFont="1" applyFill="1" applyAlignment="1">
      <alignment horizontal="left" vertical="center" wrapText="1"/>
    </xf>
    <xf numFmtId="194" fontId="58" fillId="30" borderId="0" xfId="5" applyNumberFormat="1" applyFont="1" applyFill="1"/>
    <xf numFmtId="170" fontId="59" fillId="30" borderId="0" xfId="5" applyFont="1" applyFill="1"/>
    <xf numFmtId="171" fontId="59" fillId="30" borderId="0" xfId="5" applyNumberFormat="1" applyFont="1" applyFill="1"/>
    <xf numFmtId="10" fontId="59" fillId="30" borderId="0" xfId="5" applyNumberFormat="1" applyFont="1" applyFill="1"/>
    <xf numFmtId="194" fontId="5" fillId="30" borderId="0" xfId="0" applyNumberFormat="1" applyFont="1" applyFill="1" applyAlignment="1">
      <alignment horizontal="left" vertical="top" wrapText="1"/>
    </xf>
    <xf numFmtId="0" fontId="20" fillId="30" borderId="0" xfId="0" applyFont="1" applyFill="1"/>
    <xf numFmtId="194" fontId="31" fillId="30" borderId="72" xfId="0" applyNumberFormat="1" applyFont="1" applyFill="1" applyBorder="1" applyAlignment="1">
      <alignment horizontal="left" vertical="center" wrapText="1"/>
    </xf>
    <xf numFmtId="0" fontId="60" fillId="30" borderId="72" xfId="0" applyFont="1" applyFill="1" applyBorder="1" applyAlignment="1">
      <alignment horizontal="left" vertical="center" wrapText="1"/>
    </xf>
    <xf numFmtId="15" fontId="59" fillId="32" borderId="0" xfId="0" applyNumberFormat="1" applyFont="1" applyFill="1" applyAlignment="1">
      <alignment horizontal="left" vertical="top" wrapText="1"/>
    </xf>
    <xf numFmtId="15" fontId="5" fillId="32" borderId="0" xfId="0" applyNumberFormat="1" applyFont="1" applyFill="1" applyAlignment="1">
      <alignment horizontal="left" vertical="top" wrapText="1"/>
    </xf>
    <xf numFmtId="170" fontId="57" fillId="32" borderId="66" xfId="5" applyFont="1" applyFill="1" applyBorder="1"/>
    <xf numFmtId="15" fontId="55" fillId="32" borderId="67" xfId="0" applyNumberFormat="1" applyFont="1" applyFill="1" applyBorder="1" applyAlignment="1">
      <alignment horizontal="left" vertical="top" wrapText="1"/>
    </xf>
    <xf numFmtId="0" fontId="61" fillId="30" borderId="72" xfId="0" applyFont="1" applyFill="1" applyBorder="1" applyAlignment="1">
      <alignment horizontal="left" vertical="top" wrapText="1"/>
    </xf>
    <xf numFmtId="170" fontId="12" fillId="30" borderId="0" xfId="5" applyFill="1"/>
    <xf numFmtId="194" fontId="59" fillId="32" borderId="0" xfId="0" applyNumberFormat="1" applyFont="1" applyFill="1" applyAlignment="1">
      <alignment horizontal="left" vertical="center" wrapText="1"/>
    </xf>
    <xf numFmtId="194" fontId="58" fillId="32" borderId="0" xfId="5" applyNumberFormat="1" applyFont="1" applyFill="1"/>
    <xf numFmtId="170" fontId="59" fillId="32" borderId="0" xfId="5" applyFont="1" applyFill="1"/>
    <xf numFmtId="171" fontId="59" fillId="32" borderId="0" xfId="5" applyNumberFormat="1" applyFont="1" applyFill="1"/>
    <xf numFmtId="10" fontId="59" fillId="32" borderId="0" xfId="5" applyNumberFormat="1" applyFont="1" applyFill="1"/>
    <xf numFmtId="194" fontId="5" fillId="32" borderId="0" xfId="0" applyNumberFormat="1" applyFont="1" applyFill="1" applyAlignment="1">
      <alignment horizontal="left" vertical="top" wrapText="1"/>
    </xf>
    <xf numFmtId="0" fontId="20" fillId="32" borderId="0" xfId="0" applyFont="1" applyFill="1"/>
    <xf numFmtId="194" fontId="31" fillId="32" borderId="72" xfId="0" applyNumberFormat="1" applyFont="1" applyFill="1" applyBorder="1" applyAlignment="1">
      <alignment horizontal="left" vertical="center" wrapText="1"/>
    </xf>
    <xf numFmtId="0" fontId="60" fillId="32" borderId="72" xfId="0" applyFont="1" applyFill="1" applyBorder="1" applyAlignment="1">
      <alignment horizontal="left" vertical="center" wrapText="1"/>
    </xf>
    <xf numFmtId="170" fontId="57" fillId="32" borderId="66" xfId="5" applyFont="1" applyFill="1" applyBorder="1" applyAlignment="1">
      <alignment horizontal="center"/>
    </xf>
    <xf numFmtId="10" fontId="57" fillId="32" borderId="67" xfId="6" applyNumberFormat="1" applyFont="1" applyFill="1" applyBorder="1" applyAlignment="1">
      <alignment horizontal="center"/>
    </xf>
    <xf numFmtId="194" fontId="5" fillId="32" borderId="67" xfId="0" applyNumberFormat="1" applyFont="1" applyFill="1" applyBorder="1" applyAlignment="1">
      <alignment horizontal="center" vertical="top" wrapText="1"/>
    </xf>
    <xf numFmtId="195" fontId="35" fillId="38" borderId="0" xfId="0" applyNumberFormat="1" applyFont="1" applyFill="1"/>
    <xf numFmtId="0" fontId="5" fillId="0" borderId="0" xfId="0" applyFont="1"/>
    <xf numFmtId="0" fontId="0" fillId="32" borderId="0" xfId="0" applyFill="1"/>
    <xf numFmtId="4" fontId="0" fillId="32" borderId="0" xfId="0" applyNumberFormat="1" applyFill="1"/>
    <xf numFmtId="0" fontId="0" fillId="40" borderId="0" xfId="0" applyFill="1"/>
    <xf numFmtId="168" fontId="5" fillId="39" borderId="0" xfId="4" applyFont="1" applyFill="1" applyBorder="1" applyAlignment="1" applyProtection="1"/>
    <xf numFmtId="196" fontId="4" fillId="32" borderId="57" xfId="7" applyNumberFormat="1" applyFill="1" applyBorder="1"/>
    <xf numFmtId="171" fontId="35" fillId="41" borderId="54" xfId="5" applyNumberFormat="1" applyFont="1" applyFill="1" applyBorder="1"/>
    <xf numFmtId="173" fontId="35" fillId="41" borderId="0" xfId="0" applyNumberFormat="1" applyFont="1" applyFill="1"/>
    <xf numFmtId="170" fontId="35" fillId="41" borderId="0" xfId="5" applyFont="1" applyFill="1"/>
    <xf numFmtId="171" fontId="35" fillId="41" borderId="0" xfId="5" applyNumberFormat="1" applyFont="1" applyFill="1"/>
    <xf numFmtId="10" fontId="35" fillId="41" borderId="0" xfId="5" applyNumberFormat="1" applyFont="1" applyFill="1"/>
    <xf numFmtId="170" fontId="35" fillId="41" borderId="53" xfId="5" applyFont="1" applyFill="1" applyBorder="1" applyAlignment="1">
      <alignment horizontal="left"/>
    </xf>
    <xf numFmtId="173" fontId="7" fillId="41" borderId="0" xfId="0" applyNumberFormat="1" applyFont="1" applyFill="1"/>
    <xf numFmtId="183" fontId="7" fillId="33" borderId="0" xfId="0" applyNumberFormat="1" applyFont="1" applyFill="1"/>
    <xf numFmtId="194" fontId="0" fillId="0" borderId="0" xfId="0" applyNumberFormat="1"/>
    <xf numFmtId="0" fontId="0" fillId="16" borderId="0" xfId="0" applyFill="1"/>
    <xf numFmtId="4" fontId="0" fillId="16" borderId="0" xfId="0" applyNumberFormat="1" applyFill="1"/>
    <xf numFmtId="4" fontId="49" fillId="16" borderId="0" xfId="0" applyNumberFormat="1" applyFont="1" applyFill="1"/>
    <xf numFmtId="0" fontId="31" fillId="32" borderId="72" xfId="0" applyFont="1" applyFill="1" applyBorder="1" applyAlignment="1">
      <alignment horizontal="left" vertical="top" wrapText="1"/>
    </xf>
    <xf numFmtId="183" fontId="0" fillId="0" borderId="0" xfId="0" applyNumberFormat="1"/>
    <xf numFmtId="0" fontId="7" fillId="16" borderId="5" xfId="0" applyFont="1" applyFill="1" applyBorder="1"/>
    <xf numFmtId="173" fontId="7" fillId="16" borderId="5" xfId="0" applyNumberFormat="1" applyFont="1" applyFill="1" applyBorder="1"/>
    <xf numFmtId="173" fontId="7" fillId="42" borderId="5" xfId="0" applyNumberFormat="1" applyFont="1" applyFill="1" applyBorder="1"/>
    <xf numFmtId="0" fontId="5" fillId="16" borderId="0" xfId="0" applyFont="1" applyFill="1"/>
    <xf numFmtId="10" fontId="35" fillId="39" borderId="0" xfId="5" applyNumberFormat="1" applyFont="1" applyFill="1" applyAlignment="1">
      <alignment horizontal="center"/>
    </xf>
    <xf numFmtId="0" fontId="7" fillId="30" borderId="0" xfId="0" applyFont="1" applyFill="1" applyAlignment="1">
      <alignment horizontal="center"/>
    </xf>
    <xf numFmtId="4" fontId="62" fillId="26" borderId="0" xfId="0" applyNumberFormat="1" applyFont="1" applyFill="1"/>
    <xf numFmtId="182" fontId="49" fillId="33" borderId="0" xfId="0" applyNumberFormat="1" applyFont="1" applyFill="1"/>
    <xf numFmtId="0" fontId="20" fillId="34" borderId="0" xfId="0" applyFont="1" applyFill="1"/>
    <xf numFmtId="182" fontId="20" fillId="34" borderId="0" xfId="0" applyNumberFormat="1" applyFont="1" applyFill="1"/>
    <xf numFmtId="171" fontId="5" fillId="0" borderId="54" xfId="5" applyNumberFormat="1" applyFont="1" applyBorder="1"/>
    <xf numFmtId="183" fontId="5" fillId="0" borderId="0" xfId="20" applyNumberFormat="1"/>
    <xf numFmtId="170" fontId="5" fillId="0" borderId="0" xfId="5" applyFont="1"/>
    <xf numFmtId="171" fontId="5" fillId="0" borderId="0" xfId="5" applyNumberFormat="1" applyFont="1"/>
    <xf numFmtId="0" fontId="63" fillId="0" borderId="0" xfId="0" applyFont="1"/>
    <xf numFmtId="171" fontId="35" fillId="14" borderId="54" xfId="5" applyNumberFormat="1" applyFont="1" applyFill="1" applyBorder="1"/>
    <xf numFmtId="182" fontId="49" fillId="14" borderId="0" xfId="0" applyNumberFormat="1" applyFont="1" applyFill="1"/>
    <xf numFmtId="170" fontId="35" fillId="14" borderId="53" xfId="5" applyFont="1" applyFill="1" applyBorder="1" applyAlignment="1">
      <alignment horizontal="left"/>
    </xf>
    <xf numFmtId="183" fontId="49" fillId="39" borderId="0" xfId="10" applyNumberFormat="1" applyFont="1" applyFill="1"/>
    <xf numFmtId="171" fontId="64" fillId="39" borderId="0" xfId="5" applyNumberFormat="1" applyFont="1" applyFill="1"/>
    <xf numFmtId="183" fontId="40" fillId="38" borderId="0" xfId="0" applyNumberFormat="1" applyFont="1" applyFill="1"/>
    <xf numFmtId="173" fontId="40" fillId="38" borderId="0" xfId="0" applyNumberFormat="1" applyFont="1" applyFill="1"/>
    <xf numFmtId="183" fontId="40" fillId="39" borderId="0" xfId="0" applyNumberFormat="1" applyFont="1" applyFill="1"/>
    <xf numFmtId="170" fontId="65" fillId="0" borderId="0" xfId="5" applyFont="1"/>
    <xf numFmtId="168" fontId="12" fillId="0" borderId="0" xfId="4" applyFont="1" applyAlignment="1">
      <alignment horizontal="center"/>
    </xf>
    <xf numFmtId="168" fontId="22" fillId="0" borderId="0" xfId="4" applyFont="1" applyAlignment="1" applyProtection="1">
      <alignment horizontal="center"/>
    </xf>
    <xf numFmtId="168" fontId="0" fillId="0" borderId="0" xfId="4" applyFont="1" applyAlignment="1" applyProtection="1">
      <alignment vertical="center" wrapText="1"/>
    </xf>
    <xf numFmtId="171" fontId="49" fillId="33" borderId="0" xfId="0" applyNumberFormat="1" applyFont="1" applyFill="1"/>
    <xf numFmtId="171" fontId="35" fillId="15" borderId="0" xfId="5" applyNumberFormat="1" applyFont="1" applyFill="1"/>
    <xf numFmtId="183" fontId="49" fillId="15" borderId="0" xfId="10" applyNumberFormat="1" applyFont="1" applyFill="1"/>
    <xf numFmtId="170" fontId="35" fillId="15" borderId="0" xfId="5" applyFont="1" applyFill="1"/>
    <xf numFmtId="10" fontId="35" fillId="15" borderId="0" xfId="5" applyNumberFormat="1" applyFont="1" applyFill="1" applyAlignment="1">
      <alignment horizontal="center"/>
    </xf>
    <xf numFmtId="170" fontId="35" fillId="15" borderId="0" xfId="5" applyFont="1" applyFill="1" applyAlignment="1">
      <alignment horizontal="left"/>
    </xf>
    <xf numFmtId="0" fontId="49" fillId="33" borderId="0" xfId="0" applyFont="1" applyFill="1"/>
    <xf numFmtId="173" fontId="66" fillId="39" borderId="0" xfId="0" applyNumberFormat="1" applyFont="1" applyFill="1"/>
    <xf numFmtId="171" fontId="35" fillId="32" borderId="54" xfId="5" applyNumberFormat="1" applyFont="1" applyFill="1" applyBorder="1"/>
    <xf numFmtId="183" fontId="35" fillId="32" borderId="0" xfId="0" applyNumberFormat="1" applyFont="1" applyFill="1"/>
    <xf numFmtId="170" fontId="35" fillId="32" borderId="0" xfId="5" applyFont="1" applyFill="1"/>
    <xf numFmtId="10" fontId="35" fillId="32" borderId="0" xfId="5" applyNumberFormat="1" applyFont="1" applyFill="1"/>
    <xf numFmtId="171" fontId="37" fillId="39" borderId="0" xfId="5" applyNumberFormat="1" applyFont="1" applyFill="1"/>
    <xf numFmtId="183" fontId="38" fillId="39" borderId="0" xfId="10" applyNumberFormat="1" applyFont="1" applyFill="1"/>
    <xf numFmtId="170" fontId="37" fillId="39" borderId="0" xfId="5" applyFont="1" applyFill="1"/>
    <xf numFmtId="10" fontId="37" fillId="39" borderId="0" xfId="5" applyNumberFormat="1" applyFont="1" applyFill="1" applyAlignment="1">
      <alignment horizontal="center"/>
    </xf>
    <xf numFmtId="170" fontId="37" fillId="39" borderId="0" xfId="5" applyFont="1" applyFill="1" applyAlignment="1">
      <alignment horizontal="left"/>
    </xf>
    <xf numFmtId="183" fontId="7" fillId="0" borderId="0" xfId="20" applyNumberFormat="1" applyFont="1"/>
    <xf numFmtId="8" fontId="0" fillId="0" borderId="0" xfId="0" applyNumberFormat="1"/>
    <xf numFmtId="0" fontId="20" fillId="39" borderId="0" xfId="0" applyFont="1" applyFill="1" applyAlignment="1">
      <alignment horizontal="center"/>
    </xf>
    <xf numFmtId="183" fontId="49" fillId="39" borderId="0" xfId="0" applyNumberFormat="1" applyFont="1" applyFill="1" applyAlignment="1">
      <alignment horizontal="center"/>
    </xf>
    <xf numFmtId="170" fontId="35" fillId="39" borderId="0" xfId="5" applyFont="1" applyFill="1" applyAlignment="1">
      <alignment horizontal="center"/>
    </xf>
    <xf numFmtId="171" fontId="35" fillId="39" borderId="0" xfId="5" applyNumberFormat="1" applyFont="1" applyFill="1" applyAlignment="1">
      <alignment horizontal="center"/>
    </xf>
    <xf numFmtId="168" fontId="5" fillId="11" borderId="0" xfId="4" applyFont="1" applyFill="1" applyBorder="1" applyAlignment="1" applyProtection="1"/>
    <xf numFmtId="173" fontId="49" fillId="33" borderId="0" xfId="0" applyNumberFormat="1" applyFont="1" applyFill="1"/>
    <xf numFmtId="173" fontId="35" fillId="43" borderId="0" xfId="0" applyNumberFormat="1" applyFont="1" applyFill="1"/>
    <xf numFmtId="164" fontId="0" fillId="0" borderId="0" xfId="0" applyNumberFormat="1"/>
    <xf numFmtId="199" fontId="35" fillId="33" borderId="0" xfId="5" applyNumberFormat="1" applyFont="1" applyFill="1"/>
    <xf numFmtId="170" fontId="68" fillId="15" borderId="0" xfId="5" applyFont="1" applyFill="1"/>
    <xf numFmtId="199" fontId="35" fillId="39" borderId="0" xfId="5" applyNumberFormat="1" applyFont="1" applyFill="1" applyAlignment="1">
      <alignment horizontal="center"/>
    </xf>
    <xf numFmtId="173" fontId="69" fillId="7" borderId="0" xfId="0" applyNumberFormat="1" applyFont="1" applyFill="1"/>
    <xf numFmtId="0" fontId="27" fillId="19" borderId="0" xfId="0" applyFont="1" applyFill="1"/>
    <xf numFmtId="171" fontId="5" fillId="44" borderId="5" xfId="5" applyNumberFormat="1" applyFont="1" applyFill="1" applyBorder="1"/>
    <xf numFmtId="183" fontId="5" fillId="44" borderId="5" xfId="20" applyNumberFormat="1" applyFill="1" applyBorder="1"/>
    <xf numFmtId="170" fontId="5" fillId="44" borderId="5" xfId="5" applyFont="1" applyFill="1" applyBorder="1"/>
    <xf numFmtId="10" fontId="5" fillId="44" borderId="5" xfId="5" applyNumberFormat="1" applyFont="1" applyFill="1" applyBorder="1"/>
    <xf numFmtId="197" fontId="5" fillId="45" borderId="5" xfId="5" applyNumberFormat="1" applyFont="1" applyFill="1" applyBorder="1"/>
    <xf numFmtId="183" fontId="5" fillId="45" borderId="5" xfId="20" applyNumberFormat="1" applyFill="1" applyBorder="1"/>
    <xf numFmtId="171" fontId="5" fillId="45" borderId="5" xfId="5" applyNumberFormat="1" applyFont="1" applyFill="1" applyBorder="1"/>
    <xf numFmtId="170" fontId="5" fillId="45" borderId="5" xfId="5" applyFont="1" applyFill="1" applyBorder="1"/>
    <xf numFmtId="199" fontId="5" fillId="45" borderId="5" xfId="5" applyNumberFormat="1" applyFont="1" applyFill="1" applyBorder="1"/>
    <xf numFmtId="0" fontId="0" fillId="45" borderId="0" xfId="0" applyFill="1"/>
    <xf numFmtId="170" fontId="0" fillId="45" borderId="0" xfId="0" applyNumberFormat="1" applyFill="1"/>
    <xf numFmtId="10" fontId="35" fillId="45" borderId="0" xfId="5" applyNumberFormat="1" applyFont="1" applyFill="1" applyAlignment="1">
      <alignment horizontal="center"/>
    </xf>
    <xf numFmtId="171" fontId="35" fillId="45" borderId="0" xfId="5" applyNumberFormat="1" applyFont="1" applyFill="1"/>
    <xf numFmtId="183" fontId="49" fillId="45" borderId="0" xfId="10" applyNumberFormat="1" applyFont="1" applyFill="1"/>
    <xf numFmtId="170" fontId="35" fillId="45" borderId="0" xfId="5" applyFont="1" applyFill="1"/>
    <xf numFmtId="170" fontId="35" fillId="45" borderId="0" xfId="5" applyFont="1" applyFill="1" applyAlignment="1">
      <alignment horizontal="left"/>
    </xf>
    <xf numFmtId="170" fontId="22" fillId="0" borderId="5" xfId="5" applyFont="1" applyBorder="1" applyAlignment="1">
      <alignment horizontal="center"/>
    </xf>
    <xf numFmtId="170" fontId="22" fillId="0" borderId="73" xfId="5" applyFont="1" applyBorder="1" applyAlignment="1">
      <alignment horizontal="center"/>
    </xf>
    <xf numFmtId="171" fontId="35" fillId="39" borderId="1" xfId="5" applyNumberFormat="1" applyFont="1" applyFill="1" applyBorder="1"/>
    <xf numFmtId="171" fontId="5" fillId="44" borderId="0" xfId="5" applyNumberFormat="1" applyFont="1" applyFill="1"/>
    <xf numFmtId="171" fontId="35" fillId="39" borderId="5" xfId="5" applyNumberFormat="1" applyFont="1" applyFill="1" applyBorder="1"/>
    <xf numFmtId="183" fontId="49" fillId="39" borderId="2" xfId="10" applyNumberFormat="1" applyFont="1" applyFill="1" applyBorder="1"/>
    <xf numFmtId="183" fontId="5" fillId="44" borderId="0" xfId="20" applyNumberFormat="1" applyFill="1"/>
    <xf numFmtId="183" fontId="49" fillId="39" borderId="5" xfId="10" applyNumberFormat="1" applyFont="1" applyFill="1" applyBorder="1"/>
    <xf numFmtId="171" fontId="35" fillId="39" borderId="2" xfId="5" applyNumberFormat="1" applyFont="1" applyFill="1" applyBorder="1"/>
    <xf numFmtId="170" fontId="35" fillId="39" borderId="2" xfId="5" applyFont="1" applyFill="1" applyBorder="1"/>
    <xf numFmtId="170" fontId="5" fillId="44" borderId="0" xfId="5" applyFont="1" applyFill="1"/>
    <xf numFmtId="170" fontId="35" fillId="39" borderId="5" xfId="5" applyFont="1" applyFill="1" applyBorder="1"/>
    <xf numFmtId="10" fontId="35" fillId="39" borderId="2" xfId="5" applyNumberFormat="1" applyFont="1" applyFill="1" applyBorder="1" applyAlignment="1">
      <alignment horizontal="center"/>
    </xf>
    <xf numFmtId="10" fontId="5" fillId="44" borderId="0" xfId="5" applyNumberFormat="1" applyFont="1" applyFill="1"/>
    <xf numFmtId="199" fontId="35" fillId="39" borderId="5" xfId="5" applyNumberFormat="1" applyFont="1" applyFill="1" applyBorder="1" applyAlignment="1">
      <alignment horizontal="center"/>
    </xf>
    <xf numFmtId="170" fontId="35" fillId="39" borderId="3" xfId="5" applyFont="1" applyFill="1" applyBorder="1" applyAlignment="1">
      <alignment horizontal="left"/>
    </xf>
    <xf numFmtId="0" fontId="5" fillId="44" borderId="0" xfId="0" applyFont="1" applyFill="1"/>
    <xf numFmtId="170" fontId="35" fillId="39" borderId="73" xfId="5" applyFont="1" applyFill="1" applyBorder="1" applyAlignment="1">
      <alignment horizontal="left"/>
    </xf>
    <xf numFmtId="170" fontId="22" fillId="0" borderId="43" xfId="5" applyFont="1" applyBorder="1" applyAlignment="1">
      <alignment horizontal="center"/>
    </xf>
    <xf numFmtId="170" fontId="70" fillId="0" borderId="0" xfId="5" applyFont="1" applyAlignment="1">
      <alignment horizontal="right"/>
    </xf>
    <xf numFmtId="173" fontId="35" fillId="33" borderId="5" xfId="0" applyNumberFormat="1" applyFont="1" applyFill="1" applyBorder="1"/>
    <xf numFmtId="171" fontId="35" fillId="39" borderId="48" xfId="5" applyNumberFormat="1" applyFont="1" applyFill="1" applyBorder="1"/>
    <xf numFmtId="173" fontId="35" fillId="33" borderId="48" xfId="0" applyNumberFormat="1" applyFont="1" applyFill="1" applyBorder="1"/>
    <xf numFmtId="197" fontId="5" fillId="15" borderId="0" xfId="5" applyNumberFormat="1" applyFont="1" applyFill="1"/>
    <xf numFmtId="183" fontId="5" fillId="15" borderId="0" xfId="20" applyNumberFormat="1" applyFill="1"/>
    <xf numFmtId="170" fontId="5" fillId="15" borderId="0" xfId="5" applyFont="1" applyFill="1"/>
    <xf numFmtId="10" fontId="5" fillId="15" borderId="0" xfId="5" applyNumberFormat="1" applyFont="1" applyFill="1"/>
    <xf numFmtId="171" fontId="5" fillId="46" borderId="5" xfId="5" applyNumberFormat="1" applyFont="1" applyFill="1" applyBorder="1"/>
    <xf numFmtId="183" fontId="5" fillId="46" borderId="5" xfId="20" applyNumberFormat="1" applyFill="1" applyBorder="1"/>
    <xf numFmtId="170" fontId="5" fillId="46" borderId="5" xfId="5" applyFont="1" applyFill="1" applyBorder="1"/>
    <xf numFmtId="10" fontId="5" fillId="46" borderId="5" xfId="5" applyNumberFormat="1" applyFont="1" applyFill="1" applyBorder="1"/>
    <xf numFmtId="0" fontId="5" fillId="46" borderId="73" xfId="0" applyFont="1" applyFill="1" applyBorder="1"/>
    <xf numFmtId="170" fontId="70" fillId="0" borderId="0" xfId="5" applyFont="1"/>
    <xf numFmtId="0" fontId="71" fillId="0" borderId="0" xfId="0" applyFont="1" applyAlignment="1">
      <alignment horizontal="center"/>
    </xf>
    <xf numFmtId="0" fontId="72" fillId="13" borderId="74" xfId="0" applyFont="1" applyFill="1" applyBorder="1" applyAlignment="1">
      <alignment horizontal="center" wrapText="1"/>
    </xf>
    <xf numFmtId="14" fontId="73" fillId="13" borderId="75" xfId="0" applyNumberFormat="1" applyFont="1" applyFill="1" applyBorder="1" applyAlignment="1">
      <alignment vertical="center" wrapText="1"/>
    </xf>
    <xf numFmtId="0" fontId="72" fillId="13" borderId="79" xfId="0" applyFont="1" applyFill="1" applyBorder="1" applyAlignment="1">
      <alignment horizontal="center" wrapText="1"/>
    </xf>
    <xf numFmtId="14" fontId="73" fillId="47" borderId="77" xfId="0" applyNumberFormat="1" applyFont="1" applyFill="1" applyBorder="1" applyAlignment="1">
      <alignment vertical="center" wrapText="1"/>
    </xf>
    <xf numFmtId="4" fontId="73" fillId="47" borderId="78" xfId="0" applyNumberFormat="1" applyFont="1" applyFill="1" applyBorder="1" applyAlignment="1">
      <alignment horizontal="right" vertical="center" wrapText="1"/>
    </xf>
    <xf numFmtId="0" fontId="0" fillId="47" borderId="0" xfId="0" applyFill="1"/>
    <xf numFmtId="197" fontId="74" fillId="0" borderId="0" xfId="5" applyNumberFormat="1" applyFont="1"/>
    <xf numFmtId="183" fontId="74" fillId="0" borderId="0" xfId="20" applyNumberFormat="1" applyFont="1"/>
    <xf numFmtId="171" fontId="74" fillId="0" borderId="0" xfId="5" applyNumberFormat="1" applyFont="1"/>
    <xf numFmtId="170" fontId="74" fillId="0" borderId="0" xfId="5" applyFont="1"/>
    <xf numFmtId="0" fontId="74" fillId="0" borderId="0" xfId="0" applyFont="1"/>
    <xf numFmtId="4" fontId="74" fillId="0" borderId="0" xfId="7" applyNumberFormat="1" applyFont="1"/>
    <xf numFmtId="182" fontId="74" fillId="0" borderId="0" xfId="4" applyNumberFormat="1" applyFont="1" applyBorder="1" applyProtection="1"/>
    <xf numFmtId="194" fontId="74" fillId="0" borderId="0" xfId="3" applyNumberFormat="1" applyFont="1" applyBorder="1"/>
    <xf numFmtId="183" fontId="74" fillId="0" borderId="0" xfId="0" applyNumberFormat="1" applyFont="1"/>
    <xf numFmtId="170" fontId="22" fillId="0" borderId="0" xfId="5" applyFont="1"/>
    <xf numFmtId="14" fontId="73" fillId="15" borderId="75" xfId="0" applyNumberFormat="1" applyFont="1" applyFill="1" applyBorder="1" applyAlignment="1">
      <alignment vertical="center" wrapText="1"/>
    </xf>
    <xf numFmtId="17" fontId="0" fillId="0" borderId="0" xfId="0" applyNumberFormat="1"/>
    <xf numFmtId="0" fontId="75" fillId="49" borderId="84" xfId="0" applyFont="1" applyFill="1" applyBorder="1" applyAlignment="1">
      <alignment horizontal="center" vertical="center" wrapText="1"/>
    </xf>
    <xf numFmtId="0" fontId="75" fillId="49" borderId="85" xfId="0" applyFont="1" applyFill="1" applyBorder="1" applyAlignment="1">
      <alignment horizontal="center" vertical="center" wrapText="1"/>
    </xf>
    <xf numFmtId="0" fontId="75" fillId="49" borderId="86" xfId="0" applyFont="1" applyFill="1" applyBorder="1" applyAlignment="1">
      <alignment horizontal="center" vertical="center" wrapText="1"/>
    </xf>
    <xf numFmtId="0" fontId="77" fillId="50" borderId="87" xfId="0" applyFont="1" applyFill="1" applyBorder="1" applyAlignment="1">
      <alignment horizontal="center" vertical="center" wrapText="1"/>
    </xf>
    <xf numFmtId="0" fontId="77" fillId="50" borderId="88" xfId="0" applyFont="1" applyFill="1" applyBorder="1" applyAlignment="1">
      <alignment horizontal="center" vertical="center" wrapText="1"/>
    </xf>
    <xf numFmtId="10" fontId="77" fillId="50" borderId="89" xfId="0" applyNumberFormat="1" applyFont="1" applyFill="1" applyBorder="1" applyAlignment="1">
      <alignment horizontal="center" vertical="center" wrapText="1"/>
    </xf>
    <xf numFmtId="10" fontId="5" fillId="45" borderId="73" xfId="6" applyNumberFormat="1" applyFont="1" applyFill="1" applyBorder="1"/>
    <xf numFmtId="170" fontId="78" fillId="0" borderId="0" xfId="5" applyFont="1" applyAlignment="1">
      <alignment horizontal="center" vertical="justify"/>
    </xf>
    <xf numFmtId="0" fontId="79" fillId="0" borderId="0" xfId="0" applyFont="1" applyAlignment="1">
      <alignment horizontal="center" vertical="justify"/>
    </xf>
    <xf numFmtId="0" fontId="81" fillId="13" borderId="0" xfId="0" applyFont="1" applyFill="1" applyAlignment="1">
      <alignment horizontal="left" vertical="center" wrapText="1"/>
    </xf>
    <xf numFmtId="0" fontId="82" fillId="13" borderId="0" xfId="0" applyFont="1" applyFill="1" applyAlignment="1">
      <alignment horizontal="left" vertical="center" wrapText="1"/>
    </xf>
    <xf numFmtId="0" fontId="81" fillId="13" borderId="0" xfId="0" applyFont="1" applyFill="1" applyAlignment="1">
      <alignment horizontal="right" vertical="center" wrapText="1"/>
    </xf>
    <xf numFmtId="0" fontId="83" fillId="52" borderId="0" xfId="0" applyFont="1" applyFill="1" applyAlignment="1">
      <alignment horizontal="left" vertical="center" wrapText="1"/>
    </xf>
    <xf numFmtId="0" fontId="83" fillId="52" borderId="0" xfId="0" applyFont="1" applyFill="1" applyAlignment="1">
      <alignment horizontal="right" vertical="center" wrapText="1"/>
    </xf>
    <xf numFmtId="14" fontId="83" fillId="52" borderId="0" xfId="0" applyNumberFormat="1" applyFont="1" applyFill="1" applyAlignment="1">
      <alignment horizontal="left" vertical="center" wrapText="1"/>
    </xf>
    <xf numFmtId="0" fontId="83" fillId="13" borderId="0" xfId="0" applyFont="1" applyFill="1" applyAlignment="1">
      <alignment horizontal="left" vertical="center" wrapText="1"/>
    </xf>
    <xf numFmtId="0" fontId="83" fillId="13" borderId="0" xfId="0" applyFont="1" applyFill="1" applyAlignment="1">
      <alignment horizontal="right" vertical="center" wrapText="1"/>
    </xf>
    <xf numFmtId="14" fontId="83" fillId="13" borderId="0" xfId="0" applyNumberFormat="1" applyFont="1" applyFill="1" applyAlignment="1">
      <alignment horizontal="left" vertical="center" wrapText="1"/>
    </xf>
    <xf numFmtId="4" fontId="83" fillId="13" borderId="0" xfId="0" applyNumberFormat="1" applyFont="1" applyFill="1" applyAlignment="1">
      <alignment horizontal="right" vertical="center" wrapText="1"/>
    </xf>
    <xf numFmtId="4" fontId="83" fillId="52" borderId="0" xfId="0" applyNumberFormat="1" applyFont="1" applyFill="1" applyAlignment="1">
      <alignment horizontal="right" vertical="center" wrapText="1"/>
    </xf>
    <xf numFmtId="0" fontId="83" fillId="53" borderId="0" xfId="0" applyFont="1" applyFill="1" applyAlignment="1">
      <alignment horizontal="left" vertical="center" wrapText="1"/>
    </xf>
    <xf numFmtId="0" fontId="83" fillId="53" borderId="0" xfId="0" applyFont="1" applyFill="1" applyAlignment="1">
      <alignment horizontal="right" vertical="center" wrapText="1"/>
    </xf>
    <xf numFmtId="14" fontId="83" fillId="53" borderId="0" xfId="0" applyNumberFormat="1" applyFont="1" applyFill="1" applyAlignment="1">
      <alignment horizontal="left" vertical="center" wrapText="1"/>
    </xf>
    <xf numFmtId="197" fontId="80" fillId="51" borderId="92" xfId="5" applyNumberFormat="1" applyFont="1" applyFill="1" applyBorder="1"/>
    <xf numFmtId="183" fontId="80" fillId="51" borderId="93" xfId="20" applyNumberFormat="1" applyFont="1" applyFill="1" applyBorder="1"/>
    <xf numFmtId="171" fontId="80" fillId="51" borderId="93" xfId="5" applyNumberFormat="1" applyFont="1" applyFill="1" applyBorder="1"/>
    <xf numFmtId="170" fontId="80" fillId="51" borderId="93" xfId="5" applyFont="1" applyFill="1" applyBorder="1"/>
    <xf numFmtId="10" fontId="80" fillId="51" borderId="93" xfId="5" applyNumberFormat="1" applyFont="1" applyFill="1" applyBorder="1"/>
    <xf numFmtId="0" fontId="80" fillId="51" borderId="93" xfId="0" applyFont="1" applyFill="1" applyBorder="1"/>
    <xf numFmtId="4" fontId="74" fillId="51" borderId="93" xfId="7" applyNumberFormat="1" applyFont="1" applyFill="1" applyBorder="1"/>
    <xf numFmtId="182" fontId="80" fillId="51" borderId="93" xfId="4" applyNumberFormat="1" applyFont="1" applyFill="1" applyBorder="1"/>
    <xf numFmtId="197" fontId="80" fillId="0" borderId="92" xfId="5" applyNumberFormat="1" applyFont="1" applyBorder="1"/>
    <xf numFmtId="183" fontId="80" fillId="0" borderId="93" xfId="20" applyNumberFormat="1" applyFont="1" applyBorder="1"/>
    <xf numFmtId="171" fontId="80" fillId="0" borderId="93" xfId="5" applyNumberFormat="1" applyFont="1" applyBorder="1"/>
    <xf numFmtId="170" fontId="80" fillId="0" borderId="93" xfId="5" applyFont="1" applyBorder="1"/>
    <xf numFmtId="10" fontId="80" fillId="0" borderId="93" xfId="5" applyNumberFormat="1" applyFont="1" applyBorder="1"/>
    <xf numFmtId="0" fontId="80" fillId="0" borderId="93" xfId="0" applyFont="1" applyBorder="1"/>
    <xf numFmtId="4" fontId="74" fillId="0" borderId="93" xfId="7" applyNumberFormat="1" applyFont="1" applyBorder="1"/>
    <xf numFmtId="182" fontId="80" fillId="0" borderId="93" xfId="4" applyNumberFormat="1" applyFont="1" applyBorder="1"/>
    <xf numFmtId="171" fontId="80" fillId="0" borderId="92" xfId="5" applyNumberFormat="1" applyFont="1" applyBorder="1"/>
    <xf numFmtId="183" fontId="84" fillId="51" borderId="93" xfId="20" applyNumberFormat="1" applyFont="1" applyFill="1" applyBorder="1"/>
    <xf numFmtId="183" fontId="8" fillId="16" borderId="0" xfId="0" applyNumberFormat="1" applyFont="1" applyFill="1"/>
    <xf numFmtId="0" fontId="85" fillId="0" borderId="0" xfId="0" applyFont="1"/>
    <xf numFmtId="194" fontId="80" fillId="51" borderId="93" xfId="3" applyNumberFormat="1" applyFont="1" applyFill="1" applyBorder="1"/>
    <xf numFmtId="183" fontId="80" fillId="51" borderId="93" xfId="0" applyNumberFormat="1" applyFont="1" applyFill="1" applyBorder="1"/>
    <xf numFmtId="194" fontId="80" fillId="0" borderId="93" xfId="3" applyNumberFormat="1" applyFont="1" applyBorder="1"/>
    <xf numFmtId="183" fontId="80" fillId="0" borderId="93" xfId="0" applyNumberFormat="1" applyFont="1" applyBorder="1"/>
    <xf numFmtId="200" fontId="35" fillId="33" borderId="0" xfId="5" applyNumberFormat="1" applyFont="1" applyFill="1"/>
    <xf numFmtId="10" fontId="86" fillId="50" borderId="89" xfId="0" applyNumberFormat="1" applyFont="1" applyFill="1" applyBorder="1" applyAlignment="1">
      <alignment horizontal="center" vertical="center" wrapText="1"/>
    </xf>
    <xf numFmtId="10" fontId="87" fillId="50" borderId="89" xfId="0" applyNumberFormat="1" applyFont="1" applyFill="1" applyBorder="1" applyAlignment="1">
      <alignment horizontal="center" vertical="center" wrapText="1"/>
    </xf>
    <xf numFmtId="183" fontId="0" fillId="0" borderId="0" xfId="20" applyNumberFormat="1" applyFont="1"/>
    <xf numFmtId="183" fontId="37" fillId="0" borderId="0" xfId="0" applyNumberFormat="1" applyFont="1"/>
    <xf numFmtId="4" fontId="0" fillId="15" borderId="5" xfId="0" applyNumberFormat="1" applyFill="1" applyBorder="1" applyAlignment="1">
      <alignment horizontal="right"/>
    </xf>
    <xf numFmtId="10" fontId="74" fillId="0" borderId="0" xfId="5" applyNumberFormat="1" applyFont="1"/>
    <xf numFmtId="0" fontId="88" fillId="55" borderId="94" xfId="0" applyFont="1" applyFill="1" applyBorder="1" applyAlignment="1">
      <alignment horizontal="center"/>
    </xf>
    <xf numFmtId="0" fontId="88" fillId="55" borderId="95" xfId="0" applyFont="1" applyFill="1" applyBorder="1" applyAlignment="1">
      <alignment horizontal="center"/>
    </xf>
    <xf numFmtId="14" fontId="0" fillId="26" borderId="95" xfId="0" applyNumberFormat="1" applyFill="1" applyBorder="1"/>
    <xf numFmtId="164" fontId="0" fillId="26" borderId="95" xfId="3" applyNumberFormat="1" applyFont="1" applyFill="1" applyBorder="1"/>
    <xf numFmtId="14" fontId="5" fillId="26" borderId="94" xfId="0" applyNumberFormat="1" applyFont="1" applyFill="1" applyBorder="1"/>
    <xf numFmtId="14" fontId="0" fillId="0" borderId="96" xfId="0" applyNumberFormat="1" applyBorder="1"/>
    <xf numFmtId="14" fontId="0" fillId="0" borderId="97" xfId="0" applyNumberFormat="1" applyBorder="1"/>
    <xf numFmtId="0" fontId="0" fillId="0" borderId="97" xfId="0" applyBorder="1"/>
    <xf numFmtId="164" fontId="0" fillId="0" borderId="97" xfId="3" applyNumberFormat="1" applyFont="1" applyFill="1" applyBorder="1"/>
    <xf numFmtId="164" fontId="0" fillId="0" borderId="97" xfId="0" applyNumberFormat="1" applyBorder="1"/>
    <xf numFmtId="14" fontId="5" fillId="26" borderId="5" xfId="0" applyNumberFormat="1" applyFont="1" applyFill="1" applyBorder="1"/>
    <xf numFmtId="14" fontId="0" fillId="26" borderId="5" xfId="0" applyNumberFormat="1" applyFill="1" applyBorder="1"/>
    <xf numFmtId="164" fontId="0" fillId="26" borderId="5" xfId="3" applyNumberFormat="1" applyFont="1" applyFill="1" applyBorder="1"/>
    <xf numFmtId="182" fontId="80" fillId="51" borderId="5" xfId="4" applyNumberFormat="1" applyFont="1" applyFill="1" applyBorder="1"/>
    <xf numFmtId="164" fontId="62" fillId="26" borderId="5" xfId="3" applyNumberFormat="1" applyFont="1" applyFill="1" applyBorder="1"/>
    <xf numFmtId="14" fontId="5" fillId="47" borderId="5" xfId="0" applyNumberFormat="1" applyFont="1" applyFill="1" applyBorder="1"/>
    <xf numFmtId="14" fontId="7" fillId="47" borderId="5" xfId="0" applyNumberFormat="1" applyFont="1" applyFill="1" applyBorder="1"/>
    <xf numFmtId="164" fontId="7" fillId="47" borderId="5" xfId="3" applyNumberFormat="1" applyFont="1" applyFill="1" applyBorder="1"/>
    <xf numFmtId="14" fontId="0" fillId="26" borderId="0" xfId="0" applyNumberFormat="1" applyFill="1"/>
    <xf numFmtId="164" fontId="0" fillId="56" borderId="5" xfId="0" applyNumberFormat="1" applyFill="1" applyBorder="1"/>
    <xf numFmtId="0" fontId="35" fillId="0" borderId="5" xfId="0" applyFont="1" applyBorder="1"/>
    <xf numFmtId="164" fontId="35" fillId="0" borderId="5" xfId="3" applyNumberFormat="1" applyFont="1" applyFill="1" applyBorder="1"/>
    <xf numFmtId="2" fontId="0" fillId="26" borderId="0" xfId="0" applyNumberFormat="1" applyFill="1"/>
    <xf numFmtId="2" fontId="73" fillId="13" borderId="76" xfId="0" applyNumberFormat="1" applyFont="1" applyFill="1" applyBorder="1" applyAlignment="1">
      <alignment horizontal="right" vertical="center" wrapText="1"/>
    </xf>
    <xf numFmtId="2" fontId="73" fillId="15" borderId="76" xfId="0" applyNumberFormat="1" applyFont="1" applyFill="1" applyBorder="1" applyAlignment="1">
      <alignment horizontal="right" vertical="center" wrapText="1"/>
    </xf>
    <xf numFmtId="9" fontId="0" fillId="0" borderId="0" xfId="0" applyNumberFormat="1"/>
    <xf numFmtId="14" fontId="73" fillId="19" borderId="77" xfId="0" applyNumberFormat="1" applyFont="1" applyFill="1" applyBorder="1" applyAlignment="1">
      <alignment vertical="center" wrapText="1"/>
    </xf>
    <xf numFmtId="4" fontId="73" fillId="19" borderId="78" xfId="0" applyNumberFormat="1" applyFont="1" applyFill="1" applyBorder="1" applyAlignment="1">
      <alignment horizontal="right" vertical="center" wrapText="1"/>
    </xf>
    <xf numFmtId="14" fontId="73" fillId="29" borderId="77" xfId="0" applyNumberFormat="1" applyFont="1" applyFill="1" applyBorder="1" applyAlignment="1">
      <alignment vertical="center" wrapText="1"/>
    </xf>
    <xf numFmtId="4" fontId="73" fillId="29" borderId="78" xfId="0" applyNumberFormat="1" applyFont="1" applyFill="1" applyBorder="1" applyAlignment="1">
      <alignment horizontal="right" vertical="center" wrapText="1"/>
    </xf>
    <xf numFmtId="0" fontId="0" fillId="29" borderId="0" xfId="0" applyFill="1"/>
    <xf numFmtId="164" fontId="74" fillId="26" borderId="5" xfId="3" applyNumberFormat="1" applyFont="1" applyFill="1" applyBorder="1"/>
    <xf numFmtId="14" fontId="31" fillId="26" borderId="0" xfId="0" applyNumberFormat="1" applyFont="1" applyFill="1"/>
    <xf numFmtId="164" fontId="9" fillId="26" borderId="0" xfId="3" applyNumberFormat="1" applyFont="1" applyFill="1" applyBorder="1"/>
    <xf numFmtId="182" fontId="89" fillId="51" borderId="5" xfId="4" applyNumberFormat="1" applyFont="1" applyFill="1" applyBorder="1"/>
    <xf numFmtId="170" fontId="49" fillId="18" borderId="0" xfId="5" applyFont="1" applyFill="1" applyAlignment="1">
      <alignment horizontal="left"/>
    </xf>
    <xf numFmtId="0" fontId="7" fillId="16" borderId="0" xfId="0" applyFont="1" applyFill="1"/>
    <xf numFmtId="173" fontId="7" fillId="16" borderId="0" xfId="0" applyNumberFormat="1" applyFont="1" applyFill="1"/>
    <xf numFmtId="173" fontId="7" fillId="42" borderId="0" xfId="0" applyNumberFormat="1" applyFont="1" applyFill="1"/>
    <xf numFmtId="171" fontId="5" fillId="32" borderId="0" xfId="5" applyNumberFormat="1" applyFont="1" applyFill="1"/>
    <xf numFmtId="171" fontId="7" fillId="32" borderId="0" xfId="5" applyNumberFormat="1" applyFont="1" applyFill="1"/>
    <xf numFmtId="39" fontId="20" fillId="34" borderId="0" xfId="0" applyNumberFormat="1" applyFont="1" applyFill="1"/>
    <xf numFmtId="39" fontId="19" fillId="34" borderId="0" xfId="0" applyNumberFormat="1" applyFont="1" applyFill="1"/>
    <xf numFmtId="171" fontId="49" fillId="18" borderId="0" xfId="0" applyNumberFormat="1" applyFont="1" applyFill="1"/>
    <xf numFmtId="0" fontId="49" fillId="18" borderId="0" xfId="0" applyFont="1" applyFill="1"/>
    <xf numFmtId="173" fontId="49" fillId="18" borderId="5" xfId="0" applyNumberFormat="1" applyFont="1" applyFill="1" applyBorder="1"/>
    <xf numFmtId="183" fontId="9" fillId="15" borderId="0" xfId="20" applyNumberFormat="1" applyFont="1" applyFill="1"/>
    <xf numFmtId="14" fontId="73" fillId="13" borderId="98" xfId="0" applyNumberFormat="1" applyFont="1" applyFill="1" applyBorder="1" applyAlignment="1">
      <alignment vertical="center" wrapText="1"/>
    </xf>
    <xf numFmtId="0" fontId="73" fillId="13" borderId="98" xfId="0" applyFont="1" applyFill="1" applyBorder="1" applyAlignment="1">
      <alignment horizontal="right" vertical="center" wrapText="1"/>
    </xf>
    <xf numFmtId="168" fontId="0" fillId="0" borderId="0" xfId="0" applyNumberFormat="1"/>
    <xf numFmtId="4" fontId="73" fillId="13" borderId="98" xfId="0" applyNumberFormat="1" applyFont="1" applyFill="1" applyBorder="1" applyAlignment="1">
      <alignment horizontal="right" vertical="center" wrapText="1"/>
    </xf>
    <xf numFmtId="14" fontId="5" fillId="0" borderId="0" xfId="0" applyNumberFormat="1" applyFont="1"/>
    <xf numFmtId="171" fontId="49" fillId="18" borderId="5" xfId="0" applyNumberFormat="1" applyFont="1" applyFill="1" applyBorder="1"/>
    <xf numFmtId="171" fontId="5" fillId="15" borderId="0" xfId="5" applyNumberFormat="1" applyFont="1" applyFill="1"/>
    <xf numFmtId="183" fontId="7" fillId="15" borderId="0" xfId="10" applyNumberFormat="1" applyFont="1" applyFill="1"/>
    <xf numFmtId="199" fontId="5" fillId="15" borderId="0" xfId="5" applyNumberFormat="1" applyFont="1" applyFill="1" applyAlignment="1">
      <alignment horizontal="center"/>
    </xf>
    <xf numFmtId="170" fontId="5" fillId="15" borderId="0" xfId="5" applyFont="1" applyFill="1" applyAlignment="1">
      <alignment horizontal="left"/>
    </xf>
    <xf numFmtId="0" fontId="7" fillId="0" borderId="0" xfId="0" applyFont="1" applyAlignment="1">
      <alignment horizontal="center" vertical="center"/>
    </xf>
    <xf numFmtId="183" fontId="74" fillId="29" borderId="0" xfId="20" applyNumberFormat="1" applyFont="1" applyFill="1"/>
    <xf numFmtId="9" fontId="12" fillId="0" borderId="0" xfId="6" applyFont="1"/>
    <xf numFmtId="44" fontId="0" fillId="0" borderId="0" xfId="0" applyNumberFormat="1"/>
    <xf numFmtId="183" fontId="7" fillId="0" borderId="0" xfId="0" applyNumberFormat="1" applyFont="1" applyAlignment="1">
      <alignment horizontal="center" vertical="center"/>
    </xf>
    <xf numFmtId="173" fontId="35" fillId="33" borderId="0" xfId="5" applyNumberFormat="1" applyFont="1" applyFill="1"/>
    <xf numFmtId="4" fontId="5" fillId="0" borderId="41" xfId="0" applyNumberFormat="1" applyFont="1" applyBorder="1" applyAlignment="1">
      <alignment horizontal="right"/>
    </xf>
    <xf numFmtId="166" fontId="5" fillId="15" borderId="0" xfId="3" applyNumberFormat="1" applyFont="1" applyFill="1"/>
    <xf numFmtId="166" fontId="5" fillId="22" borderId="53" xfId="3" applyNumberFormat="1" applyFont="1" applyFill="1" applyBorder="1"/>
    <xf numFmtId="166" fontId="5" fillId="22" borderId="50" xfId="3" applyNumberFormat="1" applyFont="1" applyFill="1" applyBorder="1"/>
    <xf numFmtId="191" fontId="5" fillId="21" borderId="5" xfId="0" applyNumberFormat="1" applyFont="1" applyFill="1" applyBorder="1"/>
    <xf numFmtId="39" fontId="9" fillId="21" borderId="60" xfId="0" applyNumberFormat="1" applyFont="1" applyFill="1" applyBorder="1"/>
    <xf numFmtId="39" fontId="9" fillId="21" borderId="62" xfId="0" applyNumberFormat="1" applyFont="1" applyFill="1" applyBorder="1"/>
    <xf numFmtId="185" fontId="9" fillId="21" borderId="64" xfId="0" applyNumberFormat="1" applyFont="1" applyFill="1" applyBorder="1"/>
    <xf numFmtId="4" fontId="5" fillId="0" borderId="5" xfId="0" applyNumberFormat="1" applyFont="1" applyBorder="1" applyAlignment="1">
      <alignment horizontal="right"/>
    </xf>
    <xf numFmtId="187" fontId="5" fillId="0" borderId="0" xfId="0" applyNumberFormat="1" applyFont="1"/>
    <xf numFmtId="173" fontId="5" fillId="0" borderId="0" xfId="5" applyNumberFormat="1" applyFont="1"/>
    <xf numFmtId="0" fontId="5" fillId="16" borderId="5" xfId="0" applyFont="1" applyFill="1" applyBorder="1" applyAlignment="1">
      <alignment horizontal="right"/>
    </xf>
    <xf numFmtId="0" fontId="5" fillId="16" borderId="0" xfId="0" applyFont="1" applyFill="1" applyAlignment="1">
      <alignment horizontal="right"/>
    </xf>
    <xf numFmtId="173" fontId="5" fillId="32" borderId="0" xfId="0" applyNumberFormat="1" applyFont="1" applyFill="1"/>
    <xf numFmtId="173" fontId="5" fillId="32" borderId="0" xfId="5" applyNumberFormat="1" applyFont="1" applyFill="1"/>
    <xf numFmtId="191" fontId="5" fillId="32" borderId="0" xfId="0" applyNumberFormat="1" applyFont="1" applyFill="1"/>
    <xf numFmtId="193" fontId="5" fillId="32" borderId="0" xfId="0" applyNumberFormat="1" applyFont="1" applyFill="1"/>
    <xf numFmtId="173" fontId="5" fillId="18" borderId="0" xfId="5" applyNumberFormat="1" applyFont="1" applyFill="1"/>
    <xf numFmtId="191" fontId="5" fillId="32" borderId="5" xfId="0" applyNumberFormat="1" applyFont="1" applyFill="1" applyBorder="1"/>
    <xf numFmtId="183" fontId="5" fillId="0" borderId="0" xfId="0" applyNumberFormat="1" applyFont="1"/>
    <xf numFmtId="194" fontId="5" fillId="0" borderId="0" xfId="0" applyNumberFormat="1" applyFont="1"/>
    <xf numFmtId="168" fontId="5" fillId="11" borderId="0" xfId="4" applyFont="1" applyFill="1" applyBorder="1" applyAlignment="1" applyProtection="1">
      <alignment horizontal="right"/>
    </xf>
    <xf numFmtId="168" fontId="5" fillId="39" borderId="0" xfId="4" applyFont="1" applyFill="1" applyBorder="1" applyAlignment="1" applyProtection="1">
      <alignment horizontal="right"/>
    </xf>
    <xf numFmtId="198" fontId="5" fillId="11" borderId="0" xfId="4" applyNumberFormat="1" applyFont="1" applyFill="1" applyBorder="1" applyAlignment="1" applyProtection="1">
      <alignment horizontal="right"/>
    </xf>
    <xf numFmtId="10" fontId="5" fillId="39" borderId="0" xfId="6" applyNumberFormat="1" applyFont="1" applyFill="1" applyBorder="1" applyAlignment="1" applyProtection="1">
      <alignment horizontal="right"/>
    </xf>
    <xf numFmtId="198" fontId="5" fillId="11" borderId="0" xfId="4" applyNumberFormat="1" applyFont="1" applyFill="1" applyBorder="1" applyAlignment="1" applyProtection="1"/>
    <xf numFmtId="4" fontId="5" fillId="0" borderId="0" xfId="5" applyNumberFormat="1" applyFont="1"/>
    <xf numFmtId="170" fontId="5" fillId="0" borderId="0" xfId="5" applyFont="1" applyAlignment="1">
      <alignment horizontal="right"/>
    </xf>
    <xf numFmtId="186" fontId="5" fillId="21" borderId="0" xfId="6" applyNumberFormat="1" applyFont="1" applyFill="1" applyBorder="1"/>
    <xf numFmtId="170" fontId="5" fillId="11" borderId="0" xfId="5" applyFont="1" applyFill="1" applyAlignment="1">
      <alignment horizontal="right"/>
    </xf>
    <xf numFmtId="170" fontId="5" fillId="0" borderId="0" xfId="5" applyFont="1" applyAlignment="1">
      <alignment horizontal="center"/>
    </xf>
    <xf numFmtId="4" fontId="5" fillId="11" borderId="0" xfId="5" applyNumberFormat="1" applyFont="1" applyFill="1" applyAlignment="1">
      <alignment horizontal="right"/>
    </xf>
    <xf numFmtId="170" fontId="5" fillId="0" borderId="0" xfId="5" applyFont="1" applyAlignment="1">
      <alignment horizontal="left"/>
    </xf>
    <xf numFmtId="3" fontId="5" fillId="6" borderId="5" xfId="0" applyNumberFormat="1" applyFont="1" applyFill="1" applyBorder="1"/>
    <xf numFmtId="39" fontId="5" fillId="0" borderId="0" xfId="5" applyNumberFormat="1" applyFont="1" applyAlignment="1">
      <alignment horizontal="right"/>
    </xf>
    <xf numFmtId="3" fontId="5" fillId="6" borderId="0" xfId="0" applyNumberFormat="1" applyFont="1" applyFill="1"/>
    <xf numFmtId="39" fontId="5" fillId="15" borderId="57" xfId="5" applyNumberFormat="1" applyFont="1" applyFill="1" applyBorder="1"/>
    <xf numFmtId="0" fontId="5" fillId="15" borderId="51" xfId="0" applyFont="1" applyFill="1" applyBorder="1"/>
    <xf numFmtId="39" fontId="5" fillId="15" borderId="0" xfId="5" applyNumberFormat="1" applyFont="1" applyFill="1"/>
    <xf numFmtId="0" fontId="5" fillId="15" borderId="53" xfId="0" applyFont="1" applyFill="1" applyBorder="1"/>
    <xf numFmtId="39" fontId="5" fillId="15" borderId="55" xfId="5" applyNumberFormat="1" applyFont="1" applyFill="1" applyBorder="1"/>
    <xf numFmtId="0" fontId="5" fillId="15" borderId="50" xfId="0" applyFont="1" applyFill="1" applyBorder="1"/>
    <xf numFmtId="0" fontId="5" fillId="29" borderId="0" xfId="0" applyFont="1" applyFill="1"/>
    <xf numFmtId="0" fontId="5" fillId="29" borderId="0" xfId="0" applyFont="1" applyFill="1" applyAlignment="1">
      <alignment horizontal="center"/>
    </xf>
    <xf numFmtId="14" fontId="5" fillId="29" borderId="0" xfId="0" applyNumberFormat="1" applyFont="1" applyFill="1"/>
    <xf numFmtId="173" fontId="5" fillId="31" borderId="0" xfId="0" applyNumberFormat="1" applyFont="1" applyFill="1"/>
    <xf numFmtId="4" fontId="5" fillId="26" borderId="0" xfId="5" applyNumberFormat="1" applyFont="1" applyFill="1"/>
    <xf numFmtId="179" fontId="5" fillId="11" borderId="5" xfId="5" applyNumberFormat="1" applyFont="1" applyFill="1" applyBorder="1"/>
    <xf numFmtId="173" fontId="5" fillId="29" borderId="0" xfId="0" applyNumberFormat="1" applyFont="1" applyFill="1"/>
    <xf numFmtId="0" fontId="5" fillId="29" borderId="0" xfId="0" applyFont="1" applyFill="1" applyAlignment="1">
      <alignment horizontal="right"/>
    </xf>
    <xf numFmtId="188" fontId="5" fillId="29" borderId="0" xfId="0" applyNumberFormat="1" applyFont="1" applyFill="1"/>
    <xf numFmtId="180" fontId="5" fillId="11" borderId="5" xfId="6" applyNumberFormat="1" applyFont="1" applyFill="1" applyBorder="1" applyAlignment="1" applyProtection="1">
      <alignment horizontal="right"/>
    </xf>
    <xf numFmtId="0" fontId="5" fillId="11" borderId="5" xfId="5" applyNumberFormat="1" applyFont="1" applyFill="1" applyBorder="1"/>
    <xf numFmtId="4" fontId="5" fillId="0" borderId="0" xfId="5" applyNumberFormat="1" applyFont="1" applyAlignment="1">
      <alignment horizontal="right"/>
    </xf>
    <xf numFmtId="0" fontId="5" fillId="11" borderId="47" xfId="5" applyNumberFormat="1" applyFont="1" applyFill="1" applyBorder="1"/>
    <xf numFmtId="0" fontId="5" fillId="11" borderId="5" xfId="0" applyFont="1" applyFill="1" applyBorder="1"/>
    <xf numFmtId="0" fontId="5" fillId="11" borderId="0" xfId="5" applyNumberFormat="1" applyFont="1" applyFill="1"/>
    <xf numFmtId="4" fontId="5" fillId="11" borderId="5" xfId="5" applyNumberFormat="1" applyFont="1" applyFill="1" applyBorder="1" applyAlignment="1">
      <alignment horizontal="right"/>
    </xf>
    <xf numFmtId="39" fontId="5" fillId="26" borderId="0" xfId="5" applyNumberFormat="1" applyFont="1" applyFill="1" applyAlignment="1">
      <alignment horizontal="right"/>
    </xf>
    <xf numFmtId="180" fontId="5" fillId="11" borderId="0" xfId="6" applyNumberFormat="1" applyFont="1" applyFill="1" applyBorder="1" applyAlignment="1" applyProtection="1">
      <alignment horizontal="right"/>
    </xf>
    <xf numFmtId="170" fontId="5" fillId="26" borderId="0" xfId="5" applyFont="1" applyFill="1" applyAlignment="1">
      <alignment horizontal="right"/>
    </xf>
    <xf numFmtId="4" fontId="5" fillId="26" borderId="0" xfId="5" applyNumberFormat="1" applyFont="1" applyFill="1" applyAlignment="1">
      <alignment horizontal="right"/>
    </xf>
    <xf numFmtId="39" fontId="5" fillId="11" borderId="5" xfId="5" applyNumberFormat="1" applyFont="1" applyFill="1" applyBorder="1" applyAlignment="1">
      <alignment horizontal="right"/>
    </xf>
    <xf numFmtId="0" fontId="5" fillId="11" borderId="5" xfId="5" applyNumberFormat="1" applyFont="1" applyFill="1" applyBorder="1" applyAlignment="1">
      <alignment horizontal="left"/>
    </xf>
    <xf numFmtId="181" fontId="5" fillId="11" borderId="5" xfId="5" applyNumberFormat="1" applyFont="1" applyFill="1" applyBorder="1" applyAlignment="1">
      <alignment horizontal="right"/>
    </xf>
    <xf numFmtId="178" fontId="5" fillId="11" borderId="5" xfId="5" applyNumberFormat="1" applyFont="1" applyFill="1" applyBorder="1" applyAlignment="1">
      <alignment horizontal="right"/>
    </xf>
    <xf numFmtId="39" fontId="5" fillId="19" borderId="5" xfId="5" applyNumberFormat="1" applyFont="1" applyFill="1" applyBorder="1" applyAlignment="1">
      <alignment horizontal="right"/>
    </xf>
    <xf numFmtId="4" fontId="5" fillId="11" borderId="0" xfId="5" applyNumberFormat="1" applyFont="1" applyFill="1"/>
    <xf numFmtId="181" fontId="5" fillId="11" borderId="0" xfId="5" applyNumberFormat="1" applyFont="1" applyFill="1" applyAlignment="1">
      <alignment horizontal="right"/>
    </xf>
    <xf numFmtId="171" fontId="5" fillId="24" borderId="44" xfId="5" applyNumberFormat="1" applyFont="1" applyFill="1" applyBorder="1"/>
    <xf numFmtId="173" fontId="5" fillId="24" borderId="0" xfId="0" applyNumberFormat="1" applyFont="1" applyFill="1"/>
    <xf numFmtId="170" fontId="5" fillId="24" borderId="0" xfId="5" applyFont="1" applyFill="1"/>
    <xf numFmtId="171" fontId="5" fillId="24" borderId="0" xfId="5" applyNumberFormat="1" applyFont="1" applyFill="1"/>
    <xf numFmtId="10" fontId="5" fillId="24" borderId="46" xfId="5" applyNumberFormat="1" applyFont="1" applyFill="1" applyBorder="1"/>
    <xf numFmtId="170" fontId="5" fillId="24" borderId="0" xfId="5" applyFont="1" applyFill="1" applyAlignment="1">
      <alignment horizontal="left"/>
    </xf>
    <xf numFmtId="39" fontId="5" fillId="11" borderId="47" xfId="5" applyNumberFormat="1" applyFont="1" applyFill="1" applyBorder="1" applyAlignment="1">
      <alignment horizontal="right"/>
    </xf>
    <xf numFmtId="39" fontId="5" fillId="11" borderId="0" xfId="5" applyNumberFormat="1" applyFont="1" applyFill="1" applyAlignment="1">
      <alignment horizontal="right"/>
    </xf>
    <xf numFmtId="10" fontId="5" fillId="24" borderId="0" xfId="5" applyNumberFormat="1" applyFont="1" applyFill="1"/>
    <xf numFmtId="10" fontId="5" fillId="32" borderId="0" xfId="5" applyNumberFormat="1" applyFont="1" applyFill="1"/>
    <xf numFmtId="170" fontId="5" fillId="11" borderId="5" xfId="5" applyFont="1" applyFill="1" applyBorder="1" applyAlignment="1">
      <alignment horizontal="right"/>
    </xf>
    <xf numFmtId="0" fontId="5" fillId="11" borderId="0" xfId="0" applyFont="1" applyFill="1"/>
    <xf numFmtId="170" fontId="5" fillId="11" borderId="5" xfId="5" applyFont="1" applyFill="1" applyBorder="1" applyAlignment="1">
      <alignment horizontal="left"/>
    </xf>
    <xf numFmtId="10" fontId="5" fillId="11" borderId="5" xfId="6" applyNumberFormat="1" applyFont="1" applyFill="1" applyBorder="1" applyAlignment="1" applyProtection="1">
      <alignment horizontal="right"/>
    </xf>
    <xf numFmtId="0" fontId="5" fillId="12" borderId="0" xfId="0" applyFont="1" applyFill="1" applyAlignment="1">
      <alignment horizontal="center" wrapText="1"/>
    </xf>
    <xf numFmtId="14" fontId="5" fillId="12" borderId="0" xfId="0" applyNumberFormat="1" applyFont="1" applyFill="1" applyAlignment="1">
      <alignment horizontal="center" wrapText="1"/>
    </xf>
    <xf numFmtId="4" fontId="5" fillId="12" borderId="0" xfId="0" applyNumberFormat="1" applyFont="1" applyFill="1" applyAlignment="1">
      <alignment horizontal="right" wrapText="1"/>
    </xf>
    <xf numFmtId="0" fontId="5" fillId="12" borderId="0" xfId="0" applyFont="1" applyFill="1" applyAlignment="1">
      <alignment horizontal="right" wrapText="1"/>
    </xf>
    <xf numFmtId="0" fontId="5" fillId="11" borderId="5" xfId="5" applyNumberFormat="1" applyFont="1" applyFill="1" applyBorder="1" applyAlignment="1">
      <alignment horizontal="right"/>
    </xf>
    <xf numFmtId="4" fontId="9" fillId="11" borderId="5" xfId="5" applyNumberFormat="1" applyFont="1" applyFill="1" applyBorder="1" applyAlignment="1">
      <alignment horizontal="right"/>
    </xf>
    <xf numFmtId="179" fontId="5" fillId="11" borderId="5" xfId="5" applyNumberFormat="1" applyFont="1" applyFill="1" applyBorder="1" applyAlignment="1">
      <alignment horizontal="right"/>
    </xf>
    <xf numFmtId="179" fontId="5" fillId="11" borderId="0" xfId="0" applyNumberFormat="1" applyFont="1" applyFill="1"/>
    <xf numFmtId="173" fontId="5" fillId="0" borderId="0" xfId="0" applyNumberFormat="1" applyFont="1"/>
    <xf numFmtId="172" fontId="5" fillId="11" borderId="43" xfId="5" applyNumberFormat="1" applyFont="1" applyFill="1" applyBorder="1" applyAlignment="1">
      <alignment horizontal="right"/>
    </xf>
    <xf numFmtId="4" fontId="5" fillId="11" borderId="5" xfId="5" applyNumberFormat="1" applyFont="1" applyFill="1" applyBorder="1"/>
    <xf numFmtId="171" fontId="5" fillId="11" borderId="5" xfId="5" applyNumberFormat="1" applyFont="1" applyFill="1" applyBorder="1"/>
    <xf numFmtId="4" fontId="5" fillId="11" borderId="5" xfId="5" applyNumberFormat="1" applyFont="1" applyFill="1" applyBorder="1" applyAlignment="1">
      <alignment horizontal="left"/>
    </xf>
    <xf numFmtId="10" fontId="5" fillId="11" borderId="5" xfId="6" applyNumberFormat="1" applyFont="1" applyFill="1" applyBorder="1" applyAlignment="1" applyProtection="1">
      <alignment horizontal="left"/>
    </xf>
    <xf numFmtId="172" fontId="5" fillId="11" borderId="0" xfId="5" applyNumberFormat="1" applyFont="1" applyFill="1" applyAlignment="1">
      <alignment horizontal="right"/>
    </xf>
    <xf numFmtId="171" fontId="5" fillId="11" borderId="0" xfId="5" applyNumberFormat="1" applyFont="1" applyFill="1"/>
    <xf numFmtId="4" fontId="5" fillId="11" borderId="0" xfId="5" applyNumberFormat="1" applyFont="1" applyFill="1" applyAlignment="1">
      <alignment horizontal="left"/>
    </xf>
    <xf numFmtId="10" fontId="5" fillId="11" borderId="0" xfId="6" applyNumberFormat="1" applyFont="1" applyFill="1" applyBorder="1" applyAlignment="1" applyProtection="1">
      <alignment horizontal="left"/>
    </xf>
    <xf numFmtId="171" fontId="5" fillId="0" borderId="44" xfId="5" applyNumberFormat="1" applyFont="1" applyBorder="1"/>
    <xf numFmtId="10" fontId="5" fillId="0" borderId="46" xfId="5" applyNumberFormat="1" applyFont="1" applyBorder="1"/>
    <xf numFmtId="10" fontId="5" fillId="0" borderId="0" xfId="5" applyNumberFormat="1" applyFont="1"/>
    <xf numFmtId="171" fontId="5" fillId="0" borderId="59" xfId="5" applyNumberFormat="1" applyFont="1" applyBorder="1"/>
    <xf numFmtId="173" fontId="5" fillId="0" borderId="68" xfId="0" applyNumberFormat="1" applyFont="1" applyBorder="1"/>
    <xf numFmtId="170" fontId="5" fillId="0" borderId="68" xfId="5" applyFont="1" applyBorder="1"/>
    <xf numFmtId="171" fontId="5" fillId="0" borderId="68" xfId="5" applyNumberFormat="1" applyFont="1" applyBorder="1"/>
    <xf numFmtId="10" fontId="5" fillId="0" borderId="69" xfId="5" applyNumberFormat="1" applyFont="1" applyBorder="1"/>
    <xf numFmtId="170" fontId="5" fillId="0" borderId="60" xfId="5" applyFont="1" applyBorder="1" applyAlignment="1">
      <alignment horizontal="left"/>
    </xf>
    <xf numFmtId="171" fontId="5" fillId="0" borderId="61" xfId="5" applyNumberFormat="1" applyFont="1" applyBorder="1"/>
    <xf numFmtId="170" fontId="5" fillId="0" borderId="62" xfId="5" applyFont="1" applyBorder="1" applyAlignment="1">
      <alignment horizontal="left"/>
    </xf>
    <xf numFmtId="171" fontId="5" fillId="0" borderId="63" xfId="5" applyNumberFormat="1" applyFont="1" applyBorder="1"/>
    <xf numFmtId="173" fontId="5" fillId="0" borderId="58" xfId="0" applyNumberFormat="1" applyFont="1" applyBorder="1"/>
    <xf numFmtId="170" fontId="5" fillId="0" borderId="58" xfId="5" applyFont="1" applyBorder="1"/>
    <xf numFmtId="171" fontId="5" fillId="0" borderId="58" xfId="5" applyNumberFormat="1" applyFont="1" applyBorder="1"/>
    <xf numFmtId="10" fontId="5" fillId="0" borderId="58" xfId="5" applyNumberFormat="1" applyFont="1" applyBorder="1"/>
    <xf numFmtId="170" fontId="5" fillId="0" borderId="64" xfId="5" applyFont="1" applyBorder="1" applyAlignment="1">
      <alignment horizontal="left"/>
    </xf>
    <xf numFmtId="10" fontId="5" fillId="0" borderId="68" xfId="5" applyNumberFormat="1" applyFont="1" applyBorder="1"/>
    <xf numFmtId="171" fontId="5" fillId="29" borderId="61" xfId="5" applyNumberFormat="1" applyFont="1" applyFill="1" applyBorder="1"/>
    <xf numFmtId="170" fontId="5" fillId="29" borderId="0" xfId="5" applyFont="1" applyFill="1"/>
    <xf numFmtId="171" fontId="5" fillId="29" borderId="0" xfId="5" applyNumberFormat="1" applyFont="1" applyFill="1"/>
    <xf numFmtId="10" fontId="5" fillId="29" borderId="0" xfId="5" applyNumberFormat="1" applyFont="1" applyFill="1"/>
    <xf numFmtId="170" fontId="5" fillId="29" borderId="62" xfId="5" applyFont="1" applyFill="1" applyBorder="1" applyAlignment="1">
      <alignment horizontal="left"/>
    </xf>
    <xf numFmtId="10" fontId="5" fillId="29" borderId="46" xfId="5" applyNumberFormat="1" applyFont="1" applyFill="1" applyBorder="1"/>
    <xf numFmtId="171" fontId="5" fillId="29" borderId="44" xfId="5" applyNumberFormat="1" applyFont="1" applyFill="1" applyBorder="1"/>
    <xf numFmtId="170" fontId="5" fillId="29" borderId="0" xfId="5" applyFont="1" applyFill="1" applyAlignment="1">
      <alignment horizontal="left"/>
    </xf>
    <xf numFmtId="171" fontId="5" fillId="28" borderId="61" xfId="5" applyNumberFormat="1" applyFont="1" applyFill="1" applyBorder="1"/>
    <xf numFmtId="173" fontId="5" fillId="28" borderId="0" xfId="0" applyNumberFormat="1" applyFont="1" applyFill="1"/>
    <xf numFmtId="170" fontId="5" fillId="28" borderId="0" xfId="5" applyFont="1" applyFill="1"/>
    <xf numFmtId="171" fontId="5" fillId="28" borderId="0" xfId="5" applyNumberFormat="1" applyFont="1" applyFill="1"/>
    <xf numFmtId="10" fontId="5" fillId="28" borderId="46" xfId="5" applyNumberFormat="1" applyFont="1" applyFill="1" applyBorder="1"/>
    <xf numFmtId="170" fontId="5" fillId="28" borderId="62" xfId="5" applyFont="1" applyFill="1" applyBorder="1" applyAlignment="1">
      <alignment horizontal="left"/>
    </xf>
    <xf numFmtId="171" fontId="5" fillId="27" borderId="61" xfId="5" applyNumberFormat="1" applyFont="1" applyFill="1" applyBorder="1"/>
    <xf numFmtId="173" fontId="5" fillId="27" borderId="0" xfId="0" applyNumberFormat="1" applyFont="1" applyFill="1"/>
    <xf numFmtId="170" fontId="5" fillId="27" borderId="0" xfId="5" applyFont="1" applyFill="1"/>
    <xf numFmtId="171" fontId="5" fillId="27" borderId="0" xfId="5" applyNumberFormat="1" applyFont="1" applyFill="1"/>
    <xf numFmtId="10" fontId="5" fillId="27" borderId="46" xfId="5" applyNumberFormat="1" applyFont="1" applyFill="1" applyBorder="1"/>
    <xf numFmtId="170" fontId="5" fillId="27" borderId="62" xfId="5" applyFont="1" applyFill="1" applyBorder="1" applyAlignment="1">
      <alignment horizontal="left"/>
    </xf>
    <xf numFmtId="171" fontId="5" fillId="27" borderId="63" xfId="5" applyNumberFormat="1" applyFont="1" applyFill="1" applyBorder="1"/>
    <xf numFmtId="173" fontId="5" fillId="27" borderId="58" xfId="0" applyNumberFormat="1" applyFont="1" applyFill="1" applyBorder="1"/>
    <xf numFmtId="170" fontId="5" fillId="27" borderId="58" xfId="5" applyFont="1" applyFill="1" applyBorder="1"/>
    <xf numFmtId="171" fontId="5" fillId="27" borderId="58" xfId="5" applyNumberFormat="1" applyFont="1" applyFill="1" applyBorder="1"/>
    <xf numFmtId="10" fontId="5" fillId="27" borderId="58" xfId="5" applyNumberFormat="1" applyFont="1" applyFill="1" applyBorder="1"/>
    <xf numFmtId="170" fontId="5" fillId="27" borderId="64" xfId="5" applyFont="1" applyFill="1" applyBorder="1" applyAlignment="1">
      <alignment horizontal="left"/>
    </xf>
    <xf numFmtId="168" fontId="5" fillId="11" borderId="0" xfId="4" applyFont="1" applyFill="1" applyBorder="1" applyProtection="1"/>
    <xf numFmtId="179" fontId="5" fillId="11" borderId="0" xfId="4" applyNumberFormat="1" applyFont="1" applyFill="1" applyBorder="1" applyAlignment="1" applyProtection="1"/>
    <xf numFmtId="190" fontId="5" fillId="0" borderId="0" xfId="0" applyNumberFormat="1" applyFont="1"/>
    <xf numFmtId="171" fontId="5" fillId="28" borderId="44" xfId="5" applyNumberFormat="1" applyFont="1" applyFill="1" applyBorder="1"/>
    <xf numFmtId="170" fontId="5" fillId="28" borderId="0" xfId="5" applyFont="1" applyFill="1" applyAlignment="1">
      <alignment horizontal="left"/>
    </xf>
    <xf numFmtId="168" fontId="5" fillId="11" borderId="71" xfId="4" applyFont="1" applyFill="1" applyBorder="1" applyAlignment="1" applyProtection="1">
      <alignment horizontal="right"/>
    </xf>
    <xf numFmtId="10" fontId="5" fillId="0" borderId="0" xfId="6" applyNumberFormat="1" applyFont="1"/>
    <xf numFmtId="180" fontId="5" fillId="0" borderId="0" xfId="6" applyNumberFormat="1" applyFont="1"/>
    <xf numFmtId="0" fontId="9" fillId="0" borderId="0" xfId="0" applyFont="1"/>
    <xf numFmtId="0" fontId="9" fillId="0" borderId="8" xfId="0" applyFont="1" applyBorder="1"/>
    <xf numFmtId="176" fontId="9" fillId="0" borderId="11" xfId="0" applyNumberFormat="1" applyFont="1" applyBorder="1"/>
    <xf numFmtId="177" fontId="9" fillId="0" borderId="0" xfId="1" applyFont="1" applyFill="1" applyBorder="1"/>
    <xf numFmtId="175" fontId="9" fillId="0" borderId="12" xfId="0" applyNumberFormat="1" applyFont="1" applyBorder="1"/>
    <xf numFmtId="0" fontId="9" fillId="0" borderId="11" xfId="0" applyFont="1" applyBorder="1"/>
    <xf numFmtId="176" fontId="9" fillId="0" borderId="13" xfId="0" applyNumberFormat="1" applyFont="1" applyBorder="1"/>
    <xf numFmtId="177" fontId="9" fillId="0" borderId="4" xfId="1" applyFont="1" applyFill="1" applyBorder="1"/>
    <xf numFmtId="175" fontId="9" fillId="0" borderId="14" xfId="0" applyNumberFormat="1" applyFont="1" applyBorder="1"/>
    <xf numFmtId="172" fontId="5" fillId="11" borderId="5" xfId="5" applyNumberFormat="1" applyFont="1" applyFill="1" applyBorder="1" applyAlignment="1">
      <alignment horizontal="right"/>
    </xf>
    <xf numFmtId="171" fontId="5" fillId="32" borderId="44" xfId="5" applyNumberFormat="1" applyFont="1" applyFill="1" applyBorder="1"/>
    <xf numFmtId="183" fontId="5" fillId="32" borderId="0" xfId="0" applyNumberFormat="1" applyFont="1" applyFill="1"/>
    <xf numFmtId="170" fontId="5" fillId="32" borderId="0" xfId="5" applyFont="1" applyFill="1"/>
    <xf numFmtId="10" fontId="5" fillId="32" borderId="46" xfId="5" applyNumberFormat="1" applyFont="1" applyFill="1" applyBorder="1"/>
    <xf numFmtId="170" fontId="5" fillId="32" borderId="0" xfId="5" applyFont="1" applyFill="1" applyAlignment="1">
      <alignment horizontal="left"/>
    </xf>
    <xf numFmtId="194" fontId="5" fillId="11" borderId="0" xfId="3" applyNumberFormat="1" applyFont="1" applyFill="1" applyBorder="1" applyAlignment="1" applyProtection="1">
      <alignment horizontal="right"/>
    </xf>
    <xf numFmtId="14" fontId="73" fillId="57" borderId="77" xfId="0" applyNumberFormat="1" applyFont="1" applyFill="1" applyBorder="1" applyAlignment="1">
      <alignment vertical="center" wrapText="1"/>
    </xf>
    <xf numFmtId="4" fontId="73" fillId="57" borderId="78" xfId="0" applyNumberFormat="1" applyFont="1" applyFill="1" applyBorder="1" applyAlignment="1">
      <alignment horizontal="right" vertical="center" wrapText="1"/>
    </xf>
    <xf numFmtId="0" fontId="0" fillId="57" borderId="0" xfId="0" applyFill="1"/>
    <xf numFmtId="14" fontId="73" fillId="58" borderId="77" xfId="0" applyNumberFormat="1" applyFont="1" applyFill="1" applyBorder="1" applyAlignment="1">
      <alignment vertical="center" wrapText="1"/>
    </xf>
    <xf numFmtId="4" fontId="73" fillId="58" borderId="78" xfId="0" applyNumberFormat="1" applyFont="1" applyFill="1" applyBorder="1" applyAlignment="1">
      <alignment horizontal="right" vertical="center" wrapText="1"/>
    </xf>
    <xf numFmtId="0" fontId="0" fillId="58" borderId="0" xfId="0" applyFill="1"/>
    <xf numFmtId="164" fontId="7" fillId="0" borderId="0" xfId="20" applyNumberFormat="1" applyFont="1"/>
    <xf numFmtId="201" fontId="7" fillId="42" borderId="5" xfId="0" applyNumberFormat="1" applyFont="1" applyFill="1" applyBorder="1"/>
    <xf numFmtId="202" fontId="7" fillId="42" borderId="5" xfId="0" applyNumberFormat="1" applyFont="1" applyFill="1" applyBorder="1"/>
    <xf numFmtId="203" fontId="5" fillId="32" borderId="0" xfId="0" applyNumberFormat="1" applyFont="1" applyFill="1"/>
    <xf numFmtId="4" fontId="5" fillId="0" borderId="0" xfId="0" applyNumberFormat="1" applyFont="1"/>
    <xf numFmtId="4" fontId="7" fillId="0" borderId="0" xfId="0" applyNumberFormat="1" applyFont="1" applyAlignment="1">
      <alignment horizontal="center" vertical="center"/>
    </xf>
    <xf numFmtId="171" fontId="7" fillId="15" borderId="0" xfId="0" applyNumberFormat="1" applyFont="1" applyFill="1"/>
    <xf numFmtId="0" fontId="7" fillId="15" borderId="0" xfId="0" applyFont="1" applyFill="1"/>
    <xf numFmtId="173" fontId="5" fillId="15" borderId="0" xfId="5" applyNumberFormat="1" applyFont="1" applyFill="1"/>
    <xf numFmtId="173" fontId="8" fillId="0" borderId="0" xfId="0" applyNumberFormat="1" applyFont="1"/>
    <xf numFmtId="10" fontId="7" fillId="0" borderId="0" xfId="6" applyNumberFormat="1" applyFont="1"/>
    <xf numFmtId="173" fontId="5" fillId="15" borderId="0" xfId="0" applyNumberFormat="1" applyFont="1" applyFill="1"/>
    <xf numFmtId="173" fontId="49" fillId="18" borderId="0" xfId="0" applyNumberFormat="1" applyFont="1" applyFill="1"/>
    <xf numFmtId="204" fontId="49" fillId="18" borderId="0" xfId="0" applyNumberFormat="1" applyFont="1" applyFill="1"/>
    <xf numFmtId="204" fontId="49" fillId="33" borderId="0" xfId="0" applyNumberFormat="1" applyFont="1" applyFill="1"/>
    <xf numFmtId="4" fontId="7" fillId="15" borderId="0" xfId="0" applyNumberFormat="1" applyFont="1" applyFill="1" applyAlignment="1">
      <alignment horizontal="right"/>
    </xf>
    <xf numFmtId="183" fontId="74" fillId="15" borderId="0" xfId="20" applyNumberFormat="1" applyFont="1" applyFill="1"/>
    <xf numFmtId="171" fontId="74" fillId="15" borderId="0" xfId="5" applyNumberFormat="1" applyFont="1" applyFill="1"/>
    <xf numFmtId="170" fontId="74" fillId="15" borderId="0" xfId="5" applyFont="1" applyFill="1"/>
    <xf numFmtId="0" fontId="49" fillId="39" borderId="0" xfId="10" applyFont="1" applyFill="1"/>
    <xf numFmtId="173" fontId="7" fillId="0" borderId="0" xfId="5" applyNumberFormat="1" applyFont="1"/>
    <xf numFmtId="4" fontId="73" fillId="15" borderId="76" xfId="0" applyNumberFormat="1" applyFont="1" applyFill="1" applyBorder="1" applyAlignment="1">
      <alignment horizontal="right" vertical="center" wrapText="1"/>
    </xf>
    <xf numFmtId="170" fontId="57" fillId="30" borderId="0" xfId="5" applyFont="1" applyFill="1" applyAlignment="1">
      <alignment horizontal="center"/>
    </xf>
    <xf numFmtId="197" fontId="0" fillId="0" borderId="0" xfId="0" applyNumberFormat="1"/>
    <xf numFmtId="0" fontId="7" fillId="15" borderId="0" xfId="0" applyFont="1" applyFill="1" applyAlignment="1">
      <alignment horizontal="center"/>
    </xf>
    <xf numFmtId="183" fontId="12" fillId="0" borderId="0" xfId="5" applyNumberFormat="1"/>
    <xf numFmtId="197" fontId="12" fillId="0" borderId="0" xfId="5" applyNumberFormat="1"/>
    <xf numFmtId="170" fontId="74" fillId="0" borderId="0" xfId="0" applyNumberFormat="1" applyFont="1"/>
    <xf numFmtId="183" fontId="63" fillId="0" borderId="0" xfId="0" applyNumberFormat="1" applyFont="1"/>
    <xf numFmtId="171" fontId="5" fillId="0" borderId="0" xfId="0" applyNumberFormat="1" applyFont="1"/>
    <xf numFmtId="171" fontId="0" fillId="15" borderId="0" xfId="0" applyNumberFormat="1" applyFill="1"/>
    <xf numFmtId="197" fontId="63" fillId="15" borderId="0" xfId="0" applyNumberFormat="1" applyFont="1" applyFill="1"/>
    <xf numFmtId="183" fontId="63" fillId="15" borderId="0" xfId="0" applyNumberFormat="1" applyFont="1" applyFill="1"/>
    <xf numFmtId="197" fontId="5" fillId="15" borderId="0" xfId="0" applyNumberFormat="1" applyFont="1" applyFill="1"/>
    <xf numFmtId="183" fontId="63" fillId="15" borderId="55" xfId="0" applyNumberFormat="1" applyFont="1" applyFill="1" applyBorder="1"/>
    <xf numFmtId="164" fontId="63" fillId="15" borderId="55" xfId="0" applyNumberFormat="1" applyFont="1" applyFill="1" applyBorder="1"/>
    <xf numFmtId="0" fontId="63" fillId="15" borderId="0" xfId="0" applyFont="1" applyFill="1"/>
    <xf numFmtId="183" fontId="63" fillId="15" borderId="58" xfId="0" applyNumberFormat="1" applyFont="1" applyFill="1" applyBorder="1"/>
    <xf numFmtId="164" fontId="63" fillId="15" borderId="58" xfId="0" applyNumberFormat="1" applyFont="1" applyFill="1" applyBorder="1"/>
    <xf numFmtId="44" fontId="63" fillId="15" borderId="0" xfId="0" applyNumberFormat="1" applyFont="1" applyFill="1"/>
    <xf numFmtId="183" fontId="0" fillId="15" borderId="58" xfId="0" applyNumberFormat="1" applyFill="1" applyBorder="1"/>
    <xf numFmtId="194" fontId="0" fillId="15" borderId="0" xfId="0" applyNumberFormat="1" applyFill="1"/>
    <xf numFmtId="164" fontId="9" fillId="15" borderId="0" xfId="20" applyNumberFormat="1" applyFont="1" applyFill="1"/>
    <xf numFmtId="183" fontId="74" fillId="46" borderId="0" xfId="20" applyNumberFormat="1" applyFont="1" applyFill="1"/>
    <xf numFmtId="0" fontId="0" fillId="0" borderId="0" xfId="0" pivotButton="1"/>
    <xf numFmtId="183" fontId="74" fillId="19" borderId="0" xfId="20" applyNumberFormat="1" applyFont="1" applyFill="1"/>
    <xf numFmtId="171" fontId="74" fillId="19" borderId="0" xfId="5" applyNumberFormat="1" applyFont="1" applyFill="1"/>
    <xf numFmtId="170" fontId="74" fillId="19" borderId="0" xfId="5" applyFont="1" applyFill="1"/>
    <xf numFmtId="197" fontId="74" fillId="19" borderId="0" xfId="5" applyNumberFormat="1" applyFont="1" applyFill="1"/>
    <xf numFmtId="10" fontId="74" fillId="19" borderId="0" xfId="5" applyNumberFormat="1" applyFont="1" applyFill="1"/>
    <xf numFmtId="0" fontId="74" fillId="19" borderId="0" xfId="0" applyFont="1" applyFill="1"/>
    <xf numFmtId="4" fontId="74" fillId="19" borderId="0" xfId="7" applyNumberFormat="1" applyFont="1" applyFill="1"/>
    <xf numFmtId="197" fontId="74" fillId="60" borderId="0" xfId="5" applyNumberFormat="1" applyFont="1" applyFill="1"/>
    <xf numFmtId="183" fontId="74" fillId="60" borderId="0" xfId="20" applyNumberFormat="1" applyFont="1" applyFill="1"/>
    <xf numFmtId="171" fontId="74" fillId="60" borderId="0" xfId="5" applyNumberFormat="1" applyFont="1" applyFill="1"/>
    <xf numFmtId="170" fontId="74" fillId="60" borderId="0" xfId="5" applyFont="1" applyFill="1"/>
    <xf numFmtId="0" fontId="74" fillId="60" borderId="0" xfId="0" applyFont="1" applyFill="1"/>
    <xf numFmtId="4" fontId="74" fillId="60" borderId="0" xfId="7" applyNumberFormat="1" applyFont="1" applyFill="1"/>
    <xf numFmtId="10" fontId="74" fillId="60" borderId="0" xfId="5" applyNumberFormat="1" applyFont="1" applyFill="1"/>
    <xf numFmtId="197" fontId="41" fillId="61" borderId="0" xfId="5" applyNumberFormat="1" applyFont="1" applyFill="1"/>
    <xf numFmtId="183" fontId="41" fillId="61" borderId="0" xfId="20" applyNumberFormat="1" applyFont="1" applyFill="1"/>
    <xf numFmtId="171" fontId="41" fillId="61" borderId="0" xfId="5" applyNumberFormat="1" applyFont="1" applyFill="1"/>
    <xf numFmtId="170" fontId="41" fillId="61" borderId="0" xfId="5" applyFont="1" applyFill="1"/>
    <xf numFmtId="0" fontId="41" fillId="61" borderId="0" xfId="0" applyFont="1" applyFill="1"/>
    <xf numFmtId="4" fontId="41" fillId="61" borderId="0" xfId="7" applyNumberFormat="1" applyFont="1" applyFill="1"/>
    <xf numFmtId="10" fontId="41" fillId="61" borderId="0" xfId="5" applyNumberFormat="1" applyFont="1" applyFill="1"/>
    <xf numFmtId="197" fontId="74" fillId="17" borderId="0" xfId="5" applyNumberFormat="1" applyFont="1" applyFill="1"/>
    <xf numFmtId="183" fontId="74" fillId="17" borderId="0" xfId="20" applyNumberFormat="1" applyFont="1" applyFill="1"/>
    <xf numFmtId="170" fontId="74" fillId="17" borderId="0" xfId="5" applyFont="1" applyFill="1"/>
    <xf numFmtId="10" fontId="74" fillId="17" borderId="0" xfId="5" applyNumberFormat="1" applyFont="1" applyFill="1"/>
    <xf numFmtId="0" fontId="74" fillId="17" borderId="0" xfId="0" applyFont="1" applyFill="1"/>
    <xf numFmtId="4" fontId="74" fillId="17" borderId="0" xfId="7" applyNumberFormat="1" applyFont="1" applyFill="1"/>
    <xf numFmtId="4" fontId="74" fillId="62" borderId="0" xfId="7" applyNumberFormat="1" applyFont="1" applyFill="1"/>
    <xf numFmtId="197" fontId="74" fillId="62" borderId="0" xfId="5" applyNumberFormat="1" applyFont="1" applyFill="1"/>
    <xf numFmtId="183" fontId="74" fillId="62" borderId="0" xfId="20" applyNumberFormat="1" applyFont="1" applyFill="1"/>
    <xf numFmtId="170" fontId="74" fillId="62" borderId="0" xfId="5" applyFont="1" applyFill="1"/>
    <xf numFmtId="10" fontId="74" fillId="62" borderId="0" xfId="5" applyNumberFormat="1" applyFont="1" applyFill="1"/>
    <xf numFmtId="0" fontId="74" fillId="62" borderId="0" xfId="0" applyFont="1" applyFill="1"/>
    <xf numFmtId="182" fontId="74" fillId="62" borderId="0" xfId="4" applyNumberFormat="1" applyFont="1" applyFill="1" applyBorder="1" applyProtection="1"/>
    <xf numFmtId="194" fontId="74" fillId="62" borderId="0" xfId="3" applyNumberFormat="1" applyFont="1" applyFill="1" applyBorder="1"/>
    <xf numFmtId="183" fontId="74" fillId="62" borderId="0" xfId="0" applyNumberFormat="1" applyFont="1" applyFill="1"/>
    <xf numFmtId="173" fontId="90" fillId="18" borderId="0" xfId="5" applyNumberFormat="1" applyFont="1" applyFill="1"/>
    <xf numFmtId="170" fontId="74" fillId="47" borderId="0" xfId="5" applyFont="1" applyFill="1"/>
    <xf numFmtId="194" fontId="7" fillId="58" borderId="0" xfId="0" applyNumberFormat="1" applyFont="1" applyFill="1" applyAlignment="1">
      <alignment horizontal="left"/>
    </xf>
    <xf numFmtId="183" fontId="7" fillId="58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14" fontId="73" fillId="45" borderId="77" xfId="0" applyNumberFormat="1" applyFont="1" applyFill="1" applyBorder="1" applyAlignment="1">
      <alignment vertical="center" wrapText="1"/>
    </xf>
    <xf numFmtId="4" fontId="73" fillId="45" borderId="78" xfId="0" applyNumberFormat="1" applyFont="1" applyFill="1" applyBorder="1" applyAlignment="1">
      <alignment horizontal="right" vertical="center" wrapText="1"/>
    </xf>
    <xf numFmtId="194" fontId="0" fillId="0" borderId="0" xfId="3" applyNumberFormat="1" applyFont="1"/>
    <xf numFmtId="194" fontId="31" fillId="0" borderId="0" xfId="0" applyNumberFormat="1" applyFont="1"/>
    <xf numFmtId="197" fontId="74" fillId="15" borderId="0" xfId="5" applyNumberFormat="1" applyFont="1" applyFill="1"/>
    <xf numFmtId="10" fontId="74" fillId="15" borderId="0" xfId="5" applyNumberFormat="1" applyFont="1" applyFill="1"/>
    <xf numFmtId="0" fontId="74" fillId="15" borderId="0" xfId="0" applyFont="1" applyFill="1"/>
    <xf numFmtId="183" fontId="31" fillId="0" borderId="0" xfId="20" applyNumberFormat="1" applyFont="1"/>
    <xf numFmtId="173" fontId="35" fillId="33" borderId="43" xfId="0" applyNumberFormat="1" applyFont="1" applyFill="1" applyBorder="1"/>
    <xf numFmtId="173" fontId="49" fillId="18" borderId="43" xfId="0" applyNumberFormat="1" applyFont="1" applyFill="1" applyBorder="1"/>
    <xf numFmtId="14" fontId="49" fillId="33" borderId="0" xfId="0" applyNumberFormat="1" applyFont="1" applyFill="1"/>
    <xf numFmtId="14" fontId="49" fillId="18" borderId="0" xfId="0" applyNumberFormat="1" applyFont="1" applyFill="1"/>
    <xf numFmtId="14" fontId="91" fillId="13" borderId="98" xfId="0" applyNumberFormat="1" applyFont="1" applyFill="1" applyBorder="1" applyAlignment="1">
      <alignment vertical="center" wrapText="1"/>
    </xf>
    <xf numFmtId="4" fontId="91" fillId="13" borderId="98" xfId="0" applyNumberFormat="1" applyFont="1" applyFill="1" applyBorder="1" applyAlignment="1">
      <alignment horizontal="right" vertical="center" wrapText="1"/>
    </xf>
    <xf numFmtId="170" fontId="78" fillId="0" borderId="41" xfId="5" applyFont="1" applyBorder="1" applyAlignment="1">
      <alignment horizontal="center" vertical="justify"/>
    </xf>
    <xf numFmtId="0" fontId="31" fillId="62" borderId="0" xfId="0" applyFont="1" applyFill="1"/>
    <xf numFmtId="183" fontId="31" fillId="62" borderId="0" xfId="0" applyNumberFormat="1" applyFont="1" applyFill="1"/>
    <xf numFmtId="170" fontId="57" fillId="0" borderId="55" xfId="5" applyFont="1" applyBorder="1" applyAlignment="1">
      <alignment horizontal="center"/>
    </xf>
    <xf numFmtId="170" fontId="57" fillId="0" borderId="99" xfId="5" applyFont="1" applyBorder="1" applyAlignment="1">
      <alignment horizontal="center"/>
    </xf>
    <xf numFmtId="170" fontId="57" fillId="0" borderId="100" xfId="5" applyFont="1" applyBorder="1" applyAlignment="1">
      <alignment horizontal="center"/>
    </xf>
    <xf numFmtId="42" fontId="57" fillId="0" borderId="55" xfId="4" applyNumberFormat="1" applyFont="1" applyBorder="1" applyAlignment="1" applyProtection="1">
      <alignment horizontal="center"/>
    </xf>
    <xf numFmtId="170" fontId="57" fillId="0" borderId="50" xfId="5" applyFont="1" applyBorder="1" applyAlignment="1">
      <alignment horizontal="center"/>
    </xf>
    <xf numFmtId="170" fontId="49" fillId="18" borderId="0" xfId="5" applyFont="1" applyFill="1" applyAlignment="1">
      <alignment horizontal="left" wrapText="1"/>
    </xf>
    <xf numFmtId="182" fontId="0" fillId="0" borderId="0" xfId="0" applyNumberFormat="1"/>
    <xf numFmtId="197" fontId="35" fillId="39" borderId="0" xfId="5" applyNumberFormat="1" applyFont="1" applyFill="1"/>
    <xf numFmtId="0" fontId="35" fillId="39" borderId="0" xfId="5" applyNumberFormat="1" applyFont="1" applyFill="1" applyAlignment="1">
      <alignment horizontal="left"/>
    </xf>
    <xf numFmtId="182" fontId="7" fillId="0" borderId="0" xfId="0" applyNumberFormat="1" applyFont="1" applyAlignment="1">
      <alignment horizontal="center" vertical="center"/>
    </xf>
    <xf numFmtId="197" fontId="92" fillId="15" borderId="0" xfId="5" applyNumberFormat="1" applyFont="1" applyFill="1"/>
    <xf numFmtId="205" fontId="5" fillId="18" borderId="0" xfId="5" applyNumberFormat="1" applyFont="1" applyFill="1"/>
    <xf numFmtId="10" fontId="37" fillId="0" borderId="0" xfId="0" applyNumberFormat="1" applyFont="1"/>
    <xf numFmtId="202" fontId="93" fillId="63" borderId="101" xfId="0" applyNumberFormat="1" applyFont="1" applyFill="1" applyBorder="1" applyAlignment="1">
      <alignment horizontal="left"/>
    </xf>
    <xf numFmtId="202" fontId="93" fillId="63" borderId="0" xfId="0" applyNumberFormat="1" applyFont="1" applyFill="1" applyAlignment="1">
      <alignment horizontal="left"/>
    </xf>
    <xf numFmtId="173" fontId="74" fillId="0" borderId="0" xfId="20" applyNumberFormat="1" applyFont="1"/>
    <xf numFmtId="164" fontId="38" fillId="0" borderId="0" xfId="20" applyNumberFormat="1" applyFont="1"/>
    <xf numFmtId="0" fontId="0" fillId="0" borderId="0" xfId="0" applyAlignment="1">
      <alignment wrapText="1"/>
    </xf>
    <xf numFmtId="0" fontId="94" fillId="15" borderId="41" xfId="0" applyFont="1" applyFill="1" applyBorder="1"/>
    <xf numFmtId="0" fontId="0" fillId="15" borderId="102" xfId="0" applyFill="1" applyBorder="1"/>
    <xf numFmtId="0" fontId="0" fillId="15" borderId="62" xfId="0" applyFill="1" applyBorder="1"/>
    <xf numFmtId="0" fontId="0" fillId="15" borderId="41" xfId="0" applyFill="1" applyBorder="1"/>
    <xf numFmtId="205" fontId="35" fillId="33" borderId="0" xfId="5" applyNumberFormat="1" applyFont="1" applyFill="1"/>
    <xf numFmtId="205" fontId="35" fillId="18" borderId="43" xfId="5" applyNumberFormat="1" applyFont="1" applyFill="1" applyBorder="1"/>
    <xf numFmtId="205" fontId="35" fillId="18" borderId="5" xfId="5" applyNumberFormat="1" applyFont="1" applyFill="1" applyBorder="1"/>
    <xf numFmtId="170" fontId="31" fillId="17" borderId="0" xfId="5" applyFont="1" applyFill="1"/>
    <xf numFmtId="168" fontId="0" fillId="39" borderId="0" xfId="4" applyFont="1" applyFill="1" applyAlignment="1">
      <alignment horizontal="right"/>
    </xf>
    <xf numFmtId="168" fontId="0" fillId="11" borderId="0" xfId="4" applyFont="1" applyFill="1"/>
    <xf numFmtId="168" fontId="0" fillId="11" borderId="0" xfId="4" applyFont="1" applyFill="1" applyAlignment="1">
      <alignment horizontal="right"/>
    </xf>
    <xf numFmtId="183" fontId="95" fillId="0" borderId="0" xfId="20" applyNumberFormat="1" applyFont="1"/>
    <xf numFmtId="171" fontId="95" fillId="0" borderId="0" xfId="5" applyNumberFormat="1" applyFont="1"/>
    <xf numFmtId="170" fontId="95" fillId="0" borderId="0" xfId="5" applyFont="1"/>
    <xf numFmtId="0" fontId="95" fillId="0" borderId="0" xfId="0" applyFont="1"/>
    <xf numFmtId="4" fontId="95" fillId="0" borderId="0" xfId="7" applyNumberFormat="1" applyFont="1"/>
    <xf numFmtId="9" fontId="35" fillId="33" borderId="0" xfId="6" applyFont="1" applyFill="1"/>
    <xf numFmtId="10" fontId="35" fillId="33" borderId="0" xfId="6" applyNumberFormat="1" applyFont="1" applyFill="1"/>
    <xf numFmtId="194" fontId="80" fillId="62" borderId="93" xfId="3" applyNumberFormat="1" applyFont="1" applyFill="1" applyBorder="1"/>
    <xf numFmtId="206" fontId="5" fillId="32" borderId="0" xfId="0" applyNumberFormat="1" applyFont="1" applyFill="1"/>
    <xf numFmtId="0" fontId="32" fillId="0" borderId="0" xfId="0" applyFont="1" applyAlignment="1">
      <alignment horizontal="center"/>
    </xf>
    <xf numFmtId="0" fontId="30" fillId="23" borderId="0" xfId="0" applyFont="1" applyFill="1" applyAlignment="1">
      <alignment horizontal="right" vertical="center" wrapText="1"/>
    </xf>
    <xf numFmtId="0" fontId="75" fillId="48" borderId="80" xfId="0" applyFont="1" applyFill="1" applyBorder="1" applyAlignment="1">
      <alignment horizontal="center" vertical="center" wrapText="1"/>
    </xf>
    <xf numFmtId="0" fontId="75" fillId="48" borderId="81" xfId="0" applyFont="1" applyFill="1" applyBorder="1" applyAlignment="1">
      <alignment horizontal="center" vertical="center" wrapText="1"/>
    </xf>
    <xf numFmtId="0" fontId="75" fillId="48" borderId="90" xfId="0" applyFont="1" applyFill="1" applyBorder="1" applyAlignment="1">
      <alignment horizontal="center" vertical="center" wrapText="1"/>
    </xf>
    <xf numFmtId="0" fontId="76" fillId="49" borderId="82" xfId="0" applyFont="1" applyFill="1" applyBorder="1" applyAlignment="1">
      <alignment horizontal="center" vertical="center" wrapText="1"/>
    </xf>
    <xf numFmtId="0" fontId="76" fillId="49" borderId="83" xfId="0" applyFont="1" applyFill="1" applyBorder="1" applyAlignment="1">
      <alignment horizontal="center" vertical="center" wrapText="1"/>
    </xf>
    <xf numFmtId="0" fontId="76" fillId="49" borderId="91" xfId="0" applyFont="1" applyFill="1" applyBorder="1" applyAlignment="1">
      <alignment horizontal="center" vertical="center" wrapText="1"/>
    </xf>
    <xf numFmtId="0" fontId="75" fillId="54" borderId="80" xfId="0" applyFont="1" applyFill="1" applyBorder="1" applyAlignment="1">
      <alignment horizontal="center" vertical="center" wrapText="1"/>
    </xf>
    <xf numFmtId="0" fontId="75" fillId="54" borderId="81" xfId="0" applyFont="1" applyFill="1" applyBorder="1" applyAlignment="1">
      <alignment horizontal="center" vertical="center" wrapText="1"/>
    </xf>
    <xf numFmtId="0" fontId="75" fillId="54" borderId="90" xfId="0" applyFont="1" applyFill="1" applyBorder="1" applyAlignment="1">
      <alignment horizontal="center" vertical="center" wrapText="1"/>
    </xf>
    <xf numFmtId="0" fontId="75" fillId="59" borderId="80" xfId="0" applyFont="1" applyFill="1" applyBorder="1" applyAlignment="1">
      <alignment horizontal="center" vertical="center" wrapText="1"/>
    </xf>
    <xf numFmtId="0" fontId="75" fillId="59" borderId="81" xfId="0" applyFont="1" applyFill="1" applyBorder="1" applyAlignment="1">
      <alignment horizontal="center" vertical="center" wrapText="1"/>
    </xf>
    <xf numFmtId="0" fontId="75" fillId="59" borderId="90" xfId="0" applyFont="1" applyFill="1" applyBorder="1" applyAlignment="1">
      <alignment horizontal="center" vertical="center" wrapText="1"/>
    </xf>
    <xf numFmtId="0" fontId="55" fillId="0" borderId="72" xfId="0" applyFont="1" applyBorder="1" applyAlignment="1">
      <alignment horizontal="left" vertical="top" wrapText="1"/>
    </xf>
    <xf numFmtId="0" fontId="55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</cellXfs>
  <cellStyles count="80">
    <cellStyle name="Euro" xfId="1" xr:uid="{00000000-0005-0000-0000-000000000000}"/>
    <cellStyle name="Hipervínculo" xfId="2" builtinId="8"/>
    <cellStyle name="Moneda" xfId="3" builtinId="4"/>
    <cellStyle name="Moneda [0]" xfId="4" builtinId="7"/>
    <cellStyle name="Moneda [0] 2" xfId="9" xr:uid="{00000000-0005-0000-0000-000004000000}"/>
    <cellStyle name="Moneda [0] 2 2" xfId="26" xr:uid="{00000000-0005-0000-0000-000005000000}"/>
    <cellStyle name="Moneda [0] 2 2 2" xfId="59" xr:uid="{00000000-0005-0000-0000-000006000000}"/>
    <cellStyle name="Moneda [0] 2 3" xfId="47" xr:uid="{00000000-0005-0000-0000-000007000000}"/>
    <cellStyle name="Moneda [0] 3" xfId="22" xr:uid="{00000000-0005-0000-0000-000008000000}"/>
    <cellStyle name="Moneda [0] 4" xfId="18" xr:uid="{00000000-0005-0000-0000-000009000000}"/>
    <cellStyle name="Moneda [0] 4 2" xfId="55" xr:uid="{00000000-0005-0000-0000-00000A000000}"/>
    <cellStyle name="Moneda 10" xfId="39" xr:uid="{00000000-0005-0000-0000-00000B000000}"/>
    <cellStyle name="Moneda 10 2" xfId="71" xr:uid="{00000000-0005-0000-0000-00000C000000}"/>
    <cellStyle name="Moneda 11" xfId="38" xr:uid="{00000000-0005-0000-0000-00000D000000}"/>
    <cellStyle name="Moneda 11 2" xfId="70" xr:uid="{00000000-0005-0000-0000-00000E000000}"/>
    <cellStyle name="Moneda 12" xfId="19" xr:uid="{00000000-0005-0000-0000-00000F000000}"/>
    <cellStyle name="Moneda 12 2" xfId="56" xr:uid="{00000000-0005-0000-0000-000010000000}"/>
    <cellStyle name="Moneda 13" xfId="42" xr:uid="{00000000-0005-0000-0000-000011000000}"/>
    <cellStyle name="Moneda 13 2" xfId="74" xr:uid="{00000000-0005-0000-0000-000012000000}"/>
    <cellStyle name="Moneda 14" xfId="41" xr:uid="{00000000-0005-0000-0000-000013000000}"/>
    <cellStyle name="Moneda 14 2" xfId="73" xr:uid="{00000000-0005-0000-0000-000014000000}"/>
    <cellStyle name="Moneda 15" xfId="43" xr:uid="{00000000-0005-0000-0000-000015000000}"/>
    <cellStyle name="Moneda 15 2" xfId="75" xr:uid="{00000000-0005-0000-0000-000016000000}"/>
    <cellStyle name="Moneda 16" xfId="44" xr:uid="{00000000-0005-0000-0000-000017000000}"/>
    <cellStyle name="Moneda 16 2" xfId="76" xr:uid="{00000000-0005-0000-0000-000018000000}"/>
    <cellStyle name="Moneda 17" xfId="78" xr:uid="{00000000-0005-0000-0000-000019000000}"/>
    <cellStyle name="Moneda 18" xfId="79" xr:uid="{00000000-0005-0000-0000-00001A000000}"/>
    <cellStyle name="Moneda 2" xfId="11" xr:uid="{00000000-0005-0000-0000-00001B000000}"/>
    <cellStyle name="Moneda 2 2" xfId="33" xr:uid="{00000000-0005-0000-0000-00001C000000}"/>
    <cellStyle name="Moneda 2 2 2" xfId="65" xr:uid="{00000000-0005-0000-0000-00001D000000}"/>
    <cellStyle name="Moneda 2 3" xfId="27" xr:uid="{00000000-0005-0000-0000-00001E000000}"/>
    <cellStyle name="Moneda 2 3 2" xfId="60" xr:uid="{00000000-0005-0000-0000-00001F000000}"/>
    <cellStyle name="Moneda 2 4" xfId="48" xr:uid="{00000000-0005-0000-0000-000020000000}"/>
    <cellStyle name="Moneda 3" xfId="12" xr:uid="{00000000-0005-0000-0000-000021000000}"/>
    <cellStyle name="Moneda 3 2" xfId="34" xr:uid="{00000000-0005-0000-0000-000022000000}"/>
    <cellStyle name="Moneda 3 2 2" xfId="66" xr:uid="{00000000-0005-0000-0000-000023000000}"/>
    <cellStyle name="Moneda 3 3" xfId="28" xr:uid="{00000000-0005-0000-0000-000024000000}"/>
    <cellStyle name="Moneda 3 3 2" xfId="61" xr:uid="{00000000-0005-0000-0000-000025000000}"/>
    <cellStyle name="Moneda 3 4" xfId="49" xr:uid="{00000000-0005-0000-0000-000026000000}"/>
    <cellStyle name="Moneda 4" xfId="13" xr:uid="{00000000-0005-0000-0000-000027000000}"/>
    <cellStyle name="Moneda 4 2" xfId="35" xr:uid="{00000000-0005-0000-0000-000028000000}"/>
    <cellStyle name="Moneda 4 2 2" xfId="67" xr:uid="{00000000-0005-0000-0000-000029000000}"/>
    <cellStyle name="Moneda 4 3" xfId="29" xr:uid="{00000000-0005-0000-0000-00002A000000}"/>
    <cellStyle name="Moneda 4 3 2" xfId="62" xr:uid="{00000000-0005-0000-0000-00002B000000}"/>
    <cellStyle name="Moneda 4 4" xfId="50" xr:uid="{00000000-0005-0000-0000-00002C000000}"/>
    <cellStyle name="Moneda 5" xfId="14" xr:uid="{00000000-0005-0000-0000-00002D000000}"/>
    <cellStyle name="Moneda 5 2" xfId="36" xr:uid="{00000000-0005-0000-0000-00002E000000}"/>
    <cellStyle name="Moneda 5 2 2" xfId="68" xr:uid="{00000000-0005-0000-0000-00002F000000}"/>
    <cellStyle name="Moneda 5 3" xfId="30" xr:uid="{00000000-0005-0000-0000-000030000000}"/>
    <cellStyle name="Moneda 5 3 2" xfId="63" xr:uid="{00000000-0005-0000-0000-000031000000}"/>
    <cellStyle name="Moneda 5 4" xfId="51" xr:uid="{00000000-0005-0000-0000-000032000000}"/>
    <cellStyle name="Moneda 6" xfId="15" xr:uid="{00000000-0005-0000-0000-000033000000}"/>
    <cellStyle name="Moneda 6 2" xfId="37" xr:uid="{00000000-0005-0000-0000-000034000000}"/>
    <cellStyle name="Moneda 6 2 2" xfId="69" xr:uid="{00000000-0005-0000-0000-000035000000}"/>
    <cellStyle name="Moneda 6 3" xfId="31" xr:uid="{00000000-0005-0000-0000-000036000000}"/>
    <cellStyle name="Moneda 6 3 2" xfId="64" xr:uid="{00000000-0005-0000-0000-000037000000}"/>
    <cellStyle name="Moneda 6 4" xfId="52" xr:uid="{00000000-0005-0000-0000-000038000000}"/>
    <cellStyle name="Moneda 7" xfId="21" xr:uid="{00000000-0005-0000-0000-000039000000}"/>
    <cellStyle name="Moneda 8" xfId="32" xr:uid="{00000000-0005-0000-0000-00003A000000}"/>
    <cellStyle name="Moneda 9" xfId="40" xr:uid="{00000000-0005-0000-0000-00003B000000}"/>
    <cellStyle name="Moneda 9 2" xfId="72" xr:uid="{00000000-0005-0000-0000-00003C000000}"/>
    <cellStyle name="Normal" xfId="0" builtinId="0"/>
    <cellStyle name="Normal 2" xfId="10" xr:uid="{00000000-0005-0000-0000-00003E000000}"/>
    <cellStyle name="Normal 3" xfId="7" xr:uid="{00000000-0005-0000-0000-00003F000000}"/>
    <cellStyle name="Normal 3 2" xfId="24" xr:uid="{00000000-0005-0000-0000-000040000000}"/>
    <cellStyle name="Normal 3 2 2" xfId="57" xr:uid="{00000000-0005-0000-0000-000041000000}"/>
    <cellStyle name="Normal 3 3" xfId="45" xr:uid="{00000000-0005-0000-0000-000042000000}"/>
    <cellStyle name="Normal 4" xfId="20" xr:uid="{00000000-0005-0000-0000-000043000000}"/>
    <cellStyle name="Normal 5" xfId="16" xr:uid="{00000000-0005-0000-0000-000044000000}"/>
    <cellStyle name="Normal 5 2" xfId="53" xr:uid="{00000000-0005-0000-0000-000045000000}"/>
    <cellStyle name="Normal 6" xfId="77" xr:uid="{00000000-0005-0000-0000-000046000000}"/>
    <cellStyle name="Normal_RESUMEN" xfId="5" xr:uid="{00000000-0005-0000-0000-000047000000}"/>
    <cellStyle name="Porcentaje" xfId="6" builtinId="5"/>
    <cellStyle name="Porcentaje 2" xfId="8" xr:uid="{00000000-0005-0000-0000-000049000000}"/>
    <cellStyle name="Porcentaje 2 2" xfId="25" xr:uid="{00000000-0005-0000-0000-00004A000000}"/>
    <cellStyle name="Porcentaje 2 2 2" xfId="58" xr:uid="{00000000-0005-0000-0000-00004B000000}"/>
    <cellStyle name="Porcentaje 2 3" xfId="46" xr:uid="{00000000-0005-0000-0000-00004C000000}"/>
    <cellStyle name="Porcentaje 3" xfId="23" xr:uid="{00000000-0005-0000-0000-00004D000000}"/>
    <cellStyle name="Porcentaje 4" xfId="17" xr:uid="{00000000-0005-0000-0000-00004E000000}"/>
    <cellStyle name="Porcentaje 4 2" xfId="54" xr:uid="{00000000-0005-0000-0000-00004F000000}"/>
  </cellStyles>
  <dxfs count="929"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ill>
        <patternFill>
          <bgColor theme="0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00FF99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83" formatCode="_ [$$-2C0A]\ * #,##0.00_ ;_ [$$-2C0A]\ * \-#,##0.00_ ;_ [$$-2C0A]\ * &quot;-&quot;??_ ;_ @_ "/>
      <fill>
        <patternFill patternType="solid">
          <fgColor indexed="64"/>
          <bgColor rgb="FF00FF9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00FF9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4" formatCode="_-[$$-2C0A]\ * #,##0.00_-;\-[$$-2C0A]\ * #,##0.00_-;_-[$$-2C0A]\ * &quot;-&quot;??_-;_-@_-"/>
      <fill>
        <patternFill patternType="solid">
          <fgColor indexed="64"/>
          <bgColor rgb="FF00FF9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00FF99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00FF9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00FF9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82" formatCode="#,##0.00_ ;\-#,##0.00\ "/>
      <fill>
        <patternFill patternType="solid">
          <fgColor indexed="64"/>
          <bgColor rgb="FF00FF99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00FF9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82" formatCode="#,##0.00_ ;\-#,##0.00\ "/>
      <fill>
        <patternFill patternType="solid">
          <fgColor indexed="64"/>
          <bgColor rgb="FF00FF99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4" formatCode="#,##0.00"/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theme="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71" formatCode="d/m/yy"/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183" formatCode="_ [$$-2C0A]\ * #,##0.00_ ;_ [$$-2C0A]\ * \-#,##0.00_ ;_ [$$-2C0A]\ * &quot;-&quot;??_ ;_ @_ 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183" formatCode="_ [$$-2C0A]\ * #,##0.00_ ;_ [$$-2C0A]\ * \-#,##0.00_ ;_ [$$-2C0A]\ * &quot;-&quot;??_ ;_ @_ "/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rgb="FFFFFF00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97" formatCode="dd/mm/yy;@"/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Black"/>
        <family val="2"/>
        <scheme val="none"/>
      </font>
      <alignment horizontal="center" vertical="justify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DDDDDD"/>
        </left>
        <right/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border outline="0">
        <top style="medium">
          <color rgb="FFDDDDDD"/>
        </top>
      </border>
    </dxf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border outline="0">
        <bottom style="thick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/>
      </border>
    </dxf>
    <dxf>
      <numFmt numFmtId="18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86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87" formatCode="[$-C0A]mmmm\-yy;@"/>
    </dxf>
    <dxf>
      <font>
        <b val="0"/>
        <i val="0"/>
      </font>
    </dxf>
    <dxf>
      <font>
        <b/>
        <i val="0"/>
      </font>
    </dxf>
    <dxf>
      <font>
        <b/>
        <i val="0"/>
        <color theme="3"/>
      </font>
      <fill>
        <patternFill>
          <bgColor theme="4"/>
        </patternFill>
      </fill>
    </dxf>
  </dxfs>
  <tableStyles count="1" defaultTableStyle="TableStyleMedium9" defaultPivotStyle="PivotStyleLight16">
    <tableStyle name="Transporte" pivot="0" count="3" xr9:uid="{00000000-0011-0000-FFFF-FFFF00000000}">
      <tableStyleElement type="headerRow" dxfId="928"/>
      <tableStyleElement type="totalRow" dxfId="927"/>
      <tableStyleElement type="firstColumn" dxfId="926"/>
    </tableStyle>
  </tableStyles>
  <colors>
    <mruColors>
      <color rgb="FFFF9900"/>
      <color rgb="FF00FF99"/>
      <color rgb="FFCCFFCC"/>
      <color rgb="FFFFFF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5512D110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0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433249071024546E-2"/>
          <c:y val="7.8319500007572262E-2"/>
          <c:w val="0.9510723846086403"/>
          <c:h val="0.8404415577085122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resumen!$A$2244:$A$2421</c:f>
              <c:numCache>
                <c:formatCode>[$-C0A]mmmm\-yy;@</c:formatCode>
                <c:ptCount val="178"/>
                <c:pt idx="0">
                  <c:v>40237</c:v>
                </c:pt>
                <c:pt idx="1">
                  <c:v>40265</c:v>
                </c:pt>
                <c:pt idx="2">
                  <c:v>40296</c:v>
                </c:pt>
                <c:pt idx="3">
                  <c:v>40326</c:v>
                </c:pt>
                <c:pt idx="4">
                  <c:v>40357</c:v>
                </c:pt>
                <c:pt idx="5">
                  <c:v>40387</c:v>
                </c:pt>
                <c:pt idx="6">
                  <c:v>40418</c:v>
                </c:pt>
                <c:pt idx="7">
                  <c:v>40449</c:v>
                </c:pt>
                <c:pt idx="8">
                  <c:v>40479</c:v>
                </c:pt>
                <c:pt idx="9">
                  <c:v>40510</c:v>
                </c:pt>
                <c:pt idx="10">
                  <c:v>40540</c:v>
                </c:pt>
                <c:pt idx="11">
                  <c:v>40571</c:v>
                </c:pt>
                <c:pt idx="12">
                  <c:v>40602</c:v>
                </c:pt>
                <c:pt idx="13">
                  <c:v>40630</c:v>
                </c:pt>
                <c:pt idx="14">
                  <c:v>40661</c:v>
                </c:pt>
                <c:pt idx="15">
                  <c:v>40691</c:v>
                </c:pt>
                <c:pt idx="16">
                  <c:v>40722</c:v>
                </c:pt>
                <c:pt idx="17">
                  <c:v>40752</c:v>
                </c:pt>
                <c:pt idx="18">
                  <c:v>40783</c:v>
                </c:pt>
                <c:pt idx="19">
                  <c:v>40814</c:v>
                </c:pt>
                <c:pt idx="20">
                  <c:v>40844</c:v>
                </c:pt>
                <c:pt idx="21">
                  <c:v>40875</c:v>
                </c:pt>
                <c:pt idx="22">
                  <c:v>40905</c:v>
                </c:pt>
                <c:pt idx="23">
                  <c:v>40936</c:v>
                </c:pt>
                <c:pt idx="24">
                  <c:v>40967</c:v>
                </c:pt>
                <c:pt idx="25">
                  <c:v>40996</c:v>
                </c:pt>
                <c:pt idx="26">
                  <c:v>41027</c:v>
                </c:pt>
                <c:pt idx="27">
                  <c:v>41057</c:v>
                </c:pt>
                <c:pt idx="28">
                  <c:v>41088</c:v>
                </c:pt>
                <c:pt idx="29">
                  <c:v>41118</c:v>
                </c:pt>
                <c:pt idx="30">
                  <c:v>41149</c:v>
                </c:pt>
                <c:pt idx="31">
                  <c:v>41180</c:v>
                </c:pt>
                <c:pt idx="32">
                  <c:v>41210</c:v>
                </c:pt>
                <c:pt idx="33">
                  <c:v>41241</c:v>
                </c:pt>
                <c:pt idx="34">
                  <c:v>41271</c:v>
                </c:pt>
                <c:pt idx="35">
                  <c:v>41302</c:v>
                </c:pt>
                <c:pt idx="36">
                  <c:v>41333</c:v>
                </c:pt>
                <c:pt idx="37">
                  <c:v>41361</c:v>
                </c:pt>
                <c:pt idx="38">
                  <c:v>41392</c:v>
                </c:pt>
                <c:pt idx="39">
                  <c:v>41422</c:v>
                </c:pt>
                <c:pt idx="40">
                  <c:v>41453</c:v>
                </c:pt>
                <c:pt idx="41">
                  <c:v>41483</c:v>
                </c:pt>
                <c:pt idx="42">
                  <c:v>41514</c:v>
                </c:pt>
                <c:pt idx="43">
                  <c:v>41545</c:v>
                </c:pt>
                <c:pt idx="44">
                  <c:v>41575</c:v>
                </c:pt>
                <c:pt idx="45">
                  <c:v>41606</c:v>
                </c:pt>
                <c:pt idx="46">
                  <c:v>41636</c:v>
                </c:pt>
                <c:pt idx="47">
                  <c:v>41667</c:v>
                </c:pt>
                <c:pt idx="48">
                  <c:v>41698</c:v>
                </c:pt>
                <c:pt idx="49">
                  <c:v>41726</c:v>
                </c:pt>
                <c:pt idx="50">
                  <c:v>41757</c:v>
                </c:pt>
                <c:pt idx="51">
                  <c:v>41787</c:v>
                </c:pt>
                <c:pt idx="52">
                  <c:v>41818</c:v>
                </c:pt>
                <c:pt idx="53">
                  <c:v>41848</c:v>
                </c:pt>
                <c:pt idx="54">
                  <c:v>41879</c:v>
                </c:pt>
                <c:pt idx="55">
                  <c:v>41910</c:v>
                </c:pt>
                <c:pt idx="56">
                  <c:v>41940</c:v>
                </c:pt>
                <c:pt idx="57">
                  <c:v>41971</c:v>
                </c:pt>
                <c:pt idx="58">
                  <c:v>42001</c:v>
                </c:pt>
                <c:pt idx="59">
                  <c:v>42032</c:v>
                </c:pt>
                <c:pt idx="60">
                  <c:v>42063</c:v>
                </c:pt>
                <c:pt idx="61">
                  <c:v>42091</c:v>
                </c:pt>
                <c:pt idx="62">
                  <c:v>42122</c:v>
                </c:pt>
                <c:pt idx="63">
                  <c:v>42152</c:v>
                </c:pt>
                <c:pt idx="64">
                  <c:v>42183</c:v>
                </c:pt>
                <c:pt idx="65">
                  <c:v>42213</c:v>
                </c:pt>
                <c:pt idx="66">
                  <c:v>42244</c:v>
                </c:pt>
                <c:pt idx="67">
                  <c:v>42275</c:v>
                </c:pt>
                <c:pt idx="68">
                  <c:v>42305</c:v>
                </c:pt>
                <c:pt idx="69">
                  <c:v>42336</c:v>
                </c:pt>
                <c:pt idx="70">
                  <c:v>42366</c:v>
                </c:pt>
                <c:pt idx="71">
                  <c:v>42397</c:v>
                </c:pt>
                <c:pt idx="72">
                  <c:v>42428</c:v>
                </c:pt>
                <c:pt idx="73">
                  <c:v>42457</c:v>
                </c:pt>
                <c:pt idx="74">
                  <c:v>42488</c:v>
                </c:pt>
                <c:pt idx="75">
                  <c:v>42518</c:v>
                </c:pt>
                <c:pt idx="76">
                  <c:v>42549</c:v>
                </c:pt>
                <c:pt idx="77">
                  <c:v>42579</c:v>
                </c:pt>
                <c:pt idx="78">
                  <c:v>42610</c:v>
                </c:pt>
                <c:pt idx="79">
                  <c:v>42641</c:v>
                </c:pt>
                <c:pt idx="80">
                  <c:v>42671</c:v>
                </c:pt>
                <c:pt idx="81">
                  <c:v>42702</c:v>
                </c:pt>
                <c:pt idx="82">
                  <c:v>42732</c:v>
                </c:pt>
                <c:pt idx="83">
                  <c:v>42763</c:v>
                </c:pt>
                <c:pt idx="84">
                  <c:v>42794</c:v>
                </c:pt>
                <c:pt idx="85">
                  <c:v>42822</c:v>
                </c:pt>
                <c:pt idx="86">
                  <c:v>42853</c:v>
                </c:pt>
                <c:pt idx="87">
                  <c:v>42883</c:v>
                </c:pt>
                <c:pt idx="88">
                  <c:v>42914</c:v>
                </c:pt>
                <c:pt idx="89">
                  <c:v>42944</c:v>
                </c:pt>
                <c:pt idx="90">
                  <c:v>42975</c:v>
                </c:pt>
                <c:pt idx="91">
                  <c:v>43006</c:v>
                </c:pt>
                <c:pt idx="92">
                  <c:v>43036</c:v>
                </c:pt>
                <c:pt idx="93">
                  <c:v>43067</c:v>
                </c:pt>
                <c:pt idx="94">
                  <c:v>43097</c:v>
                </c:pt>
                <c:pt idx="95">
                  <c:v>43128</c:v>
                </c:pt>
                <c:pt idx="96">
                  <c:v>43159</c:v>
                </c:pt>
                <c:pt idx="97">
                  <c:v>43187</c:v>
                </c:pt>
                <c:pt idx="98">
                  <c:v>43218</c:v>
                </c:pt>
                <c:pt idx="99">
                  <c:v>43248</c:v>
                </c:pt>
                <c:pt idx="100">
                  <c:v>43279</c:v>
                </c:pt>
                <c:pt idx="101">
                  <c:v>43309</c:v>
                </c:pt>
                <c:pt idx="102">
                  <c:v>43340</c:v>
                </c:pt>
                <c:pt idx="103">
                  <c:v>43371</c:v>
                </c:pt>
                <c:pt idx="104">
                  <c:v>43401</c:v>
                </c:pt>
                <c:pt idx="105">
                  <c:v>43432</c:v>
                </c:pt>
                <c:pt idx="106">
                  <c:v>43462</c:v>
                </c:pt>
                <c:pt idx="107">
                  <c:v>43493</c:v>
                </c:pt>
                <c:pt idx="108">
                  <c:v>43524</c:v>
                </c:pt>
                <c:pt idx="109">
                  <c:v>43552</c:v>
                </c:pt>
                <c:pt idx="110">
                  <c:v>43583</c:v>
                </c:pt>
                <c:pt idx="111">
                  <c:v>43613</c:v>
                </c:pt>
                <c:pt idx="112">
                  <c:v>43644</c:v>
                </c:pt>
                <c:pt idx="113">
                  <c:v>43674</c:v>
                </c:pt>
                <c:pt idx="114">
                  <c:v>43705</c:v>
                </c:pt>
                <c:pt idx="115">
                  <c:v>43736</c:v>
                </c:pt>
                <c:pt idx="116">
                  <c:v>43766</c:v>
                </c:pt>
                <c:pt idx="117">
                  <c:v>43797</c:v>
                </c:pt>
                <c:pt idx="118">
                  <c:v>43827</c:v>
                </c:pt>
                <c:pt idx="119">
                  <c:v>43858</c:v>
                </c:pt>
                <c:pt idx="120">
                  <c:v>43889</c:v>
                </c:pt>
                <c:pt idx="121">
                  <c:v>43918</c:v>
                </c:pt>
                <c:pt idx="122">
                  <c:v>43949</c:v>
                </c:pt>
                <c:pt idx="123">
                  <c:v>43979</c:v>
                </c:pt>
                <c:pt idx="124">
                  <c:v>44010</c:v>
                </c:pt>
                <c:pt idx="125">
                  <c:v>44040</c:v>
                </c:pt>
                <c:pt idx="126">
                  <c:v>44071</c:v>
                </c:pt>
                <c:pt idx="127">
                  <c:v>44102</c:v>
                </c:pt>
                <c:pt idx="128">
                  <c:v>44132</c:v>
                </c:pt>
                <c:pt idx="129">
                  <c:v>44163</c:v>
                </c:pt>
                <c:pt idx="130">
                  <c:v>44193</c:v>
                </c:pt>
                <c:pt idx="131">
                  <c:v>44224</c:v>
                </c:pt>
                <c:pt idx="132">
                  <c:v>44255</c:v>
                </c:pt>
                <c:pt idx="133">
                  <c:v>44283</c:v>
                </c:pt>
                <c:pt idx="134">
                  <c:v>44314</c:v>
                </c:pt>
                <c:pt idx="135">
                  <c:v>44344</c:v>
                </c:pt>
                <c:pt idx="136">
                  <c:v>44375</c:v>
                </c:pt>
                <c:pt idx="137">
                  <c:v>44405</c:v>
                </c:pt>
                <c:pt idx="138">
                  <c:v>44436</c:v>
                </c:pt>
                <c:pt idx="139">
                  <c:v>44467</c:v>
                </c:pt>
                <c:pt idx="140">
                  <c:v>44497</c:v>
                </c:pt>
                <c:pt idx="141">
                  <c:v>44528</c:v>
                </c:pt>
                <c:pt idx="142">
                  <c:v>44558</c:v>
                </c:pt>
                <c:pt idx="143">
                  <c:v>44589</c:v>
                </c:pt>
                <c:pt idx="144">
                  <c:v>44620</c:v>
                </c:pt>
                <c:pt idx="145">
                  <c:v>44648</c:v>
                </c:pt>
                <c:pt idx="146">
                  <c:v>44679</c:v>
                </c:pt>
                <c:pt idx="147">
                  <c:v>44709</c:v>
                </c:pt>
                <c:pt idx="148">
                  <c:v>44740</c:v>
                </c:pt>
                <c:pt idx="149">
                  <c:v>44770</c:v>
                </c:pt>
                <c:pt idx="150">
                  <c:v>44801</c:v>
                </c:pt>
                <c:pt idx="151">
                  <c:v>44832</c:v>
                </c:pt>
                <c:pt idx="152">
                  <c:v>44862</c:v>
                </c:pt>
                <c:pt idx="153">
                  <c:v>44893</c:v>
                </c:pt>
                <c:pt idx="154">
                  <c:v>44923</c:v>
                </c:pt>
                <c:pt idx="155">
                  <c:v>44954</c:v>
                </c:pt>
                <c:pt idx="156">
                  <c:v>44985</c:v>
                </c:pt>
                <c:pt idx="157">
                  <c:v>45013</c:v>
                </c:pt>
                <c:pt idx="158">
                  <c:v>45044</c:v>
                </c:pt>
                <c:pt idx="159">
                  <c:v>45074</c:v>
                </c:pt>
                <c:pt idx="160">
                  <c:v>45105</c:v>
                </c:pt>
                <c:pt idx="161">
                  <c:v>45135</c:v>
                </c:pt>
                <c:pt idx="162">
                  <c:v>45166</c:v>
                </c:pt>
                <c:pt idx="163">
                  <c:v>45197</c:v>
                </c:pt>
                <c:pt idx="164">
                  <c:v>45227</c:v>
                </c:pt>
                <c:pt idx="165">
                  <c:v>45258</c:v>
                </c:pt>
                <c:pt idx="166">
                  <c:v>45288</c:v>
                </c:pt>
                <c:pt idx="167">
                  <c:v>45319</c:v>
                </c:pt>
                <c:pt idx="168">
                  <c:v>45350</c:v>
                </c:pt>
                <c:pt idx="169">
                  <c:v>45379</c:v>
                </c:pt>
                <c:pt idx="170">
                  <c:v>45410</c:v>
                </c:pt>
                <c:pt idx="171">
                  <c:v>45440</c:v>
                </c:pt>
                <c:pt idx="172">
                  <c:v>45471</c:v>
                </c:pt>
                <c:pt idx="173">
                  <c:v>45501</c:v>
                </c:pt>
                <c:pt idx="174">
                  <c:v>45532</c:v>
                </c:pt>
                <c:pt idx="175">
                  <c:v>45563</c:v>
                </c:pt>
                <c:pt idx="176">
                  <c:v>45593</c:v>
                </c:pt>
                <c:pt idx="177">
                  <c:v>45624</c:v>
                </c:pt>
              </c:numCache>
            </c:numRef>
          </c:cat>
          <c:val>
            <c:numRef>
              <c:f>resumen!$B$2244:$B$2421</c:f>
              <c:numCache>
                <c:formatCode>#,##0.00</c:formatCode>
                <c:ptCount val="178"/>
                <c:pt idx="0">
                  <c:v>5535309.3134704186</c:v>
                </c:pt>
                <c:pt idx="1">
                  <c:v>5656061.9041477926</c:v>
                </c:pt>
                <c:pt idx="2">
                  <c:v>5667124.6808654554</c:v>
                </c:pt>
                <c:pt idx="3">
                  <c:v>5557735.1793924943</c:v>
                </c:pt>
                <c:pt idx="4">
                  <c:v>5613318.7522416338</c:v>
                </c:pt>
                <c:pt idx="5">
                  <c:v>5716419.9402556326</c:v>
                </c:pt>
                <c:pt idx="6">
                  <c:v>5742054.5829798859</c:v>
                </c:pt>
                <c:pt idx="7">
                  <c:v>5816493.1713334229</c:v>
                </c:pt>
                <c:pt idx="8">
                  <c:v>5931851.1374381203</c:v>
                </c:pt>
                <c:pt idx="9">
                  <c:v>5955363.1078281365</c:v>
                </c:pt>
                <c:pt idx="10">
                  <c:v>6132325.1174178915</c:v>
                </c:pt>
                <c:pt idx="11">
                  <c:v>6188090.7012829948</c:v>
                </c:pt>
                <c:pt idx="12">
                  <c:v>6235841.4280255651</c:v>
                </c:pt>
                <c:pt idx="13">
                  <c:v>6440954.0464467574</c:v>
                </c:pt>
                <c:pt idx="14">
                  <c:v>6350293.0263441326</c:v>
                </c:pt>
                <c:pt idx="15">
                  <c:v>6323420.3786983676</c:v>
                </c:pt>
                <c:pt idx="16">
                  <c:v>6309318.5274642203</c:v>
                </c:pt>
                <c:pt idx="17">
                  <c:v>6346013.8504626695</c:v>
                </c:pt>
                <c:pt idx="18">
                  <c:v>6228448.6213797461</c:v>
                </c:pt>
                <c:pt idx="19">
                  <c:v>6084721.7142775394</c:v>
                </c:pt>
                <c:pt idx="20">
                  <c:v>6394958.5766414888</c:v>
                </c:pt>
                <c:pt idx="21">
                  <c:v>6223349.8843338396</c:v>
                </c:pt>
                <c:pt idx="22">
                  <c:v>6306652.9145599483</c:v>
                </c:pt>
                <c:pt idx="23">
                  <c:v>6424056.5552463979</c:v>
                </c:pt>
                <c:pt idx="24">
                  <c:v>6496178.6653386205</c:v>
                </c:pt>
                <c:pt idx="25">
                  <c:v>6545048.8001672383</c:v>
                </c:pt>
                <c:pt idx="26">
                  <c:v>6484475.8588663582</c:v>
                </c:pt>
                <c:pt idx="27">
                  <c:v>6315154.0354398256</c:v>
                </c:pt>
                <c:pt idx="28">
                  <c:v>6415722.1812880896</c:v>
                </c:pt>
                <c:pt idx="29">
                  <c:v>6537920.9624360986</c:v>
                </c:pt>
                <c:pt idx="30">
                  <c:v>6564578.7375073396</c:v>
                </c:pt>
                <c:pt idx="31">
                  <c:v>6624555.3581338152</c:v>
                </c:pt>
                <c:pt idx="32">
                  <c:v>6419824.4765127422</c:v>
                </c:pt>
                <c:pt idx="33">
                  <c:v>6400642.0903373975</c:v>
                </c:pt>
                <c:pt idx="34">
                  <c:v>6559947.4833843848</c:v>
                </c:pt>
                <c:pt idx="35">
                  <c:v>6606825.2797126248</c:v>
                </c:pt>
                <c:pt idx="36">
                  <c:v>6654819.535391245</c:v>
                </c:pt>
                <c:pt idx="37">
                  <c:v>6611663.577376049</c:v>
                </c:pt>
                <c:pt idx="38">
                  <c:v>6718691.4805856515</c:v>
                </c:pt>
                <c:pt idx="39">
                  <c:v>6724525.6886932319</c:v>
                </c:pt>
                <c:pt idx="40">
                  <c:v>6625344.9284443017</c:v>
                </c:pt>
                <c:pt idx="41">
                  <c:v>6774880.005176954</c:v>
                </c:pt>
                <c:pt idx="42">
                  <c:v>6737553.0644920887</c:v>
                </c:pt>
                <c:pt idx="43">
                  <c:v>6868212.5416905656</c:v>
                </c:pt>
                <c:pt idx="44">
                  <c:v>6988939.7860548384</c:v>
                </c:pt>
                <c:pt idx="45">
                  <c:v>7052241.243149912</c:v>
                </c:pt>
                <c:pt idx="46">
                  <c:v>7046763.1357877003</c:v>
                </c:pt>
                <c:pt idx="47">
                  <c:v>6819526.6889859186</c:v>
                </c:pt>
                <c:pt idx="48">
                  <c:v>6993356.6209902251</c:v>
                </c:pt>
                <c:pt idx="49">
                  <c:v>7001181.8799468745</c:v>
                </c:pt>
                <c:pt idx="50">
                  <c:v>7085729.3387073325</c:v>
                </c:pt>
                <c:pt idx="51">
                  <c:v>7181435.7014357243</c:v>
                </c:pt>
                <c:pt idx="52">
                  <c:v>7250565.9599674232</c:v>
                </c:pt>
                <c:pt idx="53">
                  <c:v>7254913.1855850965</c:v>
                </c:pt>
                <c:pt idx="54">
                  <c:v>7260010.4438061342</c:v>
                </c:pt>
                <c:pt idx="55">
                  <c:v>7182348.7605888341</c:v>
                </c:pt>
                <c:pt idx="56">
                  <c:v>7244209.7091378123</c:v>
                </c:pt>
                <c:pt idx="57">
                  <c:v>7339371.174104644</c:v>
                </c:pt>
                <c:pt idx="58">
                  <c:v>7281109.7302441141</c:v>
                </c:pt>
                <c:pt idx="59">
                  <c:v>7259055.2685805326</c:v>
                </c:pt>
                <c:pt idx="60">
                  <c:v>7433503.7687051902</c:v>
                </c:pt>
                <c:pt idx="61">
                  <c:v>7382129.6462894026</c:v>
                </c:pt>
                <c:pt idx="62">
                  <c:v>7503931.1767104166</c:v>
                </c:pt>
                <c:pt idx="63">
                  <c:v>7520827.3417514702</c:v>
                </c:pt>
                <c:pt idx="64">
                  <c:v>7476502.806868623</c:v>
                </c:pt>
                <c:pt idx="65">
                  <c:v>7515385.5455379644</c:v>
                </c:pt>
                <c:pt idx="66">
                  <c:v>7403166.5150758969</c:v>
                </c:pt>
                <c:pt idx="67">
                  <c:v>7404211.0549802873</c:v>
                </c:pt>
                <c:pt idx="68">
                  <c:v>7573893.9554125527</c:v>
                </c:pt>
                <c:pt idx="69">
                  <c:v>7582078.3600162081</c:v>
                </c:pt>
                <c:pt idx="70">
                  <c:v>7539182.0989710297</c:v>
                </c:pt>
                <c:pt idx="71">
                  <c:v>7416961.7627621898</c:v>
                </c:pt>
                <c:pt idx="72">
                  <c:v>7637960.0376450224</c:v>
                </c:pt>
                <c:pt idx="73">
                  <c:v>7751403.3418564079</c:v>
                </c:pt>
                <c:pt idx="74">
                  <c:v>7798289.1862577265</c:v>
                </c:pt>
                <c:pt idx="75">
                  <c:v>7855082.4601324666</c:v>
                </c:pt>
                <c:pt idx="76">
                  <c:v>7877150.6196030164</c:v>
                </c:pt>
                <c:pt idx="77">
                  <c:v>8028697.8365112366</c:v>
                </c:pt>
                <c:pt idx="78">
                  <c:v>8117889.4229694586</c:v>
                </c:pt>
                <c:pt idx="79">
                  <c:v>8176827.5518848281</c:v>
                </c:pt>
                <c:pt idx="80">
                  <c:v>8137840.2914945045</c:v>
                </c:pt>
                <c:pt idx="81">
                  <c:v>7996106.8268589871</c:v>
                </c:pt>
                <c:pt idx="82">
                  <c:v>8028121.4805789115</c:v>
                </c:pt>
                <c:pt idx="83">
                  <c:v>8175497.7320073051</c:v>
                </c:pt>
                <c:pt idx="84">
                  <c:v>8302169.4644151991</c:v>
                </c:pt>
                <c:pt idx="85">
                  <c:v>8104756.2375008091</c:v>
                </c:pt>
                <c:pt idx="86">
                  <c:v>8227020.4190913942</c:v>
                </c:pt>
                <c:pt idx="87">
                  <c:v>8303813.0120135248</c:v>
                </c:pt>
                <c:pt idx="88">
                  <c:v>8263833.5690661883</c:v>
                </c:pt>
                <c:pt idx="89">
                  <c:v>8334319.4952619076</c:v>
                </c:pt>
                <c:pt idx="90">
                  <c:v>8502969.7760033421</c:v>
                </c:pt>
                <c:pt idx="91">
                  <c:v>8585146.9768862836</c:v>
                </c:pt>
                <c:pt idx="92">
                  <c:v>8722581.8488605395</c:v>
                </c:pt>
                <c:pt idx="93">
                  <c:v>8775897.6528239995</c:v>
                </c:pt>
                <c:pt idx="94">
                  <c:v>8819006.6988459639</c:v>
                </c:pt>
                <c:pt idx="95">
                  <c:v>8971163.4186242037</c:v>
                </c:pt>
                <c:pt idx="96">
                  <c:v>8806208.6871627402</c:v>
                </c:pt>
                <c:pt idx="97">
                  <c:v>8765365.1414975468</c:v>
                </c:pt>
                <c:pt idx="98">
                  <c:v>8765057.7922350094</c:v>
                </c:pt>
                <c:pt idx="99">
                  <c:v>8567723.4469657764</c:v>
                </c:pt>
                <c:pt idx="100">
                  <c:v>8359117.1647090213</c:v>
                </c:pt>
                <c:pt idx="101">
                  <c:v>8543654.0153943487</c:v>
                </c:pt>
                <c:pt idx="102">
                  <c:v>8252883.9465973563</c:v>
                </c:pt>
                <c:pt idx="103">
                  <c:v>8469804.4990862589</c:v>
                </c:pt>
                <c:pt idx="104">
                  <c:v>8276725.3456324441</c:v>
                </c:pt>
                <c:pt idx="105">
                  <c:v>8295276.3700324437</c:v>
                </c:pt>
                <c:pt idx="106">
                  <c:v>8076061.6996976929</c:v>
                </c:pt>
                <c:pt idx="107">
                  <c:v>8413911.0940310508</c:v>
                </c:pt>
                <c:pt idx="108">
                  <c:v>8437495.6838303357</c:v>
                </c:pt>
                <c:pt idx="109">
                  <c:v>8342460.4280566862</c:v>
                </c:pt>
                <c:pt idx="110">
                  <c:v>8209205.8652653368</c:v>
                </c:pt>
                <c:pt idx="111">
                  <c:v>8154015.6352976551</c:v>
                </c:pt>
                <c:pt idx="112">
                  <c:v>8484313.2380566858</c:v>
                </c:pt>
                <c:pt idx="113">
                  <c:v>8606448.8198546655</c:v>
                </c:pt>
                <c:pt idx="114">
                  <c:v>7212508.2260625511</c:v>
                </c:pt>
                <c:pt idx="115">
                  <c:v>7413935.0634657778</c:v>
                </c:pt>
                <c:pt idx="116">
                  <c:v>7537735.8237276822</c:v>
                </c:pt>
                <c:pt idx="117">
                  <c:v>7640763.2426165715</c:v>
                </c:pt>
                <c:pt idx="118">
                  <c:v>7912348.3607618194</c:v>
                </c:pt>
                <c:pt idx="119">
                  <c:v>7975912.6135041332</c:v>
                </c:pt>
                <c:pt idx="120">
                  <c:v>7709590.1653791331</c:v>
                </c:pt>
                <c:pt idx="121">
                  <c:v>6798627.5654703928</c:v>
                </c:pt>
                <c:pt idx="122">
                  <c:v>7042942.3327976614</c:v>
                </c:pt>
                <c:pt idx="123">
                  <c:v>7412759.2871703431</c:v>
                </c:pt>
                <c:pt idx="124">
                  <c:v>7530732.3668340966</c:v>
                </c:pt>
                <c:pt idx="125">
                  <c:v>7726500.1547237774</c:v>
                </c:pt>
                <c:pt idx="126">
                  <c:v>7882755.2049228642</c:v>
                </c:pt>
                <c:pt idx="127">
                  <c:v>7608315.4265387058</c:v>
                </c:pt>
                <c:pt idx="128">
                  <c:v>7362567.6821259568</c:v>
                </c:pt>
                <c:pt idx="129">
                  <c:v>7725457.6626925766</c:v>
                </c:pt>
                <c:pt idx="130">
                  <c:v>7901120.9657430528</c:v>
                </c:pt>
                <c:pt idx="131">
                  <c:v>7834227.5792796751</c:v>
                </c:pt>
                <c:pt idx="132">
                  <c:v>7811934.7028762801</c:v>
                </c:pt>
                <c:pt idx="133">
                  <c:v>7842011.0823762799</c:v>
                </c:pt>
                <c:pt idx="134">
                  <c:v>8008108.8784437412</c:v>
                </c:pt>
                <c:pt idx="135">
                  <c:v>8087442.8298254125</c:v>
                </c:pt>
                <c:pt idx="136">
                  <c:v>8124206.4897080604</c:v>
                </c:pt>
                <c:pt idx="137">
                  <c:v>8204865.7786572771</c:v>
                </c:pt>
                <c:pt idx="138">
                  <c:v>8362750.750313269</c:v>
                </c:pt>
                <c:pt idx="139">
                  <c:v>8179196.877648565</c:v>
                </c:pt>
                <c:pt idx="140">
                  <c:v>8289402.577368781</c:v>
                </c:pt>
                <c:pt idx="141">
                  <c:v>8125448.7674229713</c:v>
                </c:pt>
                <c:pt idx="142">
                  <c:v>8097340.4253890645</c:v>
                </c:pt>
                <c:pt idx="143">
                  <c:v>8190844.6110444227</c:v>
                </c:pt>
                <c:pt idx="144">
                  <c:v>8099134.4232178321</c:v>
                </c:pt>
                <c:pt idx="145">
                  <c:v>8227360.1330404347</c:v>
                </c:pt>
                <c:pt idx="146">
                  <c:v>7988605.0230404353</c:v>
                </c:pt>
                <c:pt idx="147">
                  <c:v>7844851.3860042011</c:v>
                </c:pt>
                <c:pt idx="148">
                  <c:v>7369724.7665183507</c:v>
                </c:pt>
                <c:pt idx="149">
                  <c:v>7550116.1688568629</c:v>
                </c:pt>
                <c:pt idx="150">
                  <c:v>7448820.8562979689</c:v>
                </c:pt>
                <c:pt idx="151">
                  <c:v>7073118.868513234</c:v>
                </c:pt>
                <c:pt idx="152">
                  <c:v>7266873.5702068741</c:v>
                </c:pt>
                <c:pt idx="153">
                  <c:v>7631486.5318197766</c:v>
                </c:pt>
                <c:pt idx="154">
                  <c:v>7584833.090672425</c:v>
                </c:pt>
                <c:pt idx="155">
                  <c:v>7988980.9568597423</c:v>
                </c:pt>
                <c:pt idx="156">
                  <c:v>7989907.1207542997</c:v>
                </c:pt>
                <c:pt idx="157">
                  <c:v>7993269.0321056517</c:v>
                </c:pt>
                <c:pt idx="158">
                  <c:v>7760550.6196158063</c:v>
                </c:pt>
                <c:pt idx="159">
                  <c:v>7879155.5721368957</c:v>
                </c:pt>
                <c:pt idx="160">
                  <c:v>8314797.3869793052</c:v>
                </c:pt>
                <c:pt idx="161">
                  <c:v>8467887.2498676218</c:v>
                </c:pt>
                <c:pt idx="162">
                  <c:v>8395418.0736863259</c:v>
                </c:pt>
                <c:pt idx="163">
                  <c:v>8075559.4826795682</c:v>
                </c:pt>
                <c:pt idx="164">
                  <c:v>8064152.398378198</c:v>
                </c:pt>
                <c:pt idx="165">
                  <c:v>8646007.4881320149</c:v>
                </c:pt>
                <c:pt idx="166">
                  <c:v>8962627.4164754488</c:v>
                </c:pt>
                <c:pt idx="167">
                  <c:v>8964074.3214034196</c:v>
                </c:pt>
                <c:pt idx="168">
                  <c:v>9218762.1461283676</c:v>
                </c:pt>
                <c:pt idx="169">
                  <c:v>9567480.6188096143</c:v>
                </c:pt>
                <c:pt idx="170">
                  <c:v>9601556.2693596147</c:v>
                </c:pt>
                <c:pt idx="171">
                  <c:v>9682614.8382816128</c:v>
                </c:pt>
                <c:pt idx="172">
                  <c:v>9727467.1569430493</c:v>
                </c:pt>
                <c:pt idx="173">
                  <c:v>9641034.5469435565</c:v>
                </c:pt>
                <c:pt idx="174">
                  <c:v>9870927.4614093974</c:v>
                </c:pt>
                <c:pt idx="175">
                  <c:v>10142098.29909911</c:v>
                </c:pt>
                <c:pt idx="176">
                  <c:v>10510960.62159078</c:v>
                </c:pt>
                <c:pt idx="177">
                  <c:v>11088990.175460422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7B5D-46B5-BF9F-9F4C11107E9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resumen!$A$2244:$A$2421</c:f>
              <c:numCache>
                <c:formatCode>[$-C0A]mmmm\-yy;@</c:formatCode>
                <c:ptCount val="178"/>
                <c:pt idx="0">
                  <c:v>40237</c:v>
                </c:pt>
                <c:pt idx="1">
                  <c:v>40265</c:v>
                </c:pt>
                <c:pt idx="2">
                  <c:v>40296</c:v>
                </c:pt>
                <c:pt idx="3">
                  <c:v>40326</c:v>
                </c:pt>
                <c:pt idx="4">
                  <c:v>40357</c:v>
                </c:pt>
                <c:pt idx="5">
                  <c:v>40387</c:v>
                </c:pt>
                <c:pt idx="6">
                  <c:v>40418</c:v>
                </c:pt>
                <c:pt idx="7">
                  <c:v>40449</c:v>
                </c:pt>
                <c:pt idx="8">
                  <c:v>40479</c:v>
                </c:pt>
                <c:pt idx="9">
                  <c:v>40510</c:v>
                </c:pt>
                <c:pt idx="10">
                  <c:v>40540</c:v>
                </c:pt>
                <c:pt idx="11">
                  <c:v>40571</c:v>
                </c:pt>
                <c:pt idx="12">
                  <c:v>40602</c:v>
                </c:pt>
                <c:pt idx="13">
                  <c:v>40630</c:v>
                </c:pt>
                <c:pt idx="14">
                  <c:v>40661</c:v>
                </c:pt>
                <c:pt idx="15">
                  <c:v>40691</c:v>
                </c:pt>
                <c:pt idx="16">
                  <c:v>40722</c:v>
                </c:pt>
                <c:pt idx="17">
                  <c:v>40752</c:v>
                </c:pt>
                <c:pt idx="18">
                  <c:v>40783</c:v>
                </c:pt>
                <c:pt idx="19">
                  <c:v>40814</c:v>
                </c:pt>
                <c:pt idx="20">
                  <c:v>40844</c:v>
                </c:pt>
                <c:pt idx="21">
                  <c:v>40875</c:v>
                </c:pt>
                <c:pt idx="22">
                  <c:v>40905</c:v>
                </c:pt>
                <c:pt idx="23">
                  <c:v>40936</c:v>
                </c:pt>
                <c:pt idx="24">
                  <c:v>40967</c:v>
                </c:pt>
                <c:pt idx="25">
                  <c:v>40996</c:v>
                </c:pt>
                <c:pt idx="26">
                  <c:v>41027</c:v>
                </c:pt>
                <c:pt idx="27">
                  <c:v>41057</c:v>
                </c:pt>
                <c:pt idx="28">
                  <c:v>41088</c:v>
                </c:pt>
                <c:pt idx="29">
                  <c:v>41118</c:v>
                </c:pt>
                <c:pt idx="30">
                  <c:v>41149</c:v>
                </c:pt>
                <c:pt idx="31">
                  <c:v>41180</c:v>
                </c:pt>
                <c:pt idx="32">
                  <c:v>41210</c:v>
                </c:pt>
                <c:pt idx="33">
                  <c:v>41241</c:v>
                </c:pt>
                <c:pt idx="34">
                  <c:v>41271</c:v>
                </c:pt>
                <c:pt idx="35">
                  <c:v>41302</c:v>
                </c:pt>
                <c:pt idx="36">
                  <c:v>41333</c:v>
                </c:pt>
                <c:pt idx="37">
                  <c:v>41361</c:v>
                </c:pt>
                <c:pt idx="38">
                  <c:v>41392</c:v>
                </c:pt>
                <c:pt idx="39">
                  <c:v>41422</c:v>
                </c:pt>
                <c:pt idx="40">
                  <c:v>41453</c:v>
                </c:pt>
                <c:pt idx="41">
                  <c:v>41483</c:v>
                </c:pt>
                <c:pt idx="42">
                  <c:v>41514</c:v>
                </c:pt>
                <c:pt idx="43">
                  <c:v>41545</c:v>
                </c:pt>
                <c:pt idx="44">
                  <c:v>41575</c:v>
                </c:pt>
                <c:pt idx="45">
                  <c:v>41606</c:v>
                </c:pt>
                <c:pt idx="46">
                  <c:v>41636</c:v>
                </c:pt>
                <c:pt idx="47">
                  <c:v>41667</c:v>
                </c:pt>
                <c:pt idx="48">
                  <c:v>41698</c:v>
                </c:pt>
                <c:pt idx="49">
                  <c:v>41726</c:v>
                </c:pt>
                <c:pt idx="50">
                  <c:v>41757</c:v>
                </c:pt>
                <c:pt idx="51">
                  <c:v>41787</c:v>
                </c:pt>
                <c:pt idx="52">
                  <c:v>41818</c:v>
                </c:pt>
                <c:pt idx="53">
                  <c:v>41848</c:v>
                </c:pt>
                <c:pt idx="54">
                  <c:v>41879</c:v>
                </c:pt>
                <c:pt idx="55">
                  <c:v>41910</c:v>
                </c:pt>
                <c:pt idx="56">
                  <c:v>41940</c:v>
                </c:pt>
                <c:pt idx="57">
                  <c:v>41971</c:v>
                </c:pt>
                <c:pt idx="58">
                  <c:v>42001</c:v>
                </c:pt>
                <c:pt idx="59">
                  <c:v>42032</c:v>
                </c:pt>
                <c:pt idx="60">
                  <c:v>42063</c:v>
                </c:pt>
                <c:pt idx="61">
                  <c:v>42091</c:v>
                </c:pt>
                <c:pt idx="62">
                  <c:v>42122</c:v>
                </c:pt>
                <c:pt idx="63">
                  <c:v>42152</c:v>
                </c:pt>
                <c:pt idx="64">
                  <c:v>42183</c:v>
                </c:pt>
                <c:pt idx="65">
                  <c:v>42213</c:v>
                </c:pt>
                <c:pt idx="66">
                  <c:v>42244</c:v>
                </c:pt>
                <c:pt idx="67">
                  <c:v>42275</c:v>
                </c:pt>
                <c:pt idx="68">
                  <c:v>42305</c:v>
                </c:pt>
                <c:pt idx="69">
                  <c:v>42336</c:v>
                </c:pt>
                <c:pt idx="70">
                  <c:v>42366</c:v>
                </c:pt>
                <c:pt idx="71">
                  <c:v>42397</c:v>
                </c:pt>
                <c:pt idx="72">
                  <c:v>42428</c:v>
                </c:pt>
                <c:pt idx="73">
                  <c:v>42457</c:v>
                </c:pt>
                <c:pt idx="74">
                  <c:v>42488</c:v>
                </c:pt>
                <c:pt idx="75">
                  <c:v>42518</c:v>
                </c:pt>
                <c:pt idx="76">
                  <c:v>42549</c:v>
                </c:pt>
                <c:pt idx="77">
                  <c:v>42579</c:v>
                </c:pt>
                <c:pt idx="78">
                  <c:v>42610</c:v>
                </c:pt>
                <c:pt idx="79">
                  <c:v>42641</c:v>
                </c:pt>
                <c:pt idx="80">
                  <c:v>42671</c:v>
                </c:pt>
                <c:pt idx="81">
                  <c:v>42702</c:v>
                </c:pt>
                <c:pt idx="82">
                  <c:v>42732</c:v>
                </c:pt>
                <c:pt idx="83">
                  <c:v>42763</c:v>
                </c:pt>
                <c:pt idx="84">
                  <c:v>42794</c:v>
                </c:pt>
                <c:pt idx="85">
                  <c:v>42822</c:v>
                </c:pt>
                <c:pt idx="86">
                  <c:v>42853</c:v>
                </c:pt>
                <c:pt idx="87">
                  <c:v>42883</c:v>
                </c:pt>
                <c:pt idx="88">
                  <c:v>42914</c:v>
                </c:pt>
                <c:pt idx="89">
                  <c:v>42944</c:v>
                </c:pt>
                <c:pt idx="90">
                  <c:v>42975</c:v>
                </c:pt>
                <c:pt idx="91">
                  <c:v>43006</c:v>
                </c:pt>
                <c:pt idx="92">
                  <c:v>43036</c:v>
                </c:pt>
                <c:pt idx="93">
                  <c:v>43067</c:v>
                </c:pt>
                <c:pt idx="94">
                  <c:v>43097</c:v>
                </c:pt>
                <c:pt idx="95">
                  <c:v>43128</c:v>
                </c:pt>
                <c:pt idx="96">
                  <c:v>43159</c:v>
                </c:pt>
                <c:pt idx="97">
                  <c:v>43187</c:v>
                </c:pt>
                <c:pt idx="98">
                  <c:v>43218</c:v>
                </c:pt>
                <c:pt idx="99">
                  <c:v>43248</c:v>
                </c:pt>
                <c:pt idx="100">
                  <c:v>43279</c:v>
                </c:pt>
                <c:pt idx="101">
                  <c:v>43309</c:v>
                </c:pt>
                <c:pt idx="102">
                  <c:v>43340</c:v>
                </c:pt>
                <c:pt idx="103">
                  <c:v>43371</c:v>
                </c:pt>
                <c:pt idx="104">
                  <c:v>43401</c:v>
                </c:pt>
                <c:pt idx="105">
                  <c:v>43432</c:v>
                </c:pt>
                <c:pt idx="106">
                  <c:v>43462</c:v>
                </c:pt>
                <c:pt idx="107">
                  <c:v>43493</c:v>
                </c:pt>
                <c:pt idx="108">
                  <c:v>43524</c:v>
                </c:pt>
                <c:pt idx="109">
                  <c:v>43552</c:v>
                </c:pt>
                <c:pt idx="110">
                  <c:v>43583</c:v>
                </c:pt>
                <c:pt idx="111">
                  <c:v>43613</c:v>
                </c:pt>
                <c:pt idx="112">
                  <c:v>43644</c:v>
                </c:pt>
                <c:pt idx="113">
                  <c:v>43674</c:v>
                </c:pt>
                <c:pt idx="114">
                  <c:v>43705</c:v>
                </c:pt>
                <c:pt idx="115">
                  <c:v>43736</c:v>
                </c:pt>
                <c:pt idx="116">
                  <c:v>43766</c:v>
                </c:pt>
                <c:pt idx="117">
                  <c:v>43797</c:v>
                </c:pt>
                <c:pt idx="118">
                  <c:v>43827</c:v>
                </c:pt>
                <c:pt idx="119">
                  <c:v>43858</c:v>
                </c:pt>
                <c:pt idx="120">
                  <c:v>43889</c:v>
                </c:pt>
                <c:pt idx="121">
                  <c:v>43918</c:v>
                </c:pt>
                <c:pt idx="122">
                  <c:v>43949</c:v>
                </c:pt>
                <c:pt idx="123">
                  <c:v>43979</c:v>
                </c:pt>
                <c:pt idx="124">
                  <c:v>44010</c:v>
                </c:pt>
                <c:pt idx="125">
                  <c:v>44040</c:v>
                </c:pt>
                <c:pt idx="126">
                  <c:v>44071</c:v>
                </c:pt>
                <c:pt idx="127">
                  <c:v>44102</c:v>
                </c:pt>
                <c:pt idx="128">
                  <c:v>44132</c:v>
                </c:pt>
                <c:pt idx="129">
                  <c:v>44163</c:v>
                </c:pt>
                <c:pt idx="130">
                  <c:v>44193</c:v>
                </c:pt>
                <c:pt idx="131">
                  <c:v>44224</c:v>
                </c:pt>
                <c:pt idx="132">
                  <c:v>44255</c:v>
                </c:pt>
                <c:pt idx="133">
                  <c:v>44283</c:v>
                </c:pt>
                <c:pt idx="134">
                  <c:v>44314</c:v>
                </c:pt>
                <c:pt idx="135">
                  <c:v>44344</c:v>
                </c:pt>
                <c:pt idx="136">
                  <c:v>44375</c:v>
                </c:pt>
                <c:pt idx="137">
                  <c:v>44405</c:v>
                </c:pt>
                <c:pt idx="138">
                  <c:v>44436</c:v>
                </c:pt>
                <c:pt idx="139">
                  <c:v>44467</c:v>
                </c:pt>
                <c:pt idx="140">
                  <c:v>44497</c:v>
                </c:pt>
                <c:pt idx="141">
                  <c:v>44528</c:v>
                </c:pt>
                <c:pt idx="142">
                  <c:v>44558</c:v>
                </c:pt>
                <c:pt idx="143">
                  <c:v>44589</c:v>
                </c:pt>
                <c:pt idx="144">
                  <c:v>44620</c:v>
                </c:pt>
                <c:pt idx="145">
                  <c:v>44648</c:v>
                </c:pt>
                <c:pt idx="146">
                  <c:v>44679</c:v>
                </c:pt>
                <c:pt idx="147">
                  <c:v>44709</c:v>
                </c:pt>
                <c:pt idx="148">
                  <c:v>44740</c:v>
                </c:pt>
                <c:pt idx="149">
                  <c:v>44770</c:v>
                </c:pt>
                <c:pt idx="150">
                  <c:v>44801</c:v>
                </c:pt>
                <c:pt idx="151">
                  <c:v>44832</c:v>
                </c:pt>
                <c:pt idx="152">
                  <c:v>44862</c:v>
                </c:pt>
                <c:pt idx="153">
                  <c:v>44893</c:v>
                </c:pt>
                <c:pt idx="154">
                  <c:v>44923</c:v>
                </c:pt>
                <c:pt idx="155">
                  <c:v>44954</c:v>
                </c:pt>
                <c:pt idx="156">
                  <c:v>44985</c:v>
                </c:pt>
                <c:pt idx="157">
                  <c:v>45013</c:v>
                </c:pt>
                <c:pt idx="158">
                  <c:v>45044</c:v>
                </c:pt>
                <c:pt idx="159">
                  <c:v>45074</c:v>
                </c:pt>
                <c:pt idx="160">
                  <c:v>45105</c:v>
                </c:pt>
                <c:pt idx="161">
                  <c:v>45135</c:v>
                </c:pt>
                <c:pt idx="162">
                  <c:v>45166</c:v>
                </c:pt>
                <c:pt idx="163">
                  <c:v>45197</c:v>
                </c:pt>
                <c:pt idx="164">
                  <c:v>45227</c:v>
                </c:pt>
                <c:pt idx="165">
                  <c:v>45258</c:v>
                </c:pt>
                <c:pt idx="166">
                  <c:v>45288</c:v>
                </c:pt>
                <c:pt idx="167">
                  <c:v>45319</c:v>
                </c:pt>
                <c:pt idx="168">
                  <c:v>45350</c:v>
                </c:pt>
                <c:pt idx="169">
                  <c:v>45379</c:v>
                </c:pt>
                <c:pt idx="170">
                  <c:v>45410</c:v>
                </c:pt>
                <c:pt idx="171">
                  <c:v>45440</c:v>
                </c:pt>
                <c:pt idx="172">
                  <c:v>45471</c:v>
                </c:pt>
                <c:pt idx="173">
                  <c:v>45501</c:v>
                </c:pt>
                <c:pt idx="174">
                  <c:v>45532</c:v>
                </c:pt>
                <c:pt idx="175">
                  <c:v>45563</c:v>
                </c:pt>
                <c:pt idx="176">
                  <c:v>45593</c:v>
                </c:pt>
                <c:pt idx="177">
                  <c:v>45624</c:v>
                </c:pt>
              </c:numCache>
            </c:numRef>
          </c:cat>
          <c:val>
            <c:numRef>
              <c:f>resumen!$C$2244:$C$2421</c:f>
              <c:numCache>
                <c:formatCode>#,##0.00</c:formatCode>
                <c:ptCount val="178"/>
                <c:pt idx="0">
                  <c:v>4129826.9634704185</c:v>
                </c:pt>
                <c:pt idx="1">
                  <c:v>4225285.7941477932</c:v>
                </c:pt>
                <c:pt idx="2">
                  <c:v>4229441.8708654549</c:v>
                </c:pt>
                <c:pt idx="3">
                  <c:v>4173765.0593924941</c:v>
                </c:pt>
                <c:pt idx="4">
                  <c:v>4246116.7822416332</c:v>
                </c:pt>
                <c:pt idx="5">
                  <c:v>4295117.1702556331</c:v>
                </c:pt>
                <c:pt idx="6">
                  <c:v>4340401.1029798854</c:v>
                </c:pt>
                <c:pt idx="7">
                  <c:v>4357404.3513334226</c:v>
                </c:pt>
                <c:pt idx="8">
                  <c:v>4436276.52743812</c:v>
                </c:pt>
                <c:pt idx="9">
                  <c:v>4465614.4878281364</c:v>
                </c:pt>
                <c:pt idx="10">
                  <c:v>4491503.6274178913</c:v>
                </c:pt>
                <c:pt idx="11">
                  <c:v>4511286.3012829944</c:v>
                </c:pt>
                <c:pt idx="12">
                  <c:v>4548455.7780255657</c:v>
                </c:pt>
                <c:pt idx="13">
                  <c:v>4573103.6764467573</c:v>
                </c:pt>
                <c:pt idx="14">
                  <c:v>4623490.176344133</c:v>
                </c:pt>
                <c:pt idx="15">
                  <c:v>4629753.6186983678</c:v>
                </c:pt>
                <c:pt idx="16">
                  <c:v>4634791.0474642199</c:v>
                </c:pt>
                <c:pt idx="17">
                  <c:v>4669015.5104626697</c:v>
                </c:pt>
                <c:pt idx="18">
                  <c:v>4639431.8013797458</c:v>
                </c:pt>
                <c:pt idx="19">
                  <c:v>4213948.2842775397</c:v>
                </c:pt>
                <c:pt idx="20">
                  <c:v>4613564.9966414887</c:v>
                </c:pt>
                <c:pt idx="21">
                  <c:v>4501551.8003338408</c:v>
                </c:pt>
                <c:pt idx="22">
                  <c:v>4577061.3645599484</c:v>
                </c:pt>
                <c:pt idx="23">
                  <c:v>4609801.9452463975</c:v>
                </c:pt>
                <c:pt idx="24">
                  <c:v>4632460.4753386211</c:v>
                </c:pt>
                <c:pt idx="25">
                  <c:v>4675876.2601672383</c:v>
                </c:pt>
                <c:pt idx="26">
                  <c:v>4410845.5288663581</c:v>
                </c:pt>
                <c:pt idx="27">
                  <c:v>4376300.4954398246</c:v>
                </c:pt>
                <c:pt idx="28">
                  <c:v>4439895.8912880896</c:v>
                </c:pt>
                <c:pt idx="29">
                  <c:v>4511048.4414360989</c:v>
                </c:pt>
                <c:pt idx="30">
                  <c:v>4513512.5675073396</c:v>
                </c:pt>
                <c:pt idx="31">
                  <c:v>4528706.9891338143</c:v>
                </c:pt>
                <c:pt idx="32">
                  <c:v>3732604.1665127422</c:v>
                </c:pt>
                <c:pt idx="33">
                  <c:v>3746152.5303373979</c:v>
                </c:pt>
                <c:pt idx="34">
                  <c:v>3807867.7533843843</c:v>
                </c:pt>
                <c:pt idx="35">
                  <c:v>3845152.8157126242</c:v>
                </c:pt>
                <c:pt idx="36">
                  <c:v>3842722.5453912448</c:v>
                </c:pt>
                <c:pt idx="37">
                  <c:v>3846903.7373760492</c:v>
                </c:pt>
                <c:pt idx="38">
                  <c:v>3849190.6805856521</c:v>
                </c:pt>
                <c:pt idx="39">
                  <c:v>3842095.7586932313</c:v>
                </c:pt>
                <c:pt idx="40">
                  <c:v>3829366.5084443018</c:v>
                </c:pt>
                <c:pt idx="41">
                  <c:v>3837913.0851769536</c:v>
                </c:pt>
                <c:pt idx="42">
                  <c:v>3847817.804492089</c:v>
                </c:pt>
                <c:pt idx="43">
                  <c:v>3880344.6116905655</c:v>
                </c:pt>
                <c:pt idx="44">
                  <c:v>3900745.0660548382</c:v>
                </c:pt>
                <c:pt idx="45">
                  <c:v>3880236.7931499113</c:v>
                </c:pt>
                <c:pt idx="46">
                  <c:v>3795383.9957877006</c:v>
                </c:pt>
                <c:pt idx="47">
                  <c:v>3745353.6489859186</c:v>
                </c:pt>
                <c:pt idx="48">
                  <c:v>3757407.3709902251</c:v>
                </c:pt>
                <c:pt idx="49">
                  <c:v>3738248.5499468744</c:v>
                </c:pt>
                <c:pt idx="50">
                  <c:v>3766325.6287073316</c:v>
                </c:pt>
                <c:pt idx="51">
                  <c:v>3812953.3914357233</c:v>
                </c:pt>
                <c:pt idx="52">
                  <c:v>3818827.569967424</c:v>
                </c:pt>
                <c:pt idx="53">
                  <c:v>3807713.0155850975</c:v>
                </c:pt>
                <c:pt idx="54">
                  <c:v>3844543.7238061354</c:v>
                </c:pt>
                <c:pt idx="55">
                  <c:v>3781527.5005888343</c:v>
                </c:pt>
                <c:pt idx="56">
                  <c:v>3816770.9491378125</c:v>
                </c:pt>
                <c:pt idx="57">
                  <c:v>3824629.6841046438</c:v>
                </c:pt>
                <c:pt idx="58">
                  <c:v>3791792.7502441141</c:v>
                </c:pt>
                <c:pt idx="59">
                  <c:v>3946551.2685805326</c:v>
                </c:pt>
                <c:pt idx="60">
                  <c:v>4003820.4087051903</c:v>
                </c:pt>
                <c:pt idx="61">
                  <c:v>3980249.606289403</c:v>
                </c:pt>
                <c:pt idx="62">
                  <c:v>4418154.6667104177</c:v>
                </c:pt>
                <c:pt idx="63">
                  <c:v>4425972.4717514701</c:v>
                </c:pt>
                <c:pt idx="64">
                  <c:v>4446186.8168686228</c:v>
                </c:pt>
                <c:pt idx="65">
                  <c:v>4476252.9555379646</c:v>
                </c:pt>
                <c:pt idx="66">
                  <c:v>4473503.4850758966</c:v>
                </c:pt>
                <c:pt idx="67">
                  <c:v>4524114.9549802877</c:v>
                </c:pt>
                <c:pt idx="68">
                  <c:v>4450050.8354125526</c:v>
                </c:pt>
                <c:pt idx="69">
                  <c:v>4461680.1800162084</c:v>
                </c:pt>
                <c:pt idx="70">
                  <c:v>4435522.4789710306</c:v>
                </c:pt>
                <c:pt idx="71">
                  <c:v>4595172.7927621901</c:v>
                </c:pt>
                <c:pt idx="72">
                  <c:v>4780546.1876450228</c:v>
                </c:pt>
                <c:pt idx="73">
                  <c:v>4789391.4018564075</c:v>
                </c:pt>
                <c:pt idx="74">
                  <c:v>4799624.4262577267</c:v>
                </c:pt>
                <c:pt idx="75">
                  <c:v>4813351.9401324671</c:v>
                </c:pt>
                <c:pt idx="76">
                  <c:v>3768207.2496030172</c:v>
                </c:pt>
                <c:pt idx="77">
                  <c:v>3800001.6365112374</c:v>
                </c:pt>
                <c:pt idx="78">
                  <c:v>3741073.8729694593</c:v>
                </c:pt>
                <c:pt idx="79">
                  <c:v>3753305.6118848282</c:v>
                </c:pt>
                <c:pt idx="80">
                  <c:v>3780974.5514945034</c:v>
                </c:pt>
                <c:pt idx="81">
                  <c:v>3774371.9868589868</c:v>
                </c:pt>
                <c:pt idx="82">
                  <c:v>3796036.8805789119</c:v>
                </c:pt>
                <c:pt idx="83">
                  <c:v>3813457.2320073051</c:v>
                </c:pt>
                <c:pt idx="84">
                  <c:v>3730094.1644152002</c:v>
                </c:pt>
                <c:pt idx="85">
                  <c:v>3752184.6575008095</c:v>
                </c:pt>
                <c:pt idx="86">
                  <c:v>3774194.9290913939</c:v>
                </c:pt>
                <c:pt idx="87">
                  <c:v>3783919.8220135244</c:v>
                </c:pt>
                <c:pt idx="88">
                  <c:v>3779410.1990661882</c:v>
                </c:pt>
                <c:pt idx="89">
                  <c:v>3764211.6552619073</c:v>
                </c:pt>
                <c:pt idx="90">
                  <c:v>3810066.7760033417</c:v>
                </c:pt>
                <c:pt idx="91">
                  <c:v>3827302.6068862835</c:v>
                </c:pt>
                <c:pt idx="92">
                  <c:v>3845613.328860539</c:v>
                </c:pt>
                <c:pt idx="93">
                  <c:v>3853729.7928240001</c:v>
                </c:pt>
                <c:pt idx="94">
                  <c:v>3855168.8888459629</c:v>
                </c:pt>
                <c:pt idx="95">
                  <c:v>3875113.6686242018</c:v>
                </c:pt>
                <c:pt idx="96">
                  <c:v>3864795.73716274</c:v>
                </c:pt>
                <c:pt idx="97">
                  <c:v>3869311.4514975469</c:v>
                </c:pt>
                <c:pt idx="98">
                  <c:v>3876653.3722350085</c:v>
                </c:pt>
                <c:pt idx="99">
                  <c:v>3276774.6969657773</c:v>
                </c:pt>
                <c:pt idx="100">
                  <c:v>3247523.6447090209</c:v>
                </c:pt>
                <c:pt idx="101">
                  <c:v>3280166.8853943488</c:v>
                </c:pt>
                <c:pt idx="102">
                  <c:v>3238696.4765973566</c:v>
                </c:pt>
                <c:pt idx="103">
                  <c:v>3245529.4790862594</c:v>
                </c:pt>
                <c:pt idx="104">
                  <c:v>3247858.1756324442</c:v>
                </c:pt>
                <c:pt idx="105">
                  <c:v>3257975.2400324442</c:v>
                </c:pt>
                <c:pt idx="106">
                  <c:v>3247216.0696976935</c:v>
                </c:pt>
                <c:pt idx="107">
                  <c:v>3250435.4940310516</c:v>
                </c:pt>
                <c:pt idx="108">
                  <c:v>3246837.9721303345</c:v>
                </c:pt>
                <c:pt idx="109">
                  <c:v>3231834.3980566869</c:v>
                </c:pt>
                <c:pt idx="110">
                  <c:v>3229507.7552653369</c:v>
                </c:pt>
                <c:pt idx="111">
                  <c:v>3237857.8452976551</c:v>
                </c:pt>
                <c:pt idx="112">
                  <c:v>3174327.9380566864</c:v>
                </c:pt>
                <c:pt idx="113">
                  <c:v>3181907.3698546663</c:v>
                </c:pt>
                <c:pt idx="114">
                  <c:v>3141112.9460625518</c:v>
                </c:pt>
                <c:pt idx="115">
                  <c:v>3144516.9834657777</c:v>
                </c:pt>
                <c:pt idx="116">
                  <c:v>3140169.0837276825</c:v>
                </c:pt>
                <c:pt idx="117">
                  <c:v>3164954.9826165712</c:v>
                </c:pt>
                <c:pt idx="118">
                  <c:v>3180628.4207618199</c:v>
                </c:pt>
                <c:pt idx="119">
                  <c:v>3188094.6935041337</c:v>
                </c:pt>
                <c:pt idx="120">
                  <c:v>3193306.3653791337</c:v>
                </c:pt>
                <c:pt idx="121">
                  <c:v>3335321.8254703926</c:v>
                </c:pt>
                <c:pt idx="122">
                  <c:v>3329375.0627976614</c:v>
                </c:pt>
                <c:pt idx="123">
                  <c:v>3319919.0671703438</c:v>
                </c:pt>
                <c:pt idx="124">
                  <c:v>3320827.5768340956</c:v>
                </c:pt>
                <c:pt idx="125">
                  <c:v>3326515.8047237778</c:v>
                </c:pt>
                <c:pt idx="126">
                  <c:v>3326414.0249228645</c:v>
                </c:pt>
                <c:pt idx="127">
                  <c:v>3323374.586538706</c:v>
                </c:pt>
                <c:pt idx="128">
                  <c:v>3327656.1921259565</c:v>
                </c:pt>
                <c:pt idx="129">
                  <c:v>3327327.5926925773</c:v>
                </c:pt>
                <c:pt idx="130">
                  <c:v>3328175.0157430535</c:v>
                </c:pt>
                <c:pt idx="131">
                  <c:v>3329073.9492796743</c:v>
                </c:pt>
                <c:pt idx="132">
                  <c:v>3326739.7628762797</c:v>
                </c:pt>
                <c:pt idx="133">
                  <c:v>3327177.5923762796</c:v>
                </c:pt>
                <c:pt idx="134">
                  <c:v>3350254.138443741</c:v>
                </c:pt>
                <c:pt idx="135">
                  <c:v>3359416.3198254122</c:v>
                </c:pt>
                <c:pt idx="136">
                  <c:v>3377820.9497080604</c:v>
                </c:pt>
                <c:pt idx="137">
                  <c:v>3366039.3586572781</c:v>
                </c:pt>
                <c:pt idx="138">
                  <c:v>3383790.4303132701</c:v>
                </c:pt>
                <c:pt idx="139">
                  <c:v>3397445.4476485658</c:v>
                </c:pt>
                <c:pt idx="140">
                  <c:v>3398544.3773687799</c:v>
                </c:pt>
                <c:pt idx="141">
                  <c:v>3406514.9874229715</c:v>
                </c:pt>
                <c:pt idx="142">
                  <c:v>3378406.6453890651</c:v>
                </c:pt>
                <c:pt idx="143">
                  <c:v>3384540.6210444225</c:v>
                </c:pt>
                <c:pt idx="144">
                  <c:v>3398512.1432178323</c:v>
                </c:pt>
                <c:pt idx="145">
                  <c:v>3429037.2530404348</c:v>
                </c:pt>
                <c:pt idx="146">
                  <c:v>3434749.1530404352</c:v>
                </c:pt>
                <c:pt idx="147">
                  <c:v>3446745.1360042007</c:v>
                </c:pt>
                <c:pt idx="148">
                  <c:v>3437441.4265183504</c:v>
                </c:pt>
                <c:pt idx="149">
                  <c:v>3441277.3088568631</c:v>
                </c:pt>
                <c:pt idx="150">
                  <c:v>3442636.6362979691</c:v>
                </c:pt>
                <c:pt idx="151">
                  <c:v>3444860.0985132335</c:v>
                </c:pt>
                <c:pt idx="152">
                  <c:v>3468517.6502068732</c:v>
                </c:pt>
                <c:pt idx="153">
                  <c:v>3469296.5118197766</c:v>
                </c:pt>
                <c:pt idx="154">
                  <c:v>3471245.8006724254</c:v>
                </c:pt>
                <c:pt idx="155">
                  <c:v>3475858.5168597428</c:v>
                </c:pt>
                <c:pt idx="156">
                  <c:v>3476784.6807543002</c:v>
                </c:pt>
                <c:pt idx="157">
                  <c:v>3480146.5921056517</c:v>
                </c:pt>
                <c:pt idx="158">
                  <c:v>3476107.629615807</c:v>
                </c:pt>
                <c:pt idx="159">
                  <c:v>3487828.9221368963</c:v>
                </c:pt>
                <c:pt idx="160">
                  <c:v>3505574.4469793048</c:v>
                </c:pt>
                <c:pt idx="161">
                  <c:v>3512839.3198676216</c:v>
                </c:pt>
                <c:pt idx="162">
                  <c:v>3519603.3536863253</c:v>
                </c:pt>
                <c:pt idx="163">
                  <c:v>3513532.2426795675</c:v>
                </c:pt>
                <c:pt idx="164">
                  <c:v>3550664.9083781978</c:v>
                </c:pt>
                <c:pt idx="165">
                  <c:v>3551072.7481320156</c:v>
                </c:pt>
                <c:pt idx="166">
                  <c:v>3562663.6764754495</c:v>
                </c:pt>
                <c:pt idx="167">
                  <c:v>3574182.2614034191</c:v>
                </c:pt>
                <c:pt idx="168">
                  <c:v>3571824.3261283673</c:v>
                </c:pt>
                <c:pt idx="169">
                  <c:v>3600312.0988096129</c:v>
                </c:pt>
                <c:pt idx="170">
                  <c:v>3603647.1593596134</c:v>
                </c:pt>
                <c:pt idx="171">
                  <c:v>3598959.1182816131</c:v>
                </c:pt>
                <c:pt idx="172">
                  <c:v>3590806.9169430481</c:v>
                </c:pt>
                <c:pt idx="173">
                  <c:v>3515466.1769435555</c:v>
                </c:pt>
                <c:pt idx="174">
                  <c:v>3536413.7814093968</c:v>
                </c:pt>
                <c:pt idx="175">
                  <c:v>3535320.5290991105</c:v>
                </c:pt>
                <c:pt idx="176">
                  <c:v>3685841.8515907791</c:v>
                </c:pt>
                <c:pt idx="177">
                  <c:v>3725917.6054604226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7B5D-46B5-BF9F-9F4C11107E9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resumen!$A$2244:$A$2421</c:f>
              <c:numCache>
                <c:formatCode>[$-C0A]mmmm\-yy;@</c:formatCode>
                <c:ptCount val="178"/>
                <c:pt idx="0">
                  <c:v>40237</c:v>
                </c:pt>
                <c:pt idx="1">
                  <c:v>40265</c:v>
                </c:pt>
                <c:pt idx="2">
                  <c:v>40296</c:v>
                </c:pt>
                <c:pt idx="3">
                  <c:v>40326</c:v>
                </c:pt>
                <c:pt idx="4">
                  <c:v>40357</c:v>
                </c:pt>
                <c:pt idx="5">
                  <c:v>40387</c:v>
                </c:pt>
                <c:pt idx="6">
                  <c:v>40418</c:v>
                </c:pt>
                <c:pt idx="7">
                  <c:v>40449</c:v>
                </c:pt>
                <c:pt idx="8">
                  <c:v>40479</c:v>
                </c:pt>
                <c:pt idx="9">
                  <c:v>40510</c:v>
                </c:pt>
                <c:pt idx="10">
                  <c:v>40540</c:v>
                </c:pt>
                <c:pt idx="11">
                  <c:v>40571</c:v>
                </c:pt>
                <c:pt idx="12">
                  <c:v>40602</c:v>
                </c:pt>
                <c:pt idx="13">
                  <c:v>40630</c:v>
                </c:pt>
                <c:pt idx="14">
                  <c:v>40661</c:v>
                </c:pt>
                <c:pt idx="15">
                  <c:v>40691</c:v>
                </c:pt>
                <c:pt idx="16">
                  <c:v>40722</c:v>
                </c:pt>
                <c:pt idx="17">
                  <c:v>40752</c:v>
                </c:pt>
                <c:pt idx="18">
                  <c:v>40783</c:v>
                </c:pt>
                <c:pt idx="19">
                  <c:v>40814</c:v>
                </c:pt>
                <c:pt idx="20">
                  <c:v>40844</c:v>
                </c:pt>
                <c:pt idx="21">
                  <c:v>40875</c:v>
                </c:pt>
                <c:pt idx="22">
                  <c:v>40905</c:v>
                </c:pt>
                <c:pt idx="23">
                  <c:v>40936</c:v>
                </c:pt>
                <c:pt idx="24">
                  <c:v>40967</c:v>
                </c:pt>
                <c:pt idx="25">
                  <c:v>40996</c:v>
                </c:pt>
                <c:pt idx="26">
                  <c:v>41027</c:v>
                </c:pt>
                <c:pt idx="27">
                  <c:v>41057</c:v>
                </c:pt>
                <c:pt idx="28">
                  <c:v>41088</c:v>
                </c:pt>
                <c:pt idx="29">
                  <c:v>41118</c:v>
                </c:pt>
                <c:pt idx="30">
                  <c:v>41149</c:v>
                </c:pt>
                <c:pt idx="31">
                  <c:v>41180</c:v>
                </c:pt>
                <c:pt idx="32">
                  <c:v>41210</c:v>
                </c:pt>
                <c:pt idx="33">
                  <c:v>41241</c:v>
                </c:pt>
                <c:pt idx="34">
                  <c:v>41271</c:v>
                </c:pt>
                <c:pt idx="35">
                  <c:v>41302</c:v>
                </c:pt>
                <c:pt idx="36">
                  <c:v>41333</c:v>
                </c:pt>
                <c:pt idx="37">
                  <c:v>41361</c:v>
                </c:pt>
                <c:pt idx="38">
                  <c:v>41392</c:v>
                </c:pt>
                <c:pt idx="39">
                  <c:v>41422</c:v>
                </c:pt>
                <c:pt idx="40">
                  <c:v>41453</c:v>
                </c:pt>
                <c:pt idx="41">
                  <c:v>41483</c:v>
                </c:pt>
                <c:pt idx="42">
                  <c:v>41514</c:v>
                </c:pt>
                <c:pt idx="43">
                  <c:v>41545</c:v>
                </c:pt>
                <c:pt idx="44">
                  <c:v>41575</c:v>
                </c:pt>
                <c:pt idx="45">
                  <c:v>41606</c:v>
                </c:pt>
                <c:pt idx="46">
                  <c:v>41636</c:v>
                </c:pt>
                <c:pt idx="47">
                  <c:v>41667</c:v>
                </c:pt>
                <c:pt idx="48">
                  <c:v>41698</c:v>
                </c:pt>
                <c:pt idx="49">
                  <c:v>41726</c:v>
                </c:pt>
                <c:pt idx="50">
                  <c:v>41757</c:v>
                </c:pt>
                <c:pt idx="51">
                  <c:v>41787</c:v>
                </c:pt>
                <c:pt idx="52">
                  <c:v>41818</c:v>
                </c:pt>
                <c:pt idx="53">
                  <c:v>41848</c:v>
                </c:pt>
                <c:pt idx="54">
                  <c:v>41879</c:v>
                </c:pt>
                <c:pt idx="55">
                  <c:v>41910</c:v>
                </c:pt>
                <c:pt idx="56">
                  <c:v>41940</c:v>
                </c:pt>
                <c:pt idx="57">
                  <c:v>41971</c:v>
                </c:pt>
                <c:pt idx="58">
                  <c:v>42001</c:v>
                </c:pt>
                <c:pt idx="59">
                  <c:v>42032</c:v>
                </c:pt>
                <c:pt idx="60">
                  <c:v>42063</c:v>
                </c:pt>
                <c:pt idx="61">
                  <c:v>42091</c:v>
                </c:pt>
                <c:pt idx="62">
                  <c:v>42122</c:v>
                </c:pt>
                <c:pt idx="63">
                  <c:v>42152</c:v>
                </c:pt>
                <c:pt idx="64">
                  <c:v>42183</c:v>
                </c:pt>
                <c:pt idx="65">
                  <c:v>42213</c:v>
                </c:pt>
                <c:pt idx="66">
                  <c:v>42244</c:v>
                </c:pt>
                <c:pt idx="67">
                  <c:v>42275</c:v>
                </c:pt>
                <c:pt idx="68">
                  <c:v>42305</c:v>
                </c:pt>
                <c:pt idx="69">
                  <c:v>42336</c:v>
                </c:pt>
                <c:pt idx="70">
                  <c:v>42366</c:v>
                </c:pt>
                <c:pt idx="71">
                  <c:v>42397</c:v>
                </c:pt>
                <c:pt idx="72">
                  <c:v>42428</c:v>
                </c:pt>
                <c:pt idx="73">
                  <c:v>42457</c:v>
                </c:pt>
                <c:pt idx="74">
                  <c:v>42488</c:v>
                </c:pt>
                <c:pt idx="75">
                  <c:v>42518</c:v>
                </c:pt>
                <c:pt idx="76">
                  <c:v>42549</c:v>
                </c:pt>
                <c:pt idx="77">
                  <c:v>42579</c:v>
                </c:pt>
                <c:pt idx="78">
                  <c:v>42610</c:v>
                </c:pt>
                <c:pt idx="79">
                  <c:v>42641</c:v>
                </c:pt>
                <c:pt idx="80">
                  <c:v>42671</c:v>
                </c:pt>
                <c:pt idx="81">
                  <c:v>42702</c:v>
                </c:pt>
                <c:pt idx="82">
                  <c:v>42732</c:v>
                </c:pt>
                <c:pt idx="83">
                  <c:v>42763</c:v>
                </c:pt>
                <c:pt idx="84">
                  <c:v>42794</c:v>
                </c:pt>
                <c:pt idx="85">
                  <c:v>42822</c:v>
                </c:pt>
                <c:pt idx="86">
                  <c:v>42853</c:v>
                </c:pt>
                <c:pt idx="87">
                  <c:v>42883</c:v>
                </c:pt>
                <c:pt idx="88">
                  <c:v>42914</c:v>
                </c:pt>
                <c:pt idx="89">
                  <c:v>42944</c:v>
                </c:pt>
                <c:pt idx="90">
                  <c:v>42975</c:v>
                </c:pt>
                <c:pt idx="91">
                  <c:v>43006</c:v>
                </c:pt>
                <c:pt idx="92">
                  <c:v>43036</c:v>
                </c:pt>
                <c:pt idx="93">
                  <c:v>43067</c:v>
                </c:pt>
                <c:pt idx="94">
                  <c:v>43097</c:v>
                </c:pt>
                <c:pt idx="95">
                  <c:v>43128</c:v>
                </c:pt>
                <c:pt idx="96">
                  <c:v>43159</c:v>
                </c:pt>
                <c:pt idx="97">
                  <c:v>43187</c:v>
                </c:pt>
                <c:pt idx="98">
                  <c:v>43218</c:v>
                </c:pt>
                <c:pt idx="99">
                  <c:v>43248</c:v>
                </c:pt>
                <c:pt idx="100">
                  <c:v>43279</c:v>
                </c:pt>
                <c:pt idx="101">
                  <c:v>43309</c:v>
                </c:pt>
                <c:pt idx="102">
                  <c:v>43340</c:v>
                </c:pt>
                <c:pt idx="103">
                  <c:v>43371</c:v>
                </c:pt>
                <c:pt idx="104">
                  <c:v>43401</c:v>
                </c:pt>
                <c:pt idx="105">
                  <c:v>43432</c:v>
                </c:pt>
                <c:pt idx="106">
                  <c:v>43462</c:v>
                </c:pt>
                <c:pt idx="107">
                  <c:v>43493</c:v>
                </c:pt>
                <c:pt idx="108">
                  <c:v>43524</c:v>
                </c:pt>
                <c:pt idx="109">
                  <c:v>43552</c:v>
                </c:pt>
                <c:pt idx="110">
                  <c:v>43583</c:v>
                </c:pt>
                <c:pt idx="111">
                  <c:v>43613</c:v>
                </c:pt>
                <c:pt idx="112">
                  <c:v>43644</c:v>
                </c:pt>
                <c:pt idx="113">
                  <c:v>43674</c:v>
                </c:pt>
                <c:pt idx="114">
                  <c:v>43705</c:v>
                </c:pt>
                <c:pt idx="115">
                  <c:v>43736</c:v>
                </c:pt>
                <c:pt idx="116">
                  <c:v>43766</c:v>
                </c:pt>
                <c:pt idx="117">
                  <c:v>43797</c:v>
                </c:pt>
                <c:pt idx="118">
                  <c:v>43827</c:v>
                </c:pt>
                <c:pt idx="119">
                  <c:v>43858</c:v>
                </c:pt>
                <c:pt idx="120">
                  <c:v>43889</c:v>
                </c:pt>
                <c:pt idx="121">
                  <c:v>43918</c:v>
                </c:pt>
                <c:pt idx="122">
                  <c:v>43949</c:v>
                </c:pt>
                <c:pt idx="123">
                  <c:v>43979</c:v>
                </c:pt>
                <c:pt idx="124">
                  <c:v>44010</c:v>
                </c:pt>
                <c:pt idx="125">
                  <c:v>44040</c:v>
                </c:pt>
                <c:pt idx="126">
                  <c:v>44071</c:v>
                </c:pt>
                <c:pt idx="127">
                  <c:v>44102</c:v>
                </c:pt>
                <c:pt idx="128">
                  <c:v>44132</c:v>
                </c:pt>
                <c:pt idx="129">
                  <c:v>44163</c:v>
                </c:pt>
                <c:pt idx="130">
                  <c:v>44193</c:v>
                </c:pt>
                <c:pt idx="131">
                  <c:v>44224</c:v>
                </c:pt>
                <c:pt idx="132">
                  <c:v>44255</c:v>
                </c:pt>
                <c:pt idx="133">
                  <c:v>44283</c:v>
                </c:pt>
                <c:pt idx="134">
                  <c:v>44314</c:v>
                </c:pt>
                <c:pt idx="135">
                  <c:v>44344</c:v>
                </c:pt>
                <c:pt idx="136">
                  <c:v>44375</c:v>
                </c:pt>
                <c:pt idx="137">
                  <c:v>44405</c:v>
                </c:pt>
                <c:pt idx="138">
                  <c:v>44436</c:v>
                </c:pt>
                <c:pt idx="139">
                  <c:v>44467</c:v>
                </c:pt>
                <c:pt idx="140">
                  <c:v>44497</c:v>
                </c:pt>
                <c:pt idx="141">
                  <c:v>44528</c:v>
                </c:pt>
                <c:pt idx="142">
                  <c:v>44558</c:v>
                </c:pt>
                <c:pt idx="143">
                  <c:v>44589</c:v>
                </c:pt>
                <c:pt idx="144">
                  <c:v>44620</c:v>
                </c:pt>
                <c:pt idx="145">
                  <c:v>44648</c:v>
                </c:pt>
                <c:pt idx="146">
                  <c:v>44679</c:v>
                </c:pt>
                <c:pt idx="147">
                  <c:v>44709</c:v>
                </c:pt>
                <c:pt idx="148">
                  <c:v>44740</c:v>
                </c:pt>
                <c:pt idx="149">
                  <c:v>44770</c:v>
                </c:pt>
                <c:pt idx="150">
                  <c:v>44801</c:v>
                </c:pt>
                <c:pt idx="151">
                  <c:v>44832</c:v>
                </c:pt>
                <c:pt idx="152">
                  <c:v>44862</c:v>
                </c:pt>
                <c:pt idx="153">
                  <c:v>44893</c:v>
                </c:pt>
                <c:pt idx="154">
                  <c:v>44923</c:v>
                </c:pt>
                <c:pt idx="155">
                  <c:v>44954</c:v>
                </c:pt>
                <c:pt idx="156">
                  <c:v>44985</c:v>
                </c:pt>
                <c:pt idx="157">
                  <c:v>45013</c:v>
                </c:pt>
                <c:pt idx="158">
                  <c:v>45044</c:v>
                </c:pt>
                <c:pt idx="159">
                  <c:v>45074</c:v>
                </c:pt>
                <c:pt idx="160">
                  <c:v>45105</c:v>
                </c:pt>
                <c:pt idx="161">
                  <c:v>45135</c:v>
                </c:pt>
                <c:pt idx="162">
                  <c:v>45166</c:v>
                </c:pt>
                <c:pt idx="163">
                  <c:v>45197</c:v>
                </c:pt>
                <c:pt idx="164">
                  <c:v>45227</c:v>
                </c:pt>
                <c:pt idx="165">
                  <c:v>45258</c:v>
                </c:pt>
                <c:pt idx="166">
                  <c:v>45288</c:v>
                </c:pt>
                <c:pt idx="167">
                  <c:v>45319</c:v>
                </c:pt>
                <c:pt idx="168">
                  <c:v>45350</c:v>
                </c:pt>
                <c:pt idx="169">
                  <c:v>45379</c:v>
                </c:pt>
                <c:pt idx="170">
                  <c:v>45410</c:v>
                </c:pt>
                <c:pt idx="171">
                  <c:v>45440</c:v>
                </c:pt>
                <c:pt idx="172">
                  <c:v>45471</c:v>
                </c:pt>
                <c:pt idx="173">
                  <c:v>45501</c:v>
                </c:pt>
                <c:pt idx="174">
                  <c:v>45532</c:v>
                </c:pt>
                <c:pt idx="175">
                  <c:v>45563</c:v>
                </c:pt>
                <c:pt idx="176">
                  <c:v>45593</c:v>
                </c:pt>
                <c:pt idx="177">
                  <c:v>45624</c:v>
                </c:pt>
              </c:numCache>
            </c:numRef>
          </c:cat>
          <c:val>
            <c:numRef>
              <c:f>resumen!$D$2244:$D$2421</c:f>
              <c:numCache>
                <c:formatCode>#,##0.00</c:formatCode>
                <c:ptCount val="178"/>
                <c:pt idx="0">
                  <c:v>757316.02</c:v>
                </c:pt>
                <c:pt idx="1">
                  <c:v>780345.1100000001</c:v>
                </c:pt>
                <c:pt idx="2">
                  <c:v>788274.80999999994</c:v>
                </c:pt>
                <c:pt idx="3">
                  <c:v>745203.22</c:v>
                </c:pt>
                <c:pt idx="4">
                  <c:v>728658.40999999992</c:v>
                </c:pt>
                <c:pt idx="5">
                  <c:v>773524.87</c:v>
                </c:pt>
                <c:pt idx="6">
                  <c:v>753285.58</c:v>
                </c:pt>
                <c:pt idx="7">
                  <c:v>798545.35</c:v>
                </c:pt>
                <c:pt idx="8">
                  <c:v>828381.83</c:v>
                </c:pt>
                <c:pt idx="9">
                  <c:v>825422.72</c:v>
                </c:pt>
                <c:pt idx="10">
                  <c:v>969121.1</c:v>
                </c:pt>
                <c:pt idx="11">
                  <c:v>994907.65999999992</c:v>
                </c:pt>
                <c:pt idx="12">
                  <c:v>1001934.6400000001</c:v>
                </c:pt>
                <c:pt idx="13">
                  <c:v>1180912.32</c:v>
                </c:pt>
                <c:pt idx="14">
                  <c:v>1018981.53</c:v>
                </c:pt>
                <c:pt idx="15">
                  <c:v>995486.75</c:v>
                </c:pt>
                <c:pt idx="16">
                  <c:v>988621.69</c:v>
                </c:pt>
                <c:pt idx="17">
                  <c:v>981493.89</c:v>
                </c:pt>
                <c:pt idx="18">
                  <c:v>931692</c:v>
                </c:pt>
                <c:pt idx="19">
                  <c:v>1248901.49</c:v>
                </c:pt>
                <c:pt idx="20">
                  <c:v>1118744.5699999998</c:v>
                </c:pt>
                <c:pt idx="21">
                  <c:v>1092185.69</c:v>
                </c:pt>
                <c:pt idx="22">
                  <c:v>1093892.19</c:v>
                </c:pt>
                <c:pt idx="23">
                  <c:v>1151724.49</c:v>
                </c:pt>
                <c:pt idx="24">
                  <c:v>1176060.1000000001</c:v>
                </c:pt>
                <c:pt idx="25">
                  <c:v>1187980.6000000001</c:v>
                </c:pt>
                <c:pt idx="26">
                  <c:v>1391916.5899999999</c:v>
                </c:pt>
                <c:pt idx="27">
                  <c:v>1293103.1700000002</c:v>
                </c:pt>
                <c:pt idx="28">
                  <c:v>1326671.53</c:v>
                </c:pt>
                <c:pt idx="29">
                  <c:v>1358610.882</c:v>
                </c:pt>
                <c:pt idx="30">
                  <c:v>1374693.6800000002</c:v>
                </c:pt>
                <c:pt idx="31">
                  <c:v>1405862.4789999998</c:v>
                </c:pt>
                <c:pt idx="32">
                  <c:v>1994356.8800000004</c:v>
                </c:pt>
                <c:pt idx="33">
                  <c:v>1958853.5499999998</c:v>
                </c:pt>
                <c:pt idx="34">
                  <c:v>2044579.69</c:v>
                </c:pt>
                <c:pt idx="35">
                  <c:v>2032522.6740000001</c:v>
                </c:pt>
                <c:pt idx="36">
                  <c:v>2082236.49</c:v>
                </c:pt>
                <c:pt idx="37">
                  <c:v>2037901.6999999997</c:v>
                </c:pt>
                <c:pt idx="38">
                  <c:v>2127880.54</c:v>
                </c:pt>
                <c:pt idx="39">
                  <c:v>2128690.21</c:v>
                </c:pt>
                <c:pt idx="40">
                  <c:v>2076995.64</c:v>
                </c:pt>
                <c:pt idx="41">
                  <c:v>2203363.83</c:v>
                </c:pt>
                <c:pt idx="42">
                  <c:v>2160601</c:v>
                </c:pt>
                <c:pt idx="43">
                  <c:v>2239565</c:v>
                </c:pt>
                <c:pt idx="44">
                  <c:v>2323040.14</c:v>
                </c:pt>
                <c:pt idx="45">
                  <c:v>2406388.2000000002</c:v>
                </c:pt>
                <c:pt idx="46">
                  <c:v>2428451.98</c:v>
                </c:pt>
                <c:pt idx="47">
                  <c:v>2261673.2999999998</c:v>
                </c:pt>
                <c:pt idx="48">
                  <c:v>2403383.8200000003</c:v>
                </c:pt>
                <c:pt idx="49">
                  <c:v>2429604.9</c:v>
                </c:pt>
                <c:pt idx="50">
                  <c:v>2485782.7999999998</c:v>
                </c:pt>
                <c:pt idx="51">
                  <c:v>2525433.4700000002</c:v>
                </c:pt>
                <c:pt idx="52">
                  <c:v>2580396.15</c:v>
                </c:pt>
                <c:pt idx="53">
                  <c:v>1284954.08</c:v>
                </c:pt>
                <c:pt idx="54">
                  <c:v>1253043.8999999999</c:v>
                </c:pt>
                <c:pt idx="55">
                  <c:v>1274346</c:v>
                </c:pt>
                <c:pt idx="56">
                  <c:v>1287191.57</c:v>
                </c:pt>
                <c:pt idx="57">
                  <c:v>1302441.54</c:v>
                </c:pt>
                <c:pt idx="58">
                  <c:v>1297662.8899999999</c:v>
                </c:pt>
                <c:pt idx="59">
                  <c:v>1149956</c:v>
                </c:pt>
                <c:pt idx="60">
                  <c:v>1185274.68</c:v>
                </c:pt>
                <c:pt idx="61">
                  <c:v>1179417.1100000001</c:v>
                </c:pt>
                <c:pt idx="62">
                  <c:v>826264.5</c:v>
                </c:pt>
                <c:pt idx="63">
                  <c:v>836683.28</c:v>
                </c:pt>
                <c:pt idx="64">
                  <c:v>831951.64</c:v>
                </c:pt>
                <c:pt idx="65">
                  <c:v>833195.24</c:v>
                </c:pt>
                <c:pt idx="66">
                  <c:v>833804.2</c:v>
                </c:pt>
                <c:pt idx="67">
                  <c:v>845442.68</c:v>
                </c:pt>
                <c:pt idx="68">
                  <c:v>921744.74</c:v>
                </c:pt>
                <c:pt idx="69">
                  <c:v>919772.55</c:v>
                </c:pt>
                <c:pt idx="70">
                  <c:v>939509.45</c:v>
                </c:pt>
                <c:pt idx="71">
                  <c:v>783340.63</c:v>
                </c:pt>
                <c:pt idx="72">
                  <c:v>796831.47</c:v>
                </c:pt>
                <c:pt idx="73">
                  <c:v>803970.55</c:v>
                </c:pt>
                <c:pt idx="74">
                  <c:v>817886.57</c:v>
                </c:pt>
                <c:pt idx="75">
                  <c:v>839481.94</c:v>
                </c:pt>
                <c:pt idx="76">
                  <c:v>1932814.33</c:v>
                </c:pt>
                <c:pt idx="77">
                  <c:v>1959255.2</c:v>
                </c:pt>
                <c:pt idx="78">
                  <c:v>2078291.02</c:v>
                </c:pt>
                <c:pt idx="79">
                  <c:v>2116924.9300000002</c:v>
                </c:pt>
                <c:pt idx="80">
                  <c:v>2071490.81</c:v>
                </c:pt>
                <c:pt idx="81">
                  <c:v>1946931.27</c:v>
                </c:pt>
                <c:pt idx="82">
                  <c:v>1957281.03</c:v>
                </c:pt>
                <c:pt idx="83">
                  <c:v>1999732.77</c:v>
                </c:pt>
                <c:pt idx="84">
                  <c:v>2140289.96</c:v>
                </c:pt>
                <c:pt idx="85">
                  <c:v>1899571.58</c:v>
                </c:pt>
                <c:pt idx="86">
                  <c:v>1977849.53</c:v>
                </c:pt>
                <c:pt idx="87">
                  <c:v>2003345.34</c:v>
                </c:pt>
                <c:pt idx="88">
                  <c:v>1973292.45</c:v>
                </c:pt>
                <c:pt idx="89">
                  <c:v>2010666.21</c:v>
                </c:pt>
                <c:pt idx="90">
                  <c:v>2103455.31</c:v>
                </c:pt>
                <c:pt idx="91">
                  <c:v>2835203.25</c:v>
                </c:pt>
                <c:pt idx="92">
                  <c:v>2886700.37</c:v>
                </c:pt>
                <c:pt idx="93">
                  <c:v>2893191.64</c:v>
                </c:pt>
                <c:pt idx="94">
                  <c:v>2903875.64</c:v>
                </c:pt>
                <c:pt idx="95">
                  <c:v>2918532.93</c:v>
                </c:pt>
                <c:pt idx="96">
                  <c:v>2830695.06</c:v>
                </c:pt>
                <c:pt idx="97">
                  <c:v>2829053.66</c:v>
                </c:pt>
                <c:pt idx="98">
                  <c:v>2807213.53</c:v>
                </c:pt>
                <c:pt idx="99">
                  <c:v>3207707.5</c:v>
                </c:pt>
                <c:pt idx="100">
                  <c:v>3066196.31</c:v>
                </c:pt>
                <c:pt idx="101">
                  <c:v>3145716.9</c:v>
                </c:pt>
                <c:pt idx="102">
                  <c:v>2876446.67</c:v>
                </c:pt>
                <c:pt idx="103">
                  <c:v>3078325.75</c:v>
                </c:pt>
                <c:pt idx="104">
                  <c:v>2988914.54</c:v>
                </c:pt>
                <c:pt idx="105">
                  <c:v>2973896.2</c:v>
                </c:pt>
                <c:pt idx="106">
                  <c:v>2903875.64</c:v>
                </c:pt>
                <c:pt idx="107">
                  <c:v>3102854.87</c:v>
                </c:pt>
                <c:pt idx="108">
                  <c:v>3071473.7116999999</c:v>
                </c:pt>
                <c:pt idx="109">
                  <c:v>2977063.65</c:v>
                </c:pt>
                <c:pt idx="110">
                  <c:v>2777237.27</c:v>
                </c:pt>
                <c:pt idx="111">
                  <c:v>2829470.78</c:v>
                </c:pt>
                <c:pt idx="112">
                  <c:v>3099433.4</c:v>
                </c:pt>
                <c:pt idx="113">
                  <c:v>3186135.32</c:v>
                </c:pt>
                <c:pt idx="114">
                  <c:v>1917326.68</c:v>
                </c:pt>
                <c:pt idx="115">
                  <c:v>2065793.32</c:v>
                </c:pt>
                <c:pt idx="116">
                  <c:v>2139718.89</c:v>
                </c:pt>
                <c:pt idx="117">
                  <c:v>2160520.35</c:v>
                </c:pt>
                <c:pt idx="118">
                  <c:v>2350010.9900000002</c:v>
                </c:pt>
                <c:pt idx="119">
                  <c:v>2403573.6800000002</c:v>
                </c:pt>
                <c:pt idx="120">
                  <c:v>2298292.15</c:v>
                </c:pt>
                <c:pt idx="121">
                  <c:v>1485252.64</c:v>
                </c:pt>
                <c:pt idx="122">
                  <c:v>1537318.33</c:v>
                </c:pt>
                <c:pt idx="123">
                  <c:v>1875271.8</c:v>
                </c:pt>
                <c:pt idx="124">
                  <c:v>1875271.8</c:v>
                </c:pt>
                <c:pt idx="125">
                  <c:v>1987103.67</c:v>
                </c:pt>
                <c:pt idx="126">
                  <c:v>1999646.15</c:v>
                </c:pt>
                <c:pt idx="127">
                  <c:v>1810901.87</c:v>
                </c:pt>
                <c:pt idx="128">
                  <c:v>1630132.02</c:v>
                </c:pt>
                <c:pt idx="129">
                  <c:v>1726040.38</c:v>
                </c:pt>
                <c:pt idx="130">
                  <c:v>1807927.2</c:v>
                </c:pt>
                <c:pt idx="131">
                  <c:v>1724099.43</c:v>
                </c:pt>
                <c:pt idx="132">
                  <c:v>1650109.7</c:v>
                </c:pt>
                <c:pt idx="133">
                  <c:v>1599621.41</c:v>
                </c:pt>
                <c:pt idx="134">
                  <c:v>1644301.08</c:v>
                </c:pt>
                <c:pt idx="135">
                  <c:v>1698123.99</c:v>
                </c:pt>
                <c:pt idx="136">
                  <c:v>1651692.77</c:v>
                </c:pt>
                <c:pt idx="137">
                  <c:v>1703032.68</c:v>
                </c:pt>
                <c:pt idx="138">
                  <c:v>1749628.3</c:v>
                </c:pt>
                <c:pt idx="139">
                  <c:v>1689740.43</c:v>
                </c:pt>
                <c:pt idx="140">
                  <c:v>1623383.23</c:v>
                </c:pt>
                <c:pt idx="141">
                  <c:v>1486448.8</c:v>
                </c:pt>
                <c:pt idx="142">
                  <c:v>1486448.8</c:v>
                </c:pt>
                <c:pt idx="143">
                  <c:v>1651882.87</c:v>
                </c:pt>
                <c:pt idx="144">
                  <c:v>1643821.65</c:v>
                </c:pt>
                <c:pt idx="145">
                  <c:v>1645195.87</c:v>
                </c:pt>
                <c:pt idx="146">
                  <c:v>1651704.17</c:v>
                </c:pt>
                <c:pt idx="147">
                  <c:v>1512682.06</c:v>
                </c:pt>
                <c:pt idx="148">
                  <c:v>1282310.73</c:v>
                </c:pt>
                <c:pt idx="149">
                  <c:v>1273910.8899999999</c:v>
                </c:pt>
                <c:pt idx="150">
                  <c:v>1281677.6000000001</c:v>
                </c:pt>
                <c:pt idx="151">
                  <c:v>1139984.9099999999</c:v>
                </c:pt>
                <c:pt idx="152">
                  <c:v>1166492.07</c:v>
                </c:pt>
                <c:pt idx="153">
                  <c:v>1378457.17</c:v>
                </c:pt>
                <c:pt idx="154">
                  <c:v>1465021.06</c:v>
                </c:pt>
                <c:pt idx="155">
                  <c:v>1682520.45</c:v>
                </c:pt>
                <c:pt idx="156">
                  <c:v>1682520.45</c:v>
                </c:pt>
                <c:pt idx="157">
                  <c:v>1682520.45</c:v>
                </c:pt>
                <c:pt idx="158">
                  <c:v>1368730.63</c:v>
                </c:pt>
                <c:pt idx="159">
                  <c:v>1424013.19</c:v>
                </c:pt>
                <c:pt idx="160">
                  <c:v>1682718.42</c:v>
                </c:pt>
                <c:pt idx="161">
                  <c:v>1745503.34</c:v>
                </c:pt>
                <c:pt idx="162">
                  <c:v>1726179.25</c:v>
                </c:pt>
                <c:pt idx="163">
                  <c:v>1543357.39</c:v>
                </c:pt>
                <c:pt idx="164">
                  <c:v>1532927.43</c:v>
                </c:pt>
                <c:pt idx="165">
                  <c:v>1831940.2</c:v>
                </c:pt>
                <c:pt idx="166">
                  <c:v>1995299.59</c:v>
                </c:pt>
                <c:pt idx="167">
                  <c:v>1964404.41</c:v>
                </c:pt>
                <c:pt idx="168">
                  <c:v>2105354.91</c:v>
                </c:pt>
                <c:pt idx="169">
                  <c:v>2342451</c:v>
                </c:pt>
                <c:pt idx="170">
                  <c:v>2521459.2000000002</c:v>
                </c:pt>
                <c:pt idx="171">
                  <c:v>2454940.6</c:v>
                </c:pt>
                <c:pt idx="172">
                  <c:v>2410684.15</c:v>
                </c:pt>
                <c:pt idx="173">
                  <c:v>2392071.11</c:v>
                </c:pt>
                <c:pt idx="174">
                  <c:v>2538715.9900000002</c:v>
                </c:pt>
                <c:pt idx="175">
                  <c:v>2721271.24</c:v>
                </c:pt>
                <c:pt idx="176">
                  <c:v>2979662.22</c:v>
                </c:pt>
                <c:pt idx="177">
                  <c:v>3285627.32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7B5D-46B5-BF9F-9F4C11107E9D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resumen!$A$2244:$A$2421</c:f>
              <c:numCache>
                <c:formatCode>[$-C0A]mmmm\-yy;@</c:formatCode>
                <c:ptCount val="178"/>
                <c:pt idx="0">
                  <c:v>40237</c:v>
                </c:pt>
                <c:pt idx="1">
                  <c:v>40265</c:v>
                </c:pt>
                <c:pt idx="2">
                  <c:v>40296</c:v>
                </c:pt>
                <c:pt idx="3">
                  <c:v>40326</c:v>
                </c:pt>
                <c:pt idx="4">
                  <c:v>40357</c:v>
                </c:pt>
                <c:pt idx="5">
                  <c:v>40387</c:v>
                </c:pt>
                <c:pt idx="6">
                  <c:v>40418</c:v>
                </c:pt>
                <c:pt idx="7">
                  <c:v>40449</c:v>
                </c:pt>
                <c:pt idx="8">
                  <c:v>40479</c:v>
                </c:pt>
                <c:pt idx="9">
                  <c:v>40510</c:v>
                </c:pt>
                <c:pt idx="10">
                  <c:v>40540</c:v>
                </c:pt>
                <c:pt idx="11">
                  <c:v>40571</c:v>
                </c:pt>
                <c:pt idx="12">
                  <c:v>40602</c:v>
                </c:pt>
                <c:pt idx="13">
                  <c:v>40630</c:v>
                </c:pt>
                <c:pt idx="14">
                  <c:v>40661</c:v>
                </c:pt>
                <c:pt idx="15">
                  <c:v>40691</c:v>
                </c:pt>
                <c:pt idx="16">
                  <c:v>40722</c:v>
                </c:pt>
                <c:pt idx="17">
                  <c:v>40752</c:v>
                </c:pt>
                <c:pt idx="18">
                  <c:v>40783</c:v>
                </c:pt>
                <c:pt idx="19">
                  <c:v>40814</c:v>
                </c:pt>
                <c:pt idx="20">
                  <c:v>40844</c:v>
                </c:pt>
                <c:pt idx="21">
                  <c:v>40875</c:v>
                </c:pt>
                <c:pt idx="22">
                  <c:v>40905</c:v>
                </c:pt>
                <c:pt idx="23">
                  <c:v>40936</c:v>
                </c:pt>
                <c:pt idx="24">
                  <c:v>40967</c:v>
                </c:pt>
                <c:pt idx="25">
                  <c:v>40996</c:v>
                </c:pt>
                <c:pt idx="26">
                  <c:v>41027</c:v>
                </c:pt>
                <c:pt idx="27">
                  <c:v>41057</c:v>
                </c:pt>
                <c:pt idx="28">
                  <c:v>41088</c:v>
                </c:pt>
                <c:pt idx="29">
                  <c:v>41118</c:v>
                </c:pt>
                <c:pt idx="30">
                  <c:v>41149</c:v>
                </c:pt>
                <c:pt idx="31">
                  <c:v>41180</c:v>
                </c:pt>
                <c:pt idx="32">
                  <c:v>41210</c:v>
                </c:pt>
                <c:pt idx="33">
                  <c:v>41241</c:v>
                </c:pt>
                <c:pt idx="34">
                  <c:v>41271</c:v>
                </c:pt>
                <c:pt idx="35">
                  <c:v>41302</c:v>
                </c:pt>
                <c:pt idx="36">
                  <c:v>41333</c:v>
                </c:pt>
                <c:pt idx="37">
                  <c:v>41361</c:v>
                </c:pt>
                <c:pt idx="38">
                  <c:v>41392</c:v>
                </c:pt>
                <c:pt idx="39">
                  <c:v>41422</c:v>
                </c:pt>
                <c:pt idx="40">
                  <c:v>41453</c:v>
                </c:pt>
                <c:pt idx="41">
                  <c:v>41483</c:v>
                </c:pt>
                <c:pt idx="42">
                  <c:v>41514</c:v>
                </c:pt>
                <c:pt idx="43">
                  <c:v>41545</c:v>
                </c:pt>
                <c:pt idx="44">
                  <c:v>41575</c:v>
                </c:pt>
                <c:pt idx="45">
                  <c:v>41606</c:v>
                </c:pt>
                <c:pt idx="46">
                  <c:v>41636</c:v>
                </c:pt>
                <c:pt idx="47">
                  <c:v>41667</c:v>
                </c:pt>
                <c:pt idx="48">
                  <c:v>41698</c:v>
                </c:pt>
                <c:pt idx="49">
                  <c:v>41726</c:v>
                </c:pt>
                <c:pt idx="50">
                  <c:v>41757</c:v>
                </c:pt>
                <c:pt idx="51">
                  <c:v>41787</c:v>
                </c:pt>
                <c:pt idx="52">
                  <c:v>41818</c:v>
                </c:pt>
                <c:pt idx="53">
                  <c:v>41848</c:v>
                </c:pt>
                <c:pt idx="54">
                  <c:v>41879</c:v>
                </c:pt>
                <c:pt idx="55">
                  <c:v>41910</c:v>
                </c:pt>
                <c:pt idx="56">
                  <c:v>41940</c:v>
                </c:pt>
                <c:pt idx="57">
                  <c:v>41971</c:v>
                </c:pt>
                <c:pt idx="58">
                  <c:v>42001</c:v>
                </c:pt>
                <c:pt idx="59">
                  <c:v>42032</c:v>
                </c:pt>
                <c:pt idx="60">
                  <c:v>42063</c:v>
                </c:pt>
                <c:pt idx="61">
                  <c:v>42091</c:v>
                </c:pt>
                <c:pt idx="62">
                  <c:v>42122</c:v>
                </c:pt>
                <c:pt idx="63">
                  <c:v>42152</c:v>
                </c:pt>
                <c:pt idx="64">
                  <c:v>42183</c:v>
                </c:pt>
                <c:pt idx="65">
                  <c:v>42213</c:v>
                </c:pt>
                <c:pt idx="66">
                  <c:v>42244</c:v>
                </c:pt>
                <c:pt idx="67">
                  <c:v>42275</c:v>
                </c:pt>
                <c:pt idx="68">
                  <c:v>42305</c:v>
                </c:pt>
                <c:pt idx="69">
                  <c:v>42336</c:v>
                </c:pt>
                <c:pt idx="70">
                  <c:v>42366</c:v>
                </c:pt>
                <c:pt idx="71">
                  <c:v>42397</c:v>
                </c:pt>
                <c:pt idx="72">
                  <c:v>42428</c:v>
                </c:pt>
                <c:pt idx="73">
                  <c:v>42457</c:v>
                </c:pt>
                <c:pt idx="74">
                  <c:v>42488</c:v>
                </c:pt>
                <c:pt idx="75">
                  <c:v>42518</c:v>
                </c:pt>
                <c:pt idx="76">
                  <c:v>42549</c:v>
                </c:pt>
                <c:pt idx="77">
                  <c:v>42579</c:v>
                </c:pt>
                <c:pt idx="78">
                  <c:v>42610</c:v>
                </c:pt>
                <c:pt idx="79">
                  <c:v>42641</c:v>
                </c:pt>
                <c:pt idx="80">
                  <c:v>42671</c:v>
                </c:pt>
                <c:pt idx="81">
                  <c:v>42702</c:v>
                </c:pt>
                <c:pt idx="82">
                  <c:v>42732</c:v>
                </c:pt>
                <c:pt idx="83">
                  <c:v>42763</c:v>
                </c:pt>
                <c:pt idx="84">
                  <c:v>42794</c:v>
                </c:pt>
                <c:pt idx="85">
                  <c:v>42822</c:v>
                </c:pt>
                <c:pt idx="86">
                  <c:v>42853</c:v>
                </c:pt>
                <c:pt idx="87">
                  <c:v>42883</c:v>
                </c:pt>
                <c:pt idx="88">
                  <c:v>42914</c:v>
                </c:pt>
                <c:pt idx="89">
                  <c:v>42944</c:v>
                </c:pt>
                <c:pt idx="90">
                  <c:v>42975</c:v>
                </c:pt>
                <c:pt idx="91">
                  <c:v>43006</c:v>
                </c:pt>
                <c:pt idx="92">
                  <c:v>43036</c:v>
                </c:pt>
                <c:pt idx="93">
                  <c:v>43067</c:v>
                </c:pt>
                <c:pt idx="94">
                  <c:v>43097</c:v>
                </c:pt>
                <c:pt idx="95">
                  <c:v>43128</c:v>
                </c:pt>
                <c:pt idx="96">
                  <c:v>43159</c:v>
                </c:pt>
                <c:pt idx="97">
                  <c:v>43187</c:v>
                </c:pt>
                <c:pt idx="98">
                  <c:v>43218</c:v>
                </c:pt>
                <c:pt idx="99">
                  <c:v>43248</c:v>
                </c:pt>
                <c:pt idx="100">
                  <c:v>43279</c:v>
                </c:pt>
                <c:pt idx="101">
                  <c:v>43309</c:v>
                </c:pt>
                <c:pt idx="102">
                  <c:v>43340</c:v>
                </c:pt>
                <c:pt idx="103">
                  <c:v>43371</c:v>
                </c:pt>
                <c:pt idx="104">
                  <c:v>43401</c:v>
                </c:pt>
                <c:pt idx="105">
                  <c:v>43432</c:v>
                </c:pt>
                <c:pt idx="106">
                  <c:v>43462</c:v>
                </c:pt>
                <c:pt idx="107">
                  <c:v>43493</c:v>
                </c:pt>
                <c:pt idx="108">
                  <c:v>43524</c:v>
                </c:pt>
                <c:pt idx="109">
                  <c:v>43552</c:v>
                </c:pt>
                <c:pt idx="110">
                  <c:v>43583</c:v>
                </c:pt>
                <c:pt idx="111">
                  <c:v>43613</c:v>
                </c:pt>
                <c:pt idx="112">
                  <c:v>43644</c:v>
                </c:pt>
                <c:pt idx="113">
                  <c:v>43674</c:v>
                </c:pt>
                <c:pt idx="114">
                  <c:v>43705</c:v>
                </c:pt>
                <c:pt idx="115">
                  <c:v>43736</c:v>
                </c:pt>
                <c:pt idx="116">
                  <c:v>43766</c:v>
                </c:pt>
                <c:pt idx="117">
                  <c:v>43797</c:v>
                </c:pt>
                <c:pt idx="118">
                  <c:v>43827</c:v>
                </c:pt>
                <c:pt idx="119">
                  <c:v>43858</c:v>
                </c:pt>
                <c:pt idx="120">
                  <c:v>43889</c:v>
                </c:pt>
                <c:pt idx="121">
                  <c:v>43918</c:v>
                </c:pt>
                <c:pt idx="122">
                  <c:v>43949</c:v>
                </c:pt>
                <c:pt idx="123">
                  <c:v>43979</c:v>
                </c:pt>
                <c:pt idx="124">
                  <c:v>44010</c:v>
                </c:pt>
                <c:pt idx="125">
                  <c:v>44040</c:v>
                </c:pt>
                <c:pt idx="126">
                  <c:v>44071</c:v>
                </c:pt>
                <c:pt idx="127">
                  <c:v>44102</c:v>
                </c:pt>
                <c:pt idx="128">
                  <c:v>44132</c:v>
                </c:pt>
                <c:pt idx="129">
                  <c:v>44163</c:v>
                </c:pt>
                <c:pt idx="130">
                  <c:v>44193</c:v>
                </c:pt>
                <c:pt idx="131">
                  <c:v>44224</c:v>
                </c:pt>
                <c:pt idx="132">
                  <c:v>44255</c:v>
                </c:pt>
                <c:pt idx="133">
                  <c:v>44283</c:v>
                </c:pt>
                <c:pt idx="134">
                  <c:v>44314</c:v>
                </c:pt>
                <c:pt idx="135">
                  <c:v>44344</c:v>
                </c:pt>
                <c:pt idx="136">
                  <c:v>44375</c:v>
                </c:pt>
                <c:pt idx="137">
                  <c:v>44405</c:v>
                </c:pt>
                <c:pt idx="138">
                  <c:v>44436</c:v>
                </c:pt>
                <c:pt idx="139">
                  <c:v>44467</c:v>
                </c:pt>
                <c:pt idx="140">
                  <c:v>44497</c:v>
                </c:pt>
                <c:pt idx="141">
                  <c:v>44528</c:v>
                </c:pt>
                <c:pt idx="142">
                  <c:v>44558</c:v>
                </c:pt>
                <c:pt idx="143">
                  <c:v>44589</c:v>
                </c:pt>
                <c:pt idx="144">
                  <c:v>44620</c:v>
                </c:pt>
                <c:pt idx="145">
                  <c:v>44648</c:v>
                </c:pt>
                <c:pt idx="146">
                  <c:v>44679</c:v>
                </c:pt>
                <c:pt idx="147">
                  <c:v>44709</c:v>
                </c:pt>
                <c:pt idx="148">
                  <c:v>44740</c:v>
                </c:pt>
                <c:pt idx="149">
                  <c:v>44770</c:v>
                </c:pt>
                <c:pt idx="150">
                  <c:v>44801</c:v>
                </c:pt>
                <c:pt idx="151">
                  <c:v>44832</c:v>
                </c:pt>
                <c:pt idx="152">
                  <c:v>44862</c:v>
                </c:pt>
                <c:pt idx="153">
                  <c:v>44893</c:v>
                </c:pt>
                <c:pt idx="154">
                  <c:v>44923</c:v>
                </c:pt>
                <c:pt idx="155">
                  <c:v>44954</c:v>
                </c:pt>
                <c:pt idx="156">
                  <c:v>44985</c:v>
                </c:pt>
                <c:pt idx="157">
                  <c:v>45013</c:v>
                </c:pt>
                <c:pt idx="158">
                  <c:v>45044</c:v>
                </c:pt>
                <c:pt idx="159">
                  <c:v>45074</c:v>
                </c:pt>
                <c:pt idx="160">
                  <c:v>45105</c:v>
                </c:pt>
                <c:pt idx="161">
                  <c:v>45135</c:v>
                </c:pt>
                <c:pt idx="162">
                  <c:v>45166</c:v>
                </c:pt>
                <c:pt idx="163">
                  <c:v>45197</c:v>
                </c:pt>
                <c:pt idx="164">
                  <c:v>45227</c:v>
                </c:pt>
                <c:pt idx="165">
                  <c:v>45258</c:v>
                </c:pt>
                <c:pt idx="166">
                  <c:v>45288</c:v>
                </c:pt>
                <c:pt idx="167">
                  <c:v>45319</c:v>
                </c:pt>
                <c:pt idx="168">
                  <c:v>45350</c:v>
                </c:pt>
                <c:pt idx="169">
                  <c:v>45379</c:v>
                </c:pt>
                <c:pt idx="170">
                  <c:v>45410</c:v>
                </c:pt>
                <c:pt idx="171">
                  <c:v>45440</c:v>
                </c:pt>
                <c:pt idx="172">
                  <c:v>45471</c:v>
                </c:pt>
                <c:pt idx="173">
                  <c:v>45501</c:v>
                </c:pt>
                <c:pt idx="174">
                  <c:v>45532</c:v>
                </c:pt>
                <c:pt idx="175">
                  <c:v>45563</c:v>
                </c:pt>
                <c:pt idx="176">
                  <c:v>45593</c:v>
                </c:pt>
                <c:pt idx="177">
                  <c:v>45624</c:v>
                </c:pt>
              </c:numCache>
            </c:numRef>
          </c:cat>
          <c:val>
            <c:numRef>
              <c:f>resumen!$E$2244:$E$2421</c:f>
              <c:numCache>
                <c:formatCode>#,##0.00</c:formatCode>
                <c:ptCount val="178"/>
                <c:pt idx="0">
                  <c:v>648166.33000000007</c:v>
                </c:pt>
                <c:pt idx="1">
                  <c:v>650431</c:v>
                </c:pt>
                <c:pt idx="2">
                  <c:v>649408</c:v>
                </c:pt>
                <c:pt idx="3">
                  <c:v>638766.9</c:v>
                </c:pt>
                <c:pt idx="4">
                  <c:v>638543.56000000006</c:v>
                </c:pt>
                <c:pt idx="5">
                  <c:v>647777.9</c:v>
                </c:pt>
                <c:pt idx="6">
                  <c:v>648367.9</c:v>
                </c:pt>
                <c:pt idx="7">
                  <c:v>660543.47</c:v>
                </c:pt>
                <c:pt idx="8">
                  <c:v>667192.48</c:v>
                </c:pt>
                <c:pt idx="9">
                  <c:v>664325.9</c:v>
                </c:pt>
                <c:pt idx="10">
                  <c:v>671700.39</c:v>
                </c:pt>
                <c:pt idx="11">
                  <c:v>681896.74</c:v>
                </c:pt>
                <c:pt idx="12">
                  <c:v>685451.01</c:v>
                </c:pt>
                <c:pt idx="13">
                  <c:v>686938.05</c:v>
                </c:pt>
                <c:pt idx="14">
                  <c:v>707821.32</c:v>
                </c:pt>
                <c:pt idx="15">
                  <c:v>698180.01</c:v>
                </c:pt>
                <c:pt idx="16">
                  <c:v>685905.79</c:v>
                </c:pt>
                <c:pt idx="17">
                  <c:v>695504.45</c:v>
                </c:pt>
                <c:pt idx="18">
                  <c:v>657324.82000000007</c:v>
                </c:pt>
                <c:pt idx="19">
                  <c:v>621871.93999999994</c:v>
                </c:pt>
                <c:pt idx="20">
                  <c:v>662649.01</c:v>
                </c:pt>
                <c:pt idx="21">
                  <c:v>629612.39400000009</c:v>
                </c:pt>
                <c:pt idx="22">
                  <c:v>635699.36</c:v>
                </c:pt>
                <c:pt idx="23">
                  <c:v>662530.12</c:v>
                </c:pt>
                <c:pt idx="24">
                  <c:v>687658.09</c:v>
                </c:pt>
                <c:pt idx="25">
                  <c:v>681191.94</c:v>
                </c:pt>
                <c:pt idx="26">
                  <c:v>681713.74</c:v>
                </c:pt>
                <c:pt idx="27">
                  <c:v>645750.37</c:v>
                </c:pt>
                <c:pt idx="28">
                  <c:v>649154.76</c:v>
                </c:pt>
                <c:pt idx="29">
                  <c:v>668261.63899999997</c:v>
                </c:pt>
                <c:pt idx="30">
                  <c:v>676372.49000000011</c:v>
                </c:pt>
                <c:pt idx="31">
                  <c:v>689985.89</c:v>
                </c:pt>
                <c:pt idx="32">
                  <c:v>692863.43</c:v>
                </c:pt>
                <c:pt idx="33">
                  <c:v>695636.01</c:v>
                </c:pt>
                <c:pt idx="34">
                  <c:v>707500.04</c:v>
                </c:pt>
                <c:pt idx="35">
                  <c:v>729149.79</c:v>
                </c:pt>
                <c:pt idx="36">
                  <c:v>729860.5</c:v>
                </c:pt>
                <c:pt idx="37">
                  <c:v>726858.14</c:v>
                </c:pt>
                <c:pt idx="38">
                  <c:v>741620.25999999989</c:v>
                </c:pt>
                <c:pt idx="39">
                  <c:v>753739.72000000009</c:v>
                </c:pt>
                <c:pt idx="40">
                  <c:v>718982.78</c:v>
                </c:pt>
                <c:pt idx="41">
                  <c:v>733603.09000000008</c:v>
                </c:pt>
                <c:pt idx="42">
                  <c:v>729134.26</c:v>
                </c:pt>
                <c:pt idx="43">
                  <c:v>748302.92999999993</c:v>
                </c:pt>
                <c:pt idx="44">
                  <c:v>765154.58</c:v>
                </c:pt>
                <c:pt idx="45">
                  <c:v>765616.25</c:v>
                </c:pt>
                <c:pt idx="46">
                  <c:v>822927.15999999992</c:v>
                </c:pt>
                <c:pt idx="47">
                  <c:v>812499.74</c:v>
                </c:pt>
                <c:pt idx="48">
                  <c:v>832565.42999999993</c:v>
                </c:pt>
                <c:pt idx="49">
                  <c:v>833328.43</c:v>
                </c:pt>
                <c:pt idx="50">
                  <c:v>833620.91</c:v>
                </c:pt>
                <c:pt idx="51">
                  <c:v>843048.84000000008</c:v>
                </c:pt>
                <c:pt idx="52">
                  <c:v>851342.24</c:v>
                </c:pt>
                <c:pt idx="53">
                  <c:v>2162246.09</c:v>
                </c:pt>
                <c:pt idx="54">
                  <c:v>2162422.8199999998</c:v>
                </c:pt>
                <c:pt idx="55">
                  <c:v>2126475.2599999998</c:v>
                </c:pt>
                <c:pt idx="56">
                  <c:v>2140247.19</c:v>
                </c:pt>
                <c:pt idx="57">
                  <c:v>2212299.9500000002</c:v>
                </c:pt>
                <c:pt idx="58">
                  <c:v>2191654.09</c:v>
                </c:pt>
                <c:pt idx="59">
                  <c:v>2162548</c:v>
                </c:pt>
                <c:pt idx="60">
                  <c:v>2244408.6800000002</c:v>
                </c:pt>
                <c:pt idx="61">
                  <c:v>2222462.9300000002</c:v>
                </c:pt>
                <c:pt idx="62">
                  <c:v>2259512.0099999998</c:v>
                </c:pt>
                <c:pt idx="63">
                  <c:v>2258171.59</c:v>
                </c:pt>
                <c:pt idx="64">
                  <c:v>2198364.35</c:v>
                </c:pt>
                <c:pt idx="65">
                  <c:v>2205937.35</c:v>
                </c:pt>
                <c:pt idx="66">
                  <c:v>2095858.83</c:v>
                </c:pt>
                <c:pt idx="67">
                  <c:v>2034653.42</c:v>
                </c:pt>
                <c:pt idx="68">
                  <c:v>2202098.38</c:v>
                </c:pt>
                <c:pt idx="69">
                  <c:v>2200625.63</c:v>
                </c:pt>
                <c:pt idx="70">
                  <c:v>2164150.17</c:v>
                </c:pt>
                <c:pt idx="71">
                  <c:v>2038448.34</c:v>
                </c:pt>
                <c:pt idx="72">
                  <c:v>2060582.38</c:v>
                </c:pt>
                <c:pt idx="73">
                  <c:v>2158041.39</c:v>
                </c:pt>
                <c:pt idx="74">
                  <c:v>2180778.19</c:v>
                </c:pt>
                <c:pt idx="75">
                  <c:v>2202248.58</c:v>
                </c:pt>
                <c:pt idx="76">
                  <c:v>2176129.04</c:v>
                </c:pt>
                <c:pt idx="77">
                  <c:v>2269441</c:v>
                </c:pt>
                <c:pt idx="78">
                  <c:v>2298524.5299999998</c:v>
                </c:pt>
                <c:pt idx="79">
                  <c:v>2306597.0100000002</c:v>
                </c:pt>
                <c:pt idx="80">
                  <c:v>2285374.9300000002</c:v>
                </c:pt>
                <c:pt idx="81">
                  <c:v>2274803.5699999998</c:v>
                </c:pt>
                <c:pt idx="82">
                  <c:v>2274803.5699999998</c:v>
                </c:pt>
                <c:pt idx="83">
                  <c:v>2362307.73</c:v>
                </c:pt>
                <c:pt idx="84">
                  <c:v>2431785.34</c:v>
                </c:pt>
                <c:pt idx="85">
                  <c:v>2453000</c:v>
                </c:pt>
                <c:pt idx="86">
                  <c:v>2474975.96</c:v>
                </c:pt>
                <c:pt idx="87">
                  <c:v>2516547.8499999996</c:v>
                </c:pt>
                <c:pt idx="88">
                  <c:v>2511130.92</c:v>
                </c:pt>
                <c:pt idx="89">
                  <c:v>2559441.63</c:v>
                </c:pt>
                <c:pt idx="90">
                  <c:v>2589447.69</c:v>
                </c:pt>
                <c:pt idx="91">
                  <c:v>1922641.12</c:v>
                </c:pt>
                <c:pt idx="92">
                  <c:v>1990268.15</c:v>
                </c:pt>
                <c:pt idx="93">
                  <c:v>2028976.22</c:v>
                </c:pt>
                <c:pt idx="94">
                  <c:v>2059962.17</c:v>
                </c:pt>
                <c:pt idx="95">
                  <c:v>2177516.8199999998</c:v>
                </c:pt>
                <c:pt idx="96">
                  <c:v>2110717.89</c:v>
                </c:pt>
                <c:pt idx="97">
                  <c:v>2067000.03</c:v>
                </c:pt>
                <c:pt idx="98">
                  <c:v>2081190.89</c:v>
                </c:pt>
                <c:pt idx="99">
                  <c:v>2083241.25</c:v>
                </c:pt>
                <c:pt idx="100">
                  <c:v>2045397.21</c:v>
                </c:pt>
                <c:pt idx="101">
                  <c:v>2117770.23</c:v>
                </c:pt>
                <c:pt idx="102">
                  <c:v>2137740.7999999998</c:v>
                </c:pt>
                <c:pt idx="103">
                  <c:v>2145949.27</c:v>
                </c:pt>
                <c:pt idx="104">
                  <c:v>2039952.63</c:v>
                </c:pt>
                <c:pt idx="105">
                  <c:v>2063404.93</c:v>
                </c:pt>
                <c:pt idx="106">
                  <c:v>1924969.99</c:v>
                </c:pt>
                <c:pt idx="107">
                  <c:v>2060620.73</c:v>
                </c:pt>
                <c:pt idx="108">
                  <c:v>2119184</c:v>
                </c:pt>
                <c:pt idx="109">
                  <c:v>2133562.38</c:v>
                </c:pt>
                <c:pt idx="110">
                  <c:v>2202460.84</c:v>
                </c:pt>
                <c:pt idx="111">
                  <c:v>2086687.01</c:v>
                </c:pt>
                <c:pt idx="112">
                  <c:v>2210551.9</c:v>
                </c:pt>
                <c:pt idx="113">
                  <c:v>2238406.13</c:v>
                </c:pt>
                <c:pt idx="114">
                  <c:v>2154068.6</c:v>
                </c:pt>
                <c:pt idx="115">
                  <c:v>2203624.7599999998</c:v>
                </c:pt>
                <c:pt idx="116">
                  <c:v>2257847.85</c:v>
                </c:pt>
                <c:pt idx="117">
                  <c:v>2315287.91</c:v>
                </c:pt>
                <c:pt idx="118">
                  <c:v>2381708.9500000002</c:v>
                </c:pt>
                <c:pt idx="119">
                  <c:v>2384244.2400000002</c:v>
                </c:pt>
                <c:pt idx="120">
                  <c:v>2217991.65</c:v>
                </c:pt>
                <c:pt idx="121">
                  <c:v>1978053.1</c:v>
                </c:pt>
                <c:pt idx="122">
                  <c:v>2176248.94</c:v>
                </c:pt>
                <c:pt idx="123">
                  <c:v>2274862.38</c:v>
                </c:pt>
                <c:pt idx="124">
                  <c:v>2334632.9900000002</c:v>
                </c:pt>
                <c:pt idx="125">
                  <c:v>2412880.6800000002</c:v>
                </c:pt>
                <c:pt idx="126">
                  <c:v>2556695.0299999998</c:v>
                </c:pt>
                <c:pt idx="127">
                  <c:v>2474038.9700000002</c:v>
                </c:pt>
                <c:pt idx="128">
                  <c:v>2404779.4700000002</c:v>
                </c:pt>
                <c:pt idx="129">
                  <c:v>2672089.69</c:v>
                </c:pt>
                <c:pt idx="130">
                  <c:v>2765018.75</c:v>
                </c:pt>
                <c:pt idx="131">
                  <c:v>2781054.2</c:v>
                </c:pt>
                <c:pt idx="132">
                  <c:v>2835085.24</c:v>
                </c:pt>
                <c:pt idx="133">
                  <c:v>2915212.08</c:v>
                </c:pt>
                <c:pt idx="134">
                  <c:v>3013553.66</c:v>
                </c:pt>
                <c:pt idx="135">
                  <c:v>3029902.52</c:v>
                </c:pt>
                <c:pt idx="136">
                  <c:v>3094692.77</c:v>
                </c:pt>
                <c:pt idx="137">
                  <c:v>3135793.74</c:v>
                </c:pt>
                <c:pt idx="138">
                  <c:v>3229332.02</c:v>
                </c:pt>
                <c:pt idx="139">
                  <c:v>3092011</c:v>
                </c:pt>
                <c:pt idx="140">
                  <c:v>3267474.97</c:v>
                </c:pt>
                <c:pt idx="141">
                  <c:v>3232484.98</c:v>
                </c:pt>
                <c:pt idx="142">
                  <c:v>3232484.98</c:v>
                </c:pt>
                <c:pt idx="143">
                  <c:v>3154421.12</c:v>
                </c:pt>
                <c:pt idx="144">
                  <c:v>3056800.63</c:v>
                </c:pt>
                <c:pt idx="145">
                  <c:v>3153127.01</c:v>
                </c:pt>
                <c:pt idx="146">
                  <c:v>2902151.7</c:v>
                </c:pt>
                <c:pt idx="147">
                  <c:v>2885424.19</c:v>
                </c:pt>
                <c:pt idx="148">
                  <c:v>2649972.61</c:v>
                </c:pt>
                <c:pt idx="149">
                  <c:v>2834927.97</c:v>
                </c:pt>
                <c:pt idx="150">
                  <c:v>2724506.62</c:v>
                </c:pt>
                <c:pt idx="151">
                  <c:v>2488273.86</c:v>
                </c:pt>
                <c:pt idx="152">
                  <c:v>2631863.85</c:v>
                </c:pt>
                <c:pt idx="153">
                  <c:v>2783732.85</c:v>
                </c:pt>
                <c:pt idx="154">
                  <c:v>2648566.23</c:v>
                </c:pt>
                <c:pt idx="155">
                  <c:v>2830601.99</c:v>
                </c:pt>
                <c:pt idx="156">
                  <c:v>2830601.99</c:v>
                </c:pt>
                <c:pt idx="157">
                  <c:v>2830601.99</c:v>
                </c:pt>
                <c:pt idx="158">
                  <c:v>2915712.36</c:v>
                </c:pt>
                <c:pt idx="159">
                  <c:v>2967313.46</c:v>
                </c:pt>
                <c:pt idx="160">
                  <c:v>3126504.52</c:v>
                </c:pt>
                <c:pt idx="161">
                  <c:v>3209544.59</c:v>
                </c:pt>
                <c:pt idx="162">
                  <c:v>3149635.47</c:v>
                </c:pt>
                <c:pt idx="163">
                  <c:v>3018669.85</c:v>
                </c:pt>
                <c:pt idx="164">
                  <c:v>2980560.06</c:v>
                </c:pt>
                <c:pt idx="165">
                  <c:v>3262994.54</c:v>
                </c:pt>
                <c:pt idx="166">
                  <c:v>3404664.15</c:v>
                </c:pt>
                <c:pt idx="167">
                  <c:v>3425487.65</c:v>
                </c:pt>
                <c:pt idx="168">
                  <c:v>3541582.91</c:v>
                </c:pt>
                <c:pt idx="169">
                  <c:v>3624717.52</c:v>
                </c:pt>
                <c:pt idx="170">
                  <c:v>3476449.91</c:v>
                </c:pt>
                <c:pt idx="171">
                  <c:v>3628715.12</c:v>
                </c:pt>
                <c:pt idx="172">
                  <c:v>3725976.09</c:v>
                </c:pt>
                <c:pt idx="173">
                  <c:v>3733497.26</c:v>
                </c:pt>
                <c:pt idx="174">
                  <c:v>3795797.69</c:v>
                </c:pt>
                <c:pt idx="175">
                  <c:v>3885506.53</c:v>
                </c:pt>
                <c:pt idx="176">
                  <c:v>3845456.55</c:v>
                </c:pt>
                <c:pt idx="177">
                  <c:v>4077445.25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7B5D-46B5-BF9F-9F4C11107E9D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resumen!$A$2244:$A$2421</c:f>
              <c:numCache>
                <c:formatCode>[$-C0A]mmmm\-yy;@</c:formatCode>
                <c:ptCount val="178"/>
                <c:pt idx="0">
                  <c:v>40237</c:v>
                </c:pt>
                <c:pt idx="1">
                  <c:v>40265</c:v>
                </c:pt>
                <c:pt idx="2">
                  <c:v>40296</c:v>
                </c:pt>
                <c:pt idx="3">
                  <c:v>40326</c:v>
                </c:pt>
                <c:pt idx="4">
                  <c:v>40357</c:v>
                </c:pt>
                <c:pt idx="5">
                  <c:v>40387</c:v>
                </c:pt>
                <c:pt idx="6">
                  <c:v>40418</c:v>
                </c:pt>
                <c:pt idx="7">
                  <c:v>40449</c:v>
                </c:pt>
                <c:pt idx="8">
                  <c:v>40479</c:v>
                </c:pt>
                <c:pt idx="9">
                  <c:v>40510</c:v>
                </c:pt>
                <c:pt idx="10">
                  <c:v>40540</c:v>
                </c:pt>
                <c:pt idx="11">
                  <c:v>40571</c:v>
                </c:pt>
                <c:pt idx="12">
                  <c:v>40602</c:v>
                </c:pt>
                <c:pt idx="13">
                  <c:v>40630</c:v>
                </c:pt>
                <c:pt idx="14">
                  <c:v>40661</c:v>
                </c:pt>
                <c:pt idx="15">
                  <c:v>40691</c:v>
                </c:pt>
                <c:pt idx="16">
                  <c:v>40722</c:v>
                </c:pt>
                <c:pt idx="17">
                  <c:v>40752</c:v>
                </c:pt>
                <c:pt idx="18">
                  <c:v>40783</c:v>
                </c:pt>
                <c:pt idx="19">
                  <c:v>40814</c:v>
                </c:pt>
                <c:pt idx="20">
                  <c:v>40844</c:v>
                </c:pt>
                <c:pt idx="21">
                  <c:v>40875</c:v>
                </c:pt>
                <c:pt idx="22">
                  <c:v>40905</c:v>
                </c:pt>
                <c:pt idx="23">
                  <c:v>40936</c:v>
                </c:pt>
                <c:pt idx="24">
                  <c:v>40967</c:v>
                </c:pt>
                <c:pt idx="25">
                  <c:v>40996</c:v>
                </c:pt>
                <c:pt idx="26">
                  <c:v>41027</c:v>
                </c:pt>
                <c:pt idx="27">
                  <c:v>41057</c:v>
                </c:pt>
                <c:pt idx="28">
                  <c:v>41088</c:v>
                </c:pt>
                <c:pt idx="29">
                  <c:v>41118</c:v>
                </c:pt>
                <c:pt idx="30">
                  <c:v>41149</c:v>
                </c:pt>
                <c:pt idx="31">
                  <c:v>41180</c:v>
                </c:pt>
                <c:pt idx="32">
                  <c:v>41210</c:v>
                </c:pt>
                <c:pt idx="33">
                  <c:v>41241</c:v>
                </c:pt>
                <c:pt idx="34">
                  <c:v>41271</c:v>
                </c:pt>
                <c:pt idx="35">
                  <c:v>41302</c:v>
                </c:pt>
                <c:pt idx="36">
                  <c:v>41333</c:v>
                </c:pt>
                <c:pt idx="37">
                  <c:v>41361</c:v>
                </c:pt>
                <c:pt idx="38">
                  <c:v>41392</c:v>
                </c:pt>
                <c:pt idx="39">
                  <c:v>41422</c:v>
                </c:pt>
                <c:pt idx="40">
                  <c:v>41453</c:v>
                </c:pt>
                <c:pt idx="41">
                  <c:v>41483</c:v>
                </c:pt>
                <c:pt idx="42">
                  <c:v>41514</c:v>
                </c:pt>
                <c:pt idx="43">
                  <c:v>41545</c:v>
                </c:pt>
                <c:pt idx="44">
                  <c:v>41575</c:v>
                </c:pt>
                <c:pt idx="45">
                  <c:v>41606</c:v>
                </c:pt>
                <c:pt idx="46">
                  <c:v>41636</c:v>
                </c:pt>
                <c:pt idx="47">
                  <c:v>41667</c:v>
                </c:pt>
                <c:pt idx="48">
                  <c:v>41698</c:v>
                </c:pt>
                <c:pt idx="49">
                  <c:v>41726</c:v>
                </c:pt>
                <c:pt idx="50">
                  <c:v>41757</c:v>
                </c:pt>
                <c:pt idx="51">
                  <c:v>41787</c:v>
                </c:pt>
                <c:pt idx="52">
                  <c:v>41818</c:v>
                </c:pt>
                <c:pt idx="53">
                  <c:v>41848</c:v>
                </c:pt>
                <c:pt idx="54">
                  <c:v>41879</c:v>
                </c:pt>
                <c:pt idx="55">
                  <c:v>41910</c:v>
                </c:pt>
                <c:pt idx="56">
                  <c:v>41940</c:v>
                </c:pt>
                <c:pt idx="57">
                  <c:v>41971</c:v>
                </c:pt>
                <c:pt idx="58">
                  <c:v>42001</c:v>
                </c:pt>
                <c:pt idx="59">
                  <c:v>42032</c:v>
                </c:pt>
                <c:pt idx="60">
                  <c:v>42063</c:v>
                </c:pt>
                <c:pt idx="61">
                  <c:v>42091</c:v>
                </c:pt>
                <c:pt idx="62">
                  <c:v>42122</c:v>
                </c:pt>
                <c:pt idx="63">
                  <c:v>42152</c:v>
                </c:pt>
                <c:pt idx="64">
                  <c:v>42183</c:v>
                </c:pt>
                <c:pt idx="65">
                  <c:v>42213</c:v>
                </c:pt>
                <c:pt idx="66">
                  <c:v>42244</c:v>
                </c:pt>
                <c:pt idx="67">
                  <c:v>42275</c:v>
                </c:pt>
                <c:pt idx="68">
                  <c:v>42305</c:v>
                </c:pt>
                <c:pt idx="69">
                  <c:v>42336</c:v>
                </c:pt>
                <c:pt idx="70">
                  <c:v>42366</c:v>
                </c:pt>
                <c:pt idx="71">
                  <c:v>42397</c:v>
                </c:pt>
                <c:pt idx="72">
                  <c:v>42428</c:v>
                </c:pt>
                <c:pt idx="73">
                  <c:v>42457</c:v>
                </c:pt>
                <c:pt idx="74">
                  <c:v>42488</c:v>
                </c:pt>
                <c:pt idx="75">
                  <c:v>42518</c:v>
                </c:pt>
                <c:pt idx="76">
                  <c:v>42549</c:v>
                </c:pt>
                <c:pt idx="77">
                  <c:v>42579</c:v>
                </c:pt>
                <c:pt idx="78">
                  <c:v>42610</c:v>
                </c:pt>
                <c:pt idx="79">
                  <c:v>42641</c:v>
                </c:pt>
                <c:pt idx="80">
                  <c:v>42671</c:v>
                </c:pt>
                <c:pt idx="81">
                  <c:v>42702</c:v>
                </c:pt>
                <c:pt idx="82">
                  <c:v>42732</c:v>
                </c:pt>
                <c:pt idx="83">
                  <c:v>42763</c:v>
                </c:pt>
                <c:pt idx="84">
                  <c:v>42794</c:v>
                </c:pt>
                <c:pt idx="85">
                  <c:v>42822</c:v>
                </c:pt>
                <c:pt idx="86">
                  <c:v>42853</c:v>
                </c:pt>
                <c:pt idx="87">
                  <c:v>42883</c:v>
                </c:pt>
                <c:pt idx="88">
                  <c:v>42914</c:v>
                </c:pt>
                <c:pt idx="89">
                  <c:v>42944</c:v>
                </c:pt>
                <c:pt idx="90">
                  <c:v>42975</c:v>
                </c:pt>
                <c:pt idx="91">
                  <c:v>43006</c:v>
                </c:pt>
                <c:pt idx="92">
                  <c:v>43036</c:v>
                </c:pt>
                <c:pt idx="93">
                  <c:v>43067</c:v>
                </c:pt>
                <c:pt idx="94">
                  <c:v>43097</c:v>
                </c:pt>
                <c:pt idx="95">
                  <c:v>43128</c:v>
                </c:pt>
                <c:pt idx="96">
                  <c:v>43159</c:v>
                </c:pt>
                <c:pt idx="97">
                  <c:v>43187</c:v>
                </c:pt>
                <c:pt idx="98">
                  <c:v>43218</c:v>
                </c:pt>
                <c:pt idx="99">
                  <c:v>43248</c:v>
                </c:pt>
                <c:pt idx="100">
                  <c:v>43279</c:v>
                </c:pt>
                <c:pt idx="101">
                  <c:v>43309</c:v>
                </c:pt>
                <c:pt idx="102">
                  <c:v>43340</c:v>
                </c:pt>
                <c:pt idx="103">
                  <c:v>43371</c:v>
                </c:pt>
                <c:pt idx="104">
                  <c:v>43401</c:v>
                </c:pt>
                <c:pt idx="105">
                  <c:v>43432</c:v>
                </c:pt>
                <c:pt idx="106">
                  <c:v>43462</c:v>
                </c:pt>
                <c:pt idx="107">
                  <c:v>43493</c:v>
                </c:pt>
                <c:pt idx="108">
                  <c:v>43524</c:v>
                </c:pt>
                <c:pt idx="109">
                  <c:v>43552</c:v>
                </c:pt>
                <c:pt idx="110">
                  <c:v>43583</c:v>
                </c:pt>
                <c:pt idx="111">
                  <c:v>43613</c:v>
                </c:pt>
                <c:pt idx="112">
                  <c:v>43644</c:v>
                </c:pt>
                <c:pt idx="113">
                  <c:v>43674</c:v>
                </c:pt>
                <c:pt idx="114">
                  <c:v>43705</c:v>
                </c:pt>
                <c:pt idx="115">
                  <c:v>43736</c:v>
                </c:pt>
                <c:pt idx="116">
                  <c:v>43766</c:v>
                </c:pt>
                <c:pt idx="117">
                  <c:v>43797</c:v>
                </c:pt>
                <c:pt idx="118">
                  <c:v>43827</c:v>
                </c:pt>
                <c:pt idx="119">
                  <c:v>43858</c:v>
                </c:pt>
                <c:pt idx="120">
                  <c:v>43889</c:v>
                </c:pt>
                <c:pt idx="121">
                  <c:v>43918</c:v>
                </c:pt>
                <c:pt idx="122">
                  <c:v>43949</c:v>
                </c:pt>
                <c:pt idx="123">
                  <c:v>43979</c:v>
                </c:pt>
                <c:pt idx="124">
                  <c:v>44010</c:v>
                </c:pt>
                <c:pt idx="125">
                  <c:v>44040</c:v>
                </c:pt>
                <c:pt idx="126">
                  <c:v>44071</c:v>
                </c:pt>
                <c:pt idx="127">
                  <c:v>44102</c:v>
                </c:pt>
                <c:pt idx="128">
                  <c:v>44132</c:v>
                </c:pt>
                <c:pt idx="129">
                  <c:v>44163</c:v>
                </c:pt>
                <c:pt idx="130">
                  <c:v>44193</c:v>
                </c:pt>
                <c:pt idx="131">
                  <c:v>44224</c:v>
                </c:pt>
                <c:pt idx="132">
                  <c:v>44255</c:v>
                </c:pt>
                <c:pt idx="133">
                  <c:v>44283</c:v>
                </c:pt>
                <c:pt idx="134">
                  <c:v>44314</c:v>
                </c:pt>
                <c:pt idx="135">
                  <c:v>44344</c:v>
                </c:pt>
                <c:pt idx="136">
                  <c:v>44375</c:v>
                </c:pt>
                <c:pt idx="137">
                  <c:v>44405</c:v>
                </c:pt>
                <c:pt idx="138">
                  <c:v>44436</c:v>
                </c:pt>
                <c:pt idx="139">
                  <c:v>44467</c:v>
                </c:pt>
                <c:pt idx="140">
                  <c:v>44497</c:v>
                </c:pt>
                <c:pt idx="141">
                  <c:v>44528</c:v>
                </c:pt>
                <c:pt idx="142">
                  <c:v>44558</c:v>
                </c:pt>
                <c:pt idx="143">
                  <c:v>44589</c:v>
                </c:pt>
                <c:pt idx="144">
                  <c:v>44620</c:v>
                </c:pt>
                <c:pt idx="145">
                  <c:v>44648</c:v>
                </c:pt>
                <c:pt idx="146">
                  <c:v>44679</c:v>
                </c:pt>
                <c:pt idx="147">
                  <c:v>44709</c:v>
                </c:pt>
                <c:pt idx="148">
                  <c:v>44740</c:v>
                </c:pt>
                <c:pt idx="149">
                  <c:v>44770</c:v>
                </c:pt>
                <c:pt idx="150">
                  <c:v>44801</c:v>
                </c:pt>
                <c:pt idx="151">
                  <c:v>44832</c:v>
                </c:pt>
                <c:pt idx="152">
                  <c:v>44862</c:v>
                </c:pt>
                <c:pt idx="153">
                  <c:v>44893</c:v>
                </c:pt>
                <c:pt idx="154">
                  <c:v>44923</c:v>
                </c:pt>
                <c:pt idx="155">
                  <c:v>44954</c:v>
                </c:pt>
                <c:pt idx="156">
                  <c:v>44985</c:v>
                </c:pt>
                <c:pt idx="157">
                  <c:v>45013</c:v>
                </c:pt>
                <c:pt idx="158">
                  <c:v>45044</c:v>
                </c:pt>
                <c:pt idx="159">
                  <c:v>45074</c:v>
                </c:pt>
                <c:pt idx="160">
                  <c:v>45105</c:v>
                </c:pt>
                <c:pt idx="161">
                  <c:v>45135</c:v>
                </c:pt>
                <c:pt idx="162">
                  <c:v>45166</c:v>
                </c:pt>
                <c:pt idx="163">
                  <c:v>45197</c:v>
                </c:pt>
                <c:pt idx="164">
                  <c:v>45227</c:v>
                </c:pt>
                <c:pt idx="165">
                  <c:v>45258</c:v>
                </c:pt>
                <c:pt idx="166">
                  <c:v>45288</c:v>
                </c:pt>
                <c:pt idx="167">
                  <c:v>45319</c:v>
                </c:pt>
                <c:pt idx="168">
                  <c:v>45350</c:v>
                </c:pt>
                <c:pt idx="169">
                  <c:v>45379</c:v>
                </c:pt>
                <c:pt idx="170">
                  <c:v>45410</c:v>
                </c:pt>
                <c:pt idx="171">
                  <c:v>45440</c:v>
                </c:pt>
                <c:pt idx="172">
                  <c:v>45471</c:v>
                </c:pt>
                <c:pt idx="173">
                  <c:v>45501</c:v>
                </c:pt>
                <c:pt idx="174">
                  <c:v>45532</c:v>
                </c:pt>
                <c:pt idx="175">
                  <c:v>45563</c:v>
                </c:pt>
                <c:pt idx="176">
                  <c:v>45593</c:v>
                </c:pt>
                <c:pt idx="177">
                  <c:v>45624</c:v>
                </c:pt>
              </c:numCache>
            </c:numRef>
          </c:cat>
          <c:val>
            <c:numRef>
              <c:f>resumen!$F$2244:$F$2421</c:f>
              <c:numCache>
                <c:formatCode>#,##0.00</c:formatCode>
                <c:ptCount val="178"/>
                <c:pt idx="0" formatCode="General">
                  <c:v>0</c:v>
                </c:pt>
                <c:pt idx="1">
                  <c:v>120752.59067737404</c:v>
                </c:pt>
                <c:pt idx="2">
                  <c:v>11062.776717662811</c:v>
                </c:pt>
                <c:pt idx="3">
                  <c:v>-109389.50147296116</c:v>
                </c:pt>
                <c:pt idx="4">
                  <c:v>55583.572849139571</c:v>
                </c:pt>
                <c:pt idx="5">
                  <c:v>103101.18801399879</c:v>
                </c:pt>
                <c:pt idx="6">
                  <c:v>25634.642724253237</c:v>
                </c:pt>
                <c:pt idx="7">
                  <c:v>74438.588353537023</c:v>
                </c:pt>
                <c:pt idx="8">
                  <c:v>115357.96610469744</c:v>
                </c:pt>
                <c:pt idx="9">
                  <c:v>23511.970390016213</c:v>
                </c:pt>
                <c:pt idx="10">
                  <c:v>176962.00958975498</c:v>
                </c:pt>
                <c:pt idx="11">
                  <c:v>55765.583865103312</c:v>
                </c:pt>
                <c:pt idx="12">
                  <c:v>47750.726742570288</c:v>
                </c:pt>
                <c:pt idx="13">
                  <c:v>205112.61842119228</c:v>
                </c:pt>
                <c:pt idx="14">
                  <c:v>-90661.020102624781</c:v>
                </c:pt>
                <c:pt idx="15">
                  <c:v>-26872.647645764984</c:v>
                </c:pt>
                <c:pt idx="16">
                  <c:v>-14101.851234147325</c:v>
                </c:pt>
                <c:pt idx="17">
                  <c:v>36695.322998449206</c:v>
                </c:pt>
                <c:pt idx="18">
                  <c:v>-117565.22908292338</c:v>
                </c:pt>
                <c:pt idx="19">
                  <c:v>-143726.90710220672</c:v>
                </c:pt>
                <c:pt idx="20">
                  <c:v>310236.86236394942</c:v>
                </c:pt>
                <c:pt idx="21">
                  <c:v>-171608.69230764918</c:v>
                </c:pt>
                <c:pt idx="22">
                  <c:v>83303.030226108618</c:v>
                </c:pt>
                <c:pt idx="23">
                  <c:v>117403.64068644959</c:v>
                </c:pt>
                <c:pt idx="24">
                  <c:v>72122.110092222691</c:v>
                </c:pt>
                <c:pt idx="25">
                  <c:v>48870.134828617796</c:v>
                </c:pt>
                <c:pt idx="26">
                  <c:v>-60572.941300880164</c:v>
                </c:pt>
                <c:pt idx="27">
                  <c:v>-169321.82342653256</c:v>
                </c:pt>
                <c:pt idx="28">
                  <c:v>100568.14584826399</c:v>
                </c:pt>
                <c:pt idx="29">
                  <c:v>122198.781148009</c:v>
                </c:pt>
                <c:pt idx="30">
                  <c:v>26657.775071240962</c:v>
                </c:pt>
                <c:pt idx="31">
                  <c:v>59976.620626475662</c:v>
                </c:pt>
                <c:pt idx="32">
                  <c:v>-204730.881621073</c:v>
                </c:pt>
                <c:pt idx="33">
                  <c:v>-19182.386175344698</c:v>
                </c:pt>
                <c:pt idx="34">
                  <c:v>159305.39304698724</c:v>
                </c:pt>
                <c:pt idx="35">
                  <c:v>46877.796328240074</c:v>
                </c:pt>
                <c:pt idx="36">
                  <c:v>47994.255678620189</c:v>
                </c:pt>
                <c:pt idx="37">
                  <c:v>-43155.958015196025</c:v>
                </c:pt>
                <c:pt idx="38">
                  <c:v>107027.90320960246</c:v>
                </c:pt>
                <c:pt idx="39">
                  <c:v>5834.2081075804308</c:v>
                </c:pt>
                <c:pt idx="40">
                  <c:v>-99180.760248930193</c:v>
                </c:pt>
                <c:pt idx="41">
                  <c:v>149535.07673265226</c:v>
                </c:pt>
                <c:pt idx="42">
                  <c:v>-37326.940684865229</c:v>
                </c:pt>
                <c:pt idx="43">
                  <c:v>130659.4771984769</c:v>
                </c:pt>
                <c:pt idx="44">
                  <c:v>120727.2443642728</c:v>
                </c:pt>
                <c:pt idx="45">
                  <c:v>63301.457095073536</c:v>
                </c:pt>
                <c:pt idx="46">
                  <c:v>-5478.1073622116819</c:v>
                </c:pt>
                <c:pt idx="47">
                  <c:v>-227236.44680178165</c:v>
                </c:pt>
                <c:pt idx="48">
                  <c:v>173829.93200430647</c:v>
                </c:pt>
                <c:pt idx="49">
                  <c:v>7825.2589566493407</c:v>
                </c:pt>
                <c:pt idx="50">
                  <c:v>84547.458760458045</c:v>
                </c:pt>
                <c:pt idx="51">
                  <c:v>95706.362728391774</c:v>
                </c:pt>
                <c:pt idx="52">
                  <c:v>69130.258531698957</c:v>
                </c:pt>
                <c:pt idx="53">
                  <c:v>4347.2256176732481</c:v>
                </c:pt>
                <c:pt idx="54">
                  <c:v>5097.2582210376859</c:v>
                </c:pt>
                <c:pt idx="55">
                  <c:v>-77661.683217300102</c:v>
                </c:pt>
                <c:pt idx="56">
                  <c:v>61860.948548978195</c:v>
                </c:pt>
                <c:pt idx="57">
                  <c:v>95161.464966831729</c:v>
                </c:pt>
                <c:pt idx="58">
                  <c:v>-58261.443860529922</c:v>
                </c:pt>
                <c:pt idx="59">
                  <c:v>-22054.461663581431</c:v>
                </c:pt>
                <c:pt idx="60">
                  <c:v>174448.50012465753</c:v>
                </c:pt>
                <c:pt idx="61">
                  <c:v>-51374.12241578754</c:v>
                </c:pt>
                <c:pt idx="62">
                  <c:v>121801.53042101394</c:v>
                </c:pt>
                <c:pt idx="63">
                  <c:v>16896.165041053668</c:v>
                </c:pt>
                <c:pt idx="64">
                  <c:v>-44324.53488284722</c:v>
                </c:pt>
                <c:pt idx="65">
                  <c:v>38882.73866934143</c:v>
                </c:pt>
                <c:pt idx="66">
                  <c:v>-112219.03046206757</c:v>
                </c:pt>
                <c:pt idx="67">
                  <c:v>1044.5399043904617</c:v>
                </c:pt>
                <c:pt idx="68">
                  <c:v>169682.90043226536</c:v>
                </c:pt>
                <c:pt idx="69">
                  <c:v>8184.40460365545</c:v>
                </c:pt>
                <c:pt idx="70">
                  <c:v>-42896.261045178398</c:v>
                </c:pt>
                <c:pt idx="71">
                  <c:v>-122220.3362088399</c:v>
                </c:pt>
                <c:pt idx="72">
                  <c:v>220998.27488283254</c:v>
                </c:pt>
                <c:pt idx="73">
                  <c:v>113443.30421138555</c:v>
                </c:pt>
                <c:pt idx="74">
                  <c:v>46885.84440131858</c:v>
                </c:pt>
                <c:pt idx="75">
                  <c:v>56793.273874740116</c:v>
                </c:pt>
                <c:pt idx="76">
                  <c:v>22068.159470549785</c:v>
                </c:pt>
                <c:pt idx="77">
                  <c:v>151547.2169082202</c:v>
                </c:pt>
                <c:pt idx="78">
                  <c:v>89191.586458222009</c:v>
                </c:pt>
                <c:pt idx="79">
                  <c:v>58938.128915369511</c:v>
                </c:pt>
                <c:pt idx="80">
                  <c:v>-38987.260390323587</c:v>
                </c:pt>
                <c:pt idx="81">
                  <c:v>-141733.46463551745</c:v>
                </c:pt>
                <c:pt idx="82">
                  <c:v>32014.65371992439</c:v>
                </c:pt>
                <c:pt idx="83">
                  <c:v>147376.25142839365</c:v>
                </c:pt>
                <c:pt idx="84">
                  <c:v>126671.73240789399</c:v>
                </c:pt>
                <c:pt idx="85">
                  <c:v>-197413.22691438999</c:v>
                </c:pt>
                <c:pt idx="86">
                  <c:v>122264.18159058504</c:v>
                </c:pt>
                <c:pt idx="87">
                  <c:v>76792.5929221306</c:v>
                </c:pt>
                <c:pt idx="88">
                  <c:v>-39979.442947336473</c:v>
                </c:pt>
                <c:pt idx="89">
                  <c:v>70485.926195719279</c:v>
                </c:pt>
                <c:pt idx="90">
                  <c:v>168650.28074143454</c:v>
                </c:pt>
                <c:pt idx="91">
                  <c:v>82177.200882941484</c:v>
                </c:pt>
                <c:pt idx="92">
                  <c:v>137434.87197425589</c:v>
                </c:pt>
                <c:pt idx="93">
                  <c:v>53315.803963460028</c:v>
                </c:pt>
                <c:pt idx="94">
                  <c:v>43109.046021964401</c:v>
                </c:pt>
                <c:pt idx="95">
                  <c:v>152156.71977823973</c:v>
                </c:pt>
                <c:pt idx="96">
                  <c:v>-164954.7314614635</c:v>
                </c:pt>
                <c:pt idx="97">
                  <c:v>-40843.545665193349</c:v>
                </c:pt>
                <c:pt idx="98">
                  <c:v>-307.3492625374347</c:v>
                </c:pt>
                <c:pt idx="99">
                  <c:v>-197334.34526923299</c:v>
                </c:pt>
                <c:pt idx="100">
                  <c:v>-208606.28225675505</c:v>
                </c:pt>
                <c:pt idx="101">
                  <c:v>184536.85068532731</c:v>
                </c:pt>
                <c:pt idx="102">
                  <c:v>-290770.0687969923</c:v>
                </c:pt>
                <c:pt idx="103">
                  <c:v>216920.55248890258</c:v>
                </c:pt>
                <c:pt idx="104">
                  <c:v>-193079.1534538148</c:v>
                </c:pt>
                <c:pt idx="105">
                  <c:v>18551.024399999529</c:v>
                </c:pt>
                <c:pt idx="106">
                  <c:v>-219214.67033475079</c:v>
                </c:pt>
                <c:pt idx="107">
                  <c:v>337849.39433335792</c:v>
                </c:pt>
                <c:pt idx="108">
                  <c:v>23584.589799284935</c:v>
                </c:pt>
                <c:pt idx="109">
                  <c:v>-95035.255773649551</c:v>
                </c:pt>
                <c:pt idx="110">
                  <c:v>-133254.56279134937</c:v>
                </c:pt>
                <c:pt idx="111">
                  <c:v>-55190.229967681691</c:v>
                </c:pt>
                <c:pt idx="112">
                  <c:v>330297.60275903065</c:v>
                </c:pt>
                <c:pt idx="113">
                  <c:v>122135.58179797977</c:v>
                </c:pt>
                <c:pt idx="114">
                  <c:v>-1393940.5937921144</c:v>
                </c:pt>
                <c:pt idx="115">
                  <c:v>201426.83740322664</c:v>
                </c:pt>
                <c:pt idx="116">
                  <c:v>123800.76026190445</c:v>
                </c:pt>
                <c:pt idx="117">
                  <c:v>103027.41888888925</c:v>
                </c:pt>
                <c:pt idx="118">
                  <c:v>271585.11814524792</c:v>
                </c:pt>
                <c:pt idx="119">
                  <c:v>63564.25274231378</c:v>
                </c:pt>
                <c:pt idx="120">
                  <c:v>-266322.44812500011</c:v>
                </c:pt>
                <c:pt idx="121">
                  <c:v>-910962.59990874026</c:v>
                </c:pt>
                <c:pt idx="122">
                  <c:v>244314.76732726861</c:v>
                </c:pt>
                <c:pt idx="123">
                  <c:v>369816.95437268168</c:v>
                </c:pt>
                <c:pt idx="124">
                  <c:v>117973.07966375351</c:v>
                </c:pt>
                <c:pt idx="125">
                  <c:v>195767.78788968083</c:v>
                </c:pt>
                <c:pt idx="126">
                  <c:v>156255.05019908678</c:v>
                </c:pt>
                <c:pt idx="127">
                  <c:v>-274439.77838415839</c:v>
                </c:pt>
                <c:pt idx="128">
                  <c:v>-245747.74441274907</c:v>
                </c:pt>
                <c:pt idx="129">
                  <c:v>362889.9805666199</c:v>
                </c:pt>
                <c:pt idx="130">
                  <c:v>175663.30305047613</c:v>
                </c:pt>
                <c:pt idx="131">
                  <c:v>-66893.386463377625</c:v>
                </c:pt>
                <c:pt idx="132">
                  <c:v>-22292.876403395087</c:v>
                </c:pt>
                <c:pt idx="133">
                  <c:v>30076.379499999806</c:v>
                </c:pt>
                <c:pt idx="134">
                  <c:v>166097.79606746137</c:v>
                </c:pt>
                <c:pt idx="135">
                  <c:v>79333.951381671242</c:v>
                </c:pt>
                <c:pt idx="136">
                  <c:v>36763.659882647917</c:v>
                </c:pt>
                <c:pt idx="137">
                  <c:v>80659.288949216716</c:v>
                </c:pt>
                <c:pt idx="138">
                  <c:v>157884.97165599186</c:v>
                </c:pt>
                <c:pt idx="139">
                  <c:v>-183553.87266470399</c:v>
                </c:pt>
                <c:pt idx="140">
                  <c:v>110205.69972021598</c:v>
                </c:pt>
                <c:pt idx="141">
                  <c:v>-163953.80994580965</c:v>
                </c:pt>
                <c:pt idx="142">
                  <c:v>-28108.34203390684</c:v>
                </c:pt>
                <c:pt idx="143">
                  <c:v>93504.185655358247</c:v>
                </c:pt>
                <c:pt idx="144">
                  <c:v>-91710.187826590613</c:v>
                </c:pt>
                <c:pt idx="145">
                  <c:v>128225.70982260257</c:v>
                </c:pt>
                <c:pt idx="146">
                  <c:v>-238755.1099999994</c:v>
                </c:pt>
                <c:pt idx="147">
                  <c:v>-143753.63703623414</c:v>
                </c:pt>
                <c:pt idx="148">
                  <c:v>-475126.61948585045</c:v>
                </c:pt>
                <c:pt idx="149">
                  <c:v>180391.40233851224</c:v>
                </c:pt>
                <c:pt idx="150">
                  <c:v>-101295.31255889405</c:v>
                </c:pt>
                <c:pt idx="151">
                  <c:v>-375701.98778473493</c:v>
                </c:pt>
                <c:pt idx="152">
                  <c:v>193754.70169364009</c:v>
                </c:pt>
                <c:pt idx="153">
                  <c:v>364612.96161290258</c:v>
                </c:pt>
                <c:pt idx="154">
                  <c:v>-46653.441147351637</c:v>
                </c:pt>
                <c:pt idx="155">
                  <c:v>404147.8661873173</c:v>
                </c:pt>
                <c:pt idx="156">
                  <c:v>926.16389455739409</c:v>
                </c:pt>
                <c:pt idx="157">
                  <c:v>3361.9113513519987</c:v>
                </c:pt>
                <c:pt idx="158">
                  <c:v>-232718.41248984542</c:v>
                </c:pt>
                <c:pt idx="159">
                  <c:v>118604.95252108946</c:v>
                </c:pt>
                <c:pt idx="160">
                  <c:v>435641.81484240945</c:v>
                </c:pt>
                <c:pt idx="161">
                  <c:v>153089.86288831662</c:v>
                </c:pt>
                <c:pt idx="162">
                  <c:v>-72469.176181295887</c:v>
                </c:pt>
                <c:pt idx="163">
                  <c:v>-319858.59100675769</c:v>
                </c:pt>
                <c:pt idx="164">
                  <c:v>-11407.084301370196</c:v>
                </c:pt>
                <c:pt idx="165">
                  <c:v>581855.08975381684</c:v>
                </c:pt>
                <c:pt idx="166">
                  <c:v>316619.92834343389</c:v>
                </c:pt>
                <c:pt idx="167">
                  <c:v>1446.9049279708415</c:v>
                </c:pt>
                <c:pt idx="168">
                  <c:v>254687.82472494803</c:v>
                </c:pt>
                <c:pt idx="169">
                  <c:v>348718.4726812467</c:v>
                </c:pt>
                <c:pt idx="170">
                  <c:v>34075.65055000037</c:v>
                </c:pt>
                <c:pt idx="171">
                  <c:v>81058.568921998143</c:v>
                </c:pt>
                <c:pt idx="172">
                  <c:v>44852.318661436439</c:v>
                </c:pt>
                <c:pt idx="173">
                  <c:v>-86432.609999492764</c:v>
                </c:pt>
                <c:pt idx="174">
                  <c:v>229892.91446584091</c:v>
                </c:pt>
                <c:pt idx="175">
                  <c:v>271170.83768971264</c:v>
                </c:pt>
                <c:pt idx="176">
                  <c:v>368862.32249167003</c:v>
                </c:pt>
                <c:pt idx="177">
                  <c:v>578029.55386964232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7B5D-46B5-BF9F-9F4C11107E9D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resumen!$A$2244:$A$2421</c:f>
              <c:numCache>
                <c:formatCode>[$-C0A]mmmm\-yy;@</c:formatCode>
                <c:ptCount val="178"/>
                <c:pt idx="0">
                  <c:v>40237</c:v>
                </c:pt>
                <c:pt idx="1">
                  <c:v>40265</c:v>
                </c:pt>
                <c:pt idx="2">
                  <c:v>40296</c:v>
                </c:pt>
                <c:pt idx="3">
                  <c:v>40326</c:v>
                </c:pt>
                <c:pt idx="4">
                  <c:v>40357</c:v>
                </c:pt>
                <c:pt idx="5">
                  <c:v>40387</c:v>
                </c:pt>
                <c:pt idx="6">
                  <c:v>40418</c:v>
                </c:pt>
                <c:pt idx="7">
                  <c:v>40449</c:v>
                </c:pt>
                <c:pt idx="8">
                  <c:v>40479</c:v>
                </c:pt>
                <c:pt idx="9">
                  <c:v>40510</c:v>
                </c:pt>
                <c:pt idx="10">
                  <c:v>40540</c:v>
                </c:pt>
                <c:pt idx="11">
                  <c:v>40571</c:v>
                </c:pt>
                <c:pt idx="12">
                  <c:v>40602</c:v>
                </c:pt>
                <c:pt idx="13">
                  <c:v>40630</c:v>
                </c:pt>
                <c:pt idx="14">
                  <c:v>40661</c:v>
                </c:pt>
                <c:pt idx="15">
                  <c:v>40691</c:v>
                </c:pt>
                <c:pt idx="16">
                  <c:v>40722</c:v>
                </c:pt>
                <c:pt idx="17">
                  <c:v>40752</c:v>
                </c:pt>
                <c:pt idx="18">
                  <c:v>40783</c:v>
                </c:pt>
                <c:pt idx="19">
                  <c:v>40814</c:v>
                </c:pt>
                <c:pt idx="20">
                  <c:v>40844</c:v>
                </c:pt>
                <c:pt idx="21">
                  <c:v>40875</c:v>
                </c:pt>
                <c:pt idx="22">
                  <c:v>40905</c:v>
                </c:pt>
                <c:pt idx="23">
                  <c:v>40936</c:v>
                </c:pt>
                <c:pt idx="24">
                  <c:v>40967</c:v>
                </c:pt>
                <c:pt idx="25">
                  <c:v>40996</c:v>
                </c:pt>
                <c:pt idx="26">
                  <c:v>41027</c:v>
                </c:pt>
                <c:pt idx="27">
                  <c:v>41057</c:v>
                </c:pt>
                <c:pt idx="28">
                  <c:v>41088</c:v>
                </c:pt>
                <c:pt idx="29">
                  <c:v>41118</c:v>
                </c:pt>
                <c:pt idx="30">
                  <c:v>41149</c:v>
                </c:pt>
                <c:pt idx="31">
                  <c:v>41180</c:v>
                </c:pt>
                <c:pt idx="32">
                  <c:v>41210</c:v>
                </c:pt>
                <c:pt idx="33">
                  <c:v>41241</c:v>
                </c:pt>
                <c:pt idx="34">
                  <c:v>41271</c:v>
                </c:pt>
                <c:pt idx="35">
                  <c:v>41302</c:v>
                </c:pt>
                <c:pt idx="36">
                  <c:v>41333</c:v>
                </c:pt>
                <c:pt idx="37">
                  <c:v>41361</c:v>
                </c:pt>
                <c:pt idx="38">
                  <c:v>41392</c:v>
                </c:pt>
                <c:pt idx="39">
                  <c:v>41422</c:v>
                </c:pt>
                <c:pt idx="40">
                  <c:v>41453</c:v>
                </c:pt>
                <c:pt idx="41">
                  <c:v>41483</c:v>
                </c:pt>
                <c:pt idx="42">
                  <c:v>41514</c:v>
                </c:pt>
                <c:pt idx="43">
                  <c:v>41545</c:v>
                </c:pt>
                <c:pt idx="44">
                  <c:v>41575</c:v>
                </c:pt>
                <c:pt idx="45">
                  <c:v>41606</c:v>
                </c:pt>
                <c:pt idx="46">
                  <c:v>41636</c:v>
                </c:pt>
                <c:pt idx="47">
                  <c:v>41667</c:v>
                </c:pt>
                <c:pt idx="48">
                  <c:v>41698</c:v>
                </c:pt>
                <c:pt idx="49">
                  <c:v>41726</c:v>
                </c:pt>
                <c:pt idx="50">
                  <c:v>41757</c:v>
                </c:pt>
                <c:pt idx="51">
                  <c:v>41787</c:v>
                </c:pt>
                <c:pt idx="52">
                  <c:v>41818</c:v>
                </c:pt>
                <c:pt idx="53">
                  <c:v>41848</c:v>
                </c:pt>
                <c:pt idx="54">
                  <c:v>41879</c:v>
                </c:pt>
                <c:pt idx="55">
                  <c:v>41910</c:v>
                </c:pt>
                <c:pt idx="56">
                  <c:v>41940</c:v>
                </c:pt>
                <c:pt idx="57">
                  <c:v>41971</c:v>
                </c:pt>
                <c:pt idx="58">
                  <c:v>42001</c:v>
                </c:pt>
                <c:pt idx="59">
                  <c:v>42032</c:v>
                </c:pt>
                <c:pt idx="60">
                  <c:v>42063</c:v>
                </c:pt>
                <c:pt idx="61">
                  <c:v>42091</c:v>
                </c:pt>
                <c:pt idx="62">
                  <c:v>42122</c:v>
                </c:pt>
                <c:pt idx="63">
                  <c:v>42152</c:v>
                </c:pt>
                <c:pt idx="64">
                  <c:v>42183</c:v>
                </c:pt>
                <c:pt idx="65">
                  <c:v>42213</c:v>
                </c:pt>
                <c:pt idx="66">
                  <c:v>42244</c:v>
                </c:pt>
                <c:pt idx="67">
                  <c:v>42275</c:v>
                </c:pt>
                <c:pt idx="68">
                  <c:v>42305</c:v>
                </c:pt>
                <c:pt idx="69">
                  <c:v>42336</c:v>
                </c:pt>
                <c:pt idx="70">
                  <c:v>42366</c:v>
                </c:pt>
                <c:pt idx="71">
                  <c:v>42397</c:v>
                </c:pt>
                <c:pt idx="72">
                  <c:v>42428</c:v>
                </c:pt>
                <c:pt idx="73">
                  <c:v>42457</c:v>
                </c:pt>
                <c:pt idx="74">
                  <c:v>42488</c:v>
                </c:pt>
                <c:pt idx="75">
                  <c:v>42518</c:v>
                </c:pt>
                <c:pt idx="76">
                  <c:v>42549</c:v>
                </c:pt>
                <c:pt idx="77">
                  <c:v>42579</c:v>
                </c:pt>
                <c:pt idx="78">
                  <c:v>42610</c:v>
                </c:pt>
                <c:pt idx="79">
                  <c:v>42641</c:v>
                </c:pt>
                <c:pt idx="80">
                  <c:v>42671</c:v>
                </c:pt>
                <c:pt idx="81">
                  <c:v>42702</c:v>
                </c:pt>
                <c:pt idx="82">
                  <c:v>42732</c:v>
                </c:pt>
                <c:pt idx="83">
                  <c:v>42763</c:v>
                </c:pt>
                <c:pt idx="84">
                  <c:v>42794</c:v>
                </c:pt>
                <c:pt idx="85">
                  <c:v>42822</c:v>
                </c:pt>
                <c:pt idx="86">
                  <c:v>42853</c:v>
                </c:pt>
                <c:pt idx="87">
                  <c:v>42883</c:v>
                </c:pt>
                <c:pt idx="88">
                  <c:v>42914</c:v>
                </c:pt>
                <c:pt idx="89">
                  <c:v>42944</c:v>
                </c:pt>
                <c:pt idx="90">
                  <c:v>42975</c:v>
                </c:pt>
                <c:pt idx="91">
                  <c:v>43006</c:v>
                </c:pt>
                <c:pt idx="92">
                  <c:v>43036</c:v>
                </c:pt>
                <c:pt idx="93">
                  <c:v>43067</c:v>
                </c:pt>
                <c:pt idx="94">
                  <c:v>43097</c:v>
                </c:pt>
                <c:pt idx="95">
                  <c:v>43128</c:v>
                </c:pt>
                <c:pt idx="96">
                  <c:v>43159</c:v>
                </c:pt>
                <c:pt idx="97">
                  <c:v>43187</c:v>
                </c:pt>
                <c:pt idx="98">
                  <c:v>43218</c:v>
                </c:pt>
                <c:pt idx="99">
                  <c:v>43248</c:v>
                </c:pt>
                <c:pt idx="100">
                  <c:v>43279</c:v>
                </c:pt>
                <c:pt idx="101">
                  <c:v>43309</c:v>
                </c:pt>
                <c:pt idx="102">
                  <c:v>43340</c:v>
                </c:pt>
                <c:pt idx="103">
                  <c:v>43371</c:v>
                </c:pt>
                <c:pt idx="104">
                  <c:v>43401</c:v>
                </c:pt>
                <c:pt idx="105">
                  <c:v>43432</c:v>
                </c:pt>
                <c:pt idx="106">
                  <c:v>43462</c:v>
                </c:pt>
                <c:pt idx="107">
                  <c:v>43493</c:v>
                </c:pt>
                <c:pt idx="108">
                  <c:v>43524</c:v>
                </c:pt>
                <c:pt idx="109">
                  <c:v>43552</c:v>
                </c:pt>
                <c:pt idx="110">
                  <c:v>43583</c:v>
                </c:pt>
                <c:pt idx="111">
                  <c:v>43613</c:v>
                </c:pt>
                <c:pt idx="112">
                  <c:v>43644</c:v>
                </c:pt>
                <c:pt idx="113">
                  <c:v>43674</c:v>
                </c:pt>
                <c:pt idx="114">
                  <c:v>43705</c:v>
                </c:pt>
                <c:pt idx="115">
                  <c:v>43736</c:v>
                </c:pt>
                <c:pt idx="116">
                  <c:v>43766</c:v>
                </c:pt>
                <c:pt idx="117">
                  <c:v>43797</c:v>
                </c:pt>
                <c:pt idx="118">
                  <c:v>43827</c:v>
                </c:pt>
                <c:pt idx="119">
                  <c:v>43858</c:v>
                </c:pt>
                <c:pt idx="120">
                  <c:v>43889</c:v>
                </c:pt>
                <c:pt idx="121">
                  <c:v>43918</c:v>
                </c:pt>
                <c:pt idx="122">
                  <c:v>43949</c:v>
                </c:pt>
                <c:pt idx="123">
                  <c:v>43979</c:v>
                </c:pt>
                <c:pt idx="124">
                  <c:v>44010</c:v>
                </c:pt>
                <c:pt idx="125">
                  <c:v>44040</c:v>
                </c:pt>
                <c:pt idx="126">
                  <c:v>44071</c:v>
                </c:pt>
                <c:pt idx="127">
                  <c:v>44102</c:v>
                </c:pt>
                <c:pt idx="128">
                  <c:v>44132</c:v>
                </c:pt>
                <c:pt idx="129">
                  <c:v>44163</c:v>
                </c:pt>
                <c:pt idx="130">
                  <c:v>44193</c:v>
                </c:pt>
                <c:pt idx="131">
                  <c:v>44224</c:v>
                </c:pt>
                <c:pt idx="132">
                  <c:v>44255</c:v>
                </c:pt>
                <c:pt idx="133">
                  <c:v>44283</c:v>
                </c:pt>
                <c:pt idx="134">
                  <c:v>44314</c:v>
                </c:pt>
                <c:pt idx="135">
                  <c:v>44344</c:v>
                </c:pt>
                <c:pt idx="136">
                  <c:v>44375</c:v>
                </c:pt>
                <c:pt idx="137">
                  <c:v>44405</c:v>
                </c:pt>
                <c:pt idx="138">
                  <c:v>44436</c:v>
                </c:pt>
                <c:pt idx="139">
                  <c:v>44467</c:v>
                </c:pt>
                <c:pt idx="140">
                  <c:v>44497</c:v>
                </c:pt>
                <c:pt idx="141">
                  <c:v>44528</c:v>
                </c:pt>
                <c:pt idx="142">
                  <c:v>44558</c:v>
                </c:pt>
                <c:pt idx="143">
                  <c:v>44589</c:v>
                </c:pt>
                <c:pt idx="144">
                  <c:v>44620</c:v>
                </c:pt>
                <c:pt idx="145">
                  <c:v>44648</c:v>
                </c:pt>
                <c:pt idx="146">
                  <c:v>44679</c:v>
                </c:pt>
                <c:pt idx="147">
                  <c:v>44709</c:v>
                </c:pt>
                <c:pt idx="148">
                  <c:v>44740</c:v>
                </c:pt>
                <c:pt idx="149">
                  <c:v>44770</c:v>
                </c:pt>
                <c:pt idx="150">
                  <c:v>44801</c:v>
                </c:pt>
                <c:pt idx="151">
                  <c:v>44832</c:v>
                </c:pt>
                <c:pt idx="152">
                  <c:v>44862</c:v>
                </c:pt>
                <c:pt idx="153">
                  <c:v>44893</c:v>
                </c:pt>
                <c:pt idx="154">
                  <c:v>44923</c:v>
                </c:pt>
                <c:pt idx="155">
                  <c:v>44954</c:v>
                </c:pt>
                <c:pt idx="156">
                  <c:v>44985</c:v>
                </c:pt>
                <c:pt idx="157">
                  <c:v>45013</c:v>
                </c:pt>
                <c:pt idx="158">
                  <c:v>45044</c:v>
                </c:pt>
                <c:pt idx="159">
                  <c:v>45074</c:v>
                </c:pt>
                <c:pt idx="160">
                  <c:v>45105</c:v>
                </c:pt>
                <c:pt idx="161">
                  <c:v>45135</c:v>
                </c:pt>
                <c:pt idx="162">
                  <c:v>45166</c:v>
                </c:pt>
                <c:pt idx="163">
                  <c:v>45197</c:v>
                </c:pt>
                <c:pt idx="164">
                  <c:v>45227</c:v>
                </c:pt>
                <c:pt idx="165">
                  <c:v>45258</c:v>
                </c:pt>
                <c:pt idx="166">
                  <c:v>45288</c:v>
                </c:pt>
                <c:pt idx="167">
                  <c:v>45319</c:v>
                </c:pt>
                <c:pt idx="168">
                  <c:v>45350</c:v>
                </c:pt>
                <c:pt idx="169">
                  <c:v>45379</c:v>
                </c:pt>
                <c:pt idx="170">
                  <c:v>45410</c:v>
                </c:pt>
                <c:pt idx="171">
                  <c:v>45440</c:v>
                </c:pt>
                <c:pt idx="172">
                  <c:v>45471</c:v>
                </c:pt>
                <c:pt idx="173">
                  <c:v>45501</c:v>
                </c:pt>
                <c:pt idx="174">
                  <c:v>45532</c:v>
                </c:pt>
                <c:pt idx="175">
                  <c:v>45563</c:v>
                </c:pt>
                <c:pt idx="176">
                  <c:v>45593</c:v>
                </c:pt>
                <c:pt idx="177">
                  <c:v>45624</c:v>
                </c:pt>
              </c:numCache>
            </c:numRef>
          </c:cat>
          <c:val>
            <c:numRef>
              <c:f>resumen!$G$2244:$G$2421</c:f>
              <c:numCache>
                <c:formatCode>0.0%</c:formatCode>
                <c:ptCount val="178"/>
                <c:pt idx="0">
                  <c:v>0</c:v>
                </c:pt>
                <c:pt idx="1">
                  <c:v>2.181496712090096E-2</c:v>
                </c:pt>
                <c:pt idx="2">
                  <c:v>1.955915070439749E-3</c:v>
                </c:pt>
                <c:pt idx="3">
                  <c:v>-1.9302469529619688E-2</c:v>
                </c:pt>
                <c:pt idx="4">
                  <c:v>1.0001119350781178E-2</c:v>
                </c:pt>
                <c:pt idx="5">
                  <c:v>1.8367242724783118E-2</c:v>
                </c:pt>
                <c:pt idx="6">
                  <c:v>4.484387604859359E-3</c:v>
                </c:pt>
                <c:pt idx="7">
                  <c:v>1.2963754920439385E-2</c:v>
                </c:pt>
                <c:pt idx="8">
                  <c:v>1.9832906651251477E-2</c:v>
                </c:pt>
                <c:pt idx="9">
                  <c:v>3.9636817993667136E-3</c:v>
                </c:pt>
                <c:pt idx="10">
                  <c:v>2.9714730468263808E-2</c:v>
                </c:pt>
                <c:pt idx="11">
                  <c:v>9.0937096121518519E-3</c:v>
                </c:pt>
                <c:pt idx="12">
                  <c:v>7.7165524953714711E-3</c:v>
                </c:pt>
                <c:pt idx="13">
                  <c:v>3.2892532754178201E-2</c:v>
                </c:pt>
                <c:pt idx="14">
                  <c:v>-1.4075712922162394E-2</c:v>
                </c:pt>
                <c:pt idx="15">
                  <c:v>-4.2317177387380476E-3</c:v>
                </c:pt>
                <c:pt idx="16">
                  <c:v>-2.2300986475060343E-3</c:v>
                </c:pt>
                <c:pt idx="17">
                  <c:v>5.816051739774411E-3</c:v>
                </c:pt>
                <c:pt idx="18">
                  <c:v>-1.8525838715960578E-2</c:v>
                </c:pt>
                <c:pt idx="19">
                  <c:v>-2.3075875846330394E-2</c:v>
                </c:pt>
                <c:pt idx="20">
                  <c:v>5.0986203959992434E-2</c:v>
                </c:pt>
                <c:pt idx="21">
                  <c:v>-2.68349967010693E-2</c:v>
                </c:pt>
                <c:pt idx="22">
                  <c:v>1.3385561116499165E-2</c:v>
                </c:pt>
                <c:pt idx="23">
                  <c:v>1.8615839856257813E-2</c:v>
                </c:pt>
                <c:pt idx="24">
                  <c:v>1.1226879693847343E-2</c:v>
                </c:pt>
                <c:pt idx="25">
                  <c:v>7.5229049794107508E-3</c:v>
                </c:pt>
                <c:pt idx="26">
                  <c:v>-9.2547730582745857E-3</c:v>
                </c:pt>
                <c:pt idx="27">
                  <c:v>-2.6111875055408729E-2</c:v>
                </c:pt>
                <c:pt idx="28">
                  <c:v>1.5924891979497032E-2</c:v>
                </c:pt>
                <c:pt idx="29">
                  <c:v>1.9046769435311653E-2</c:v>
                </c:pt>
                <c:pt idx="30">
                  <c:v>4.0774085866752347E-3</c:v>
                </c:pt>
                <c:pt idx="31">
                  <c:v>9.1364005254127856E-3</c:v>
                </c:pt>
                <c:pt idx="32">
                  <c:v>-3.0904848786522505E-2</c:v>
                </c:pt>
                <c:pt idx="33">
                  <c:v>-2.9879923112422222E-3</c:v>
                </c:pt>
                <c:pt idx="34">
                  <c:v>2.4888970637411436E-2</c:v>
                </c:pt>
                <c:pt idx="35">
                  <c:v>7.1460627462302563E-3</c:v>
                </c:pt>
                <c:pt idx="36">
                  <c:v>7.2643446204025816E-3</c:v>
                </c:pt>
                <c:pt idx="37">
                  <c:v>-6.4849178532470656E-3</c:v>
                </c:pt>
                <c:pt idx="38">
                  <c:v>1.6187741853023668E-2</c:v>
                </c:pt>
                <c:pt idx="39">
                  <c:v>8.6835481647564469E-4</c:v>
                </c:pt>
                <c:pt idx="40">
                  <c:v>-1.4749108686683277E-2</c:v>
                </c:pt>
                <c:pt idx="41">
                  <c:v>2.2570157229197214E-2</c:v>
                </c:pt>
                <c:pt idx="42">
                  <c:v>-5.5096091231641355E-3</c:v>
                </c:pt>
                <c:pt idx="43">
                  <c:v>1.9392719574569568E-2</c:v>
                </c:pt>
                <c:pt idx="44">
                  <c:v>1.7577680310772181E-2</c:v>
                </c:pt>
                <c:pt idx="45">
                  <c:v>9.0573762305664884E-3</c:v>
                </c:pt>
                <c:pt idx="46">
                  <c:v>-7.7678955857228495E-4</c:v>
                </c:pt>
                <c:pt idx="47">
                  <c:v>-3.2246925634230324E-2</c:v>
                </c:pt>
                <c:pt idx="48">
                  <c:v>2.5490028843945391E-2</c:v>
                </c:pt>
                <c:pt idx="49">
                  <c:v>1.1189560865753937E-3</c:v>
                </c:pt>
                <c:pt idx="50">
                  <c:v>1.2076169453992187E-2</c:v>
                </c:pt>
                <c:pt idx="51">
                  <c:v>1.3506917658507646E-2</c:v>
                </c:pt>
                <c:pt idx="52">
                  <c:v>9.6262448632490477E-3</c:v>
                </c:pt>
                <c:pt idx="53">
                  <c:v>5.9957052203587981E-4</c:v>
                </c:pt>
                <c:pt idx="54">
                  <c:v>7.0259396503400068E-4</c:v>
                </c:pt>
                <c:pt idx="55">
                  <c:v>-1.0697186156744035E-2</c:v>
                </c:pt>
                <c:pt idx="56">
                  <c:v>8.6129134926478581E-3</c:v>
                </c:pt>
                <c:pt idx="57">
                  <c:v>1.3136210682415158E-2</c:v>
                </c:pt>
                <c:pt idx="58">
                  <c:v>-7.9382064864211531E-3</c:v>
                </c:pt>
                <c:pt idx="59">
                  <c:v>-3.0289972930873559E-3</c:v>
                </c:pt>
                <c:pt idx="60">
                  <c:v>2.4031846248605562E-2</c:v>
                </c:pt>
                <c:pt idx="61">
                  <c:v>-6.9111584542501919E-3</c:v>
                </c:pt>
                <c:pt idx="62">
                  <c:v>1.6499511151532944E-2</c:v>
                </c:pt>
                <c:pt idx="63">
                  <c:v>2.2516417919041512E-3</c:v>
                </c:pt>
                <c:pt idx="64">
                  <c:v>-5.8935716602323707E-3</c:v>
                </c:pt>
                <c:pt idx="65">
                  <c:v>5.2006586065372791E-3</c:v>
                </c:pt>
                <c:pt idx="66">
                  <c:v>-1.4931905992327202E-2</c:v>
                </c:pt>
                <c:pt idx="67">
                  <c:v>1.4109366610400403E-4</c:v>
                </c:pt>
                <c:pt idx="68">
                  <c:v>2.2917080452228834E-2</c:v>
                </c:pt>
                <c:pt idx="69">
                  <c:v>1.0806072347773771E-3</c:v>
                </c:pt>
                <c:pt idx="70">
                  <c:v>-5.6575860876603625E-3</c:v>
                </c:pt>
                <c:pt idx="71">
                  <c:v>-1.6211352187065611E-2</c:v>
                </c:pt>
                <c:pt idx="72">
                  <c:v>2.979633466527801E-2</c:v>
                </c:pt>
                <c:pt idx="73">
                  <c:v>1.4852565822845417E-2</c:v>
                </c:pt>
                <c:pt idx="74">
                  <c:v>6.0486910993448242E-3</c:v>
                </c:pt>
                <c:pt idx="75">
                  <c:v>7.2827863289325247E-3</c:v>
                </c:pt>
                <c:pt idx="76">
                  <c:v>2.8094115602928542E-3</c:v>
                </c:pt>
                <c:pt idx="77">
                  <c:v>1.923883701437433E-2</c:v>
                </c:pt>
                <c:pt idx="78">
                  <c:v>1.1109097424568044E-2</c:v>
                </c:pt>
                <c:pt idx="79">
                  <c:v>7.2602773756199326E-3</c:v>
                </c:pt>
                <c:pt idx="80">
                  <c:v>-4.7680179315187704E-3</c:v>
                </c:pt>
                <c:pt idx="81">
                  <c:v>-1.7416594521233626E-2</c:v>
                </c:pt>
                <c:pt idx="82">
                  <c:v>4.0037801411540565E-3</c:v>
                </c:pt>
                <c:pt idx="83">
                  <c:v>1.8357501413614169E-2</c:v>
                </c:pt>
                <c:pt idx="84">
                  <c:v>1.5494069787576427E-2</c:v>
                </c:pt>
                <c:pt idx="85">
                  <c:v>-2.3778510877252454E-2</c:v>
                </c:pt>
                <c:pt idx="86">
                  <c:v>1.5085485362886935E-2</c:v>
                </c:pt>
                <c:pt idx="87">
                  <c:v>9.3341925764433321E-3</c:v>
                </c:pt>
                <c:pt idx="88">
                  <c:v>-4.8145885377592554E-3</c:v>
                </c:pt>
                <c:pt idx="89">
                  <c:v>8.5294464858982118E-3</c:v>
                </c:pt>
                <c:pt idx="90">
                  <c:v>2.0235639014956515E-2</c:v>
                </c:pt>
                <c:pt idx="91">
                  <c:v>9.6645293406614104E-3</c:v>
                </c:pt>
                <c:pt idx="92">
                  <c:v>1.6008447187249163E-2</c:v>
                </c:pt>
                <c:pt idx="93">
                  <c:v>6.1123879245025201E-3</c:v>
                </c:pt>
                <c:pt idx="94">
                  <c:v>4.9122092949764884E-3</c:v>
                </c:pt>
                <c:pt idx="95">
                  <c:v>1.725327182234147E-2</c:v>
                </c:pt>
                <c:pt idx="96">
                  <c:v>-1.8387217327801231E-2</c:v>
                </c:pt>
                <c:pt idx="97">
                  <c:v>-4.6380397190374408E-3</c:v>
                </c:pt>
                <c:pt idx="98">
                  <c:v>-3.5064056953242295E-5</c:v>
                </c:pt>
                <c:pt idx="99">
                  <c:v>-2.2513752897790597E-2</c:v>
                </c:pt>
                <c:pt idx="100">
                  <c:v>-2.4347924340465506E-2</c:v>
                </c:pt>
                <c:pt idx="101">
                  <c:v>2.2076117256068034E-2</c:v>
                </c:pt>
                <c:pt idx="102">
                  <c:v>-3.4033455506633274E-2</c:v>
                </c:pt>
                <c:pt idx="103">
                  <c:v>2.6284212148450045E-2</c:v>
                </c:pt>
                <c:pt idx="104">
                  <c:v>-2.2796175929992789E-2</c:v>
                </c:pt>
                <c:pt idx="105">
                  <c:v>2.2413483141359453E-3</c:v>
                </c:pt>
                <c:pt idx="106">
                  <c:v>-2.6426445672947895E-2</c:v>
                </c:pt>
                <c:pt idx="107">
                  <c:v>4.1833434029609318E-2</c:v>
                </c:pt>
                <c:pt idx="108">
                  <c:v>2.803047184087336E-3</c:v>
                </c:pt>
                <c:pt idx="109">
                  <c:v>-1.1263443483091275E-2</c:v>
                </c:pt>
                <c:pt idx="110">
                  <c:v>-1.5973053026802311E-2</c:v>
                </c:pt>
                <c:pt idx="111">
                  <c:v>-6.7229681985686001E-3</c:v>
                </c:pt>
                <c:pt idx="112">
                  <c:v>4.0507354600746164E-2</c:v>
                </c:pt>
                <c:pt idx="113">
                  <c:v>1.4395458815704296E-2</c:v>
                </c:pt>
                <c:pt idx="114">
                  <c:v>-0.16196466428480469</c:v>
                </c:pt>
                <c:pt idx="115">
                  <c:v>2.792743260595066E-2</c:v>
                </c:pt>
                <c:pt idx="116">
                  <c:v>1.6698387455801583E-2</c:v>
                </c:pt>
                <c:pt idx="117">
                  <c:v>1.3668218321551429E-2</c:v>
                </c:pt>
                <c:pt idx="118">
                  <c:v>3.5544239432845438E-2</c:v>
                </c:pt>
                <c:pt idx="119">
                  <c:v>8.0335508301853462E-3</c:v>
                </c:pt>
                <c:pt idx="120">
                  <c:v>-3.3390843284075822E-2</c:v>
                </c:pt>
                <c:pt idx="121">
                  <c:v>-0.11815966612590256</c:v>
                </c:pt>
                <c:pt idx="122">
                  <c:v>3.5935895145679249E-2</c:v>
                </c:pt>
                <c:pt idx="123">
                  <c:v>5.2508871562175582E-2</c:v>
                </c:pt>
                <c:pt idx="124">
                  <c:v>1.5914867203085332E-2</c:v>
                </c:pt>
                <c:pt idx="125">
                  <c:v>2.5995849852778818E-2</c:v>
                </c:pt>
                <c:pt idx="126">
                  <c:v>2.0223263711909276E-2</c:v>
                </c:pt>
                <c:pt idx="127">
                  <c:v>-3.4815210069287429E-2</c:v>
                </c:pt>
                <c:pt idx="128">
                  <c:v>-3.2299889086558085E-2</c:v>
                </c:pt>
                <c:pt idx="129">
                  <c:v>4.9288508606529328E-2</c:v>
                </c:pt>
                <c:pt idx="130">
                  <c:v>2.2738239042947739E-2</c:v>
                </c:pt>
                <c:pt idx="131">
                  <c:v>-8.4663159510413484E-3</c:v>
                </c:pt>
                <c:pt idx="132">
                  <c:v>-2.8455742672521167E-3</c:v>
                </c:pt>
                <c:pt idx="133">
                  <c:v>3.8500551584136986E-3</c:v>
                </c:pt>
                <c:pt idx="134">
                  <c:v>2.1180510244462769E-2</c:v>
                </c:pt>
                <c:pt idx="135">
                  <c:v>9.9067023920244995E-3</c:v>
                </c:pt>
                <c:pt idx="136">
                  <c:v>4.5457706046549634E-3</c:v>
                </c:pt>
                <c:pt idx="137">
                  <c:v>9.9282667238206994E-3</c:v>
                </c:pt>
                <c:pt idx="138">
                  <c:v>1.9242846368881086E-2</c:v>
                </c:pt>
                <c:pt idx="139">
                  <c:v>-2.1948982834126444E-2</c:v>
                </c:pt>
                <c:pt idx="140">
                  <c:v>1.3473902312020027E-2</c:v>
                </c:pt>
                <c:pt idx="141">
                  <c:v>-1.9778724511875716E-2</c:v>
                </c:pt>
                <c:pt idx="142">
                  <c:v>-3.4592971832645681E-3</c:v>
                </c:pt>
                <c:pt idx="143">
                  <c:v>1.1547518165616152E-2</c:v>
                </c:pt>
                <c:pt idx="144">
                  <c:v>-1.1196670451168107E-2</c:v>
                </c:pt>
                <c:pt idx="145">
                  <c:v>1.5832026377413523E-2</c:v>
                </c:pt>
                <c:pt idx="146">
                  <c:v>-2.9019649819530514E-2</c:v>
                </c:pt>
                <c:pt idx="147">
                  <c:v>-1.7994835972191051E-2</c:v>
                </c:pt>
                <c:pt idx="148">
                  <c:v>-6.0565407310776045E-2</c:v>
                </c:pt>
                <c:pt idx="149">
                  <c:v>2.4477359474543013E-2</c:v>
                </c:pt>
                <c:pt idx="150">
                  <c:v>-1.3416391257226287E-2</c:v>
                </c:pt>
                <c:pt idx="151">
                  <c:v>-5.0437780023542836E-2</c:v>
                </c:pt>
                <c:pt idx="152">
                  <c:v>2.7393106958255777E-2</c:v>
                </c:pt>
                <c:pt idx="153">
                  <c:v>5.0174667013303045E-2</c:v>
                </c:pt>
                <c:pt idx="154">
                  <c:v>-6.1132835592159302E-3</c:v>
                </c:pt>
                <c:pt idx="155">
                  <c:v>5.3283686187415892E-2</c:v>
                </c:pt>
                <c:pt idx="156">
                  <c:v>1.159301667582701E-4</c:v>
                </c:pt>
                <c:pt idx="157">
                  <c:v>4.2076976622409251E-4</c:v>
                </c:pt>
                <c:pt idx="158">
                  <c:v>-2.9114297486436642E-2</c:v>
                </c:pt>
                <c:pt idx="159">
                  <c:v>1.5283058939310304E-2</c:v>
                </c:pt>
                <c:pt idx="160">
                  <c:v>5.5290419240225715E-2</c:v>
                </c:pt>
                <c:pt idx="161">
                  <c:v>1.8411737022967056E-2</c:v>
                </c:pt>
                <c:pt idx="162">
                  <c:v>-8.5581177503785012E-3</c:v>
                </c:pt>
                <c:pt idx="163">
                  <c:v>-3.8099185555664848E-2</c:v>
                </c:pt>
                <c:pt idx="164">
                  <c:v>-1.4125441495212896E-3</c:v>
                </c:pt>
                <c:pt idx="165">
                  <c:v>7.2153285430324357E-2</c:v>
                </c:pt>
                <c:pt idx="166">
                  <c:v>3.6620362494254578E-2</c:v>
                </c:pt>
                <c:pt idx="167">
                  <c:v>1.6143758529012207E-4</c:v>
                </c:pt>
                <c:pt idx="168">
                  <c:v>2.8412060809986008E-2</c:v>
                </c:pt>
                <c:pt idx="169">
                  <c:v>3.7827038723165139E-2</c:v>
                </c:pt>
                <c:pt idx="170">
                  <c:v>3.561611662218351E-3</c:v>
                </c:pt>
                <c:pt idx="171">
                  <c:v>8.4422323473405444E-3</c:v>
                </c:pt>
                <c:pt idx="172">
                  <c:v>4.6322526931574654E-3</c:v>
                </c:pt>
                <c:pt idx="173">
                  <c:v>-8.885417817915825E-3</c:v>
                </c:pt>
                <c:pt idx="174">
                  <c:v>2.3845253675470187E-2</c:v>
                </c:pt>
                <c:pt idx="175">
                  <c:v>2.7471667556048896E-2</c:v>
                </c:pt>
                <c:pt idx="176">
                  <c:v>3.6369428851269849E-2</c:v>
                </c:pt>
                <c:pt idx="177">
                  <c:v>5.4993028199753685E-2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7B5D-46B5-BF9F-9F4C11107E9D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resumen!$A$2244:$A$2421</c:f>
              <c:numCache>
                <c:formatCode>[$-C0A]mmmm\-yy;@</c:formatCode>
                <c:ptCount val="178"/>
                <c:pt idx="0">
                  <c:v>40237</c:v>
                </c:pt>
                <c:pt idx="1">
                  <c:v>40265</c:v>
                </c:pt>
                <c:pt idx="2">
                  <c:v>40296</c:v>
                </c:pt>
                <c:pt idx="3">
                  <c:v>40326</c:v>
                </c:pt>
                <c:pt idx="4">
                  <c:v>40357</c:v>
                </c:pt>
                <c:pt idx="5">
                  <c:v>40387</c:v>
                </c:pt>
                <c:pt idx="6">
                  <c:v>40418</c:v>
                </c:pt>
                <c:pt idx="7">
                  <c:v>40449</c:v>
                </c:pt>
                <c:pt idx="8">
                  <c:v>40479</c:v>
                </c:pt>
                <c:pt idx="9">
                  <c:v>40510</c:v>
                </c:pt>
                <c:pt idx="10">
                  <c:v>40540</c:v>
                </c:pt>
                <c:pt idx="11">
                  <c:v>40571</c:v>
                </c:pt>
                <c:pt idx="12">
                  <c:v>40602</c:v>
                </c:pt>
                <c:pt idx="13">
                  <c:v>40630</c:v>
                </c:pt>
                <c:pt idx="14">
                  <c:v>40661</c:v>
                </c:pt>
                <c:pt idx="15">
                  <c:v>40691</c:v>
                </c:pt>
                <c:pt idx="16">
                  <c:v>40722</c:v>
                </c:pt>
                <c:pt idx="17">
                  <c:v>40752</c:v>
                </c:pt>
                <c:pt idx="18">
                  <c:v>40783</c:v>
                </c:pt>
                <c:pt idx="19">
                  <c:v>40814</c:v>
                </c:pt>
                <c:pt idx="20">
                  <c:v>40844</c:v>
                </c:pt>
                <c:pt idx="21">
                  <c:v>40875</c:v>
                </c:pt>
                <c:pt idx="22">
                  <c:v>40905</c:v>
                </c:pt>
                <c:pt idx="23">
                  <c:v>40936</c:v>
                </c:pt>
                <c:pt idx="24">
                  <c:v>40967</c:v>
                </c:pt>
                <c:pt idx="25">
                  <c:v>40996</c:v>
                </c:pt>
                <c:pt idx="26">
                  <c:v>41027</c:v>
                </c:pt>
                <c:pt idx="27">
                  <c:v>41057</c:v>
                </c:pt>
                <c:pt idx="28">
                  <c:v>41088</c:v>
                </c:pt>
                <c:pt idx="29">
                  <c:v>41118</c:v>
                </c:pt>
                <c:pt idx="30">
                  <c:v>41149</c:v>
                </c:pt>
                <c:pt idx="31">
                  <c:v>41180</c:v>
                </c:pt>
                <c:pt idx="32">
                  <c:v>41210</c:v>
                </c:pt>
                <c:pt idx="33">
                  <c:v>41241</c:v>
                </c:pt>
                <c:pt idx="34">
                  <c:v>41271</c:v>
                </c:pt>
                <c:pt idx="35">
                  <c:v>41302</c:v>
                </c:pt>
                <c:pt idx="36">
                  <c:v>41333</c:v>
                </c:pt>
                <c:pt idx="37">
                  <c:v>41361</c:v>
                </c:pt>
                <c:pt idx="38">
                  <c:v>41392</c:v>
                </c:pt>
                <c:pt idx="39">
                  <c:v>41422</c:v>
                </c:pt>
                <c:pt idx="40">
                  <c:v>41453</c:v>
                </c:pt>
                <c:pt idx="41">
                  <c:v>41483</c:v>
                </c:pt>
                <c:pt idx="42">
                  <c:v>41514</c:v>
                </c:pt>
                <c:pt idx="43">
                  <c:v>41545</c:v>
                </c:pt>
                <c:pt idx="44">
                  <c:v>41575</c:v>
                </c:pt>
                <c:pt idx="45">
                  <c:v>41606</c:v>
                </c:pt>
                <c:pt idx="46">
                  <c:v>41636</c:v>
                </c:pt>
                <c:pt idx="47">
                  <c:v>41667</c:v>
                </c:pt>
                <c:pt idx="48">
                  <c:v>41698</c:v>
                </c:pt>
                <c:pt idx="49">
                  <c:v>41726</c:v>
                </c:pt>
                <c:pt idx="50">
                  <c:v>41757</c:v>
                </c:pt>
                <c:pt idx="51">
                  <c:v>41787</c:v>
                </c:pt>
                <c:pt idx="52">
                  <c:v>41818</c:v>
                </c:pt>
                <c:pt idx="53">
                  <c:v>41848</c:v>
                </c:pt>
                <c:pt idx="54">
                  <c:v>41879</c:v>
                </c:pt>
                <c:pt idx="55">
                  <c:v>41910</c:v>
                </c:pt>
                <c:pt idx="56">
                  <c:v>41940</c:v>
                </c:pt>
                <c:pt idx="57">
                  <c:v>41971</c:v>
                </c:pt>
                <c:pt idx="58">
                  <c:v>42001</c:v>
                </c:pt>
                <c:pt idx="59">
                  <c:v>42032</c:v>
                </c:pt>
                <c:pt idx="60">
                  <c:v>42063</c:v>
                </c:pt>
                <c:pt idx="61">
                  <c:v>42091</c:v>
                </c:pt>
                <c:pt idx="62">
                  <c:v>42122</c:v>
                </c:pt>
                <c:pt idx="63">
                  <c:v>42152</c:v>
                </c:pt>
                <c:pt idx="64">
                  <c:v>42183</c:v>
                </c:pt>
                <c:pt idx="65">
                  <c:v>42213</c:v>
                </c:pt>
                <c:pt idx="66">
                  <c:v>42244</c:v>
                </c:pt>
                <c:pt idx="67">
                  <c:v>42275</c:v>
                </c:pt>
                <c:pt idx="68">
                  <c:v>42305</c:v>
                </c:pt>
                <c:pt idx="69">
                  <c:v>42336</c:v>
                </c:pt>
                <c:pt idx="70">
                  <c:v>42366</c:v>
                </c:pt>
                <c:pt idx="71">
                  <c:v>42397</c:v>
                </c:pt>
                <c:pt idx="72">
                  <c:v>42428</c:v>
                </c:pt>
                <c:pt idx="73">
                  <c:v>42457</c:v>
                </c:pt>
                <c:pt idx="74">
                  <c:v>42488</c:v>
                </c:pt>
                <c:pt idx="75">
                  <c:v>42518</c:v>
                </c:pt>
                <c:pt idx="76">
                  <c:v>42549</c:v>
                </c:pt>
                <c:pt idx="77">
                  <c:v>42579</c:v>
                </c:pt>
                <c:pt idx="78">
                  <c:v>42610</c:v>
                </c:pt>
                <c:pt idx="79">
                  <c:v>42641</c:v>
                </c:pt>
                <c:pt idx="80">
                  <c:v>42671</c:v>
                </c:pt>
                <c:pt idx="81">
                  <c:v>42702</c:v>
                </c:pt>
                <c:pt idx="82">
                  <c:v>42732</c:v>
                </c:pt>
                <c:pt idx="83">
                  <c:v>42763</c:v>
                </c:pt>
                <c:pt idx="84">
                  <c:v>42794</c:v>
                </c:pt>
                <c:pt idx="85">
                  <c:v>42822</c:v>
                </c:pt>
                <c:pt idx="86">
                  <c:v>42853</c:v>
                </c:pt>
                <c:pt idx="87">
                  <c:v>42883</c:v>
                </c:pt>
                <c:pt idx="88">
                  <c:v>42914</c:v>
                </c:pt>
                <c:pt idx="89">
                  <c:v>42944</c:v>
                </c:pt>
                <c:pt idx="90">
                  <c:v>42975</c:v>
                </c:pt>
                <c:pt idx="91">
                  <c:v>43006</c:v>
                </c:pt>
                <c:pt idx="92">
                  <c:v>43036</c:v>
                </c:pt>
                <c:pt idx="93">
                  <c:v>43067</c:v>
                </c:pt>
                <c:pt idx="94">
                  <c:v>43097</c:v>
                </c:pt>
                <c:pt idx="95">
                  <c:v>43128</c:v>
                </c:pt>
                <c:pt idx="96">
                  <c:v>43159</c:v>
                </c:pt>
                <c:pt idx="97">
                  <c:v>43187</c:v>
                </c:pt>
                <c:pt idx="98">
                  <c:v>43218</c:v>
                </c:pt>
                <c:pt idx="99">
                  <c:v>43248</c:v>
                </c:pt>
                <c:pt idx="100">
                  <c:v>43279</c:v>
                </c:pt>
                <c:pt idx="101">
                  <c:v>43309</c:v>
                </c:pt>
                <c:pt idx="102">
                  <c:v>43340</c:v>
                </c:pt>
                <c:pt idx="103">
                  <c:v>43371</c:v>
                </c:pt>
                <c:pt idx="104">
                  <c:v>43401</c:v>
                </c:pt>
                <c:pt idx="105">
                  <c:v>43432</c:v>
                </c:pt>
                <c:pt idx="106">
                  <c:v>43462</c:v>
                </c:pt>
                <c:pt idx="107">
                  <c:v>43493</c:v>
                </c:pt>
                <c:pt idx="108">
                  <c:v>43524</c:v>
                </c:pt>
                <c:pt idx="109">
                  <c:v>43552</c:v>
                </c:pt>
                <c:pt idx="110">
                  <c:v>43583</c:v>
                </c:pt>
                <c:pt idx="111">
                  <c:v>43613</c:v>
                </c:pt>
                <c:pt idx="112">
                  <c:v>43644</c:v>
                </c:pt>
                <c:pt idx="113">
                  <c:v>43674</c:v>
                </c:pt>
                <c:pt idx="114">
                  <c:v>43705</c:v>
                </c:pt>
                <c:pt idx="115">
                  <c:v>43736</c:v>
                </c:pt>
                <c:pt idx="116">
                  <c:v>43766</c:v>
                </c:pt>
                <c:pt idx="117">
                  <c:v>43797</c:v>
                </c:pt>
                <c:pt idx="118">
                  <c:v>43827</c:v>
                </c:pt>
                <c:pt idx="119">
                  <c:v>43858</c:v>
                </c:pt>
                <c:pt idx="120">
                  <c:v>43889</c:v>
                </c:pt>
                <c:pt idx="121">
                  <c:v>43918</c:v>
                </c:pt>
                <c:pt idx="122">
                  <c:v>43949</c:v>
                </c:pt>
                <c:pt idx="123">
                  <c:v>43979</c:v>
                </c:pt>
                <c:pt idx="124">
                  <c:v>44010</c:v>
                </c:pt>
                <c:pt idx="125">
                  <c:v>44040</c:v>
                </c:pt>
                <c:pt idx="126">
                  <c:v>44071</c:v>
                </c:pt>
                <c:pt idx="127">
                  <c:v>44102</c:v>
                </c:pt>
                <c:pt idx="128">
                  <c:v>44132</c:v>
                </c:pt>
                <c:pt idx="129">
                  <c:v>44163</c:v>
                </c:pt>
                <c:pt idx="130">
                  <c:v>44193</c:v>
                </c:pt>
                <c:pt idx="131">
                  <c:v>44224</c:v>
                </c:pt>
                <c:pt idx="132">
                  <c:v>44255</c:v>
                </c:pt>
                <c:pt idx="133">
                  <c:v>44283</c:v>
                </c:pt>
                <c:pt idx="134">
                  <c:v>44314</c:v>
                </c:pt>
                <c:pt idx="135">
                  <c:v>44344</c:v>
                </c:pt>
                <c:pt idx="136">
                  <c:v>44375</c:v>
                </c:pt>
                <c:pt idx="137">
                  <c:v>44405</c:v>
                </c:pt>
                <c:pt idx="138">
                  <c:v>44436</c:v>
                </c:pt>
                <c:pt idx="139">
                  <c:v>44467</c:v>
                </c:pt>
                <c:pt idx="140">
                  <c:v>44497</c:v>
                </c:pt>
                <c:pt idx="141">
                  <c:v>44528</c:v>
                </c:pt>
                <c:pt idx="142">
                  <c:v>44558</c:v>
                </c:pt>
                <c:pt idx="143">
                  <c:v>44589</c:v>
                </c:pt>
                <c:pt idx="144">
                  <c:v>44620</c:v>
                </c:pt>
                <c:pt idx="145">
                  <c:v>44648</c:v>
                </c:pt>
                <c:pt idx="146">
                  <c:v>44679</c:v>
                </c:pt>
                <c:pt idx="147">
                  <c:v>44709</c:v>
                </c:pt>
                <c:pt idx="148">
                  <c:v>44740</c:v>
                </c:pt>
                <c:pt idx="149">
                  <c:v>44770</c:v>
                </c:pt>
                <c:pt idx="150">
                  <c:v>44801</c:v>
                </c:pt>
                <c:pt idx="151">
                  <c:v>44832</c:v>
                </c:pt>
                <c:pt idx="152">
                  <c:v>44862</c:v>
                </c:pt>
                <c:pt idx="153">
                  <c:v>44893</c:v>
                </c:pt>
                <c:pt idx="154">
                  <c:v>44923</c:v>
                </c:pt>
                <c:pt idx="155">
                  <c:v>44954</c:v>
                </c:pt>
                <c:pt idx="156">
                  <c:v>44985</c:v>
                </c:pt>
                <c:pt idx="157">
                  <c:v>45013</c:v>
                </c:pt>
                <c:pt idx="158">
                  <c:v>45044</c:v>
                </c:pt>
                <c:pt idx="159">
                  <c:v>45074</c:v>
                </c:pt>
                <c:pt idx="160">
                  <c:v>45105</c:v>
                </c:pt>
                <c:pt idx="161">
                  <c:v>45135</c:v>
                </c:pt>
                <c:pt idx="162">
                  <c:v>45166</c:v>
                </c:pt>
                <c:pt idx="163">
                  <c:v>45197</c:v>
                </c:pt>
                <c:pt idx="164">
                  <c:v>45227</c:v>
                </c:pt>
                <c:pt idx="165">
                  <c:v>45258</c:v>
                </c:pt>
                <c:pt idx="166">
                  <c:v>45288</c:v>
                </c:pt>
                <c:pt idx="167">
                  <c:v>45319</c:v>
                </c:pt>
                <c:pt idx="168">
                  <c:v>45350</c:v>
                </c:pt>
                <c:pt idx="169">
                  <c:v>45379</c:v>
                </c:pt>
                <c:pt idx="170">
                  <c:v>45410</c:v>
                </c:pt>
                <c:pt idx="171">
                  <c:v>45440</c:v>
                </c:pt>
                <c:pt idx="172">
                  <c:v>45471</c:v>
                </c:pt>
                <c:pt idx="173">
                  <c:v>45501</c:v>
                </c:pt>
                <c:pt idx="174">
                  <c:v>45532</c:v>
                </c:pt>
                <c:pt idx="175">
                  <c:v>45563</c:v>
                </c:pt>
                <c:pt idx="176">
                  <c:v>45593</c:v>
                </c:pt>
                <c:pt idx="177">
                  <c:v>45624</c:v>
                </c:pt>
              </c:numCache>
            </c:numRef>
          </c:cat>
          <c:val>
            <c:numRef>
              <c:f>resumen!$H$2244:$H$2421</c:f>
              <c:numCache>
                <c:formatCode>0.0%</c:formatCode>
                <c:ptCount val="178"/>
                <c:pt idx="0">
                  <c:v>0</c:v>
                </c:pt>
                <c:pt idx="1">
                  <c:v>2.181496712090096E-2</c:v>
                </c:pt>
                <c:pt idx="2">
                  <c:v>2.3770882191340711E-2</c:v>
                </c:pt>
                <c:pt idx="3">
                  <c:v>4.4684126617210232E-3</c:v>
                </c:pt>
                <c:pt idx="4">
                  <c:v>1.4469532012502201E-2</c:v>
                </c:pt>
                <c:pt idx="5">
                  <c:v>3.2836774737285315E-2</c:v>
                </c:pt>
                <c:pt idx="6">
                  <c:v>3.7321162342144672E-2</c:v>
                </c:pt>
                <c:pt idx="7">
                  <c:v>5.0284917262584057E-2</c:v>
                </c:pt>
                <c:pt idx="8">
                  <c:v>7.0117823913835531E-2</c:v>
                </c:pt>
                <c:pt idx="9">
                  <c:v>7.4081505713202239E-2</c:v>
                </c:pt>
                <c:pt idx="10">
                  <c:v>0.10379623618146605</c:v>
                </c:pt>
                <c:pt idx="11">
                  <c:v>0.1128899457936179</c:v>
                </c:pt>
                <c:pt idx="12">
                  <c:v>0.12060649828898937</c:v>
                </c:pt>
                <c:pt idx="13">
                  <c:v>0.15349903104316756</c:v>
                </c:pt>
                <c:pt idx="14">
                  <c:v>0.13942331812100517</c:v>
                </c:pt>
                <c:pt idx="15">
                  <c:v>0.13519160038226713</c:v>
                </c:pt>
                <c:pt idx="16">
                  <c:v>0.1329615017347611</c:v>
                </c:pt>
                <c:pt idx="17">
                  <c:v>0.13877755347453552</c:v>
                </c:pt>
                <c:pt idx="18">
                  <c:v>0.12025171475857493</c:v>
                </c:pt>
                <c:pt idx="19">
                  <c:v>9.7175838912244544E-2</c:v>
                </c:pt>
                <c:pt idx="20">
                  <c:v>0.14816204287223697</c:v>
                </c:pt>
                <c:pt idx="21">
                  <c:v>0.12132704617116767</c:v>
                </c:pt>
                <c:pt idx="22">
                  <c:v>0.13471260728766685</c:v>
                </c:pt>
                <c:pt idx="23">
                  <c:v>0.15332844714392466</c:v>
                </c:pt>
                <c:pt idx="24">
                  <c:v>0.16455532683777199</c:v>
                </c:pt>
                <c:pt idx="25">
                  <c:v>0.17207823181718274</c:v>
                </c:pt>
                <c:pt idx="26">
                  <c:v>0.16282345875890816</c:v>
                </c:pt>
                <c:pt idx="27">
                  <c:v>0.13671158370349942</c:v>
                </c:pt>
                <c:pt idx="28">
                  <c:v>0.15263647568299646</c:v>
                </c:pt>
                <c:pt idx="29">
                  <c:v>0.17168324511830813</c:v>
                </c:pt>
                <c:pt idx="30">
                  <c:v>0.17576065370498337</c:v>
                </c:pt>
                <c:pt idx="31">
                  <c:v>0.18489705423039615</c:v>
                </c:pt>
                <c:pt idx="32">
                  <c:v>0.15399220544387365</c:v>
                </c:pt>
                <c:pt idx="33">
                  <c:v>0.15100421313263143</c:v>
                </c:pt>
                <c:pt idx="34">
                  <c:v>0.17589318377004287</c:v>
                </c:pt>
                <c:pt idx="35">
                  <c:v>0.18303924651627312</c:v>
                </c:pt>
                <c:pt idx="36">
                  <c:v>0.19030359113667569</c:v>
                </c:pt>
                <c:pt idx="37">
                  <c:v>0.18381867328342863</c:v>
                </c:pt>
                <c:pt idx="38">
                  <c:v>0.20000641513645229</c:v>
                </c:pt>
                <c:pt idx="39">
                  <c:v>0.20087476995292794</c:v>
                </c:pt>
                <c:pt idx="40">
                  <c:v>0.18612566126624466</c:v>
                </c:pt>
                <c:pt idx="41">
                  <c:v>0.20869581849544189</c:v>
                </c:pt>
                <c:pt idx="42">
                  <c:v>0.20318620937227774</c:v>
                </c:pt>
                <c:pt idx="43">
                  <c:v>0.2225789289468473</c:v>
                </c:pt>
                <c:pt idx="44">
                  <c:v>0.24015660925761947</c:v>
                </c:pt>
                <c:pt idx="45">
                  <c:v>0.24921398548818596</c:v>
                </c:pt>
                <c:pt idx="46">
                  <c:v>0.24843719592961369</c:v>
                </c:pt>
                <c:pt idx="47">
                  <c:v>0.21619027029538337</c:v>
                </c:pt>
                <c:pt idx="48">
                  <c:v>0.24168029913932876</c:v>
                </c:pt>
                <c:pt idx="49">
                  <c:v>0.24279925522590415</c:v>
                </c:pt>
                <c:pt idx="50">
                  <c:v>0.25487542467989632</c:v>
                </c:pt>
                <c:pt idx="51">
                  <c:v>0.26838234233840397</c:v>
                </c:pt>
                <c:pt idx="52">
                  <c:v>0.278008587201653</c:v>
                </c:pt>
                <c:pt idx="53">
                  <c:v>0.27860815772368885</c:v>
                </c:pt>
                <c:pt idx="54">
                  <c:v>0.27931075168872288</c:v>
                </c:pt>
                <c:pt idx="55">
                  <c:v>0.26861356553197885</c:v>
                </c:pt>
                <c:pt idx="56">
                  <c:v>0.27722647902462672</c:v>
                </c:pt>
                <c:pt idx="57">
                  <c:v>0.29036268970704188</c:v>
                </c:pt>
                <c:pt idx="58">
                  <c:v>0.28242448322062075</c:v>
                </c:pt>
                <c:pt idx="59">
                  <c:v>0.27939548592753338</c:v>
                </c:pt>
                <c:pt idx="60">
                  <c:v>0.30342733217613893</c:v>
                </c:pt>
                <c:pt idx="61">
                  <c:v>0.29651617372188876</c:v>
                </c:pt>
                <c:pt idx="62">
                  <c:v>0.31301568487342168</c:v>
                </c:pt>
                <c:pt idx="63">
                  <c:v>0.31526732666532581</c:v>
                </c:pt>
                <c:pt idx="64">
                  <c:v>0.30937375500509345</c:v>
                </c:pt>
                <c:pt idx="65">
                  <c:v>0.31457441361163074</c:v>
                </c:pt>
                <c:pt idx="66">
                  <c:v>0.29964250761930356</c:v>
                </c:pt>
                <c:pt idx="67">
                  <c:v>0.29978360128540754</c:v>
                </c:pt>
                <c:pt idx="68">
                  <c:v>0.32270068173763639</c:v>
                </c:pt>
                <c:pt idx="69">
                  <c:v>0.32378128897241376</c:v>
                </c:pt>
                <c:pt idx="70">
                  <c:v>0.31812370288475339</c:v>
                </c:pt>
                <c:pt idx="71">
                  <c:v>0.30191235069768779</c:v>
                </c:pt>
                <c:pt idx="72">
                  <c:v>0.33170868536296583</c:v>
                </c:pt>
                <c:pt idx="73">
                  <c:v>0.34656125118581127</c:v>
                </c:pt>
                <c:pt idx="74">
                  <c:v>0.35260994228515607</c:v>
                </c:pt>
                <c:pt idx="75">
                  <c:v>0.35989272861408861</c:v>
                </c:pt>
                <c:pt idx="76">
                  <c:v>0.36270214017438146</c:v>
                </c:pt>
                <c:pt idx="77">
                  <c:v>0.3819409771887558</c:v>
                </c:pt>
                <c:pt idx="78">
                  <c:v>0.39305007461332386</c:v>
                </c:pt>
                <c:pt idx="79">
                  <c:v>0.40031035198894377</c:v>
                </c:pt>
                <c:pt idx="80">
                  <c:v>0.395542334057425</c:v>
                </c:pt>
                <c:pt idx="81">
                  <c:v>0.37812573953619139</c:v>
                </c:pt>
                <c:pt idx="82">
                  <c:v>0.38212951967734543</c:v>
                </c:pt>
                <c:pt idx="83">
                  <c:v>0.40048702109095957</c:v>
                </c:pt>
                <c:pt idx="84">
                  <c:v>0.41598109087853602</c:v>
                </c:pt>
                <c:pt idx="85">
                  <c:v>0.39220258000128355</c:v>
                </c:pt>
                <c:pt idx="86">
                  <c:v>0.4072880653641705</c:v>
                </c:pt>
                <c:pt idx="87">
                  <c:v>0.41662225794061386</c:v>
                </c:pt>
                <c:pt idx="88">
                  <c:v>0.41180766940285463</c:v>
                </c:pt>
                <c:pt idx="89">
                  <c:v>0.42033711588875283</c:v>
                </c:pt>
                <c:pt idx="90">
                  <c:v>0.44057275490370934</c:v>
                </c:pt>
                <c:pt idx="91">
                  <c:v>0.45023728424437076</c:v>
                </c:pt>
                <c:pt idx="92">
                  <c:v>0.4662457314316199</c:v>
                </c:pt>
                <c:pt idx="93">
                  <c:v>0.47235811935612243</c:v>
                </c:pt>
                <c:pt idx="94">
                  <c:v>0.47727032865109892</c:v>
                </c:pt>
                <c:pt idx="95">
                  <c:v>0.49452360047344041</c:v>
                </c:pt>
                <c:pt idx="96">
                  <c:v>0.47613638314563916</c:v>
                </c:pt>
                <c:pt idx="97">
                  <c:v>0.47149834342660174</c:v>
                </c:pt>
                <c:pt idx="98">
                  <c:v>0.47146327936964849</c:v>
                </c:pt>
                <c:pt idx="99">
                  <c:v>0.44894952647185787</c:v>
                </c:pt>
                <c:pt idx="100">
                  <c:v>0.42460160213139236</c:v>
                </c:pt>
                <c:pt idx="101">
                  <c:v>0.44667771938746037</c:v>
                </c:pt>
                <c:pt idx="102">
                  <c:v>0.41264426388082709</c:v>
                </c:pt>
                <c:pt idx="103">
                  <c:v>0.43892847602927715</c:v>
                </c:pt>
                <c:pt idx="104">
                  <c:v>0.41613230009928437</c:v>
                </c:pt>
                <c:pt idx="105">
                  <c:v>0.41837364841342034</c:v>
                </c:pt>
                <c:pt idx="106">
                  <c:v>0.39194720274047246</c:v>
                </c:pt>
                <c:pt idx="107">
                  <c:v>0.43378063677008177</c:v>
                </c:pt>
                <c:pt idx="108">
                  <c:v>0.43658368395416913</c:v>
                </c:pt>
                <c:pt idx="109">
                  <c:v>0.42532024047107786</c:v>
                </c:pt>
                <c:pt idx="110">
                  <c:v>0.40934718744427556</c:v>
                </c:pt>
                <c:pt idx="111">
                  <c:v>0.40262421924570696</c:v>
                </c:pt>
                <c:pt idx="112">
                  <c:v>0.44313157384645313</c:v>
                </c:pt>
                <c:pt idx="113">
                  <c:v>0.45752703266215744</c:v>
                </c:pt>
                <c:pt idx="114">
                  <c:v>0.29556236837735272</c:v>
                </c:pt>
                <c:pt idx="115">
                  <c:v>0.32348980098330338</c:v>
                </c:pt>
                <c:pt idx="116">
                  <c:v>0.34018818843910498</c:v>
                </c:pt>
                <c:pt idx="117">
                  <c:v>0.35385640676065638</c:v>
                </c:pt>
                <c:pt idx="118">
                  <c:v>0.38940064619350184</c:v>
                </c:pt>
                <c:pt idx="119">
                  <c:v>0.39743419702368721</c:v>
                </c:pt>
                <c:pt idx="120">
                  <c:v>0.36404335373961139</c:v>
                </c:pt>
                <c:pt idx="121">
                  <c:v>0.24588368761370882</c:v>
                </c:pt>
                <c:pt idx="122">
                  <c:v>0.28181958275938807</c:v>
                </c:pt>
                <c:pt idx="123">
                  <c:v>0.33432845432156366</c:v>
                </c:pt>
                <c:pt idx="124">
                  <c:v>0.35024332152464899</c:v>
                </c:pt>
                <c:pt idx="125">
                  <c:v>0.37623917137742779</c:v>
                </c:pt>
                <c:pt idx="126">
                  <c:v>0.3964624350893371</c:v>
                </c:pt>
                <c:pt idx="127">
                  <c:v>0.36164722502004965</c:v>
                </c:pt>
                <c:pt idx="128">
                  <c:v>0.32934733593349158</c:v>
                </c:pt>
                <c:pt idx="129">
                  <c:v>0.37863584454002092</c:v>
                </c:pt>
                <c:pt idx="130">
                  <c:v>0.40137408358296867</c:v>
                </c:pt>
                <c:pt idx="131">
                  <c:v>0.39290776763192731</c:v>
                </c:pt>
                <c:pt idx="132">
                  <c:v>0.39006219336467518</c:v>
                </c:pt>
                <c:pt idx="133">
                  <c:v>0.39391224852308887</c:v>
                </c:pt>
                <c:pt idx="134">
                  <c:v>0.41509275876755164</c:v>
                </c:pt>
                <c:pt idx="135">
                  <c:v>0.42499946115957615</c:v>
                </c:pt>
                <c:pt idx="136">
                  <c:v>0.42954523176423109</c:v>
                </c:pt>
                <c:pt idx="137">
                  <c:v>0.43947349848805178</c:v>
                </c:pt>
                <c:pt idx="138">
                  <c:v>0.45871634485693286</c:v>
                </c:pt>
                <c:pt idx="139">
                  <c:v>0.43676736202280642</c:v>
                </c:pt>
                <c:pt idx="140">
                  <c:v>0.45024126433482642</c:v>
                </c:pt>
                <c:pt idx="141">
                  <c:v>0.43046253982295068</c:v>
                </c:pt>
                <c:pt idx="142">
                  <c:v>0.42700324263968614</c:v>
                </c:pt>
                <c:pt idx="143">
                  <c:v>0.43855076080530231</c:v>
                </c:pt>
                <c:pt idx="144">
                  <c:v>0.42735409035413419</c:v>
                </c:pt>
                <c:pt idx="145">
                  <c:v>0.44318611673154773</c:v>
                </c:pt>
                <c:pt idx="146">
                  <c:v>0.41416646691201719</c:v>
                </c:pt>
                <c:pt idx="147">
                  <c:v>0.39617163093982616</c:v>
                </c:pt>
                <c:pt idx="148">
                  <c:v>0.33560622362905013</c:v>
                </c:pt>
                <c:pt idx="149">
                  <c:v>0.36008358310359312</c:v>
                </c:pt>
                <c:pt idx="150">
                  <c:v>0.34666719184636685</c:v>
                </c:pt>
                <c:pt idx="151">
                  <c:v>0.29622941182282403</c:v>
                </c:pt>
                <c:pt idx="152">
                  <c:v>0.32362251878107978</c:v>
                </c:pt>
                <c:pt idx="153">
                  <c:v>0.37379718579438281</c:v>
                </c:pt>
                <c:pt idx="154">
                  <c:v>0.36768390223516689</c:v>
                </c:pt>
                <c:pt idx="155">
                  <c:v>0.42096758842258281</c:v>
                </c:pt>
                <c:pt idx="156">
                  <c:v>0.42108351858934107</c:v>
                </c:pt>
                <c:pt idx="157">
                  <c:v>0.42150428835556514</c:v>
                </c:pt>
                <c:pt idx="158">
                  <c:v>0.39238999086912851</c:v>
                </c:pt>
                <c:pt idx="159">
                  <c:v>0.40767304980843883</c:v>
                </c:pt>
                <c:pt idx="160">
                  <c:v>0.46296346904866453</c:v>
                </c:pt>
                <c:pt idx="161">
                  <c:v>0.48137520607163159</c:v>
                </c:pt>
                <c:pt idx="162">
                  <c:v>0.47281708832125308</c:v>
                </c:pt>
                <c:pt idx="163">
                  <c:v>0.43471790276558825</c:v>
                </c:pt>
                <c:pt idx="164">
                  <c:v>0.43330535861606695</c:v>
                </c:pt>
                <c:pt idx="165">
                  <c:v>0.50545864404639129</c:v>
                </c:pt>
                <c:pt idx="166">
                  <c:v>0.54207900654064589</c:v>
                </c:pt>
                <c:pt idx="167">
                  <c:v>0.54224044412593597</c:v>
                </c:pt>
                <c:pt idx="168">
                  <c:v>0.57065250493592201</c:v>
                </c:pt>
                <c:pt idx="169">
                  <c:v>0.60847954365908719</c:v>
                </c:pt>
                <c:pt idx="170">
                  <c:v>0.61204115532130554</c:v>
                </c:pt>
                <c:pt idx="171">
                  <c:v>0.62048338766864608</c:v>
                </c:pt>
                <c:pt idx="172">
                  <c:v>0.62511564036180356</c:v>
                </c:pt>
                <c:pt idx="173">
                  <c:v>0.61623022254388771</c:v>
                </c:pt>
                <c:pt idx="174">
                  <c:v>0.6400754762193579</c:v>
                </c:pt>
                <c:pt idx="175">
                  <c:v>0.6675471437754068</c:v>
                </c:pt>
                <c:pt idx="176">
                  <c:v>0.70391657262667662</c:v>
                </c:pt>
                <c:pt idx="177">
                  <c:v>0.75890960082643033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B5D-46B5-BF9F-9F4C11107E9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07103976"/>
        <c:axId val="1"/>
        <c:extLst/>
      </c:lineChart>
      <c:dateAx>
        <c:axId val="307103976"/>
        <c:scaling>
          <c:orientation val="minMax"/>
        </c:scaling>
        <c:delete val="0"/>
        <c:axPos val="b"/>
        <c:numFmt formatCode="[$-C0A]m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07103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44"/>
    </mc:Choice>
    <mc:Fallback>
      <c:style val="4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s-AR"/>
              <a:t>EVOLUCION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56292826316519E-2"/>
          <c:y val="8.978701432812701E-2"/>
          <c:w val="0.91338597068786553"/>
          <c:h val="0.79080538703153913"/>
        </c:manualLayout>
      </c:layout>
      <c:lineChart>
        <c:grouping val="standard"/>
        <c:varyColors val="0"/>
        <c:ser>
          <c:idx val="0"/>
          <c:order val="0"/>
          <c:cat>
            <c:numRef>
              <c:f>resumen!$A$2244:$A$2420</c:f>
              <c:numCache>
                <c:formatCode>[$-C0A]mmmm\-yy;@</c:formatCode>
                <c:ptCount val="177"/>
                <c:pt idx="0">
                  <c:v>40237</c:v>
                </c:pt>
                <c:pt idx="1">
                  <c:v>40265</c:v>
                </c:pt>
                <c:pt idx="2">
                  <c:v>40296</c:v>
                </c:pt>
                <c:pt idx="3">
                  <c:v>40326</c:v>
                </c:pt>
                <c:pt idx="4">
                  <c:v>40357</c:v>
                </c:pt>
                <c:pt idx="5">
                  <c:v>40387</c:v>
                </c:pt>
                <c:pt idx="6">
                  <c:v>40418</c:v>
                </c:pt>
                <c:pt idx="7">
                  <c:v>40449</c:v>
                </c:pt>
                <c:pt idx="8">
                  <c:v>40479</c:v>
                </c:pt>
                <c:pt idx="9">
                  <c:v>40510</c:v>
                </c:pt>
                <c:pt idx="10">
                  <c:v>40540</c:v>
                </c:pt>
                <c:pt idx="11">
                  <c:v>40571</c:v>
                </c:pt>
                <c:pt idx="12">
                  <c:v>40602</c:v>
                </c:pt>
                <c:pt idx="13">
                  <c:v>40630</c:v>
                </c:pt>
                <c:pt idx="14">
                  <c:v>40661</c:v>
                </c:pt>
                <c:pt idx="15">
                  <c:v>40691</c:v>
                </c:pt>
                <c:pt idx="16">
                  <c:v>40722</c:v>
                </c:pt>
                <c:pt idx="17">
                  <c:v>40752</c:v>
                </c:pt>
                <c:pt idx="18">
                  <c:v>40783</c:v>
                </c:pt>
                <c:pt idx="19">
                  <c:v>40814</c:v>
                </c:pt>
                <c:pt idx="20">
                  <c:v>40844</c:v>
                </c:pt>
                <c:pt idx="21">
                  <c:v>40875</c:v>
                </c:pt>
                <c:pt idx="22">
                  <c:v>40905</c:v>
                </c:pt>
                <c:pt idx="23">
                  <c:v>40936</c:v>
                </c:pt>
                <c:pt idx="24">
                  <c:v>40967</c:v>
                </c:pt>
                <c:pt idx="25">
                  <c:v>40996</c:v>
                </c:pt>
                <c:pt idx="26">
                  <c:v>41027</c:v>
                </c:pt>
                <c:pt idx="27">
                  <c:v>41057</c:v>
                </c:pt>
                <c:pt idx="28">
                  <c:v>41088</c:v>
                </c:pt>
                <c:pt idx="29">
                  <c:v>41118</c:v>
                </c:pt>
                <c:pt idx="30">
                  <c:v>41149</c:v>
                </c:pt>
                <c:pt idx="31">
                  <c:v>41180</c:v>
                </c:pt>
                <c:pt idx="32">
                  <c:v>41210</c:v>
                </c:pt>
                <c:pt idx="33">
                  <c:v>41241</c:v>
                </c:pt>
                <c:pt idx="34">
                  <c:v>41271</c:v>
                </c:pt>
                <c:pt idx="35">
                  <c:v>41302</c:v>
                </c:pt>
                <c:pt idx="36">
                  <c:v>41333</c:v>
                </c:pt>
                <c:pt idx="37">
                  <c:v>41361</c:v>
                </c:pt>
                <c:pt idx="38">
                  <c:v>41392</c:v>
                </c:pt>
                <c:pt idx="39">
                  <c:v>41422</c:v>
                </c:pt>
                <c:pt idx="40">
                  <c:v>41453</c:v>
                </c:pt>
                <c:pt idx="41">
                  <c:v>41483</c:v>
                </c:pt>
                <c:pt idx="42">
                  <c:v>41514</c:v>
                </c:pt>
                <c:pt idx="43">
                  <c:v>41545</c:v>
                </c:pt>
                <c:pt idx="44">
                  <c:v>41575</c:v>
                </c:pt>
                <c:pt idx="45">
                  <c:v>41606</c:v>
                </c:pt>
                <c:pt idx="46">
                  <c:v>41636</c:v>
                </c:pt>
                <c:pt idx="47">
                  <c:v>41667</c:v>
                </c:pt>
                <c:pt idx="48">
                  <c:v>41698</c:v>
                </c:pt>
                <c:pt idx="49">
                  <c:v>41726</c:v>
                </c:pt>
                <c:pt idx="50">
                  <c:v>41757</c:v>
                </c:pt>
                <c:pt idx="51">
                  <c:v>41787</c:v>
                </c:pt>
                <c:pt idx="52">
                  <c:v>41818</c:v>
                </c:pt>
                <c:pt idx="53">
                  <c:v>41848</c:v>
                </c:pt>
                <c:pt idx="54">
                  <c:v>41879</c:v>
                </c:pt>
                <c:pt idx="55">
                  <c:v>41910</c:v>
                </c:pt>
                <c:pt idx="56">
                  <c:v>41940</c:v>
                </c:pt>
                <c:pt idx="57">
                  <c:v>41971</c:v>
                </c:pt>
                <c:pt idx="58">
                  <c:v>42001</c:v>
                </c:pt>
                <c:pt idx="59">
                  <c:v>42032</c:v>
                </c:pt>
                <c:pt idx="60">
                  <c:v>42063</c:v>
                </c:pt>
                <c:pt idx="61">
                  <c:v>42091</c:v>
                </c:pt>
                <c:pt idx="62">
                  <c:v>42122</c:v>
                </c:pt>
                <c:pt idx="63">
                  <c:v>42152</c:v>
                </c:pt>
                <c:pt idx="64">
                  <c:v>42183</c:v>
                </c:pt>
                <c:pt idx="65">
                  <c:v>42213</c:v>
                </c:pt>
                <c:pt idx="66">
                  <c:v>42244</c:v>
                </c:pt>
                <c:pt idx="67">
                  <c:v>42275</c:v>
                </c:pt>
                <c:pt idx="68">
                  <c:v>42305</c:v>
                </c:pt>
                <c:pt idx="69">
                  <c:v>42336</c:v>
                </c:pt>
                <c:pt idx="70">
                  <c:v>42366</c:v>
                </c:pt>
                <c:pt idx="71">
                  <c:v>42397</c:v>
                </c:pt>
                <c:pt idx="72">
                  <c:v>42428</c:v>
                </c:pt>
                <c:pt idx="73">
                  <c:v>42457</c:v>
                </c:pt>
                <c:pt idx="74">
                  <c:v>42488</c:v>
                </c:pt>
                <c:pt idx="75">
                  <c:v>42518</c:v>
                </c:pt>
                <c:pt idx="76">
                  <c:v>42549</c:v>
                </c:pt>
                <c:pt idx="77">
                  <c:v>42579</c:v>
                </c:pt>
                <c:pt idx="78">
                  <c:v>42610</c:v>
                </c:pt>
                <c:pt idx="79">
                  <c:v>42641</c:v>
                </c:pt>
                <c:pt idx="80">
                  <c:v>42671</c:v>
                </c:pt>
                <c:pt idx="81">
                  <c:v>42702</c:v>
                </c:pt>
                <c:pt idx="82">
                  <c:v>42732</c:v>
                </c:pt>
                <c:pt idx="83">
                  <c:v>42763</c:v>
                </c:pt>
                <c:pt idx="84">
                  <c:v>42794</c:v>
                </c:pt>
                <c:pt idx="85">
                  <c:v>42822</c:v>
                </c:pt>
                <c:pt idx="86">
                  <c:v>42853</c:v>
                </c:pt>
                <c:pt idx="87">
                  <c:v>42883</c:v>
                </c:pt>
                <c:pt idx="88">
                  <c:v>42914</c:v>
                </c:pt>
                <c:pt idx="89">
                  <c:v>42944</c:v>
                </c:pt>
                <c:pt idx="90">
                  <c:v>42975</c:v>
                </c:pt>
                <c:pt idx="91">
                  <c:v>43006</c:v>
                </c:pt>
                <c:pt idx="92">
                  <c:v>43036</c:v>
                </c:pt>
                <c:pt idx="93">
                  <c:v>43067</c:v>
                </c:pt>
                <c:pt idx="94">
                  <c:v>43097</c:v>
                </c:pt>
                <c:pt idx="95">
                  <c:v>43128</c:v>
                </c:pt>
                <c:pt idx="96">
                  <c:v>43159</c:v>
                </c:pt>
                <c:pt idx="97">
                  <c:v>43187</c:v>
                </c:pt>
                <c:pt idx="98">
                  <c:v>43218</c:v>
                </c:pt>
                <c:pt idx="99">
                  <c:v>43248</c:v>
                </c:pt>
                <c:pt idx="100">
                  <c:v>43279</c:v>
                </c:pt>
                <c:pt idx="101">
                  <c:v>43309</c:v>
                </c:pt>
                <c:pt idx="102">
                  <c:v>43340</c:v>
                </c:pt>
                <c:pt idx="103">
                  <c:v>43371</c:v>
                </c:pt>
                <c:pt idx="104">
                  <c:v>43401</c:v>
                </c:pt>
                <c:pt idx="105">
                  <c:v>43432</c:v>
                </c:pt>
                <c:pt idx="106">
                  <c:v>43462</c:v>
                </c:pt>
                <c:pt idx="107">
                  <c:v>43493</c:v>
                </c:pt>
                <c:pt idx="108">
                  <c:v>43524</c:v>
                </c:pt>
                <c:pt idx="109">
                  <c:v>43552</c:v>
                </c:pt>
                <c:pt idx="110">
                  <c:v>43583</c:v>
                </c:pt>
                <c:pt idx="111">
                  <c:v>43613</c:v>
                </c:pt>
                <c:pt idx="112">
                  <c:v>43644</c:v>
                </c:pt>
                <c:pt idx="113">
                  <c:v>43674</c:v>
                </c:pt>
                <c:pt idx="114">
                  <c:v>43705</c:v>
                </c:pt>
                <c:pt idx="115">
                  <c:v>43736</c:v>
                </c:pt>
                <c:pt idx="116">
                  <c:v>43766</c:v>
                </c:pt>
                <c:pt idx="117">
                  <c:v>43797</c:v>
                </c:pt>
                <c:pt idx="118">
                  <c:v>43827</c:v>
                </c:pt>
                <c:pt idx="119">
                  <c:v>43858</c:v>
                </c:pt>
                <c:pt idx="120">
                  <c:v>43889</c:v>
                </c:pt>
                <c:pt idx="121">
                  <c:v>43918</c:v>
                </c:pt>
                <c:pt idx="122">
                  <c:v>43949</c:v>
                </c:pt>
                <c:pt idx="123">
                  <c:v>43979</c:v>
                </c:pt>
                <c:pt idx="124">
                  <c:v>44010</c:v>
                </c:pt>
                <c:pt idx="125">
                  <c:v>44040</c:v>
                </c:pt>
                <c:pt idx="126">
                  <c:v>44071</c:v>
                </c:pt>
                <c:pt idx="127">
                  <c:v>44102</c:v>
                </c:pt>
                <c:pt idx="128">
                  <c:v>44132</c:v>
                </c:pt>
                <c:pt idx="129">
                  <c:v>44163</c:v>
                </c:pt>
                <c:pt idx="130">
                  <c:v>44193</c:v>
                </c:pt>
                <c:pt idx="131">
                  <c:v>44224</c:v>
                </c:pt>
                <c:pt idx="132">
                  <c:v>44255</c:v>
                </c:pt>
                <c:pt idx="133">
                  <c:v>44283</c:v>
                </c:pt>
                <c:pt idx="134">
                  <c:v>44314</c:v>
                </c:pt>
                <c:pt idx="135">
                  <c:v>44344</c:v>
                </c:pt>
                <c:pt idx="136">
                  <c:v>44375</c:v>
                </c:pt>
                <c:pt idx="137">
                  <c:v>44405</c:v>
                </c:pt>
                <c:pt idx="138">
                  <c:v>44436</c:v>
                </c:pt>
                <c:pt idx="139">
                  <c:v>44467</c:v>
                </c:pt>
                <c:pt idx="140">
                  <c:v>44497</c:v>
                </c:pt>
                <c:pt idx="141">
                  <c:v>44528</c:v>
                </c:pt>
                <c:pt idx="142">
                  <c:v>44558</c:v>
                </c:pt>
                <c:pt idx="143">
                  <c:v>44589</c:v>
                </c:pt>
                <c:pt idx="144">
                  <c:v>44620</c:v>
                </c:pt>
                <c:pt idx="145">
                  <c:v>44648</c:v>
                </c:pt>
                <c:pt idx="146">
                  <c:v>44679</c:v>
                </c:pt>
                <c:pt idx="147">
                  <c:v>44709</c:v>
                </c:pt>
                <c:pt idx="148">
                  <c:v>44740</c:v>
                </c:pt>
                <c:pt idx="149">
                  <c:v>44770</c:v>
                </c:pt>
                <c:pt idx="150">
                  <c:v>44801</c:v>
                </c:pt>
                <c:pt idx="151">
                  <c:v>44832</c:v>
                </c:pt>
                <c:pt idx="152">
                  <c:v>44862</c:v>
                </c:pt>
                <c:pt idx="153">
                  <c:v>44893</c:v>
                </c:pt>
                <c:pt idx="154">
                  <c:v>44923</c:v>
                </c:pt>
                <c:pt idx="155">
                  <c:v>44954</c:v>
                </c:pt>
                <c:pt idx="156">
                  <c:v>44985</c:v>
                </c:pt>
                <c:pt idx="157">
                  <c:v>45013</c:v>
                </c:pt>
                <c:pt idx="158">
                  <c:v>45044</c:v>
                </c:pt>
                <c:pt idx="159">
                  <c:v>45074</c:v>
                </c:pt>
                <c:pt idx="160">
                  <c:v>45105</c:v>
                </c:pt>
                <c:pt idx="161">
                  <c:v>45135</c:v>
                </c:pt>
                <c:pt idx="162">
                  <c:v>45166</c:v>
                </c:pt>
                <c:pt idx="163">
                  <c:v>45197</c:v>
                </c:pt>
                <c:pt idx="164">
                  <c:v>45227</c:v>
                </c:pt>
                <c:pt idx="165">
                  <c:v>45258</c:v>
                </c:pt>
                <c:pt idx="166">
                  <c:v>45288</c:v>
                </c:pt>
                <c:pt idx="167">
                  <c:v>45319</c:v>
                </c:pt>
                <c:pt idx="168">
                  <c:v>45350</c:v>
                </c:pt>
                <c:pt idx="169">
                  <c:v>45379</c:v>
                </c:pt>
                <c:pt idx="170">
                  <c:v>45410</c:v>
                </c:pt>
                <c:pt idx="171">
                  <c:v>45440</c:v>
                </c:pt>
                <c:pt idx="172">
                  <c:v>45471</c:v>
                </c:pt>
                <c:pt idx="173">
                  <c:v>45501</c:v>
                </c:pt>
                <c:pt idx="174">
                  <c:v>45532</c:v>
                </c:pt>
                <c:pt idx="175">
                  <c:v>45563</c:v>
                </c:pt>
                <c:pt idx="176">
                  <c:v>45593</c:v>
                </c:pt>
              </c:numCache>
            </c:numRef>
          </c:cat>
          <c:val>
            <c:numRef>
              <c:f>resumen!$B$2244:$B$2420</c:f>
              <c:numCache>
                <c:formatCode>#,##0.00</c:formatCode>
                <c:ptCount val="177"/>
                <c:pt idx="0">
                  <c:v>5535309.3134704186</c:v>
                </c:pt>
                <c:pt idx="1">
                  <c:v>5656061.9041477926</c:v>
                </c:pt>
                <c:pt idx="2">
                  <c:v>5667124.6808654554</c:v>
                </c:pt>
                <c:pt idx="3">
                  <c:v>5557735.1793924943</c:v>
                </c:pt>
                <c:pt idx="4">
                  <c:v>5613318.7522416338</c:v>
                </c:pt>
                <c:pt idx="5">
                  <c:v>5716419.9402556326</c:v>
                </c:pt>
                <c:pt idx="6">
                  <c:v>5742054.5829798859</c:v>
                </c:pt>
                <c:pt idx="7">
                  <c:v>5816493.1713334229</c:v>
                </c:pt>
                <c:pt idx="8">
                  <c:v>5931851.1374381203</c:v>
                </c:pt>
                <c:pt idx="9">
                  <c:v>5955363.1078281365</c:v>
                </c:pt>
                <c:pt idx="10">
                  <c:v>6132325.1174178915</c:v>
                </c:pt>
                <c:pt idx="11">
                  <c:v>6188090.7012829948</c:v>
                </c:pt>
                <c:pt idx="12">
                  <c:v>6235841.4280255651</c:v>
                </c:pt>
                <c:pt idx="13">
                  <c:v>6440954.0464467574</c:v>
                </c:pt>
                <c:pt idx="14">
                  <c:v>6350293.0263441326</c:v>
                </c:pt>
                <c:pt idx="15">
                  <c:v>6323420.3786983676</c:v>
                </c:pt>
                <c:pt idx="16">
                  <c:v>6309318.5274642203</c:v>
                </c:pt>
                <c:pt idx="17">
                  <c:v>6346013.8504626695</c:v>
                </c:pt>
                <c:pt idx="18">
                  <c:v>6228448.6213797461</c:v>
                </c:pt>
                <c:pt idx="19">
                  <c:v>6084721.7142775394</c:v>
                </c:pt>
                <c:pt idx="20">
                  <c:v>6394958.5766414888</c:v>
                </c:pt>
                <c:pt idx="21">
                  <c:v>6223349.8843338396</c:v>
                </c:pt>
                <c:pt idx="22">
                  <c:v>6306652.9145599483</c:v>
                </c:pt>
                <c:pt idx="23">
                  <c:v>6424056.5552463979</c:v>
                </c:pt>
                <c:pt idx="24">
                  <c:v>6496178.6653386205</c:v>
                </c:pt>
                <c:pt idx="25">
                  <c:v>6545048.8001672383</c:v>
                </c:pt>
                <c:pt idx="26">
                  <c:v>6484475.8588663582</c:v>
                </c:pt>
                <c:pt idx="27">
                  <c:v>6315154.0354398256</c:v>
                </c:pt>
                <c:pt idx="28">
                  <c:v>6415722.1812880896</c:v>
                </c:pt>
                <c:pt idx="29">
                  <c:v>6537920.9624360986</c:v>
                </c:pt>
                <c:pt idx="30">
                  <c:v>6564578.7375073396</c:v>
                </c:pt>
                <c:pt idx="31">
                  <c:v>6624555.3581338152</c:v>
                </c:pt>
                <c:pt idx="32">
                  <c:v>6419824.4765127422</c:v>
                </c:pt>
                <c:pt idx="33">
                  <c:v>6400642.0903373975</c:v>
                </c:pt>
                <c:pt idx="34">
                  <c:v>6559947.4833843848</c:v>
                </c:pt>
                <c:pt idx="35">
                  <c:v>6606825.2797126248</c:v>
                </c:pt>
                <c:pt idx="36">
                  <c:v>6654819.535391245</c:v>
                </c:pt>
                <c:pt idx="37">
                  <c:v>6611663.577376049</c:v>
                </c:pt>
                <c:pt idx="38">
                  <c:v>6718691.4805856515</c:v>
                </c:pt>
                <c:pt idx="39">
                  <c:v>6724525.6886932319</c:v>
                </c:pt>
                <c:pt idx="40">
                  <c:v>6625344.9284443017</c:v>
                </c:pt>
                <c:pt idx="41">
                  <c:v>6774880.005176954</c:v>
                </c:pt>
                <c:pt idx="42">
                  <c:v>6737553.0644920887</c:v>
                </c:pt>
                <c:pt idx="43">
                  <c:v>6868212.5416905656</c:v>
                </c:pt>
                <c:pt idx="44">
                  <c:v>6988939.7860548384</c:v>
                </c:pt>
                <c:pt idx="45">
                  <c:v>7052241.243149912</c:v>
                </c:pt>
                <c:pt idx="46">
                  <c:v>7046763.1357877003</c:v>
                </c:pt>
                <c:pt idx="47">
                  <c:v>6819526.6889859186</c:v>
                </c:pt>
                <c:pt idx="48">
                  <c:v>6993356.6209902251</c:v>
                </c:pt>
                <c:pt idx="49">
                  <c:v>7001181.8799468745</c:v>
                </c:pt>
                <c:pt idx="50">
                  <c:v>7085729.3387073325</c:v>
                </c:pt>
                <c:pt idx="51">
                  <c:v>7181435.7014357243</c:v>
                </c:pt>
                <c:pt idx="52">
                  <c:v>7250565.9599674232</c:v>
                </c:pt>
                <c:pt idx="53">
                  <c:v>7254913.1855850965</c:v>
                </c:pt>
                <c:pt idx="54">
                  <c:v>7260010.4438061342</c:v>
                </c:pt>
                <c:pt idx="55">
                  <c:v>7182348.7605888341</c:v>
                </c:pt>
                <c:pt idx="56">
                  <c:v>7244209.7091378123</c:v>
                </c:pt>
                <c:pt idx="57">
                  <c:v>7339371.174104644</c:v>
                </c:pt>
                <c:pt idx="58">
                  <c:v>7281109.7302441141</c:v>
                </c:pt>
                <c:pt idx="59">
                  <c:v>7259055.2685805326</c:v>
                </c:pt>
                <c:pt idx="60">
                  <c:v>7433503.7687051902</c:v>
                </c:pt>
                <c:pt idx="61">
                  <c:v>7382129.6462894026</c:v>
                </c:pt>
                <c:pt idx="62">
                  <c:v>7503931.1767104166</c:v>
                </c:pt>
                <c:pt idx="63">
                  <c:v>7520827.3417514702</c:v>
                </c:pt>
                <c:pt idx="64">
                  <c:v>7476502.806868623</c:v>
                </c:pt>
                <c:pt idx="65">
                  <c:v>7515385.5455379644</c:v>
                </c:pt>
                <c:pt idx="66">
                  <c:v>7403166.5150758969</c:v>
                </c:pt>
                <c:pt idx="67">
                  <c:v>7404211.0549802873</c:v>
                </c:pt>
                <c:pt idx="68">
                  <c:v>7573893.9554125527</c:v>
                </c:pt>
                <c:pt idx="69">
                  <c:v>7582078.3600162081</c:v>
                </c:pt>
                <c:pt idx="70">
                  <c:v>7539182.0989710297</c:v>
                </c:pt>
                <c:pt idx="71">
                  <c:v>7416961.7627621898</c:v>
                </c:pt>
                <c:pt idx="72">
                  <c:v>7637960.0376450224</c:v>
                </c:pt>
                <c:pt idx="73">
                  <c:v>7751403.3418564079</c:v>
                </c:pt>
                <c:pt idx="74">
                  <c:v>7798289.1862577265</c:v>
                </c:pt>
                <c:pt idx="75">
                  <c:v>7855082.4601324666</c:v>
                </c:pt>
                <c:pt idx="76">
                  <c:v>7877150.6196030164</c:v>
                </c:pt>
                <c:pt idx="77">
                  <c:v>8028697.8365112366</c:v>
                </c:pt>
                <c:pt idx="78">
                  <c:v>8117889.4229694586</c:v>
                </c:pt>
                <c:pt idx="79">
                  <c:v>8176827.5518848281</c:v>
                </c:pt>
                <c:pt idx="80">
                  <c:v>8137840.2914945045</c:v>
                </c:pt>
                <c:pt idx="81">
                  <c:v>7996106.8268589871</c:v>
                </c:pt>
                <c:pt idx="82">
                  <c:v>8028121.4805789115</c:v>
                </c:pt>
                <c:pt idx="83">
                  <c:v>8175497.7320073051</c:v>
                </c:pt>
                <c:pt idx="84">
                  <c:v>8302169.4644151991</c:v>
                </c:pt>
                <c:pt idx="85">
                  <c:v>8104756.2375008091</c:v>
                </c:pt>
                <c:pt idx="86">
                  <c:v>8227020.4190913942</c:v>
                </c:pt>
                <c:pt idx="87">
                  <c:v>8303813.0120135248</c:v>
                </c:pt>
                <c:pt idx="88">
                  <c:v>8263833.5690661883</c:v>
                </c:pt>
                <c:pt idx="89">
                  <c:v>8334319.4952619076</c:v>
                </c:pt>
                <c:pt idx="90">
                  <c:v>8502969.7760033421</c:v>
                </c:pt>
                <c:pt idx="91">
                  <c:v>8585146.9768862836</c:v>
                </c:pt>
                <c:pt idx="92">
                  <c:v>8722581.8488605395</c:v>
                </c:pt>
                <c:pt idx="93">
                  <c:v>8775897.6528239995</c:v>
                </c:pt>
                <c:pt idx="94">
                  <c:v>8819006.6988459639</c:v>
                </c:pt>
                <c:pt idx="95">
                  <c:v>8971163.4186242037</c:v>
                </c:pt>
                <c:pt idx="96">
                  <c:v>8806208.6871627402</c:v>
                </c:pt>
                <c:pt idx="97">
                  <c:v>8765365.1414975468</c:v>
                </c:pt>
                <c:pt idx="98">
                  <c:v>8765057.7922350094</c:v>
                </c:pt>
                <c:pt idx="99">
                  <c:v>8567723.4469657764</c:v>
                </c:pt>
                <c:pt idx="100">
                  <c:v>8359117.1647090213</c:v>
                </c:pt>
                <c:pt idx="101">
                  <c:v>8543654.0153943487</c:v>
                </c:pt>
                <c:pt idx="102">
                  <c:v>8252883.9465973563</c:v>
                </c:pt>
                <c:pt idx="103">
                  <c:v>8469804.4990862589</c:v>
                </c:pt>
                <c:pt idx="104">
                  <c:v>8276725.3456324441</c:v>
                </c:pt>
                <c:pt idx="105">
                  <c:v>8295276.3700324437</c:v>
                </c:pt>
                <c:pt idx="106">
                  <c:v>8076061.6996976929</c:v>
                </c:pt>
                <c:pt idx="107">
                  <c:v>8413911.0940310508</c:v>
                </c:pt>
                <c:pt idx="108">
                  <c:v>8437495.6838303357</c:v>
                </c:pt>
                <c:pt idx="109">
                  <c:v>8342460.4280566862</c:v>
                </c:pt>
                <c:pt idx="110">
                  <c:v>8209205.8652653368</c:v>
                </c:pt>
                <c:pt idx="111">
                  <c:v>8154015.6352976551</c:v>
                </c:pt>
                <c:pt idx="112">
                  <c:v>8484313.2380566858</c:v>
                </c:pt>
                <c:pt idx="113">
                  <c:v>8606448.8198546655</c:v>
                </c:pt>
                <c:pt idx="114">
                  <c:v>7212508.2260625511</c:v>
                </c:pt>
                <c:pt idx="115">
                  <c:v>7413935.0634657778</c:v>
                </c:pt>
                <c:pt idx="116">
                  <c:v>7537735.8237276822</c:v>
                </c:pt>
                <c:pt idx="117">
                  <c:v>7640763.2426165715</c:v>
                </c:pt>
                <c:pt idx="118">
                  <c:v>7912348.3607618194</c:v>
                </c:pt>
                <c:pt idx="119">
                  <c:v>7975912.6135041332</c:v>
                </c:pt>
                <c:pt idx="120">
                  <c:v>7709590.1653791331</c:v>
                </c:pt>
                <c:pt idx="121">
                  <c:v>6798627.5654703928</c:v>
                </c:pt>
                <c:pt idx="122">
                  <c:v>7042942.3327976614</c:v>
                </c:pt>
                <c:pt idx="123">
                  <c:v>7412759.2871703431</c:v>
                </c:pt>
                <c:pt idx="124">
                  <c:v>7530732.3668340966</c:v>
                </c:pt>
                <c:pt idx="125">
                  <c:v>7726500.1547237774</c:v>
                </c:pt>
                <c:pt idx="126">
                  <c:v>7882755.2049228642</c:v>
                </c:pt>
                <c:pt idx="127">
                  <c:v>7608315.4265387058</c:v>
                </c:pt>
                <c:pt idx="128">
                  <c:v>7362567.6821259568</c:v>
                </c:pt>
                <c:pt idx="129">
                  <c:v>7725457.6626925766</c:v>
                </c:pt>
                <c:pt idx="130">
                  <c:v>7901120.9657430528</c:v>
                </c:pt>
                <c:pt idx="131">
                  <c:v>7834227.5792796751</c:v>
                </c:pt>
                <c:pt idx="132">
                  <c:v>7811934.7028762801</c:v>
                </c:pt>
                <c:pt idx="133">
                  <c:v>7842011.0823762799</c:v>
                </c:pt>
                <c:pt idx="134">
                  <c:v>8008108.8784437412</c:v>
                </c:pt>
                <c:pt idx="135">
                  <c:v>8087442.8298254125</c:v>
                </c:pt>
                <c:pt idx="136">
                  <c:v>8124206.4897080604</c:v>
                </c:pt>
                <c:pt idx="137">
                  <c:v>8204865.7786572771</c:v>
                </c:pt>
                <c:pt idx="138">
                  <c:v>8362750.750313269</c:v>
                </c:pt>
                <c:pt idx="139">
                  <c:v>8179196.877648565</c:v>
                </c:pt>
                <c:pt idx="140">
                  <c:v>8289402.577368781</c:v>
                </c:pt>
                <c:pt idx="141">
                  <c:v>8125448.7674229713</c:v>
                </c:pt>
                <c:pt idx="142">
                  <c:v>8097340.4253890645</c:v>
                </c:pt>
                <c:pt idx="143">
                  <c:v>8190844.6110444227</c:v>
                </c:pt>
                <c:pt idx="144">
                  <c:v>8099134.4232178321</c:v>
                </c:pt>
                <c:pt idx="145">
                  <c:v>8227360.1330404347</c:v>
                </c:pt>
                <c:pt idx="146">
                  <c:v>7988605.0230404353</c:v>
                </c:pt>
                <c:pt idx="147">
                  <c:v>7844851.3860042011</c:v>
                </c:pt>
                <c:pt idx="148">
                  <c:v>7369724.7665183507</c:v>
                </c:pt>
                <c:pt idx="149">
                  <c:v>7550116.1688568629</c:v>
                </c:pt>
                <c:pt idx="150">
                  <c:v>7448820.8562979689</c:v>
                </c:pt>
                <c:pt idx="151">
                  <c:v>7073118.868513234</c:v>
                </c:pt>
                <c:pt idx="152">
                  <c:v>7266873.5702068741</c:v>
                </c:pt>
                <c:pt idx="153">
                  <c:v>7631486.5318197766</c:v>
                </c:pt>
                <c:pt idx="154">
                  <c:v>7584833.090672425</c:v>
                </c:pt>
                <c:pt idx="155">
                  <c:v>7988980.9568597423</c:v>
                </c:pt>
                <c:pt idx="156">
                  <c:v>7989907.1207542997</c:v>
                </c:pt>
                <c:pt idx="157">
                  <c:v>7993269.0321056517</c:v>
                </c:pt>
                <c:pt idx="158">
                  <c:v>7760550.6196158063</c:v>
                </c:pt>
                <c:pt idx="159">
                  <c:v>7879155.5721368957</c:v>
                </c:pt>
                <c:pt idx="160">
                  <c:v>8314797.3869793052</c:v>
                </c:pt>
                <c:pt idx="161">
                  <c:v>8467887.2498676218</c:v>
                </c:pt>
                <c:pt idx="162">
                  <c:v>8395418.0736863259</c:v>
                </c:pt>
                <c:pt idx="163">
                  <c:v>8075559.4826795682</c:v>
                </c:pt>
                <c:pt idx="164">
                  <c:v>8064152.398378198</c:v>
                </c:pt>
                <c:pt idx="165">
                  <c:v>8646007.4881320149</c:v>
                </c:pt>
                <c:pt idx="166">
                  <c:v>8962627.4164754488</c:v>
                </c:pt>
                <c:pt idx="167">
                  <c:v>8964074.3214034196</c:v>
                </c:pt>
                <c:pt idx="168">
                  <c:v>9218762.1461283676</c:v>
                </c:pt>
                <c:pt idx="169">
                  <c:v>9567480.6188096143</c:v>
                </c:pt>
                <c:pt idx="170">
                  <c:v>9601556.2693596147</c:v>
                </c:pt>
                <c:pt idx="171">
                  <c:v>9682614.8382816128</c:v>
                </c:pt>
                <c:pt idx="172">
                  <c:v>9727467.1569430493</c:v>
                </c:pt>
                <c:pt idx="173">
                  <c:v>9641034.5469435565</c:v>
                </c:pt>
                <c:pt idx="174">
                  <c:v>9870927.4614093974</c:v>
                </c:pt>
                <c:pt idx="175">
                  <c:v>10142098.29909911</c:v>
                </c:pt>
                <c:pt idx="176">
                  <c:v>10510960.62159078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B1-4456-9C2D-C75703CCF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102336"/>
        <c:axId val="1"/>
      </c:lineChart>
      <c:dateAx>
        <c:axId val="307102336"/>
        <c:scaling>
          <c:orientation val="minMax"/>
        </c:scaling>
        <c:delete val="0"/>
        <c:axPos val="b"/>
        <c:numFmt formatCode="[$-C0A]mmmm\-yy;@" sourceLinked="0"/>
        <c:majorTickMark val="none"/>
        <c:minorTickMark val="none"/>
        <c:tickLblPos val="nextTo"/>
        <c:txPr>
          <a:bodyPr rot="-2700000" vert="horz"/>
          <a:lstStyle/>
          <a:p>
            <a:pPr>
              <a:defRPr sz="700" b="0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endParaRPr lang="es-AR"/>
          </a:p>
        </c:txPr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</c:scaling>
        <c:delete val="0"/>
        <c:axPos val="l"/>
        <c:majorGridlines/>
        <c:title>
          <c:overlay val="0"/>
          <c:txPr>
            <a:bodyPr/>
            <a:lstStyle/>
            <a:p>
              <a:pPr>
                <a:defRPr sz="1000" b="1" i="0" u="none" strike="noStrike" baseline="0">
                  <a:solidFill>
                    <a:srgbClr val="FFFFFF"/>
                  </a:solidFill>
                  <a:latin typeface="Calibri"/>
                  <a:ea typeface="Calibri"/>
                  <a:cs typeface="Calibri"/>
                </a:defRPr>
              </a:pPr>
              <a:endParaRPr lang="es-AR"/>
            </a:p>
          </c:txPr>
        </c:title>
        <c:numFmt formatCode="#,##0.0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endParaRPr lang="es-AR"/>
          </a:p>
        </c:txPr>
        <c:crossAx val="30710233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FFFFFF"/>
          </a:solidFill>
          <a:latin typeface="Calibri"/>
          <a:ea typeface="Calibri"/>
          <a:cs typeface="Calibri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AR">
                <a:effectLst/>
              </a:rPr>
              <a:t>POR ITEMS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LOCAL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resumen!$A$2244:$A$2365</c:f>
              <c:numCache>
                <c:formatCode>[$-C0A]mmmm\-yy;@</c:formatCode>
                <c:ptCount val="122"/>
                <c:pt idx="0">
                  <c:v>40237</c:v>
                </c:pt>
                <c:pt idx="1">
                  <c:v>40265</c:v>
                </c:pt>
                <c:pt idx="2">
                  <c:v>40296</c:v>
                </c:pt>
                <c:pt idx="3">
                  <c:v>40326</c:v>
                </c:pt>
                <c:pt idx="4">
                  <c:v>40357</c:v>
                </c:pt>
                <c:pt idx="5">
                  <c:v>40387</c:v>
                </c:pt>
                <c:pt idx="6">
                  <c:v>40418</c:v>
                </c:pt>
                <c:pt idx="7">
                  <c:v>40449</c:v>
                </c:pt>
                <c:pt idx="8">
                  <c:v>40479</c:v>
                </c:pt>
                <c:pt idx="9">
                  <c:v>40510</c:v>
                </c:pt>
                <c:pt idx="10">
                  <c:v>40540</c:v>
                </c:pt>
                <c:pt idx="11">
                  <c:v>40571</c:v>
                </c:pt>
                <c:pt idx="12">
                  <c:v>40602</c:v>
                </c:pt>
                <c:pt idx="13">
                  <c:v>40630</c:v>
                </c:pt>
                <c:pt idx="14">
                  <c:v>40661</c:v>
                </c:pt>
                <c:pt idx="15">
                  <c:v>40691</c:v>
                </c:pt>
                <c:pt idx="16">
                  <c:v>40722</c:v>
                </c:pt>
                <c:pt idx="17">
                  <c:v>40752</c:v>
                </c:pt>
                <c:pt idx="18">
                  <c:v>40783</c:v>
                </c:pt>
                <c:pt idx="19">
                  <c:v>40814</c:v>
                </c:pt>
                <c:pt idx="20">
                  <c:v>40844</c:v>
                </c:pt>
                <c:pt idx="21">
                  <c:v>40875</c:v>
                </c:pt>
                <c:pt idx="22">
                  <c:v>40905</c:v>
                </c:pt>
                <c:pt idx="23">
                  <c:v>40936</c:v>
                </c:pt>
                <c:pt idx="24">
                  <c:v>40967</c:v>
                </c:pt>
                <c:pt idx="25">
                  <c:v>40996</c:v>
                </c:pt>
                <c:pt idx="26">
                  <c:v>41027</c:v>
                </c:pt>
                <c:pt idx="27">
                  <c:v>41057</c:v>
                </c:pt>
                <c:pt idx="28">
                  <c:v>41088</c:v>
                </c:pt>
                <c:pt idx="29">
                  <c:v>41118</c:v>
                </c:pt>
                <c:pt idx="30">
                  <c:v>41149</c:v>
                </c:pt>
                <c:pt idx="31">
                  <c:v>41180</c:v>
                </c:pt>
                <c:pt idx="32">
                  <c:v>41210</c:v>
                </c:pt>
                <c:pt idx="33">
                  <c:v>41241</c:v>
                </c:pt>
                <c:pt idx="34">
                  <c:v>41271</c:v>
                </c:pt>
                <c:pt idx="35">
                  <c:v>41302</c:v>
                </c:pt>
                <c:pt idx="36">
                  <c:v>41333</c:v>
                </c:pt>
                <c:pt idx="37">
                  <c:v>41361</c:v>
                </c:pt>
                <c:pt idx="38">
                  <c:v>41392</c:v>
                </c:pt>
                <c:pt idx="39">
                  <c:v>41422</c:v>
                </c:pt>
                <c:pt idx="40">
                  <c:v>41453</c:v>
                </c:pt>
                <c:pt idx="41">
                  <c:v>41483</c:v>
                </c:pt>
                <c:pt idx="42">
                  <c:v>41514</c:v>
                </c:pt>
                <c:pt idx="43">
                  <c:v>41545</c:v>
                </c:pt>
                <c:pt idx="44">
                  <c:v>41575</c:v>
                </c:pt>
                <c:pt idx="45">
                  <c:v>41606</c:v>
                </c:pt>
                <c:pt idx="46">
                  <c:v>41636</c:v>
                </c:pt>
                <c:pt idx="47">
                  <c:v>41667</c:v>
                </c:pt>
                <c:pt idx="48">
                  <c:v>41698</c:v>
                </c:pt>
                <c:pt idx="49">
                  <c:v>41726</c:v>
                </c:pt>
                <c:pt idx="50">
                  <c:v>41757</c:v>
                </c:pt>
                <c:pt idx="51">
                  <c:v>41787</c:v>
                </c:pt>
                <c:pt idx="52">
                  <c:v>41818</c:v>
                </c:pt>
                <c:pt idx="53">
                  <c:v>41848</c:v>
                </c:pt>
                <c:pt idx="54">
                  <c:v>41879</c:v>
                </c:pt>
                <c:pt idx="55">
                  <c:v>41910</c:v>
                </c:pt>
                <c:pt idx="56">
                  <c:v>41940</c:v>
                </c:pt>
                <c:pt idx="57">
                  <c:v>41971</c:v>
                </c:pt>
                <c:pt idx="58">
                  <c:v>42001</c:v>
                </c:pt>
                <c:pt idx="59">
                  <c:v>42032</c:v>
                </c:pt>
                <c:pt idx="60">
                  <c:v>42063</c:v>
                </c:pt>
                <c:pt idx="61">
                  <c:v>42091</c:v>
                </c:pt>
                <c:pt idx="62">
                  <c:v>42122</c:v>
                </c:pt>
                <c:pt idx="63">
                  <c:v>42152</c:v>
                </c:pt>
                <c:pt idx="64">
                  <c:v>42183</c:v>
                </c:pt>
                <c:pt idx="65">
                  <c:v>42213</c:v>
                </c:pt>
                <c:pt idx="66">
                  <c:v>42244</c:v>
                </c:pt>
                <c:pt idx="67">
                  <c:v>42275</c:v>
                </c:pt>
                <c:pt idx="68">
                  <c:v>42305</c:v>
                </c:pt>
                <c:pt idx="69">
                  <c:v>42336</c:v>
                </c:pt>
                <c:pt idx="70">
                  <c:v>42366</c:v>
                </c:pt>
                <c:pt idx="71">
                  <c:v>42397</c:v>
                </c:pt>
                <c:pt idx="72">
                  <c:v>42428</c:v>
                </c:pt>
                <c:pt idx="73">
                  <c:v>42457</c:v>
                </c:pt>
                <c:pt idx="74">
                  <c:v>42488</c:v>
                </c:pt>
                <c:pt idx="75">
                  <c:v>42518</c:v>
                </c:pt>
                <c:pt idx="76">
                  <c:v>42549</c:v>
                </c:pt>
                <c:pt idx="77">
                  <c:v>42579</c:v>
                </c:pt>
                <c:pt idx="78">
                  <c:v>42610</c:v>
                </c:pt>
                <c:pt idx="79">
                  <c:v>42641</c:v>
                </c:pt>
                <c:pt idx="80">
                  <c:v>42671</c:v>
                </c:pt>
                <c:pt idx="81">
                  <c:v>42702</c:v>
                </c:pt>
                <c:pt idx="82">
                  <c:v>42732</c:v>
                </c:pt>
                <c:pt idx="83">
                  <c:v>42763</c:v>
                </c:pt>
                <c:pt idx="84">
                  <c:v>42794</c:v>
                </c:pt>
                <c:pt idx="85">
                  <c:v>42822</c:v>
                </c:pt>
                <c:pt idx="86">
                  <c:v>42853</c:v>
                </c:pt>
                <c:pt idx="87">
                  <c:v>42883</c:v>
                </c:pt>
                <c:pt idx="88">
                  <c:v>42914</c:v>
                </c:pt>
                <c:pt idx="89">
                  <c:v>42944</c:v>
                </c:pt>
                <c:pt idx="90">
                  <c:v>42975</c:v>
                </c:pt>
                <c:pt idx="91">
                  <c:v>43006</c:v>
                </c:pt>
                <c:pt idx="92">
                  <c:v>43036</c:v>
                </c:pt>
                <c:pt idx="93">
                  <c:v>43067</c:v>
                </c:pt>
                <c:pt idx="94">
                  <c:v>43097</c:v>
                </c:pt>
                <c:pt idx="95">
                  <c:v>43128</c:v>
                </c:pt>
                <c:pt idx="96">
                  <c:v>43159</c:v>
                </c:pt>
                <c:pt idx="97">
                  <c:v>43187</c:v>
                </c:pt>
                <c:pt idx="98">
                  <c:v>43218</c:v>
                </c:pt>
                <c:pt idx="99">
                  <c:v>43248</c:v>
                </c:pt>
                <c:pt idx="100">
                  <c:v>43279</c:v>
                </c:pt>
                <c:pt idx="101">
                  <c:v>43309</c:v>
                </c:pt>
                <c:pt idx="102">
                  <c:v>43340</c:v>
                </c:pt>
                <c:pt idx="103">
                  <c:v>43371</c:v>
                </c:pt>
                <c:pt idx="104">
                  <c:v>43401</c:v>
                </c:pt>
                <c:pt idx="105">
                  <c:v>43432</c:v>
                </c:pt>
                <c:pt idx="106">
                  <c:v>43462</c:v>
                </c:pt>
                <c:pt idx="107">
                  <c:v>43493</c:v>
                </c:pt>
                <c:pt idx="108">
                  <c:v>43524</c:v>
                </c:pt>
                <c:pt idx="109">
                  <c:v>43552</c:v>
                </c:pt>
                <c:pt idx="110">
                  <c:v>43583</c:v>
                </c:pt>
                <c:pt idx="111">
                  <c:v>43613</c:v>
                </c:pt>
                <c:pt idx="112">
                  <c:v>43644</c:v>
                </c:pt>
                <c:pt idx="113">
                  <c:v>43674</c:v>
                </c:pt>
                <c:pt idx="114">
                  <c:v>43705</c:v>
                </c:pt>
                <c:pt idx="115">
                  <c:v>43736</c:v>
                </c:pt>
                <c:pt idx="116">
                  <c:v>43766</c:v>
                </c:pt>
                <c:pt idx="117">
                  <c:v>43797</c:v>
                </c:pt>
                <c:pt idx="118">
                  <c:v>43827</c:v>
                </c:pt>
                <c:pt idx="119">
                  <c:v>43858</c:v>
                </c:pt>
                <c:pt idx="120">
                  <c:v>43889</c:v>
                </c:pt>
                <c:pt idx="121">
                  <c:v>43918</c:v>
                </c:pt>
              </c:numCache>
            </c:numRef>
          </c:cat>
          <c:val>
            <c:numRef>
              <c:f>resumen!$C$2244:$C$2365</c:f>
              <c:numCache>
                <c:formatCode>#,##0.00</c:formatCode>
                <c:ptCount val="122"/>
                <c:pt idx="0">
                  <c:v>4129826.9634704185</c:v>
                </c:pt>
                <c:pt idx="1">
                  <c:v>4225285.7941477932</c:v>
                </c:pt>
                <c:pt idx="2">
                  <c:v>4229441.8708654549</c:v>
                </c:pt>
                <c:pt idx="3">
                  <c:v>4173765.0593924941</c:v>
                </c:pt>
                <c:pt idx="4">
                  <c:v>4246116.7822416332</c:v>
                </c:pt>
                <c:pt idx="5">
                  <c:v>4295117.1702556331</c:v>
                </c:pt>
                <c:pt idx="6">
                  <c:v>4340401.1029798854</c:v>
                </c:pt>
                <c:pt idx="7">
                  <c:v>4357404.3513334226</c:v>
                </c:pt>
                <c:pt idx="8">
                  <c:v>4436276.52743812</c:v>
                </c:pt>
                <c:pt idx="9">
                  <c:v>4465614.4878281364</c:v>
                </c:pt>
                <c:pt idx="10">
                  <c:v>4491503.6274178913</c:v>
                </c:pt>
                <c:pt idx="11">
                  <c:v>4511286.3012829944</c:v>
                </c:pt>
                <c:pt idx="12">
                  <c:v>4548455.7780255657</c:v>
                </c:pt>
                <c:pt idx="13">
                  <c:v>4573103.6764467573</c:v>
                </c:pt>
                <c:pt idx="14">
                  <c:v>4623490.176344133</c:v>
                </c:pt>
                <c:pt idx="15">
                  <c:v>4629753.6186983678</c:v>
                </c:pt>
                <c:pt idx="16">
                  <c:v>4634791.0474642199</c:v>
                </c:pt>
                <c:pt idx="17">
                  <c:v>4669015.5104626697</c:v>
                </c:pt>
                <c:pt idx="18">
                  <c:v>4639431.8013797458</c:v>
                </c:pt>
                <c:pt idx="19">
                  <c:v>4213948.2842775397</c:v>
                </c:pt>
                <c:pt idx="20">
                  <c:v>4613564.9966414887</c:v>
                </c:pt>
                <c:pt idx="21">
                  <c:v>4501551.8003338408</c:v>
                </c:pt>
                <c:pt idx="22">
                  <c:v>4577061.3645599484</c:v>
                </c:pt>
                <c:pt idx="23">
                  <c:v>4609801.9452463975</c:v>
                </c:pt>
                <c:pt idx="24">
                  <c:v>4632460.4753386211</c:v>
                </c:pt>
                <c:pt idx="25">
                  <c:v>4675876.2601672383</c:v>
                </c:pt>
                <c:pt idx="26">
                  <c:v>4410845.5288663581</c:v>
                </c:pt>
                <c:pt idx="27">
                  <c:v>4376300.4954398246</c:v>
                </c:pt>
                <c:pt idx="28">
                  <c:v>4439895.8912880896</c:v>
                </c:pt>
                <c:pt idx="29">
                  <c:v>4511048.4414360989</c:v>
                </c:pt>
                <c:pt idx="30">
                  <c:v>4513512.5675073396</c:v>
                </c:pt>
                <c:pt idx="31">
                  <c:v>4528706.9891338143</c:v>
                </c:pt>
                <c:pt idx="32">
                  <c:v>3732604.1665127422</c:v>
                </c:pt>
                <c:pt idx="33">
                  <c:v>3746152.5303373979</c:v>
                </c:pt>
                <c:pt idx="34">
                  <c:v>3807867.7533843843</c:v>
                </c:pt>
                <c:pt idx="35">
                  <c:v>3845152.8157126242</c:v>
                </c:pt>
                <c:pt idx="36">
                  <c:v>3842722.5453912448</c:v>
                </c:pt>
                <c:pt idx="37">
                  <c:v>3846903.7373760492</c:v>
                </c:pt>
                <c:pt idx="38">
                  <c:v>3849190.6805856521</c:v>
                </c:pt>
                <c:pt idx="39">
                  <c:v>3842095.7586932313</c:v>
                </c:pt>
                <c:pt idx="40">
                  <c:v>3829366.5084443018</c:v>
                </c:pt>
                <c:pt idx="41">
                  <c:v>3837913.0851769536</c:v>
                </c:pt>
                <c:pt idx="42">
                  <c:v>3847817.804492089</c:v>
                </c:pt>
                <c:pt idx="43">
                  <c:v>3880344.6116905655</c:v>
                </c:pt>
                <c:pt idx="44">
                  <c:v>3900745.0660548382</c:v>
                </c:pt>
                <c:pt idx="45">
                  <c:v>3880236.7931499113</c:v>
                </c:pt>
                <c:pt idx="46">
                  <c:v>3795383.9957877006</c:v>
                </c:pt>
                <c:pt idx="47">
                  <c:v>3745353.6489859186</c:v>
                </c:pt>
                <c:pt idx="48">
                  <c:v>3757407.3709902251</c:v>
                </c:pt>
                <c:pt idx="49">
                  <c:v>3738248.5499468744</c:v>
                </c:pt>
                <c:pt idx="50">
                  <c:v>3766325.6287073316</c:v>
                </c:pt>
                <c:pt idx="51">
                  <c:v>3812953.3914357233</c:v>
                </c:pt>
                <c:pt idx="52">
                  <c:v>3818827.569967424</c:v>
                </c:pt>
                <c:pt idx="53">
                  <c:v>3807713.0155850975</c:v>
                </c:pt>
                <c:pt idx="54">
                  <c:v>3844543.7238061354</c:v>
                </c:pt>
                <c:pt idx="55">
                  <c:v>3781527.5005888343</c:v>
                </c:pt>
                <c:pt idx="56">
                  <c:v>3816770.9491378125</c:v>
                </c:pt>
                <c:pt idx="57">
                  <c:v>3824629.6841046438</c:v>
                </c:pt>
                <c:pt idx="58">
                  <c:v>3791792.7502441141</c:v>
                </c:pt>
                <c:pt idx="59">
                  <c:v>3946551.2685805326</c:v>
                </c:pt>
                <c:pt idx="60">
                  <c:v>4003820.4087051903</c:v>
                </c:pt>
                <c:pt idx="61">
                  <c:v>3980249.606289403</c:v>
                </c:pt>
                <c:pt idx="62">
                  <c:v>4418154.6667104177</c:v>
                </c:pt>
                <c:pt idx="63">
                  <c:v>4425972.4717514701</c:v>
                </c:pt>
                <c:pt idx="64">
                  <c:v>4446186.8168686228</c:v>
                </c:pt>
                <c:pt idx="65">
                  <c:v>4476252.9555379646</c:v>
                </c:pt>
                <c:pt idx="66">
                  <c:v>4473503.4850758966</c:v>
                </c:pt>
                <c:pt idx="67">
                  <c:v>4524114.9549802877</c:v>
                </c:pt>
                <c:pt idx="68">
                  <c:v>4450050.8354125526</c:v>
                </c:pt>
                <c:pt idx="69">
                  <c:v>4461680.1800162084</c:v>
                </c:pt>
                <c:pt idx="70">
                  <c:v>4435522.4789710306</c:v>
                </c:pt>
                <c:pt idx="71">
                  <c:v>4595172.7927621901</c:v>
                </c:pt>
                <c:pt idx="72">
                  <c:v>4780546.1876450228</c:v>
                </c:pt>
                <c:pt idx="73">
                  <c:v>4789391.4018564075</c:v>
                </c:pt>
                <c:pt idx="74">
                  <c:v>4799624.4262577267</c:v>
                </c:pt>
                <c:pt idx="75">
                  <c:v>4813351.9401324671</c:v>
                </c:pt>
                <c:pt idx="76">
                  <c:v>3768207.2496030172</c:v>
                </c:pt>
                <c:pt idx="77">
                  <c:v>3800001.6365112374</c:v>
                </c:pt>
                <c:pt idx="78">
                  <c:v>3741073.8729694593</c:v>
                </c:pt>
                <c:pt idx="79">
                  <c:v>3753305.6118848282</c:v>
                </c:pt>
                <c:pt idx="80">
                  <c:v>3780974.5514945034</c:v>
                </c:pt>
                <c:pt idx="81">
                  <c:v>3774371.9868589868</c:v>
                </c:pt>
                <c:pt idx="82">
                  <c:v>3796036.8805789119</c:v>
                </c:pt>
                <c:pt idx="83">
                  <c:v>3813457.2320073051</c:v>
                </c:pt>
                <c:pt idx="84">
                  <c:v>3730094.1644152002</c:v>
                </c:pt>
                <c:pt idx="85">
                  <c:v>3752184.6575008095</c:v>
                </c:pt>
                <c:pt idx="86">
                  <c:v>3774194.9290913939</c:v>
                </c:pt>
                <c:pt idx="87">
                  <c:v>3783919.8220135244</c:v>
                </c:pt>
                <c:pt idx="88">
                  <c:v>3779410.1990661882</c:v>
                </c:pt>
                <c:pt idx="89">
                  <c:v>3764211.6552619073</c:v>
                </c:pt>
                <c:pt idx="90">
                  <c:v>3810066.7760033417</c:v>
                </c:pt>
                <c:pt idx="91">
                  <c:v>3827302.6068862835</c:v>
                </c:pt>
                <c:pt idx="92">
                  <c:v>3845613.328860539</c:v>
                </c:pt>
                <c:pt idx="93">
                  <c:v>3853729.7928240001</c:v>
                </c:pt>
                <c:pt idx="94">
                  <c:v>3855168.8888459629</c:v>
                </c:pt>
                <c:pt idx="95">
                  <c:v>3875113.6686242018</c:v>
                </c:pt>
                <c:pt idx="96">
                  <c:v>3864795.73716274</c:v>
                </c:pt>
                <c:pt idx="97">
                  <c:v>3869311.4514975469</c:v>
                </c:pt>
                <c:pt idx="98">
                  <c:v>3876653.3722350085</c:v>
                </c:pt>
                <c:pt idx="99">
                  <c:v>3276774.6969657773</c:v>
                </c:pt>
                <c:pt idx="100">
                  <c:v>3247523.6447090209</c:v>
                </c:pt>
                <c:pt idx="101">
                  <c:v>3280166.8853943488</c:v>
                </c:pt>
                <c:pt idx="102">
                  <c:v>3238696.4765973566</c:v>
                </c:pt>
                <c:pt idx="103">
                  <c:v>3245529.4790862594</c:v>
                </c:pt>
                <c:pt idx="104">
                  <c:v>3247858.1756324442</c:v>
                </c:pt>
                <c:pt idx="105">
                  <c:v>3257975.2400324442</c:v>
                </c:pt>
                <c:pt idx="106">
                  <c:v>3247216.0696976935</c:v>
                </c:pt>
                <c:pt idx="107">
                  <c:v>3250435.4940310516</c:v>
                </c:pt>
                <c:pt idx="108">
                  <c:v>3246837.9721303345</c:v>
                </c:pt>
                <c:pt idx="109">
                  <c:v>3231834.3980566869</c:v>
                </c:pt>
                <c:pt idx="110">
                  <c:v>3229507.7552653369</c:v>
                </c:pt>
                <c:pt idx="111">
                  <c:v>3237857.8452976551</c:v>
                </c:pt>
                <c:pt idx="112">
                  <c:v>3174327.9380566864</c:v>
                </c:pt>
                <c:pt idx="113">
                  <c:v>3181907.3698546663</c:v>
                </c:pt>
                <c:pt idx="114">
                  <c:v>3141112.9460625518</c:v>
                </c:pt>
                <c:pt idx="115">
                  <c:v>3144516.9834657777</c:v>
                </c:pt>
                <c:pt idx="116">
                  <c:v>3140169.0837276825</c:v>
                </c:pt>
                <c:pt idx="117">
                  <c:v>3164954.9826165712</c:v>
                </c:pt>
                <c:pt idx="118">
                  <c:v>3180628.4207618199</c:v>
                </c:pt>
                <c:pt idx="119">
                  <c:v>3188094.6935041337</c:v>
                </c:pt>
                <c:pt idx="120">
                  <c:v>3193306.3653791337</c:v>
                </c:pt>
                <c:pt idx="121">
                  <c:v>3335321.8254703926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43-4390-AAE5-1AE034CE0601}"/>
            </c:ext>
          </c:extLst>
        </c:ser>
        <c:ser>
          <c:idx val="1"/>
          <c:order val="1"/>
          <c:tx>
            <c:v>SCH LETNA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resumen!$A$2244:$A$2365</c:f>
              <c:numCache>
                <c:formatCode>[$-C0A]mmmm\-yy;@</c:formatCode>
                <c:ptCount val="122"/>
                <c:pt idx="0">
                  <c:v>40237</c:v>
                </c:pt>
                <c:pt idx="1">
                  <c:v>40265</c:v>
                </c:pt>
                <c:pt idx="2">
                  <c:v>40296</c:v>
                </c:pt>
                <c:pt idx="3">
                  <c:v>40326</c:v>
                </c:pt>
                <c:pt idx="4">
                  <c:v>40357</c:v>
                </c:pt>
                <c:pt idx="5">
                  <c:v>40387</c:v>
                </c:pt>
                <c:pt idx="6">
                  <c:v>40418</c:v>
                </c:pt>
                <c:pt idx="7">
                  <c:v>40449</c:v>
                </c:pt>
                <c:pt idx="8">
                  <c:v>40479</c:v>
                </c:pt>
                <c:pt idx="9">
                  <c:v>40510</c:v>
                </c:pt>
                <c:pt idx="10">
                  <c:v>40540</c:v>
                </c:pt>
                <c:pt idx="11">
                  <c:v>40571</c:v>
                </c:pt>
                <c:pt idx="12">
                  <c:v>40602</c:v>
                </c:pt>
                <c:pt idx="13">
                  <c:v>40630</c:v>
                </c:pt>
                <c:pt idx="14">
                  <c:v>40661</c:v>
                </c:pt>
                <c:pt idx="15">
                  <c:v>40691</c:v>
                </c:pt>
                <c:pt idx="16">
                  <c:v>40722</c:v>
                </c:pt>
                <c:pt idx="17">
                  <c:v>40752</c:v>
                </c:pt>
                <c:pt idx="18">
                  <c:v>40783</c:v>
                </c:pt>
                <c:pt idx="19">
                  <c:v>40814</c:v>
                </c:pt>
                <c:pt idx="20">
                  <c:v>40844</c:v>
                </c:pt>
                <c:pt idx="21">
                  <c:v>40875</c:v>
                </c:pt>
                <c:pt idx="22">
                  <c:v>40905</c:v>
                </c:pt>
                <c:pt idx="23">
                  <c:v>40936</c:v>
                </c:pt>
                <c:pt idx="24">
                  <c:v>40967</c:v>
                </c:pt>
                <c:pt idx="25">
                  <c:v>40996</c:v>
                </c:pt>
                <c:pt idx="26">
                  <c:v>41027</c:v>
                </c:pt>
                <c:pt idx="27">
                  <c:v>41057</c:v>
                </c:pt>
                <c:pt idx="28">
                  <c:v>41088</c:v>
                </c:pt>
                <c:pt idx="29">
                  <c:v>41118</c:v>
                </c:pt>
                <c:pt idx="30">
                  <c:v>41149</c:v>
                </c:pt>
                <c:pt idx="31">
                  <c:v>41180</c:v>
                </c:pt>
                <c:pt idx="32">
                  <c:v>41210</c:v>
                </c:pt>
                <c:pt idx="33">
                  <c:v>41241</c:v>
                </c:pt>
                <c:pt idx="34">
                  <c:v>41271</c:v>
                </c:pt>
                <c:pt idx="35">
                  <c:v>41302</c:v>
                </c:pt>
                <c:pt idx="36">
                  <c:v>41333</c:v>
                </c:pt>
                <c:pt idx="37">
                  <c:v>41361</c:v>
                </c:pt>
                <c:pt idx="38">
                  <c:v>41392</c:v>
                </c:pt>
                <c:pt idx="39">
                  <c:v>41422</c:v>
                </c:pt>
                <c:pt idx="40">
                  <c:v>41453</c:v>
                </c:pt>
                <c:pt idx="41">
                  <c:v>41483</c:v>
                </c:pt>
                <c:pt idx="42">
                  <c:v>41514</c:v>
                </c:pt>
                <c:pt idx="43">
                  <c:v>41545</c:v>
                </c:pt>
                <c:pt idx="44">
                  <c:v>41575</c:v>
                </c:pt>
                <c:pt idx="45">
                  <c:v>41606</c:v>
                </c:pt>
                <c:pt idx="46">
                  <c:v>41636</c:v>
                </c:pt>
                <c:pt idx="47">
                  <c:v>41667</c:v>
                </c:pt>
                <c:pt idx="48">
                  <c:v>41698</c:v>
                </c:pt>
                <c:pt idx="49">
                  <c:v>41726</c:v>
                </c:pt>
                <c:pt idx="50">
                  <c:v>41757</c:v>
                </c:pt>
                <c:pt idx="51">
                  <c:v>41787</c:v>
                </c:pt>
                <c:pt idx="52">
                  <c:v>41818</c:v>
                </c:pt>
                <c:pt idx="53">
                  <c:v>41848</c:v>
                </c:pt>
                <c:pt idx="54">
                  <c:v>41879</c:v>
                </c:pt>
                <c:pt idx="55">
                  <c:v>41910</c:v>
                </c:pt>
                <c:pt idx="56">
                  <c:v>41940</c:v>
                </c:pt>
                <c:pt idx="57">
                  <c:v>41971</c:v>
                </c:pt>
                <c:pt idx="58">
                  <c:v>42001</c:v>
                </c:pt>
                <c:pt idx="59">
                  <c:v>42032</c:v>
                </c:pt>
                <c:pt idx="60">
                  <c:v>42063</c:v>
                </c:pt>
                <c:pt idx="61">
                  <c:v>42091</c:v>
                </c:pt>
                <c:pt idx="62">
                  <c:v>42122</c:v>
                </c:pt>
                <c:pt idx="63">
                  <c:v>42152</c:v>
                </c:pt>
                <c:pt idx="64">
                  <c:v>42183</c:v>
                </c:pt>
                <c:pt idx="65">
                  <c:v>42213</c:v>
                </c:pt>
                <c:pt idx="66">
                  <c:v>42244</c:v>
                </c:pt>
                <c:pt idx="67">
                  <c:v>42275</c:v>
                </c:pt>
                <c:pt idx="68">
                  <c:v>42305</c:v>
                </c:pt>
                <c:pt idx="69">
                  <c:v>42336</c:v>
                </c:pt>
                <c:pt idx="70">
                  <c:v>42366</c:v>
                </c:pt>
                <c:pt idx="71">
                  <c:v>42397</c:v>
                </c:pt>
                <c:pt idx="72">
                  <c:v>42428</c:v>
                </c:pt>
                <c:pt idx="73">
                  <c:v>42457</c:v>
                </c:pt>
                <c:pt idx="74">
                  <c:v>42488</c:v>
                </c:pt>
                <c:pt idx="75">
                  <c:v>42518</c:v>
                </c:pt>
                <c:pt idx="76">
                  <c:v>42549</c:v>
                </c:pt>
                <c:pt idx="77">
                  <c:v>42579</c:v>
                </c:pt>
                <c:pt idx="78">
                  <c:v>42610</c:v>
                </c:pt>
                <c:pt idx="79">
                  <c:v>42641</c:v>
                </c:pt>
                <c:pt idx="80">
                  <c:v>42671</c:v>
                </c:pt>
                <c:pt idx="81">
                  <c:v>42702</c:v>
                </c:pt>
                <c:pt idx="82">
                  <c:v>42732</c:v>
                </c:pt>
                <c:pt idx="83">
                  <c:v>42763</c:v>
                </c:pt>
                <c:pt idx="84">
                  <c:v>42794</c:v>
                </c:pt>
                <c:pt idx="85">
                  <c:v>42822</c:v>
                </c:pt>
                <c:pt idx="86">
                  <c:v>42853</c:v>
                </c:pt>
                <c:pt idx="87">
                  <c:v>42883</c:v>
                </c:pt>
                <c:pt idx="88">
                  <c:v>42914</c:v>
                </c:pt>
                <c:pt idx="89">
                  <c:v>42944</c:v>
                </c:pt>
                <c:pt idx="90">
                  <c:v>42975</c:v>
                </c:pt>
                <c:pt idx="91">
                  <c:v>43006</c:v>
                </c:pt>
                <c:pt idx="92">
                  <c:v>43036</c:v>
                </c:pt>
                <c:pt idx="93">
                  <c:v>43067</c:v>
                </c:pt>
                <c:pt idx="94">
                  <c:v>43097</c:v>
                </c:pt>
                <c:pt idx="95">
                  <c:v>43128</c:v>
                </c:pt>
                <c:pt idx="96">
                  <c:v>43159</c:v>
                </c:pt>
                <c:pt idx="97">
                  <c:v>43187</c:v>
                </c:pt>
                <c:pt idx="98">
                  <c:v>43218</c:v>
                </c:pt>
                <c:pt idx="99">
                  <c:v>43248</c:v>
                </c:pt>
                <c:pt idx="100">
                  <c:v>43279</c:v>
                </c:pt>
                <c:pt idx="101">
                  <c:v>43309</c:v>
                </c:pt>
                <c:pt idx="102">
                  <c:v>43340</c:v>
                </c:pt>
                <c:pt idx="103">
                  <c:v>43371</c:v>
                </c:pt>
                <c:pt idx="104">
                  <c:v>43401</c:v>
                </c:pt>
                <c:pt idx="105">
                  <c:v>43432</c:v>
                </c:pt>
                <c:pt idx="106">
                  <c:v>43462</c:v>
                </c:pt>
                <c:pt idx="107">
                  <c:v>43493</c:v>
                </c:pt>
                <c:pt idx="108">
                  <c:v>43524</c:v>
                </c:pt>
                <c:pt idx="109">
                  <c:v>43552</c:v>
                </c:pt>
                <c:pt idx="110">
                  <c:v>43583</c:v>
                </c:pt>
                <c:pt idx="111">
                  <c:v>43613</c:v>
                </c:pt>
                <c:pt idx="112">
                  <c:v>43644</c:v>
                </c:pt>
                <c:pt idx="113">
                  <c:v>43674</c:v>
                </c:pt>
                <c:pt idx="114">
                  <c:v>43705</c:v>
                </c:pt>
                <c:pt idx="115">
                  <c:v>43736</c:v>
                </c:pt>
                <c:pt idx="116">
                  <c:v>43766</c:v>
                </c:pt>
                <c:pt idx="117">
                  <c:v>43797</c:v>
                </c:pt>
                <c:pt idx="118">
                  <c:v>43827</c:v>
                </c:pt>
                <c:pt idx="119">
                  <c:v>43858</c:v>
                </c:pt>
                <c:pt idx="120">
                  <c:v>43889</c:v>
                </c:pt>
                <c:pt idx="121">
                  <c:v>43918</c:v>
                </c:pt>
              </c:numCache>
            </c:numRef>
          </c:cat>
          <c:val>
            <c:numRef>
              <c:f>resumen!$E$2244:$E$2365</c:f>
              <c:numCache>
                <c:formatCode>#,##0.00</c:formatCode>
                <c:ptCount val="122"/>
                <c:pt idx="0">
                  <c:v>648166.33000000007</c:v>
                </c:pt>
                <c:pt idx="1">
                  <c:v>650431</c:v>
                </c:pt>
                <c:pt idx="2">
                  <c:v>649408</c:v>
                </c:pt>
                <c:pt idx="3">
                  <c:v>638766.9</c:v>
                </c:pt>
                <c:pt idx="4">
                  <c:v>638543.56000000006</c:v>
                </c:pt>
                <c:pt idx="5">
                  <c:v>647777.9</c:v>
                </c:pt>
                <c:pt idx="6">
                  <c:v>648367.9</c:v>
                </c:pt>
                <c:pt idx="7">
                  <c:v>660543.47</c:v>
                </c:pt>
                <c:pt idx="8">
                  <c:v>667192.48</c:v>
                </c:pt>
                <c:pt idx="9">
                  <c:v>664325.9</c:v>
                </c:pt>
                <c:pt idx="10">
                  <c:v>671700.39</c:v>
                </c:pt>
                <c:pt idx="11">
                  <c:v>681896.74</c:v>
                </c:pt>
                <c:pt idx="12">
                  <c:v>685451.01</c:v>
                </c:pt>
                <c:pt idx="13">
                  <c:v>686938.05</c:v>
                </c:pt>
                <c:pt idx="14">
                  <c:v>707821.32</c:v>
                </c:pt>
                <c:pt idx="15">
                  <c:v>698180.01</c:v>
                </c:pt>
                <c:pt idx="16">
                  <c:v>685905.79</c:v>
                </c:pt>
                <c:pt idx="17">
                  <c:v>695504.45</c:v>
                </c:pt>
                <c:pt idx="18">
                  <c:v>657324.82000000007</c:v>
                </c:pt>
                <c:pt idx="19">
                  <c:v>621871.93999999994</c:v>
                </c:pt>
                <c:pt idx="20">
                  <c:v>662649.01</c:v>
                </c:pt>
                <c:pt idx="21">
                  <c:v>629612.39400000009</c:v>
                </c:pt>
                <c:pt idx="22">
                  <c:v>635699.36</c:v>
                </c:pt>
                <c:pt idx="23">
                  <c:v>662530.12</c:v>
                </c:pt>
                <c:pt idx="24">
                  <c:v>687658.09</c:v>
                </c:pt>
                <c:pt idx="25">
                  <c:v>681191.94</c:v>
                </c:pt>
                <c:pt idx="26">
                  <c:v>681713.74</c:v>
                </c:pt>
                <c:pt idx="27">
                  <c:v>645750.37</c:v>
                </c:pt>
                <c:pt idx="28">
                  <c:v>649154.76</c:v>
                </c:pt>
                <c:pt idx="29">
                  <c:v>668261.63899999997</c:v>
                </c:pt>
                <c:pt idx="30">
                  <c:v>676372.49000000011</c:v>
                </c:pt>
                <c:pt idx="31">
                  <c:v>689985.89</c:v>
                </c:pt>
                <c:pt idx="32">
                  <c:v>692863.43</c:v>
                </c:pt>
                <c:pt idx="33">
                  <c:v>695636.01</c:v>
                </c:pt>
                <c:pt idx="34">
                  <c:v>707500.04</c:v>
                </c:pt>
                <c:pt idx="35">
                  <c:v>729149.79</c:v>
                </c:pt>
                <c:pt idx="36">
                  <c:v>729860.5</c:v>
                </c:pt>
                <c:pt idx="37">
                  <c:v>726858.14</c:v>
                </c:pt>
                <c:pt idx="38">
                  <c:v>741620.25999999989</c:v>
                </c:pt>
                <c:pt idx="39">
                  <c:v>753739.72000000009</c:v>
                </c:pt>
                <c:pt idx="40">
                  <c:v>718982.78</c:v>
                </c:pt>
                <c:pt idx="41">
                  <c:v>733603.09000000008</c:v>
                </c:pt>
                <c:pt idx="42">
                  <c:v>729134.26</c:v>
                </c:pt>
                <c:pt idx="43">
                  <c:v>748302.92999999993</c:v>
                </c:pt>
                <c:pt idx="44">
                  <c:v>765154.58</c:v>
                </c:pt>
                <c:pt idx="45">
                  <c:v>765616.25</c:v>
                </c:pt>
                <c:pt idx="46">
                  <c:v>822927.15999999992</c:v>
                </c:pt>
                <c:pt idx="47">
                  <c:v>812499.74</c:v>
                </c:pt>
                <c:pt idx="48">
                  <c:v>832565.42999999993</c:v>
                </c:pt>
                <c:pt idx="49">
                  <c:v>833328.43</c:v>
                </c:pt>
                <c:pt idx="50">
                  <c:v>833620.91</c:v>
                </c:pt>
                <c:pt idx="51">
                  <c:v>843048.84000000008</c:v>
                </c:pt>
                <c:pt idx="52">
                  <c:v>851342.24</c:v>
                </c:pt>
                <c:pt idx="53">
                  <c:v>2162246.09</c:v>
                </c:pt>
                <c:pt idx="54">
                  <c:v>2162422.8199999998</c:v>
                </c:pt>
                <c:pt idx="55">
                  <c:v>2126475.2599999998</c:v>
                </c:pt>
                <c:pt idx="56">
                  <c:v>2140247.19</c:v>
                </c:pt>
                <c:pt idx="57">
                  <c:v>2212299.9500000002</c:v>
                </c:pt>
                <c:pt idx="58">
                  <c:v>2191654.09</c:v>
                </c:pt>
                <c:pt idx="59">
                  <c:v>2162548</c:v>
                </c:pt>
                <c:pt idx="60">
                  <c:v>2244408.6800000002</c:v>
                </c:pt>
                <c:pt idx="61">
                  <c:v>2222462.9300000002</c:v>
                </c:pt>
                <c:pt idx="62">
                  <c:v>2259512.0099999998</c:v>
                </c:pt>
                <c:pt idx="63">
                  <c:v>2258171.59</c:v>
                </c:pt>
                <c:pt idx="64">
                  <c:v>2198364.35</c:v>
                </c:pt>
                <c:pt idx="65">
                  <c:v>2205937.35</c:v>
                </c:pt>
                <c:pt idx="66">
                  <c:v>2095858.83</c:v>
                </c:pt>
                <c:pt idx="67">
                  <c:v>2034653.42</c:v>
                </c:pt>
                <c:pt idx="68">
                  <c:v>2202098.38</c:v>
                </c:pt>
                <c:pt idx="69">
                  <c:v>2200625.63</c:v>
                </c:pt>
                <c:pt idx="70">
                  <c:v>2164150.17</c:v>
                </c:pt>
                <c:pt idx="71">
                  <c:v>2038448.34</c:v>
                </c:pt>
                <c:pt idx="72">
                  <c:v>2060582.38</c:v>
                </c:pt>
                <c:pt idx="73">
                  <c:v>2158041.39</c:v>
                </c:pt>
                <c:pt idx="74">
                  <c:v>2180778.19</c:v>
                </c:pt>
                <c:pt idx="75">
                  <c:v>2202248.58</c:v>
                </c:pt>
                <c:pt idx="76">
                  <c:v>2176129.04</c:v>
                </c:pt>
                <c:pt idx="77">
                  <c:v>2269441</c:v>
                </c:pt>
                <c:pt idx="78">
                  <c:v>2298524.5299999998</c:v>
                </c:pt>
                <c:pt idx="79">
                  <c:v>2306597.0100000002</c:v>
                </c:pt>
                <c:pt idx="80">
                  <c:v>2285374.9300000002</c:v>
                </c:pt>
                <c:pt idx="81">
                  <c:v>2274803.5699999998</c:v>
                </c:pt>
                <c:pt idx="82">
                  <c:v>2274803.5699999998</c:v>
                </c:pt>
                <c:pt idx="83">
                  <c:v>2362307.73</c:v>
                </c:pt>
                <c:pt idx="84">
                  <c:v>2431785.34</c:v>
                </c:pt>
                <c:pt idx="85">
                  <c:v>2453000</c:v>
                </c:pt>
                <c:pt idx="86">
                  <c:v>2474975.96</c:v>
                </c:pt>
                <c:pt idx="87">
                  <c:v>2516547.8499999996</c:v>
                </c:pt>
                <c:pt idx="88">
                  <c:v>2511130.92</c:v>
                </c:pt>
                <c:pt idx="89">
                  <c:v>2559441.63</c:v>
                </c:pt>
                <c:pt idx="90">
                  <c:v>2589447.69</c:v>
                </c:pt>
                <c:pt idx="91">
                  <c:v>1922641.12</c:v>
                </c:pt>
                <c:pt idx="92">
                  <c:v>1990268.15</c:v>
                </c:pt>
                <c:pt idx="93">
                  <c:v>2028976.22</c:v>
                </c:pt>
                <c:pt idx="94">
                  <c:v>2059962.17</c:v>
                </c:pt>
                <c:pt idx="95">
                  <c:v>2177516.8199999998</c:v>
                </c:pt>
                <c:pt idx="96">
                  <c:v>2110717.89</c:v>
                </c:pt>
                <c:pt idx="97">
                  <c:v>2067000.03</c:v>
                </c:pt>
                <c:pt idx="98">
                  <c:v>2081190.89</c:v>
                </c:pt>
                <c:pt idx="99">
                  <c:v>2083241.25</c:v>
                </c:pt>
                <c:pt idx="100">
                  <c:v>2045397.21</c:v>
                </c:pt>
                <c:pt idx="101">
                  <c:v>2117770.23</c:v>
                </c:pt>
                <c:pt idx="102">
                  <c:v>2137740.7999999998</c:v>
                </c:pt>
                <c:pt idx="103">
                  <c:v>2145949.27</c:v>
                </c:pt>
                <c:pt idx="104">
                  <c:v>2039952.63</c:v>
                </c:pt>
                <c:pt idx="105">
                  <c:v>2063404.93</c:v>
                </c:pt>
                <c:pt idx="106">
                  <c:v>1924969.99</c:v>
                </c:pt>
                <c:pt idx="107">
                  <c:v>2060620.73</c:v>
                </c:pt>
                <c:pt idx="108">
                  <c:v>2119184</c:v>
                </c:pt>
                <c:pt idx="109">
                  <c:v>2133562.38</c:v>
                </c:pt>
                <c:pt idx="110">
                  <c:v>2202460.84</c:v>
                </c:pt>
                <c:pt idx="111">
                  <c:v>2086687.01</c:v>
                </c:pt>
                <c:pt idx="112">
                  <c:v>2210551.9</c:v>
                </c:pt>
                <c:pt idx="113">
                  <c:v>2238406.13</c:v>
                </c:pt>
                <c:pt idx="114">
                  <c:v>2154068.6</c:v>
                </c:pt>
                <c:pt idx="115">
                  <c:v>2203624.7599999998</c:v>
                </c:pt>
                <c:pt idx="116">
                  <c:v>2257847.85</c:v>
                </c:pt>
                <c:pt idx="117">
                  <c:v>2315287.91</c:v>
                </c:pt>
                <c:pt idx="118">
                  <c:v>2381708.9500000002</c:v>
                </c:pt>
                <c:pt idx="119">
                  <c:v>2384244.2400000002</c:v>
                </c:pt>
                <c:pt idx="120">
                  <c:v>2217991.65</c:v>
                </c:pt>
                <c:pt idx="121">
                  <c:v>1978053.1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43-4390-AAE5-1AE034CE0601}"/>
            </c:ext>
          </c:extLst>
        </c:ser>
        <c:ser>
          <c:idx val="2"/>
          <c:order val="2"/>
          <c:tx>
            <c:v>SB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resumen!$A$2244:$A$2365</c:f>
              <c:numCache>
                <c:formatCode>[$-C0A]mmmm\-yy;@</c:formatCode>
                <c:ptCount val="122"/>
                <c:pt idx="0">
                  <c:v>40237</c:v>
                </c:pt>
                <c:pt idx="1">
                  <c:v>40265</c:v>
                </c:pt>
                <c:pt idx="2">
                  <c:v>40296</c:v>
                </c:pt>
                <c:pt idx="3">
                  <c:v>40326</c:v>
                </c:pt>
                <c:pt idx="4">
                  <c:v>40357</c:v>
                </c:pt>
                <c:pt idx="5">
                  <c:v>40387</c:v>
                </c:pt>
                <c:pt idx="6">
                  <c:v>40418</c:v>
                </c:pt>
                <c:pt idx="7">
                  <c:v>40449</c:v>
                </c:pt>
                <c:pt idx="8">
                  <c:v>40479</c:v>
                </c:pt>
                <c:pt idx="9">
                  <c:v>40510</c:v>
                </c:pt>
                <c:pt idx="10">
                  <c:v>40540</c:v>
                </c:pt>
                <c:pt idx="11">
                  <c:v>40571</c:v>
                </c:pt>
                <c:pt idx="12">
                  <c:v>40602</c:v>
                </c:pt>
                <c:pt idx="13">
                  <c:v>40630</c:v>
                </c:pt>
                <c:pt idx="14">
                  <c:v>40661</c:v>
                </c:pt>
                <c:pt idx="15">
                  <c:v>40691</c:v>
                </c:pt>
                <c:pt idx="16">
                  <c:v>40722</c:v>
                </c:pt>
                <c:pt idx="17">
                  <c:v>40752</c:v>
                </c:pt>
                <c:pt idx="18">
                  <c:v>40783</c:v>
                </c:pt>
                <c:pt idx="19">
                  <c:v>40814</c:v>
                </c:pt>
                <c:pt idx="20">
                  <c:v>40844</c:v>
                </c:pt>
                <c:pt idx="21">
                  <c:v>40875</c:v>
                </c:pt>
                <c:pt idx="22">
                  <c:v>40905</c:v>
                </c:pt>
                <c:pt idx="23">
                  <c:v>40936</c:v>
                </c:pt>
                <c:pt idx="24">
                  <c:v>40967</c:v>
                </c:pt>
                <c:pt idx="25">
                  <c:v>40996</c:v>
                </c:pt>
                <c:pt idx="26">
                  <c:v>41027</c:v>
                </c:pt>
                <c:pt idx="27">
                  <c:v>41057</c:v>
                </c:pt>
                <c:pt idx="28">
                  <c:v>41088</c:v>
                </c:pt>
                <c:pt idx="29">
                  <c:v>41118</c:v>
                </c:pt>
                <c:pt idx="30">
                  <c:v>41149</c:v>
                </c:pt>
                <c:pt idx="31">
                  <c:v>41180</c:v>
                </c:pt>
                <c:pt idx="32">
                  <c:v>41210</c:v>
                </c:pt>
                <c:pt idx="33">
                  <c:v>41241</c:v>
                </c:pt>
                <c:pt idx="34">
                  <c:v>41271</c:v>
                </c:pt>
                <c:pt idx="35">
                  <c:v>41302</c:v>
                </c:pt>
                <c:pt idx="36">
                  <c:v>41333</c:v>
                </c:pt>
                <c:pt idx="37">
                  <c:v>41361</c:v>
                </c:pt>
                <c:pt idx="38">
                  <c:v>41392</c:v>
                </c:pt>
                <c:pt idx="39">
                  <c:v>41422</c:v>
                </c:pt>
                <c:pt idx="40">
                  <c:v>41453</c:v>
                </c:pt>
                <c:pt idx="41">
                  <c:v>41483</c:v>
                </c:pt>
                <c:pt idx="42">
                  <c:v>41514</c:v>
                </c:pt>
                <c:pt idx="43">
                  <c:v>41545</c:v>
                </c:pt>
                <c:pt idx="44">
                  <c:v>41575</c:v>
                </c:pt>
                <c:pt idx="45">
                  <c:v>41606</c:v>
                </c:pt>
                <c:pt idx="46">
                  <c:v>41636</c:v>
                </c:pt>
                <c:pt idx="47">
                  <c:v>41667</c:v>
                </c:pt>
                <c:pt idx="48">
                  <c:v>41698</c:v>
                </c:pt>
                <c:pt idx="49">
                  <c:v>41726</c:v>
                </c:pt>
                <c:pt idx="50">
                  <c:v>41757</c:v>
                </c:pt>
                <c:pt idx="51">
                  <c:v>41787</c:v>
                </c:pt>
                <c:pt idx="52">
                  <c:v>41818</c:v>
                </c:pt>
                <c:pt idx="53">
                  <c:v>41848</c:v>
                </c:pt>
                <c:pt idx="54">
                  <c:v>41879</c:v>
                </c:pt>
                <c:pt idx="55">
                  <c:v>41910</c:v>
                </c:pt>
                <c:pt idx="56">
                  <c:v>41940</c:v>
                </c:pt>
                <c:pt idx="57">
                  <c:v>41971</c:v>
                </c:pt>
                <c:pt idx="58">
                  <c:v>42001</c:v>
                </c:pt>
                <c:pt idx="59">
                  <c:v>42032</c:v>
                </c:pt>
                <c:pt idx="60">
                  <c:v>42063</c:v>
                </c:pt>
                <c:pt idx="61">
                  <c:v>42091</c:v>
                </c:pt>
                <c:pt idx="62">
                  <c:v>42122</c:v>
                </c:pt>
                <c:pt idx="63">
                  <c:v>42152</c:v>
                </c:pt>
                <c:pt idx="64">
                  <c:v>42183</c:v>
                </c:pt>
                <c:pt idx="65">
                  <c:v>42213</c:v>
                </c:pt>
                <c:pt idx="66">
                  <c:v>42244</c:v>
                </c:pt>
                <c:pt idx="67">
                  <c:v>42275</c:v>
                </c:pt>
                <c:pt idx="68">
                  <c:v>42305</c:v>
                </c:pt>
                <c:pt idx="69">
                  <c:v>42336</c:v>
                </c:pt>
                <c:pt idx="70">
                  <c:v>42366</c:v>
                </c:pt>
                <c:pt idx="71">
                  <c:v>42397</c:v>
                </c:pt>
                <c:pt idx="72">
                  <c:v>42428</c:v>
                </c:pt>
                <c:pt idx="73">
                  <c:v>42457</c:v>
                </c:pt>
                <c:pt idx="74">
                  <c:v>42488</c:v>
                </c:pt>
                <c:pt idx="75">
                  <c:v>42518</c:v>
                </c:pt>
                <c:pt idx="76">
                  <c:v>42549</c:v>
                </c:pt>
                <c:pt idx="77">
                  <c:v>42579</c:v>
                </c:pt>
                <c:pt idx="78">
                  <c:v>42610</c:v>
                </c:pt>
                <c:pt idx="79">
                  <c:v>42641</c:v>
                </c:pt>
                <c:pt idx="80">
                  <c:v>42671</c:v>
                </c:pt>
                <c:pt idx="81">
                  <c:v>42702</c:v>
                </c:pt>
                <c:pt idx="82">
                  <c:v>42732</c:v>
                </c:pt>
                <c:pt idx="83">
                  <c:v>42763</c:v>
                </c:pt>
                <c:pt idx="84">
                  <c:v>42794</c:v>
                </c:pt>
                <c:pt idx="85">
                  <c:v>42822</c:v>
                </c:pt>
                <c:pt idx="86">
                  <c:v>42853</c:v>
                </c:pt>
                <c:pt idx="87">
                  <c:v>42883</c:v>
                </c:pt>
                <c:pt idx="88">
                  <c:v>42914</c:v>
                </c:pt>
                <c:pt idx="89">
                  <c:v>42944</c:v>
                </c:pt>
                <c:pt idx="90">
                  <c:v>42975</c:v>
                </c:pt>
                <c:pt idx="91">
                  <c:v>43006</c:v>
                </c:pt>
                <c:pt idx="92">
                  <c:v>43036</c:v>
                </c:pt>
                <c:pt idx="93">
                  <c:v>43067</c:v>
                </c:pt>
                <c:pt idx="94">
                  <c:v>43097</c:v>
                </c:pt>
                <c:pt idx="95">
                  <c:v>43128</c:v>
                </c:pt>
                <c:pt idx="96">
                  <c:v>43159</c:v>
                </c:pt>
                <c:pt idx="97">
                  <c:v>43187</c:v>
                </c:pt>
                <c:pt idx="98">
                  <c:v>43218</c:v>
                </c:pt>
                <c:pt idx="99">
                  <c:v>43248</c:v>
                </c:pt>
                <c:pt idx="100">
                  <c:v>43279</c:v>
                </c:pt>
                <c:pt idx="101">
                  <c:v>43309</c:v>
                </c:pt>
                <c:pt idx="102">
                  <c:v>43340</c:v>
                </c:pt>
                <c:pt idx="103">
                  <c:v>43371</c:v>
                </c:pt>
                <c:pt idx="104">
                  <c:v>43401</c:v>
                </c:pt>
                <c:pt idx="105">
                  <c:v>43432</c:v>
                </c:pt>
                <c:pt idx="106">
                  <c:v>43462</c:v>
                </c:pt>
                <c:pt idx="107">
                  <c:v>43493</c:v>
                </c:pt>
                <c:pt idx="108">
                  <c:v>43524</c:v>
                </c:pt>
                <c:pt idx="109">
                  <c:v>43552</c:v>
                </c:pt>
                <c:pt idx="110">
                  <c:v>43583</c:v>
                </c:pt>
                <c:pt idx="111">
                  <c:v>43613</c:v>
                </c:pt>
                <c:pt idx="112">
                  <c:v>43644</c:v>
                </c:pt>
                <c:pt idx="113">
                  <c:v>43674</c:v>
                </c:pt>
                <c:pt idx="114">
                  <c:v>43705</c:v>
                </c:pt>
                <c:pt idx="115">
                  <c:v>43736</c:v>
                </c:pt>
                <c:pt idx="116">
                  <c:v>43766</c:v>
                </c:pt>
                <c:pt idx="117">
                  <c:v>43797</c:v>
                </c:pt>
                <c:pt idx="118">
                  <c:v>43827</c:v>
                </c:pt>
                <c:pt idx="119">
                  <c:v>43858</c:v>
                </c:pt>
                <c:pt idx="120">
                  <c:v>43889</c:v>
                </c:pt>
                <c:pt idx="121">
                  <c:v>43918</c:v>
                </c:pt>
              </c:numCache>
            </c:numRef>
          </c:cat>
          <c:val>
            <c:numRef>
              <c:f>resumen!$D$2244:$D$2365</c:f>
              <c:numCache>
                <c:formatCode>#,##0.00</c:formatCode>
                <c:ptCount val="122"/>
                <c:pt idx="0">
                  <c:v>757316.02</c:v>
                </c:pt>
                <c:pt idx="1">
                  <c:v>780345.1100000001</c:v>
                </c:pt>
                <c:pt idx="2">
                  <c:v>788274.80999999994</c:v>
                </c:pt>
                <c:pt idx="3">
                  <c:v>745203.22</c:v>
                </c:pt>
                <c:pt idx="4">
                  <c:v>728658.40999999992</c:v>
                </c:pt>
                <c:pt idx="5">
                  <c:v>773524.87</c:v>
                </c:pt>
                <c:pt idx="6">
                  <c:v>753285.58</c:v>
                </c:pt>
                <c:pt idx="7">
                  <c:v>798545.35</c:v>
                </c:pt>
                <c:pt idx="8">
                  <c:v>828381.83</c:v>
                </c:pt>
                <c:pt idx="9">
                  <c:v>825422.72</c:v>
                </c:pt>
                <c:pt idx="10">
                  <c:v>969121.1</c:v>
                </c:pt>
                <c:pt idx="11">
                  <c:v>994907.65999999992</c:v>
                </c:pt>
                <c:pt idx="12">
                  <c:v>1001934.6400000001</c:v>
                </c:pt>
                <c:pt idx="13">
                  <c:v>1180912.32</c:v>
                </c:pt>
                <c:pt idx="14">
                  <c:v>1018981.53</c:v>
                </c:pt>
                <c:pt idx="15">
                  <c:v>995486.75</c:v>
                </c:pt>
                <c:pt idx="16">
                  <c:v>988621.69</c:v>
                </c:pt>
                <c:pt idx="17">
                  <c:v>981493.89</c:v>
                </c:pt>
                <c:pt idx="18">
                  <c:v>931692</c:v>
                </c:pt>
                <c:pt idx="19">
                  <c:v>1248901.49</c:v>
                </c:pt>
                <c:pt idx="20">
                  <c:v>1118744.5699999998</c:v>
                </c:pt>
                <c:pt idx="21">
                  <c:v>1092185.69</c:v>
                </c:pt>
                <c:pt idx="22">
                  <c:v>1093892.19</c:v>
                </c:pt>
                <c:pt idx="23">
                  <c:v>1151724.49</c:v>
                </c:pt>
                <c:pt idx="24">
                  <c:v>1176060.1000000001</c:v>
                </c:pt>
                <c:pt idx="25">
                  <c:v>1187980.6000000001</c:v>
                </c:pt>
                <c:pt idx="26">
                  <c:v>1391916.5899999999</c:v>
                </c:pt>
                <c:pt idx="27">
                  <c:v>1293103.1700000002</c:v>
                </c:pt>
                <c:pt idx="28">
                  <c:v>1326671.53</c:v>
                </c:pt>
                <c:pt idx="29">
                  <c:v>1358610.882</c:v>
                </c:pt>
                <c:pt idx="30">
                  <c:v>1374693.6800000002</c:v>
                </c:pt>
                <c:pt idx="31">
                  <c:v>1405862.4789999998</c:v>
                </c:pt>
                <c:pt idx="32">
                  <c:v>1994356.8800000004</c:v>
                </c:pt>
                <c:pt idx="33">
                  <c:v>1958853.5499999998</c:v>
                </c:pt>
                <c:pt idx="34">
                  <c:v>2044579.69</c:v>
                </c:pt>
                <c:pt idx="35">
                  <c:v>2032522.6740000001</c:v>
                </c:pt>
                <c:pt idx="36">
                  <c:v>2082236.49</c:v>
                </c:pt>
                <c:pt idx="37">
                  <c:v>2037901.6999999997</c:v>
                </c:pt>
                <c:pt idx="38">
                  <c:v>2127880.54</c:v>
                </c:pt>
                <c:pt idx="39">
                  <c:v>2128690.21</c:v>
                </c:pt>
                <c:pt idx="40">
                  <c:v>2076995.64</c:v>
                </c:pt>
                <c:pt idx="41">
                  <c:v>2203363.83</c:v>
                </c:pt>
                <c:pt idx="42">
                  <c:v>2160601</c:v>
                </c:pt>
                <c:pt idx="43">
                  <c:v>2239565</c:v>
                </c:pt>
                <c:pt idx="44">
                  <c:v>2323040.14</c:v>
                </c:pt>
                <c:pt idx="45">
                  <c:v>2406388.2000000002</c:v>
                </c:pt>
                <c:pt idx="46">
                  <c:v>2428451.98</c:v>
                </c:pt>
                <c:pt idx="47">
                  <c:v>2261673.2999999998</c:v>
                </c:pt>
                <c:pt idx="48">
                  <c:v>2403383.8200000003</c:v>
                </c:pt>
                <c:pt idx="49">
                  <c:v>2429604.9</c:v>
                </c:pt>
                <c:pt idx="50">
                  <c:v>2485782.7999999998</c:v>
                </c:pt>
                <c:pt idx="51">
                  <c:v>2525433.4700000002</c:v>
                </c:pt>
                <c:pt idx="52">
                  <c:v>2580396.15</c:v>
                </c:pt>
                <c:pt idx="53">
                  <c:v>1284954.08</c:v>
                </c:pt>
                <c:pt idx="54">
                  <c:v>1253043.8999999999</c:v>
                </c:pt>
                <c:pt idx="55">
                  <c:v>1274346</c:v>
                </c:pt>
                <c:pt idx="56">
                  <c:v>1287191.57</c:v>
                </c:pt>
                <c:pt idx="57">
                  <c:v>1302441.54</c:v>
                </c:pt>
                <c:pt idx="58">
                  <c:v>1297662.8899999999</c:v>
                </c:pt>
                <c:pt idx="59">
                  <c:v>1149956</c:v>
                </c:pt>
                <c:pt idx="60">
                  <c:v>1185274.68</c:v>
                </c:pt>
                <c:pt idx="61">
                  <c:v>1179417.1100000001</c:v>
                </c:pt>
                <c:pt idx="62">
                  <c:v>826264.5</c:v>
                </c:pt>
                <c:pt idx="63">
                  <c:v>836683.28</c:v>
                </c:pt>
                <c:pt idx="64">
                  <c:v>831951.64</c:v>
                </c:pt>
                <c:pt idx="65">
                  <c:v>833195.24</c:v>
                </c:pt>
                <c:pt idx="66">
                  <c:v>833804.2</c:v>
                </c:pt>
                <c:pt idx="67">
                  <c:v>845442.68</c:v>
                </c:pt>
                <c:pt idx="68">
                  <c:v>921744.74</c:v>
                </c:pt>
                <c:pt idx="69">
                  <c:v>919772.55</c:v>
                </c:pt>
                <c:pt idx="70">
                  <c:v>939509.45</c:v>
                </c:pt>
                <c:pt idx="71">
                  <c:v>783340.63</c:v>
                </c:pt>
                <c:pt idx="72">
                  <c:v>796831.47</c:v>
                </c:pt>
                <c:pt idx="73">
                  <c:v>803970.55</c:v>
                </c:pt>
                <c:pt idx="74">
                  <c:v>817886.57</c:v>
                </c:pt>
                <c:pt idx="75">
                  <c:v>839481.94</c:v>
                </c:pt>
                <c:pt idx="76">
                  <c:v>1932814.33</c:v>
                </c:pt>
                <c:pt idx="77">
                  <c:v>1959255.2</c:v>
                </c:pt>
                <c:pt idx="78">
                  <c:v>2078291.02</c:v>
                </c:pt>
                <c:pt idx="79">
                  <c:v>2116924.9300000002</c:v>
                </c:pt>
                <c:pt idx="80">
                  <c:v>2071490.81</c:v>
                </c:pt>
                <c:pt idx="81">
                  <c:v>1946931.27</c:v>
                </c:pt>
                <c:pt idx="82">
                  <c:v>1957281.03</c:v>
                </c:pt>
                <c:pt idx="83">
                  <c:v>1999732.77</c:v>
                </c:pt>
                <c:pt idx="84">
                  <c:v>2140289.96</c:v>
                </c:pt>
                <c:pt idx="85">
                  <c:v>1899571.58</c:v>
                </c:pt>
                <c:pt idx="86">
                  <c:v>1977849.53</c:v>
                </c:pt>
                <c:pt idx="87">
                  <c:v>2003345.34</c:v>
                </c:pt>
                <c:pt idx="88">
                  <c:v>1973292.45</c:v>
                </c:pt>
                <c:pt idx="89">
                  <c:v>2010666.21</c:v>
                </c:pt>
                <c:pt idx="90">
                  <c:v>2103455.31</c:v>
                </c:pt>
                <c:pt idx="91">
                  <c:v>2835203.25</c:v>
                </c:pt>
                <c:pt idx="92">
                  <c:v>2886700.37</c:v>
                </c:pt>
                <c:pt idx="93">
                  <c:v>2893191.64</c:v>
                </c:pt>
                <c:pt idx="94">
                  <c:v>2903875.64</c:v>
                </c:pt>
                <c:pt idx="95">
                  <c:v>2918532.93</c:v>
                </c:pt>
                <c:pt idx="96">
                  <c:v>2830695.06</c:v>
                </c:pt>
                <c:pt idx="97">
                  <c:v>2829053.66</c:v>
                </c:pt>
                <c:pt idx="98">
                  <c:v>2807213.53</c:v>
                </c:pt>
                <c:pt idx="99">
                  <c:v>3207707.5</c:v>
                </c:pt>
                <c:pt idx="100">
                  <c:v>3066196.31</c:v>
                </c:pt>
                <c:pt idx="101">
                  <c:v>3145716.9</c:v>
                </c:pt>
                <c:pt idx="102">
                  <c:v>2876446.67</c:v>
                </c:pt>
                <c:pt idx="103">
                  <c:v>3078325.75</c:v>
                </c:pt>
                <c:pt idx="104">
                  <c:v>2988914.54</c:v>
                </c:pt>
                <c:pt idx="105">
                  <c:v>2973896.2</c:v>
                </c:pt>
                <c:pt idx="106">
                  <c:v>2903875.64</c:v>
                </c:pt>
                <c:pt idx="107">
                  <c:v>3102854.87</c:v>
                </c:pt>
                <c:pt idx="108">
                  <c:v>3071473.7116999999</c:v>
                </c:pt>
                <c:pt idx="109">
                  <c:v>2977063.65</c:v>
                </c:pt>
                <c:pt idx="110">
                  <c:v>2777237.27</c:v>
                </c:pt>
                <c:pt idx="111">
                  <c:v>2829470.78</c:v>
                </c:pt>
                <c:pt idx="112">
                  <c:v>3099433.4</c:v>
                </c:pt>
                <c:pt idx="113">
                  <c:v>3186135.32</c:v>
                </c:pt>
                <c:pt idx="114">
                  <c:v>1917326.68</c:v>
                </c:pt>
                <c:pt idx="115">
                  <c:v>2065793.32</c:v>
                </c:pt>
                <c:pt idx="116">
                  <c:v>2139718.89</c:v>
                </c:pt>
                <c:pt idx="117">
                  <c:v>2160520.35</c:v>
                </c:pt>
                <c:pt idx="118">
                  <c:v>2350010.9900000002</c:v>
                </c:pt>
                <c:pt idx="119">
                  <c:v>2403573.6800000002</c:v>
                </c:pt>
                <c:pt idx="120">
                  <c:v>2298292.15</c:v>
                </c:pt>
                <c:pt idx="121">
                  <c:v>1485252.64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43-4390-AAE5-1AE034CE0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0166384"/>
        <c:axId val="940152240"/>
      </c:lineChart>
      <c:dateAx>
        <c:axId val="940166384"/>
        <c:scaling>
          <c:orientation val="minMax"/>
        </c:scaling>
        <c:delete val="0"/>
        <c:axPos val="b"/>
        <c:numFmt formatCode="[$-C0A]m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40152240"/>
        <c:crosses val="autoZero"/>
        <c:auto val="1"/>
        <c:lblOffset val="100"/>
        <c:baseTimeUnit val="months"/>
      </c:dateAx>
      <c:valAx>
        <c:axId val="94015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4016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681174256553028"/>
          <c:y val="0.11227899174164115"/>
          <c:w val="9.8106041781465661E-2"/>
          <c:h val="0.11737572161555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A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784656796769853"/>
          <c:y val="0.19796954314720813"/>
          <c:w val="0.60296096904441454"/>
          <c:h val="0.70812182741116747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CC6D-43DF-B174-E053FAD7EAF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CC6D-43DF-B174-E053FAD7EAF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CC6D-43DF-B174-E053FAD7EAF1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CC6D-43DF-B174-E053FAD7EAF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CC6D-43DF-B174-E053FAD7EAF1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CC6D-43DF-B174-E053FAD7EAF1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CC6D-43DF-B174-E053FAD7EA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A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resumen!$A$4:$A$10</c:f>
              <c:strCache>
                <c:ptCount val="7"/>
                <c:pt idx="0">
                  <c:v>BONOS GUBERNAMENTALES</c:v>
                </c:pt>
                <c:pt idx="1">
                  <c:v>ACCIONES/OPCIONES/fondos acciones</c:v>
                </c:pt>
                <c:pt idx="2">
                  <c:v>LIQUIDEZ</c:v>
                </c:pt>
                <c:pt idx="3">
                  <c:v>hsbc MIAMI</c:v>
                </c:pt>
                <c:pt idx="4">
                  <c:v>FONDOS  /ETF/comodities</c:v>
                </c:pt>
                <c:pt idx="5">
                  <c:v>HIPOTECAS</c:v>
                </c:pt>
                <c:pt idx="6">
                  <c:v>INMUEBLES/INCLUYE TRACKER</c:v>
                </c:pt>
              </c:strCache>
            </c:strRef>
          </c:cat>
          <c:val>
            <c:numRef>
              <c:f>resumen!$B$4:$B$10</c:f>
              <c:numCache>
                <c:formatCode>#,##0.00</c:formatCode>
                <c:ptCount val="7"/>
                <c:pt idx="0">
                  <c:v>7845975.5727586206</c:v>
                </c:pt>
                <c:pt idx="1">
                  <c:v>0</c:v>
                </c:pt>
                <c:pt idx="2">
                  <c:v>297162.51813103445</c:v>
                </c:pt>
                <c:pt idx="3">
                  <c:v>474789.31</c:v>
                </c:pt>
                <c:pt idx="4">
                  <c:v>0</c:v>
                </c:pt>
                <c:pt idx="5">
                  <c:v>660</c:v>
                </c:pt>
                <c:pt idx="6">
                  <c:v>2892761.0889657796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C6D-43DF-B174-E053FAD7E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AR"/>
    </a:p>
  </c:txPr>
  <c:printSettings>
    <c:headerFooter/>
    <c:pageMargins b="0.75" l="0.7" r="0.7" t="0.75" header="0.3" footer="0.3"/>
    <c:pageSetup orientation="landscape" horizontalDpi="300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Evolucion UVA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UVA!$B$2</c:f>
              <c:strCache>
                <c:ptCount val="1"/>
                <c:pt idx="0">
                  <c:v>Valor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UVA!$A$68:$A$419</c:f>
              <c:numCache>
                <c:formatCode>m/d/yyyy</c:formatCode>
                <c:ptCount val="352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  <c:pt idx="30">
                  <c:v>45230</c:v>
                </c:pt>
                <c:pt idx="31">
                  <c:v>45231</c:v>
                </c:pt>
                <c:pt idx="32">
                  <c:v>45232</c:v>
                </c:pt>
                <c:pt idx="33">
                  <c:v>45233</c:v>
                </c:pt>
                <c:pt idx="34">
                  <c:v>45234</c:v>
                </c:pt>
                <c:pt idx="35">
                  <c:v>45235</c:v>
                </c:pt>
                <c:pt idx="36">
                  <c:v>45236</c:v>
                </c:pt>
                <c:pt idx="37">
                  <c:v>45237</c:v>
                </c:pt>
                <c:pt idx="38">
                  <c:v>45238</c:v>
                </c:pt>
                <c:pt idx="39">
                  <c:v>45239</c:v>
                </c:pt>
                <c:pt idx="40">
                  <c:v>45240</c:v>
                </c:pt>
                <c:pt idx="41">
                  <c:v>45241</c:v>
                </c:pt>
                <c:pt idx="42">
                  <c:v>45242</c:v>
                </c:pt>
                <c:pt idx="43">
                  <c:v>45243</c:v>
                </c:pt>
                <c:pt idx="44">
                  <c:v>45244</c:v>
                </c:pt>
                <c:pt idx="45">
                  <c:v>45245</c:v>
                </c:pt>
                <c:pt idx="46">
                  <c:v>45246</c:v>
                </c:pt>
                <c:pt idx="47">
                  <c:v>45247</c:v>
                </c:pt>
                <c:pt idx="48">
                  <c:v>45248</c:v>
                </c:pt>
                <c:pt idx="49">
                  <c:v>45249</c:v>
                </c:pt>
                <c:pt idx="50">
                  <c:v>45250</c:v>
                </c:pt>
                <c:pt idx="51">
                  <c:v>45251</c:v>
                </c:pt>
                <c:pt idx="52">
                  <c:v>45252</c:v>
                </c:pt>
                <c:pt idx="53">
                  <c:v>45253</c:v>
                </c:pt>
                <c:pt idx="54">
                  <c:v>45254</c:v>
                </c:pt>
                <c:pt idx="55">
                  <c:v>45255</c:v>
                </c:pt>
                <c:pt idx="56">
                  <c:v>45256</c:v>
                </c:pt>
                <c:pt idx="57">
                  <c:v>45257</c:v>
                </c:pt>
                <c:pt idx="58">
                  <c:v>45258</c:v>
                </c:pt>
                <c:pt idx="59">
                  <c:v>45259</c:v>
                </c:pt>
                <c:pt idx="60">
                  <c:v>45260</c:v>
                </c:pt>
                <c:pt idx="61">
                  <c:v>45261</c:v>
                </c:pt>
                <c:pt idx="62">
                  <c:v>45262</c:v>
                </c:pt>
                <c:pt idx="63">
                  <c:v>45263</c:v>
                </c:pt>
                <c:pt idx="64">
                  <c:v>45264</c:v>
                </c:pt>
                <c:pt idx="65">
                  <c:v>45265</c:v>
                </c:pt>
                <c:pt idx="66">
                  <c:v>45266</c:v>
                </c:pt>
                <c:pt idx="67">
                  <c:v>45267</c:v>
                </c:pt>
                <c:pt idx="68">
                  <c:v>45268</c:v>
                </c:pt>
                <c:pt idx="69">
                  <c:v>45269</c:v>
                </c:pt>
                <c:pt idx="70">
                  <c:v>45270</c:v>
                </c:pt>
                <c:pt idx="71">
                  <c:v>45271</c:v>
                </c:pt>
                <c:pt idx="72">
                  <c:v>45272</c:v>
                </c:pt>
                <c:pt idx="73">
                  <c:v>45273</c:v>
                </c:pt>
                <c:pt idx="74">
                  <c:v>45274</c:v>
                </c:pt>
                <c:pt idx="75">
                  <c:v>45275</c:v>
                </c:pt>
                <c:pt idx="76">
                  <c:v>45276</c:v>
                </c:pt>
                <c:pt idx="77">
                  <c:v>45277</c:v>
                </c:pt>
                <c:pt idx="78">
                  <c:v>45278</c:v>
                </c:pt>
                <c:pt idx="79">
                  <c:v>45279</c:v>
                </c:pt>
                <c:pt idx="80">
                  <c:v>45280</c:v>
                </c:pt>
                <c:pt idx="81">
                  <c:v>45281</c:v>
                </c:pt>
                <c:pt idx="82">
                  <c:v>45282</c:v>
                </c:pt>
                <c:pt idx="83">
                  <c:v>45283</c:v>
                </c:pt>
                <c:pt idx="84">
                  <c:v>45284</c:v>
                </c:pt>
                <c:pt idx="85">
                  <c:v>45285</c:v>
                </c:pt>
                <c:pt idx="86">
                  <c:v>45286</c:v>
                </c:pt>
                <c:pt idx="87">
                  <c:v>45287</c:v>
                </c:pt>
                <c:pt idx="88">
                  <c:v>45288</c:v>
                </c:pt>
                <c:pt idx="89">
                  <c:v>45289</c:v>
                </c:pt>
                <c:pt idx="90">
                  <c:v>45290</c:v>
                </c:pt>
                <c:pt idx="91">
                  <c:v>45291</c:v>
                </c:pt>
                <c:pt idx="92">
                  <c:v>45292</c:v>
                </c:pt>
                <c:pt idx="93">
                  <c:v>45293</c:v>
                </c:pt>
                <c:pt idx="94">
                  <c:v>45294</c:v>
                </c:pt>
                <c:pt idx="95">
                  <c:v>45295</c:v>
                </c:pt>
                <c:pt idx="96">
                  <c:v>45296</c:v>
                </c:pt>
                <c:pt idx="97">
                  <c:v>45297</c:v>
                </c:pt>
                <c:pt idx="98">
                  <c:v>45298</c:v>
                </c:pt>
                <c:pt idx="99">
                  <c:v>45299</c:v>
                </c:pt>
                <c:pt idx="100">
                  <c:v>45300</c:v>
                </c:pt>
                <c:pt idx="101">
                  <c:v>45301</c:v>
                </c:pt>
                <c:pt idx="102">
                  <c:v>45302</c:v>
                </c:pt>
                <c:pt idx="103">
                  <c:v>45303</c:v>
                </c:pt>
                <c:pt idx="104">
                  <c:v>45304</c:v>
                </c:pt>
                <c:pt idx="105">
                  <c:v>45305</c:v>
                </c:pt>
                <c:pt idx="106">
                  <c:v>45306</c:v>
                </c:pt>
                <c:pt idx="107">
                  <c:v>45307</c:v>
                </c:pt>
                <c:pt idx="108">
                  <c:v>45308</c:v>
                </c:pt>
                <c:pt idx="109">
                  <c:v>45309</c:v>
                </c:pt>
                <c:pt idx="110">
                  <c:v>45310</c:v>
                </c:pt>
                <c:pt idx="111">
                  <c:v>45311</c:v>
                </c:pt>
                <c:pt idx="112">
                  <c:v>45312</c:v>
                </c:pt>
                <c:pt idx="113">
                  <c:v>45313</c:v>
                </c:pt>
                <c:pt idx="114">
                  <c:v>45314</c:v>
                </c:pt>
                <c:pt idx="115">
                  <c:v>45315</c:v>
                </c:pt>
                <c:pt idx="116">
                  <c:v>45316</c:v>
                </c:pt>
                <c:pt idx="117">
                  <c:v>45317</c:v>
                </c:pt>
                <c:pt idx="118">
                  <c:v>45318</c:v>
                </c:pt>
                <c:pt idx="119">
                  <c:v>45319</c:v>
                </c:pt>
                <c:pt idx="120">
                  <c:v>45320</c:v>
                </c:pt>
                <c:pt idx="121">
                  <c:v>45321</c:v>
                </c:pt>
                <c:pt idx="122">
                  <c:v>45322</c:v>
                </c:pt>
                <c:pt idx="123">
                  <c:v>45323</c:v>
                </c:pt>
                <c:pt idx="124">
                  <c:v>45324</c:v>
                </c:pt>
                <c:pt idx="125">
                  <c:v>45325</c:v>
                </c:pt>
                <c:pt idx="126">
                  <c:v>45326</c:v>
                </c:pt>
                <c:pt idx="127">
                  <c:v>45327</c:v>
                </c:pt>
                <c:pt idx="128">
                  <c:v>45328</c:v>
                </c:pt>
                <c:pt idx="129">
                  <c:v>45329</c:v>
                </c:pt>
                <c:pt idx="130">
                  <c:v>45330</c:v>
                </c:pt>
                <c:pt idx="131">
                  <c:v>45331</c:v>
                </c:pt>
                <c:pt idx="132">
                  <c:v>45332</c:v>
                </c:pt>
                <c:pt idx="133">
                  <c:v>45333</c:v>
                </c:pt>
                <c:pt idx="134">
                  <c:v>45334</c:v>
                </c:pt>
                <c:pt idx="135">
                  <c:v>45335</c:v>
                </c:pt>
                <c:pt idx="136">
                  <c:v>45336</c:v>
                </c:pt>
                <c:pt idx="137">
                  <c:v>45337</c:v>
                </c:pt>
                <c:pt idx="138">
                  <c:v>45338</c:v>
                </c:pt>
                <c:pt idx="139">
                  <c:v>45339</c:v>
                </c:pt>
                <c:pt idx="140">
                  <c:v>45340</c:v>
                </c:pt>
                <c:pt idx="141">
                  <c:v>45341</c:v>
                </c:pt>
                <c:pt idx="142">
                  <c:v>45342</c:v>
                </c:pt>
                <c:pt idx="143">
                  <c:v>45343</c:v>
                </c:pt>
                <c:pt idx="144">
                  <c:v>45344</c:v>
                </c:pt>
                <c:pt idx="145">
                  <c:v>45345</c:v>
                </c:pt>
                <c:pt idx="146">
                  <c:v>45346</c:v>
                </c:pt>
                <c:pt idx="147">
                  <c:v>45347</c:v>
                </c:pt>
                <c:pt idx="148">
                  <c:v>45348</c:v>
                </c:pt>
                <c:pt idx="149">
                  <c:v>45349</c:v>
                </c:pt>
                <c:pt idx="150">
                  <c:v>45350</c:v>
                </c:pt>
                <c:pt idx="151">
                  <c:v>45351</c:v>
                </c:pt>
                <c:pt idx="152">
                  <c:v>45352</c:v>
                </c:pt>
                <c:pt idx="153">
                  <c:v>45353</c:v>
                </c:pt>
                <c:pt idx="154">
                  <c:v>45354</c:v>
                </c:pt>
                <c:pt idx="155">
                  <c:v>45355</c:v>
                </c:pt>
                <c:pt idx="156">
                  <c:v>45356</c:v>
                </c:pt>
                <c:pt idx="157">
                  <c:v>45357</c:v>
                </c:pt>
                <c:pt idx="158">
                  <c:v>45358</c:v>
                </c:pt>
                <c:pt idx="159">
                  <c:v>45359</c:v>
                </c:pt>
                <c:pt idx="160">
                  <c:v>45360</c:v>
                </c:pt>
                <c:pt idx="161">
                  <c:v>45361</c:v>
                </c:pt>
                <c:pt idx="162">
                  <c:v>45362</c:v>
                </c:pt>
                <c:pt idx="163">
                  <c:v>45363</c:v>
                </c:pt>
                <c:pt idx="164">
                  <c:v>45364</c:v>
                </c:pt>
                <c:pt idx="165">
                  <c:v>45365</c:v>
                </c:pt>
                <c:pt idx="166">
                  <c:v>45366</c:v>
                </c:pt>
                <c:pt idx="167">
                  <c:v>45367</c:v>
                </c:pt>
                <c:pt idx="168">
                  <c:v>45368</c:v>
                </c:pt>
                <c:pt idx="169">
                  <c:v>45369</c:v>
                </c:pt>
                <c:pt idx="170">
                  <c:v>45370</c:v>
                </c:pt>
                <c:pt idx="171">
                  <c:v>45371</c:v>
                </c:pt>
                <c:pt idx="172">
                  <c:v>45372</c:v>
                </c:pt>
                <c:pt idx="173">
                  <c:v>45373</c:v>
                </c:pt>
                <c:pt idx="174">
                  <c:v>45374</c:v>
                </c:pt>
                <c:pt idx="175">
                  <c:v>45375</c:v>
                </c:pt>
                <c:pt idx="176">
                  <c:v>45376</c:v>
                </c:pt>
                <c:pt idx="177">
                  <c:v>45377</c:v>
                </c:pt>
                <c:pt idx="178">
                  <c:v>45378</c:v>
                </c:pt>
                <c:pt idx="179">
                  <c:v>45379</c:v>
                </c:pt>
                <c:pt idx="180">
                  <c:v>45380</c:v>
                </c:pt>
                <c:pt idx="181">
                  <c:v>45381</c:v>
                </c:pt>
                <c:pt idx="182">
                  <c:v>45382</c:v>
                </c:pt>
                <c:pt idx="183">
                  <c:v>45383</c:v>
                </c:pt>
                <c:pt idx="184">
                  <c:v>45384</c:v>
                </c:pt>
                <c:pt idx="185">
                  <c:v>45385</c:v>
                </c:pt>
                <c:pt idx="186">
                  <c:v>45386</c:v>
                </c:pt>
                <c:pt idx="187">
                  <c:v>45387</c:v>
                </c:pt>
                <c:pt idx="188">
                  <c:v>45388</c:v>
                </c:pt>
                <c:pt idx="189">
                  <c:v>45389</c:v>
                </c:pt>
                <c:pt idx="190">
                  <c:v>45390</c:v>
                </c:pt>
                <c:pt idx="191">
                  <c:v>45391</c:v>
                </c:pt>
                <c:pt idx="192">
                  <c:v>45392</c:v>
                </c:pt>
                <c:pt idx="193">
                  <c:v>45393</c:v>
                </c:pt>
                <c:pt idx="194">
                  <c:v>45394</c:v>
                </c:pt>
                <c:pt idx="195">
                  <c:v>45395</c:v>
                </c:pt>
                <c:pt idx="196">
                  <c:v>45396</c:v>
                </c:pt>
                <c:pt idx="197">
                  <c:v>45397</c:v>
                </c:pt>
                <c:pt idx="198">
                  <c:v>45398</c:v>
                </c:pt>
                <c:pt idx="199">
                  <c:v>45399</c:v>
                </c:pt>
                <c:pt idx="200">
                  <c:v>45400</c:v>
                </c:pt>
                <c:pt idx="201">
                  <c:v>45401</c:v>
                </c:pt>
                <c:pt idx="202">
                  <c:v>45402</c:v>
                </c:pt>
                <c:pt idx="203">
                  <c:v>45403</c:v>
                </c:pt>
                <c:pt idx="204">
                  <c:v>45404</c:v>
                </c:pt>
                <c:pt idx="205">
                  <c:v>45405</c:v>
                </c:pt>
                <c:pt idx="206">
                  <c:v>45406</c:v>
                </c:pt>
                <c:pt idx="207">
                  <c:v>45407</c:v>
                </c:pt>
                <c:pt idx="208">
                  <c:v>45408</c:v>
                </c:pt>
                <c:pt idx="209">
                  <c:v>45409</c:v>
                </c:pt>
                <c:pt idx="210">
                  <c:v>45410</c:v>
                </c:pt>
                <c:pt idx="211">
                  <c:v>45411</c:v>
                </c:pt>
                <c:pt idx="212">
                  <c:v>45412</c:v>
                </c:pt>
                <c:pt idx="213">
                  <c:v>45413</c:v>
                </c:pt>
                <c:pt idx="214">
                  <c:v>45414</c:v>
                </c:pt>
                <c:pt idx="215">
                  <c:v>45415</c:v>
                </c:pt>
                <c:pt idx="216">
                  <c:v>45416</c:v>
                </c:pt>
                <c:pt idx="217">
                  <c:v>45417</c:v>
                </c:pt>
                <c:pt idx="218">
                  <c:v>45418</c:v>
                </c:pt>
                <c:pt idx="219">
                  <c:v>45419</c:v>
                </c:pt>
                <c:pt idx="220">
                  <c:v>45420</c:v>
                </c:pt>
                <c:pt idx="221">
                  <c:v>45421</c:v>
                </c:pt>
                <c:pt idx="222">
                  <c:v>45422</c:v>
                </c:pt>
                <c:pt idx="223">
                  <c:v>45423</c:v>
                </c:pt>
                <c:pt idx="224">
                  <c:v>45424</c:v>
                </c:pt>
                <c:pt idx="225">
                  <c:v>45425</c:v>
                </c:pt>
                <c:pt idx="226">
                  <c:v>45426</c:v>
                </c:pt>
                <c:pt idx="227">
                  <c:v>45427</c:v>
                </c:pt>
                <c:pt idx="228">
                  <c:v>45428</c:v>
                </c:pt>
                <c:pt idx="229">
                  <c:v>45429</c:v>
                </c:pt>
                <c:pt idx="230">
                  <c:v>45430</c:v>
                </c:pt>
                <c:pt idx="231">
                  <c:v>45431</c:v>
                </c:pt>
                <c:pt idx="232">
                  <c:v>45432</c:v>
                </c:pt>
                <c:pt idx="233">
                  <c:v>45433</c:v>
                </c:pt>
                <c:pt idx="234">
                  <c:v>45434</c:v>
                </c:pt>
                <c:pt idx="235">
                  <c:v>45435</c:v>
                </c:pt>
                <c:pt idx="236">
                  <c:v>45436</c:v>
                </c:pt>
                <c:pt idx="237">
                  <c:v>45437</c:v>
                </c:pt>
                <c:pt idx="238">
                  <c:v>45438</c:v>
                </c:pt>
                <c:pt idx="239">
                  <c:v>45439</c:v>
                </c:pt>
                <c:pt idx="240">
                  <c:v>45440</c:v>
                </c:pt>
                <c:pt idx="241">
                  <c:v>45441</c:v>
                </c:pt>
                <c:pt idx="242">
                  <c:v>45442</c:v>
                </c:pt>
                <c:pt idx="243">
                  <c:v>45443</c:v>
                </c:pt>
                <c:pt idx="244">
                  <c:v>45444</c:v>
                </c:pt>
                <c:pt idx="245">
                  <c:v>45445</c:v>
                </c:pt>
                <c:pt idx="246">
                  <c:v>45446</c:v>
                </c:pt>
                <c:pt idx="247">
                  <c:v>45447</c:v>
                </c:pt>
                <c:pt idx="248">
                  <c:v>45448</c:v>
                </c:pt>
                <c:pt idx="249">
                  <c:v>45449</c:v>
                </c:pt>
                <c:pt idx="250">
                  <c:v>45450</c:v>
                </c:pt>
                <c:pt idx="251">
                  <c:v>45451</c:v>
                </c:pt>
                <c:pt idx="252">
                  <c:v>45452</c:v>
                </c:pt>
                <c:pt idx="253">
                  <c:v>45453</c:v>
                </c:pt>
                <c:pt idx="254">
                  <c:v>45454</c:v>
                </c:pt>
                <c:pt idx="255">
                  <c:v>45455</c:v>
                </c:pt>
                <c:pt idx="256">
                  <c:v>45456</c:v>
                </c:pt>
                <c:pt idx="257">
                  <c:v>45457</c:v>
                </c:pt>
                <c:pt idx="258">
                  <c:v>45458</c:v>
                </c:pt>
                <c:pt idx="259">
                  <c:v>45459</c:v>
                </c:pt>
                <c:pt idx="260">
                  <c:v>45460</c:v>
                </c:pt>
                <c:pt idx="261">
                  <c:v>45461</c:v>
                </c:pt>
                <c:pt idx="262">
                  <c:v>45462</c:v>
                </c:pt>
                <c:pt idx="263">
                  <c:v>45463</c:v>
                </c:pt>
                <c:pt idx="264">
                  <c:v>45464</c:v>
                </c:pt>
                <c:pt idx="265">
                  <c:v>45465</c:v>
                </c:pt>
                <c:pt idx="266">
                  <c:v>45466</c:v>
                </c:pt>
                <c:pt idx="267">
                  <c:v>45467</c:v>
                </c:pt>
                <c:pt idx="268">
                  <c:v>45468</c:v>
                </c:pt>
                <c:pt idx="269">
                  <c:v>45469</c:v>
                </c:pt>
                <c:pt idx="270">
                  <c:v>45470</c:v>
                </c:pt>
                <c:pt idx="271">
                  <c:v>45471</c:v>
                </c:pt>
                <c:pt idx="272">
                  <c:v>45472</c:v>
                </c:pt>
                <c:pt idx="273">
                  <c:v>45473</c:v>
                </c:pt>
                <c:pt idx="274">
                  <c:v>45474</c:v>
                </c:pt>
                <c:pt idx="275">
                  <c:v>45475</c:v>
                </c:pt>
                <c:pt idx="276">
                  <c:v>45476</c:v>
                </c:pt>
                <c:pt idx="277">
                  <c:v>45477</c:v>
                </c:pt>
                <c:pt idx="278">
                  <c:v>45478</c:v>
                </c:pt>
                <c:pt idx="279">
                  <c:v>45479</c:v>
                </c:pt>
                <c:pt idx="280">
                  <c:v>45480</c:v>
                </c:pt>
                <c:pt idx="281">
                  <c:v>45481</c:v>
                </c:pt>
                <c:pt idx="282">
                  <c:v>45482</c:v>
                </c:pt>
                <c:pt idx="283">
                  <c:v>45483</c:v>
                </c:pt>
                <c:pt idx="284">
                  <c:v>45484</c:v>
                </c:pt>
                <c:pt idx="285">
                  <c:v>45485</c:v>
                </c:pt>
                <c:pt idx="286">
                  <c:v>45486</c:v>
                </c:pt>
                <c:pt idx="287">
                  <c:v>45487</c:v>
                </c:pt>
                <c:pt idx="288">
                  <c:v>45488</c:v>
                </c:pt>
                <c:pt idx="289">
                  <c:v>45489</c:v>
                </c:pt>
                <c:pt idx="290">
                  <c:v>45490</c:v>
                </c:pt>
                <c:pt idx="291">
                  <c:v>45491</c:v>
                </c:pt>
                <c:pt idx="292">
                  <c:v>45492</c:v>
                </c:pt>
                <c:pt idx="293">
                  <c:v>45493</c:v>
                </c:pt>
                <c:pt idx="294">
                  <c:v>45494</c:v>
                </c:pt>
                <c:pt idx="295">
                  <c:v>45495</c:v>
                </c:pt>
                <c:pt idx="296">
                  <c:v>45496</c:v>
                </c:pt>
                <c:pt idx="297">
                  <c:v>45497</c:v>
                </c:pt>
                <c:pt idx="298">
                  <c:v>45498</c:v>
                </c:pt>
                <c:pt idx="299">
                  <c:v>45499</c:v>
                </c:pt>
                <c:pt idx="300">
                  <c:v>45500</c:v>
                </c:pt>
                <c:pt idx="301">
                  <c:v>45501</c:v>
                </c:pt>
                <c:pt idx="302">
                  <c:v>45502</c:v>
                </c:pt>
                <c:pt idx="303">
                  <c:v>45503</c:v>
                </c:pt>
                <c:pt idx="304">
                  <c:v>45504</c:v>
                </c:pt>
                <c:pt idx="305">
                  <c:v>45505</c:v>
                </c:pt>
                <c:pt idx="306">
                  <c:v>45506</c:v>
                </c:pt>
                <c:pt idx="307">
                  <c:v>45507</c:v>
                </c:pt>
                <c:pt idx="308">
                  <c:v>45508</c:v>
                </c:pt>
                <c:pt idx="309">
                  <c:v>45509</c:v>
                </c:pt>
                <c:pt idx="310">
                  <c:v>45510</c:v>
                </c:pt>
                <c:pt idx="311">
                  <c:v>45511</c:v>
                </c:pt>
                <c:pt idx="312">
                  <c:v>45512</c:v>
                </c:pt>
                <c:pt idx="313">
                  <c:v>45513</c:v>
                </c:pt>
                <c:pt idx="314">
                  <c:v>45514</c:v>
                </c:pt>
                <c:pt idx="315">
                  <c:v>45515</c:v>
                </c:pt>
                <c:pt idx="316">
                  <c:v>45516</c:v>
                </c:pt>
                <c:pt idx="317">
                  <c:v>45517</c:v>
                </c:pt>
                <c:pt idx="318">
                  <c:v>45518</c:v>
                </c:pt>
                <c:pt idx="319">
                  <c:v>45519</c:v>
                </c:pt>
                <c:pt idx="320">
                  <c:v>45520</c:v>
                </c:pt>
                <c:pt idx="321">
                  <c:v>45521</c:v>
                </c:pt>
                <c:pt idx="322">
                  <c:v>45522</c:v>
                </c:pt>
                <c:pt idx="323">
                  <c:v>45523</c:v>
                </c:pt>
                <c:pt idx="324">
                  <c:v>45524</c:v>
                </c:pt>
                <c:pt idx="325">
                  <c:v>45525</c:v>
                </c:pt>
                <c:pt idx="326">
                  <c:v>45526</c:v>
                </c:pt>
                <c:pt idx="327">
                  <c:v>45527</c:v>
                </c:pt>
                <c:pt idx="328">
                  <c:v>45528</c:v>
                </c:pt>
                <c:pt idx="329">
                  <c:v>45529</c:v>
                </c:pt>
                <c:pt idx="330">
                  <c:v>45530</c:v>
                </c:pt>
                <c:pt idx="331">
                  <c:v>45531</c:v>
                </c:pt>
                <c:pt idx="332">
                  <c:v>45532</c:v>
                </c:pt>
                <c:pt idx="333">
                  <c:v>45533</c:v>
                </c:pt>
                <c:pt idx="334">
                  <c:v>45534</c:v>
                </c:pt>
                <c:pt idx="335">
                  <c:v>45535</c:v>
                </c:pt>
                <c:pt idx="336">
                  <c:v>45536</c:v>
                </c:pt>
                <c:pt idx="337">
                  <c:v>45537</c:v>
                </c:pt>
                <c:pt idx="338">
                  <c:v>45538</c:v>
                </c:pt>
                <c:pt idx="339">
                  <c:v>45539</c:v>
                </c:pt>
                <c:pt idx="340">
                  <c:v>45540</c:v>
                </c:pt>
                <c:pt idx="341">
                  <c:v>45541</c:v>
                </c:pt>
                <c:pt idx="342">
                  <c:v>45542</c:v>
                </c:pt>
                <c:pt idx="343">
                  <c:v>45543</c:v>
                </c:pt>
                <c:pt idx="344">
                  <c:v>45544</c:v>
                </c:pt>
                <c:pt idx="345">
                  <c:v>45545</c:v>
                </c:pt>
                <c:pt idx="346">
                  <c:v>45546</c:v>
                </c:pt>
                <c:pt idx="347">
                  <c:v>45547</c:v>
                </c:pt>
                <c:pt idx="348">
                  <c:v>45548</c:v>
                </c:pt>
                <c:pt idx="349">
                  <c:v>45549</c:v>
                </c:pt>
                <c:pt idx="350">
                  <c:v>45550</c:v>
                </c:pt>
                <c:pt idx="351">
                  <c:v>45551</c:v>
                </c:pt>
              </c:numCache>
            </c:numRef>
          </c:cat>
          <c:val>
            <c:numRef>
              <c:f>UVA!$B$68:$B$419</c:f>
              <c:numCache>
                <c:formatCode>0.00</c:formatCode>
                <c:ptCount val="352"/>
                <c:pt idx="0">
                  <c:v>337.84</c:v>
                </c:pt>
                <c:pt idx="1">
                  <c:v>337.84</c:v>
                </c:pt>
                <c:pt idx="2">
                  <c:v>341.81</c:v>
                </c:pt>
                <c:pt idx="3">
                  <c:v>343.14</c:v>
                </c:pt>
                <c:pt idx="4">
                  <c:v>344.48</c:v>
                </c:pt>
                <c:pt idx="5">
                  <c:v>345.83</c:v>
                </c:pt>
                <c:pt idx="6">
                  <c:v>347.18</c:v>
                </c:pt>
                <c:pt idx="7">
                  <c:v>347.18</c:v>
                </c:pt>
                <c:pt idx="8">
                  <c:v>347.18</c:v>
                </c:pt>
                <c:pt idx="9">
                  <c:v>351.26</c:v>
                </c:pt>
                <c:pt idx="10">
                  <c:v>352.63</c:v>
                </c:pt>
                <c:pt idx="11">
                  <c:v>354.01</c:v>
                </c:pt>
                <c:pt idx="12">
                  <c:v>355.39</c:v>
                </c:pt>
                <c:pt idx="13">
                  <c:v>355.39</c:v>
                </c:pt>
                <c:pt idx="14">
                  <c:v>355.39</c:v>
                </c:pt>
                <c:pt idx="15">
                  <c:v>355.39</c:v>
                </c:pt>
                <c:pt idx="16">
                  <c:v>355.39</c:v>
                </c:pt>
                <c:pt idx="17">
                  <c:v>362.35</c:v>
                </c:pt>
                <c:pt idx="18">
                  <c:v>363.75</c:v>
                </c:pt>
                <c:pt idx="19">
                  <c:v>365.16</c:v>
                </c:pt>
                <c:pt idx="20">
                  <c:v>366.57</c:v>
                </c:pt>
                <c:pt idx="21">
                  <c:v>366.57</c:v>
                </c:pt>
                <c:pt idx="22">
                  <c:v>366.57</c:v>
                </c:pt>
                <c:pt idx="23">
                  <c:v>370.84</c:v>
                </c:pt>
                <c:pt idx="24">
                  <c:v>372.27</c:v>
                </c:pt>
                <c:pt idx="25">
                  <c:v>373.71</c:v>
                </c:pt>
                <c:pt idx="26">
                  <c:v>375.15</c:v>
                </c:pt>
                <c:pt idx="27">
                  <c:v>376.6</c:v>
                </c:pt>
                <c:pt idx="28">
                  <c:v>376.6</c:v>
                </c:pt>
                <c:pt idx="29">
                  <c:v>376.6</c:v>
                </c:pt>
                <c:pt idx="30">
                  <c:v>380.98</c:v>
                </c:pt>
                <c:pt idx="31">
                  <c:v>382.46</c:v>
                </c:pt>
                <c:pt idx="32">
                  <c:v>383.93</c:v>
                </c:pt>
                <c:pt idx="33">
                  <c:v>385.42</c:v>
                </c:pt>
                <c:pt idx="34">
                  <c:v>386.91</c:v>
                </c:pt>
                <c:pt idx="35">
                  <c:v>386.91</c:v>
                </c:pt>
                <c:pt idx="36">
                  <c:v>386.91</c:v>
                </c:pt>
                <c:pt idx="37">
                  <c:v>386.91</c:v>
                </c:pt>
                <c:pt idx="38">
                  <c:v>392.92</c:v>
                </c:pt>
                <c:pt idx="39">
                  <c:v>394.44</c:v>
                </c:pt>
                <c:pt idx="40">
                  <c:v>395.96</c:v>
                </c:pt>
                <c:pt idx="41">
                  <c:v>397.49</c:v>
                </c:pt>
                <c:pt idx="42">
                  <c:v>397.49</c:v>
                </c:pt>
                <c:pt idx="43">
                  <c:v>397.49</c:v>
                </c:pt>
                <c:pt idx="44">
                  <c:v>402.12</c:v>
                </c:pt>
                <c:pt idx="45">
                  <c:v>403.67</c:v>
                </c:pt>
                <c:pt idx="46">
                  <c:v>405.23</c:v>
                </c:pt>
                <c:pt idx="47">
                  <c:v>406.31</c:v>
                </c:pt>
                <c:pt idx="48">
                  <c:v>407.39</c:v>
                </c:pt>
                <c:pt idx="49">
                  <c:v>407.39</c:v>
                </c:pt>
                <c:pt idx="50">
                  <c:v>407.39</c:v>
                </c:pt>
                <c:pt idx="51">
                  <c:v>407.39</c:v>
                </c:pt>
                <c:pt idx="52">
                  <c:v>411.75</c:v>
                </c:pt>
                <c:pt idx="53">
                  <c:v>412.84</c:v>
                </c:pt>
                <c:pt idx="54">
                  <c:v>413.94</c:v>
                </c:pt>
                <c:pt idx="55">
                  <c:v>415.04</c:v>
                </c:pt>
                <c:pt idx="56">
                  <c:v>415.04</c:v>
                </c:pt>
                <c:pt idx="57">
                  <c:v>415.04</c:v>
                </c:pt>
                <c:pt idx="58">
                  <c:v>418.37</c:v>
                </c:pt>
                <c:pt idx="59">
                  <c:v>419.48</c:v>
                </c:pt>
                <c:pt idx="60">
                  <c:v>420.6</c:v>
                </c:pt>
                <c:pt idx="61">
                  <c:v>421.72</c:v>
                </c:pt>
                <c:pt idx="62">
                  <c:v>422.84</c:v>
                </c:pt>
                <c:pt idx="63">
                  <c:v>422.84</c:v>
                </c:pt>
                <c:pt idx="64">
                  <c:v>422.84</c:v>
                </c:pt>
                <c:pt idx="65">
                  <c:v>426.22</c:v>
                </c:pt>
                <c:pt idx="66">
                  <c:v>427.36</c:v>
                </c:pt>
                <c:pt idx="67">
                  <c:v>428.49</c:v>
                </c:pt>
                <c:pt idx="68">
                  <c:v>429.64</c:v>
                </c:pt>
                <c:pt idx="69">
                  <c:v>429.64</c:v>
                </c:pt>
                <c:pt idx="70">
                  <c:v>429.64</c:v>
                </c:pt>
                <c:pt idx="71">
                  <c:v>429.64</c:v>
                </c:pt>
                <c:pt idx="72">
                  <c:v>434.23</c:v>
                </c:pt>
                <c:pt idx="73">
                  <c:v>435.38</c:v>
                </c:pt>
                <c:pt idx="74">
                  <c:v>436.54</c:v>
                </c:pt>
                <c:pt idx="75">
                  <c:v>437.7</c:v>
                </c:pt>
                <c:pt idx="76">
                  <c:v>438.87</c:v>
                </c:pt>
                <c:pt idx="77">
                  <c:v>438.87</c:v>
                </c:pt>
                <c:pt idx="78">
                  <c:v>438.87</c:v>
                </c:pt>
                <c:pt idx="79">
                  <c:v>444.01</c:v>
                </c:pt>
                <c:pt idx="80">
                  <c:v>445.74</c:v>
                </c:pt>
                <c:pt idx="81">
                  <c:v>447.48</c:v>
                </c:pt>
                <c:pt idx="82">
                  <c:v>449.22</c:v>
                </c:pt>
                <c:pt idx="83">
                  <c:v>450.97</c:v>
                </c:pt>
                <c:pt idx="84">
                  <c:v>450.97</c:v>
                </c:pt>
                <c:pt idx="85">
                  <c:v>450.97</c:v>
                </c:pt>
                <c:pt idx="86">
                  <c:v>450.97</c:v>
                </c:pt>
                <c:pt idx="87">
                  <c:v>458.03</c:v>
                </c:pt>
                <c:pt idx="88">
                  <c:v>459.81</c:v>
                </c:pt>
                <c:pt idx="89">
                  <c:v>461.6</c:v>
                </c:pt>
                <c:pt idx="90">
                  <c:v>463.4</c:v>
                </c:pt>
                <c:pt idx="91">
                  <c:v>463.4</c:v>
                </c:pt>
                <c:pt idx="92">
                  <c:v>463.4</c:v>
                </c:pt>
                <c:pt idx="93">
                  <c:v>463.4</c:v>
                </c:pt>
                <c:pt idx="94">
                  <c:v>470.66</c:v>
                </c:pt>
                <c:pt idx="95">
                  <c:v>472.49</c:v>
                </c:pt>
                <c:pt idx="96">
                  <c:v>474.33</c:v>
                </c:pt>
                <c:pt idx="97">
                  <c:v>476.18</c:v>
                </c:pt>
                <c:pt idx="98">
                  <c:v>476.18</c:v>
                </c:pt>
                <c:pt idx="99">
                  <c:v>476.18</c:v>
                </c:pt>
                <c:pt idx="100">
                  <c:v>481.76</c:v>
                </c:pt>
                <c:pt idx="101">
                  <c:v>483.64</c:v>
                </c:pt>
                <c:pt idx="102">
                  <c:v>485.52</c:v>
                </c:pt>
                <c:pt idx="103">
                  <c:v>487.41</c:v>
                </c:pt>
                <c:pt idx="104">
                  <c:v>489.31</c:v>
                </c:pt>
                <c:pt idx="105">
                  <c:v>489.31</c:v>
                </c:pt>
                <c:pt idx="106">
                  <c:v>489.31</c:v>
                </c:pt>
                <c:pt idx="107">
                  <c:v>495.04</c:v>
                </c:pt>
                <c:pt idx="108">
                  <c:v>498.68</c:v>
                </c:pt>
                <c:pt idx="109">
                  <c:v>502.35</c:v>
                </c:pt>
                <c:pt idx="110">
                  <c:v>506.05</c:v>
                </c:pt>
                <c:pt idx="111">
                  <c:v>509.77</c:v>
                </c:pt>
                <c:pt idx="112">
                  <c:v>509.77</c:v>
                </c:pt>
                <c:pt idx="113">
                  <c:v>509.77</c:v>
                </c:pt>
                <c:pt idx="114">
                  <c:v>521.1</c:v>
                </c:pt>
                <c:pt idx="115">
                  <c:v>524.92999999999995</c:v>
                </c:pt>
                <c:pt idx="116">
                  <c:v>528.79</c:v>
                </c:pt>
                <c:pt idx="117">
                  <c:v>532.67999999999995</c:v>
                </c:pt>
                <c:pt idx="118">
                  <c:v>536.59</c:v>
                </c:pt>
                <c:pt idx="119">
                  <c:v>536.59</c:v>
                </c:pt>
                <c:pt idx="120">
                  <c:v>536.59</c:v>
                </c:pt>
                <c:pt idx="121">
                  <c:v>548.52</c:v>
                </c:pt>
                <c:pt idx="122">
                  <c:v>552.54999999999995</c:v>
                </c:pt>
                <c:pt idx="123">
                  <c:v>556.62</c:v>
                </c:pt>
                <c:pt idx="124">
                  <c:v>560.71</c:v>
                </c:pt>
                <c:pt idx="125">
                  <c:v>564.83000000000004</c:v>
                </c:pt>
                <c:pt idx="126">
                  <c:v>564.83000000000004</c:v>
                </c:pt>
                <c:pt idx="127">
                  <c:v>564.83000000000004</c:v>
                </c:pt>
                <c:pt idx="128">
                  <c:v>577.39</c:v>
                </c:pt>
                <c:pt idx="129">
                  <c:v>581.63</c:v>
                </c:pt>
                <c:pt idx="130">
                  <c:v>585.91</c:v>
                </c:pt>
                <c:pt idx="131">
                  <c:v>590.22</c:v>
                </c:pt>
                <c:pt idx="132">
                  <c:v>594.55999999999995</c:v>
                </c:pt>
                <c:pt idx="133">
                  <c:v>594.55999999999995</c:v>
                </c:pt>
                <c:pt idx="134">
                  <c:v>594.55999999999995</c:v>
                </c:pt>
                <c:pt idx="135">
                  <c:v>594.55999999999995</c:v>
                </c:pt>
                <c:pt idx="136">
                  <c:v>594.55999999999995</c:v>
                </c:pt>
                <c:pt idx="137">
                  <c:v>616.74</c:v>
                </c:pt>
                <c:pt idx="138">
                  <c:v>621.28</c:v>
                </c:pt>
                <c:pt idx="139">
                  <c:v>625.30999999999995</c:v>
                </c:pt>
                <c:pt idx="140">
                  <c:v>625.30999999999995</c:v>
                </c:pt>
                <c:pt idx="141">
                  <c:v>625.30999999999995</c:v>
                </c:pt>
                <c:pt idx="142">
                  <c:v>637.54</c:v>
                </c:pt>
                <c:pt idx="143">
                  <c:v>641.66999999999996</c:v>
                </c:pt>
                <c:pt idx="144">
                  <c:v>645.83000000000004</c:v>
                </c:pt>
                <c:pt idx="145">
                  <c:v>650.01</c:v>
                </c:pt>
                <c:pt idx="146">
                  <c:v>654.23</c:v>
                </c:pt>
                <c:pt idx="147">
                  <c:v>654.23</c:v>
                </c:pt>
                <c:pt idx="148">
                  <c:v>654.23</c:v>
                </c:pt>
                <c:pt idx="149">
                  <c:v>667.03</c:v>
                </c:pt>
                <c:pt idx="150">
                  <c:v>671.35</c:v>
                </c:pt>
                <c:pt idx="151">
                  <c:v>675.7</c:v>
                </c:pt>
                <c:pt idx="152">
                  <c:v>680.08</c:v>
                </c:pt>
                <c:pt idx="153">
                  <c:v>684.48</c:v>
                </c:pt>
                <c:pt idx="154">
                  <c:v>684.48</c:v>
                </c:pt>
                <c:pt idx="155">
                  <c:v>684.48</c:v>
                </c:pt>
                <c:pt idx="156">
                  <c:v>697.88</c:v>
                </c:pt>
                <c:pt idx="157">
                  <c:v>702.4</c:v>
                </c:pt>
                <c:pt idx="158">
                  <c:v>706.95</c:v>
                </c:pt>
                <c:pt idx="159">
                  <c:v>711.53</c:v>
                </c:pt>
                <c:pt idx="160">
                  <c:v>716.14</c:v>
                </c:pt>
                <c:pt idx="161">
                  <c:v>716.14</c:v>
                </c:pt>
                <c:pt idx="162">
                  <c:v>716.14</c:v>
                </c:pt>
                <c:pt idx="163">
                  <c:v>730.15</c:v>
                </c:pt>
                <c:pt idx="164">
                  <c:v>734.88</c:v>
                </c:pt>
                <c:pt idx="165">
                  <c:v>739.65</c:v>
                </c:pt>
                <c:pt idx="166">
                  <c:v>744.44</c:v>
                </c:pt>
                <c:pt idx="167">
                  <c:v>749.26</c:v>
                </c:pt>
                <c:pt idx="168">
                  <c:v>749.26</c:v>
                </c:pt>
                <c:pt idx="169">
                  <c:v>749.26</c:v>
                </c:pt>
                <c:pt idx="170">
                  <c:v>758.31</c:v>
                </c:pt>
                <c:pt idx="171">
                  <c:v>761.35</c:v>
                </c:pt>
                <c:pt idx="172">
                  <c:v>764.4</c:v>
                </c:pt>
                <c:pt idx="173">
                  <c:v>767.46</c:v>
                </c:pt>
                <c:pt idx="174">
                  <c:v>770.54</c:v>
                </c:pt>
                <c:pt idx="175">
                  <c:v>770.54</c:v>
                </c:pt>
                <c:pt idx="176">
                  <c:v>770.54</c:v>
                </c:pt>
                <c:pt idx="177">
                  <c:v>779.84</c:v>
                </c:pt>
                <c:pt idx="178">
                  <c:v>782.96</c:v>
                </c:pt>
                <c:pt idx="179">
                  <c:v>786.1</c:v>
                </c:pt>
                <c:pt idx="180">
                  <c:v>786.1</c:v>
                </c:pt>
                <c:pt idx="181">
                  <c:v>786.1</c:v>
                </c:pt>
                <c:pt idx="182">
                  <c:v>786.1</c:v>
                </c:pt>
                <c:pt idx="183">
                  <c:v>786.1</c:v>
                </c:pt>
                <c:pt idx="184">
                  <c:v>786.1</c:v>
                </c:pt>
                <c:pt idx="185">
                  <c:v>786.1</c:v>
                </c:pt>
                <c:pt idx="186">
                  <c:v>808.42</c:v>
                </c:pt>
                <c:pt idx="187">
                  <c:v>811.66</c:v>
                </c:pt>
                <c:pt idx="188">
                  <c:v>814.91</c:v>
                </c:pt>
                <c:pt idx="189">
                  <c:v>814.91</c:v>
                </c:pt>
                <c:pt idx="190">
                  <c:v>814.91</c:v>
                </c:pt>
                <c:pt idx="191">
                  <c:v>824.75</c:v>
                </c:pt>
                <c:pt idx="192">
                  <c:v>828.05</c:v>
                </c:pt>
                <c:pt idx="193">
                  <c:v>831.37</c:v>
                </c:pt>
                <c:pt idx="194">
                  <c:v>834.7</c:v>
                </c:pt>
                <c:pt idx="195">
                  <c:v>838.05</c:v>
                </c:pt>
                <c:pt idx="196">
                  <c:v>838.05</c:v>
                </c:pt>
                <c:pt idx="197">
                  <c:v>838.05</c:v>
                </c:pt>
                <c:pt idx="198">
                  <c:v>848.17</c:v>
                </c:pt>
                <c:pt idx="199">
                  <c:v>851.12</c:v>
                </c:pt>
                <c:pt idx="200">
                  <c:v>854.09</c:v>
                </c:pt>
                <c:pt idx="201">
                  <c:v>857.06</c:v>
                </c:pt>
                <c:pt idx="202">
                  <c:v>860.05</c:v>
                </c:pt>
                <c:pt idx="203">
                  <c:v>860.05</c:v>
                </c:pt>
                <c:pt idx="204">
                  <c:v>860.05</c:v>
                </c:pt>
                <c:pt idx="205">
                  <c:v>869.07</c:v>
                </c:pt>
                <c:pt idx="206">
                  <c:v>872.1</c:v>
                </c:pt>
                <c:pt idx="207">
                  <c:v>875.14</c:v>
                </c:pt>
                <c:pt idx="208">
                  <c:v>878.19</c:v>
                </c:pt>
                <c:pt idx="209">
                  <c:v>881.25</c:v>
                </c:pt>
                <c:pt idx="210">
                  <c:v>881.25</c:v>
                </c:pt>
                <c:pt idx="211">
                  <c:v>881.25</c:v>
                </c:pt>
                <c:pt idx="212">
                  <c:v>890.49</c:v>
                </c:pt>
                <c:pt idx="213" formatCode="General">
                  <c:v>893.6</c:v>
                </c:pt>
                <c:pt idx="214" formatCode="General">
                  <c:v>893.6</c:v>
                </c:pt>
                <c:pt idx="215" formatCode="General">
                  <c:v>899.84</c:v>
                </c:pt>
                <c:pt idx="216" formatCode="General">
                  <c:v>902.97</c:v>
                </c:pt>
                <c:pt idx="217" formatCode="General">
                  <c:v>902.97</c:v>
                </c:pt>
                <c:pt idx="218" formatCode="General">
                  <c:v>902.97</c:v>
                </c:pt>
                <c:pt idx="219" formatCode="General">
                  <c:v>912.45</c:v>
                </c:pt>
                <c:pt idx="220" formatCode="General">
                  <c:v>915.62</c:v>
                </c:pt>
                <c:pt idx="221" formatCode="General">
                  <c:v>918.82</c:v>
                </c:pt>
                <c:pt idx="222" formatCode="General">
                  <c:v>922.02</c:v>
                </c:pt>
                <c:pt idx="223" formatCode="General">
                  <c:v>925.23</c:v>
                </c:pt>
                <c:pt idx="224" formatCode="General">
                  <c:v>925.23</c:v>
                </c:pt>
                <c:pt idx="225" formatCode="General">
                  <c:v>925.23</c:v>
                </c:pt>
                <c:pt idx="226" formatCode="General">
                  <c:v>934.94</c:v>
                </c:pt>
                <c:pt idx="227" formatCode="General">
                  <c:v>938.19</c:v>
                </c:pt>
                <c:pt idx="228" formatCode="General">
                  <c:v>941.46</c:v>
                </c:pt>
                <c:pt idx="229" formatCode="General">
                  <c:v>944.03</c:v>
                </c:pt>
                <c:pt idx="230" formatCode="General">
                  <c:v>946.6</c:v>
                </c:pt>
                <c:pt idx="231" formatCode="General">
                  <c:v>946.6</c:v>
                </c:pt>
                <c:pt idx="232" formatCode="General">
                  <c:v>946.6</c:v>
                </c:pt>
                <c:pt idx="233" formatCode="General">
                  <c:v>954.36</c:v>
                </c:pt>
                <c:pt idx="234" formatCode="General">
                  <c:v>956.96</c:v>
                </c:pt>
                <c:pt idx="235" formatCode="General">
                  <c:v>959.57</c:v>
                </c:pt>
                <c:pt idx="236" formatCode="General">
                  <c:v>962.18</c:v>
                </c:pt>
                <c:pt idx="237" formatCode="General">
                  <c:v>964.8</c:v>
                </c:pt>
                <c:pt idx="238" formatCode="General">
                  <c:v>964.8</c:v>
                </c:pt>
                <c:pt idx="239" formatCode="General">
                  <c:v>964.8</c:v>
                </c:pt>
                <c:pt idx="240" formatCode="General">
                  <c:v>972.71</c:v>
                </c:pt>
                <c:pt idx="241" formatCode="General">
                  <c:v>975.36</c:v>
                </c:pt>
                <c:pt idx="242" formatCode="General">
                  <c:v>978.02</c:v>
                </c:pt>
                <c:pt idx="243" formatCode="General">
                  <c:v>980.68</c:v>
                </c:pt>
                <c:pt idx="244" formatCode="General">
                  <c:v>983.35</c:v>
                </c:pt>
                <c:pt idx="245" formatCode="General">
                  <c:v>983.35</c:v>
                </c:pt>
                <c:pt idx="246" formatCode="General">
                  <c:v>983.35</c:v>
                </c:pt>
                <c:pt idx="247" formatCode="General">
                  <c:v>991.41</c:v>
                </c:pt>
                <c:pt idx="248" formatCode="General">
                  <c:v>994.11</c:v>
                </c:pt>
                <c:pt idx="249" formatCode="General">
                  <c:v>996.82</c:v>
                </c:pt>
                <c:pt idx="250" formatCode="General">
                  <c:v>999.54</c:v>
                </c:pt>
                <c:pt idx="251" formatCode="#,##0.00">
                  <c:v>1002.26</c:v>
                </c:pt>
                <c:pt idx="252" formatCode="#,##0.00">
                  <c:v>1002.26</c:v>
                </c:pt>
                <c:pt idx="253" formatCode="#,##0.00">
                  <c:v>1002.26</c:v>
                </c:pt>
                <c:pt idx="254" formatCode="#,##0.00">
                  <c:v>1010.47</c:v>
                </c:pt>
                <c:pt idx="255" formatCode="#,##0.00">
                  <c:v>1013.23</c:v>
                </c:pt>
                <c:pt idx="256" formatCode="#,##0.00">
                  <c:v>1015.99</c:v>
                </c:pt>
                <c:pt idx="257" formatCode="#,##0.00">
                  <c:v>1018.75</c:v>
                </c:pt>
                <c:pt idx="258" formatCode="#,##0.00">
                  <c:v>1021.53</c:v>
                </c:pt>
                <c:pt idx="259" formatCode="#,##0.00">
                  <c:v>1021.53</c:v>
                </c:pt>
                <c:pt idx="260" formatCode="#,##0.00">
                  <c:v>1021.53</c:v>
                </c:pt>
                <c:pt idx="261" formatCode="#,##0.00">
                  <c:v>1021.53</c:v>
                </c:pt>
                <c:pt idx="262" formatCode="#,##0.00">
                  <c:v>1028.54</c:v>
                </c:pt>
                <c:pt idx="263" formatCode="#,##0.00">
                  <c:v>1029.95</c:v>
                </c:pt>
                <c:pt idx="264" formatCode="#,##0.00">
                  <c:v>1029.95</c:v>
                </c:pt>
                <c:pt idx="265" formatCode="#,##0.00">
                  <c:v>1029.95</c:v>
                </c:pt>
                <c:pt idx="266" formatCode="#,##0.00">
                  <c:v>1029.95</c:v>
                </c:pt>
                <c:pt idx="267" formatCode="#,##0.00">
                  <c:v>1029.95</c:v>
                </c:pt>
                <c:pt idx="268" formatCode="#,##0.00">
                  <c:v>1037.03</c:v>
                </c:pt>
                <c:pt idx="269" formatCode="#,##0.00">
                  <c:v>1038.46</c:v>
                </c:pt>
                <c:pt idx="270" formatCode="#,##0.00">
                  <c:v>1039.8800000000001</c:v>
                </c:pt>
                <c:pt idx="271" formatCode="#,##0.00">
                  <c:v>1041.31</c:v>
                </c:pt>
                <c:pt idx="272" formatCode="#,##0.00">
                  <c:v>1042.74</c:v>
                </c:pt>
                <c:pt idx="273" formatCode="#,##0.00">
                  <c:v>1042.74</c:v>
                </c:pt>
                <c:pt idx="274" formatCode="#,##0.00">
                  <c:v>1042.74</c:v>
                </c:pt>
                <c:pt idx="275" formatCode="#,##0.00">
                  <c:v>1047.04</c:v>
                </c:pt>
                <c:pt idx="276" formatCode="#,##0.00">
                  <c:v>1048.47</c:v>
                </c:pt>
                <c:pt idx="277" formatCode="#,##0.00">
                  <c:v>1049.9100000000001</c:v>
                </c:pt>
                <c:pt idx="278" formatCode="#,##0.00">
                  <c:v>1051.3499999999999</c:v>
                </c:pt>
                <c:pt idx="279" formatCode="#,##0.00">
                  <c:v>1052.8</c:v>
                </c:pt>
                <c:pt idx="280" formatCode="#,##0.00">
                  <c:v>1052.8</c:v>
                </c:pt>
                <c:pt idx="281" formatCode="#,##0.00">
                  <c:v>1052.8</c:v>
                </c:pt>
                <c:pt idx="282" formatCode="#,##0.00">
                  <c:v>1057.1400000000001</c:v>
                </c:pt>
                <c:pt idx="283" formatCode="#,##0.00">
                  <c:v>1057.1400000000001</c:v>
                </c:pt>
                <c:pt idx="284" formatCode="#,##0.00">
                  <c:v>1060.04</c:v>
                </c:pt>
                <c:pt idx="285" formatCode="#,##0.00">
                  <c:v>1061.5</c:v>
                </c:pt>
                <c:pt idx="286" formatCode="#,##0.00">
                  <c:v>1062.95</c:v>
                </c:pt>
                <c:pt idx="287" formatCode="#,##0.00">
                  <c:v>1062.95</c:v>
                </c:pt>
                <c:pt idx="288" formatCode="#,##0.00">
                  <c:v>1062.95</c:v>
                </c:pt>
                <c:pt idx="289" formatCode="#,##0.00">
                  <c:v>1067.33</c:v>
                </c:pt>
                <c:pt idx="290" formatCode="#,##0.00">
                  <c:v>1068.8800000000001</c:v>
                </c:pt>
                <c:pt idx="291" formatCode="#,##0.00">
                  <c:v>1070.44</c:v>
                </c:pt>
                <c:pt idx="292" formatCode="#,##0.00">
                  <c:v>1071.99</c:v>
                </c:pt>
                <c:pt idx="293" formatCode="#,##0.00">
                  <c:v>1073.55</c:v>
                </c:pt>
                <c:pt idx="294" formatCode="#,##0.00">
                  <c:v>1073.55</c:v>
                </c:pt>
                <c:pt idx="295" formatCode="#,##0.00">
                  <c:v>1073.55</c:v>
                </c:pt>
                <c:pt idx="296" formatCode="#,##0.00">
                  <c:v>1078.23</c:v>
                </c:pt>
                <c:pt idx="297" formatCode="#,##0.00">
                  <c:v>1079.79</c:v>
                </c:pt>
                <c:pt idx="298" formatCode="#,##0.00">
                  <c:v>1081.3599999999999</c:v>
                </c:pt>
                <c:pt idx="299" formatCode="#,##0.00">
                  <c:v>1082.93</c:v>
                </c:pt>
                <c:pt idx="300" formatCode="#,##0.00">
                  <c:v>1084.5</c:v>
                </c:pt>
                <c:pt idx="301" formatCode="#,##0.00">
                  <c:v>1084.5</c:v>
                </c:pt>
                <c:pt idx="302" formatCode="#,##0.00">
                  <c:v>1084.5</c:v>
                </c:pt>
                <c:pt idx="303" formatCode="#,##0.00">
                  <c:v>1089.23</c:v>
                </c:pt>
                <c:pt idx="304" formatCode="#,##0.00">
                  <c:v>1090.82</c:v>
                </c:pt>
                <c:pt idx="305" formatCode="#,##0.00">
                  <c:v>1092.4000000000001</c:v>
                </c:pt>
                <c:pt idx="306" formatCode="#,##0.00">
                  <c:v>1093.98</c:v>
                </c:pt>
                <c:pt idx="307" formatCode="#,##0.00">
                  <c:v>1095.57</c:v>
                </c:pt>
                <c:pt idx="308" formatCode="#,##0.00">
                  <c:v>1095.57</c:v>
                </c:pt>
                <c:pt idx="309" formatCode="#,##0.00">
                  <c:v>1095.57</c:v>
                </c:pt>
                <c:pt idx="310" formatCode="#,##0.00">
                  <c:v>1100.3499999999999</c:v>
                </c:pt>
                <c:pt idx="311" formatCode="#,##0.00">
                  <c:v>1101.95</c:v>
                </c:pt>
                <c:pt idx="312" formatCode="#,##0.00">
                  <c:v>1103.55</c:v>
                </c:pt>
                <c:pt idx="313" formatCode="#,##0.00">
                  <c:v>1105.1500000000001</c:v>
                </c:pt>
                <c:pt idx="314" formatCode="#,##0.00">
                  <c:v>1106.76</c:v>
                </c:pt>
                <c:pt idx="315" formatCode="#,##0.00">
                  <c:v>1106.76</c:v>
                </c:pt>
                <c:pt idx="316" formatCode="#,##0.00">
                  <c:v>1106.76</c:v>
                </c:pt>
                <c:pt idx="317" formatCode="#,##0.00">
                  <c:v>1111.58</c:v>
                </c:pt>
                <c:pt idx="318" formatCode="#,##0.00">
                  <c:v>1113.2</c:v>
                </c:pt>
                <c:pt idx="319" formatCode="#,##0.00">
                  <c:v>1114.81</c:v>
                </c:pt>
                <c:pt idx="320" formatCode="#,##0.00">
                  <c:v>1116.43</c:v>
                </c:pt>
                <c:pt idx="321" formatCode="#,##0.00">
                  <c:v>1117.8399999999999</c:v>
                </c:pt>
                <c:pt idx="322" formatCode="#,##0.00">
                  <c:v>1117.8399999999999</c:v>
                </c:pt>
                <c:pt idx="323" formatCode="#,##0.00">
                  <c:v>1117.8399999999999</c:v>
                </c:pt>
                <c:pt idx="324" formatCode="#,##0.00">
                  <c:v>1122.0999999999999</c:v>
                </c:pt>
                <c:pt idx="325" formatCode="#,##0.00">
                  <c:v>1123.52</c:v>
                </c:pt>
                <c:pt idx="326" formatCode="#,##0.00">
                  <c:v>1124.94</c:v>
                </c:pt>
                <c:pt idx="327" formatCode="#,##0.00">
                  <c:v>1126.3599999999999</c:v>
                </c:pt>
                <c:pt idx="328" formatCode="#,##0.00">
                  <c:v>1127.79</c:v>
                </c:pt>
                <c:pt idx="329" formatCode="#,##0.00">
                  <c:v>1127.79</c:v>
                </c:pt>
                <c:pt idx="330" formatCode="#,##0.00">
                  <c:v>1127.79</c:v>
                </c:pt>
                <c:pt idx="331" formatCode="#,##0.00">
                  <c:v>1132.08</c:v>
                </c:pt>
                <c:pt idx="332" formatCode="#,##0.00">
                  <c:v>1133.51</c:v>
                </c:pt>
                <c:pt idx="333" formatCode="#,##0.00">
                  <c:v>1134.95</c:v>
                </c:pt>
                <c:pt idx="334" formatCode="#,##0.00">
                  <c:v>1136.3800000000001</c:v>
                </c:pt>
                <c:pt idx="335" formatCode="#,##0.00">
                  <c:v>1137.82</c:v>
                </c:pt>
                <c:pt idx="336" formatCode="#,##0.00">
                  <c:v>1137.82</c:v>
                </c:pt>
                <c:pt idx="337" formatCode="#,##0.00">
                  <c:v>1137.82</c:v>
                </c:pt>
                <c:pt idx="338" formatCode="#,##0.00">
                  <c:v>1142.1500000000001</c:v>
                </c:pt>
                <c:pt idx="339" formatCode="#,##0.00">
                  <c:v>1143.5899999999999</c:v>
                </c:pt>
                <c:pt idx="340" formatCode="#,##0.00">
                  <c:v>1145.04</c:v>
                </c:pt>
                <c:pt idx="341" formatCode="#,##0.00">
                  <c:v>1146.49</c:v>
                </c:pt>
                <c:pt idx="342" formatCode="#,##0.00">
                  <c:v>1147.94</c:v>
                </c:pt>
                <c:pt idx="343" formatCode="#,##0.00">
                  <c:v>1147.94</c:v>
                </c:pt>
                <c:pt idx="344" formatCode="#,##0.00">
                  <c:v>1147.94</c:v>
                </c:pt>
                <c:pt idx="345" formatCode="#,##0.00">
                  <c:v>1152.31</c:v>
                </c:pt>
                <c:pt idx="346" formatCode="#,##0.00">
                  <c:v>1153.77</c:v>
                </c:pt>
                <c:pt idx="347" formatCode="#,##0.00">
                  <c:v>1155.23</c:v>
                </c:pt>
                <c:pt idx="348" formatCode="#,##0.00">
                  <c:v>1156.69</c:v>
                </c:pt>
                <c:pt idx="349" formatCode="#,##0.00">
                  <c:v>1158.1500000000001</c:v>
                </c:pt>
                <c:pt idx="350" formatCode="#,##0.00">
                  <c:v>1158.1500000000001</c:v>
                </c:pt>
                <c:pt idx="351" formatCode="#,##0.00">
                  <c:v>1158.1500000000001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76-45E7-899B-EA2B01501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2120943"/>
        <c:axId val="769886799"/>
      </c:lineChart>
      <c:dateAx>
        <c:axId val="622120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69886799"/>
        <c:crosses val="autoZero"/>
        <c:auto val="1"/>
        <c:lblOffset val="100"/>
        <c:baseTimeUnit val="days"/>
      </c:dateAx>
      <c:valAx>
        <c:axId val="76988679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2212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[TITULOS.xlsx]POR VTO.!TablaDinámica1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'POR VTO.'!$B$11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'POR VTO.'!$A$12:$A$42</c:f>
              <c:strCache>
                <c:ptCount val="30"/>
                <c:pt idx="0">
                  <c:v>3/11/25</c:v>
                </c:pt>
                <c:pt idx="1">
                  <c:v>4/11/25</c:v>
                </c:pt>
                <c:pt idx="2">
                  <c:v>5/11/25</c:v>
                </c:pt>
                <c:pt idx="3">
                  <c:v>7/11/25</c:v>
                </c:pt>
                <c:pt idx="4">
                  <c:v>10/11/25</c:v>
                </c:pt>
                <c:pt idx="5">
                  <c:v>11/11/25</c:v>
                </c:pt>
                <c:pt idx="6">
                  <c:v>12/11/25</c:v>
                </c:pt>
                <c:pt idx="7">
                  <c:v>13/11/25</c:v>
                </c:pt>
                <c:pt idx="8">
                  <c:v>14/11/25</c:v>
                </c:pt>
                <c:pt idx="9">
                  <c:v>17/11/25</c:v>
                </c:pt>
                <c:pt idx="10">
                  <c:v>18/11/25</c:v>
                </c:pt>
                <c:pt idx="11">
                  <c:v>19/11/25</c:v>
                </c:pt>
                <c:pt idx="12">
                  <c:v>20/11/25</c:v>
                </c:pt>
                <c:pt idx="13">
                  <c:v>25/11/25</c:v>
                </c:pt>
                <c:pt idx="14">
                  <c:v>26/11/25</c:v>
                </c:pt>
                <c:pt idx="15">
                  <c:v>27/11/25</c:v>
                </c:pt>
                <c:pt idx="16">
                  <c:v>28/11/25</c:v>
                </c:pt>
                <c:pt idx="17">
                  <c:v>1/12/25</c:v>
                </c:pt>
                <c:pt idx="18">
                  <c:v>2/12/25</c:v>
                </c:pt>
                <c:pt idx="19">
                  <c:v>3/12/25</c:v>
                </c:pt>
                <c:pt idx="20">
                  <c:v>4/12/25</c:v>
                </c:pt>
                <c:pt idx="21">
                  <c:v>5/12/25</c:v>
                </c:pt>
                <c:pt idx="22">
                  <c:v>9/12/25</c:v>
                </c:pt>
                <c:pt idx="23">
                  <c:v>10/12/25</c:v>
                </c:pt>
                <c:pt idx="24">
                  <c:v>11/12/25</c:v>
                </c:pt>
                <c:pt idx="25">
                  <c:v>12/12/25</c:v>
                </c:pt>
                <c:pt idx="26">
                  <c:v>15/12/25</c:v>
                </c:pt>
                <c:pt idx="27">
                  <c:v>16/12/25</c:v>
                </c:pt>
                <c:pt idx="28">
                  <c:v>17/12/25</c:v>
                </c:pt>
                <c:pt idx="29">
                  <c:v>12/1/26</c:v>
                </c:pt>
              </c:strCache>
            </c:strRef>
          </c:cat>
          <c:val>
            <c:numRef>
              <c:f>'POR VTO.'!$B$12:$B$42</c:f>
              <c:numCache>
                <c:formatCode>_ [$$-2C0A]\ * #,##0.00_ ;_ [$$-2C0A]\ * \-#,##0.00_ ;_ [$$-2C0A]\ * "-"??_ ;_ @_ </c:formatCode>
                <c:ptCount val="30"/>
                <c:pt idx="0">
                  <c:v>3602793.506849315</c:v>
                </c:pt>
                <c:pt idx="1">
                  <c:v>3156535.2054794519</c:v>
                </c:pt>
                <c:pt idx="2">
                  <c:v>3266257.5616438356</c:v>
                </c:pt>
                <c:pt idx="3">
                  <c:v>3113321.6164383558</c:v>
                </c:pt>
                <c:pt idx="4">
                  <c:v>4181926.0273972605</c:v>
                </c:pt>
                <c:pt idx="5">
                  <c:v>3150703.3424657537</c:v>
                </c:pt>
                <c:pt idx="6">
                  <c:v>3149828.0684931506</c:v>
                </c:pt>
                <c:pt idx="7">
                  <c:v>3145158.0821917807</c:v>
                </c:pt>
                <c:pt idx="8">
                  <c:v>3045445.1780821919</c:v>
                </c:pt>
                <c:pt idx="9">
                  <c:v>3077511.3013698636</c:v>
                </c:pt>
                <c:pt idx="10">
                  <c:v>3079573.493150685</c:v>
                </c:pt>
                <c:pt idx="11">
                  <c:v>3460294.9315068489</c:v>
                </c:pt>
                <c:pt idx="12">
                  <c:v>3088250.6849315069</c:v>
                </c:pt>
                <c:pt idx="13">
                  <c:v>3547450.9589041094</c:v>
                </c:pt>
                <c:pt idx="14">
                  <c:v>3531889.9178082189</c:v>
                </c:pt>
                <c:pt idx="15">
                  <c:v>3473498.8493150687</c:v>
                </c:pt>
                <c:pt idx="16">
                  <c:v>3269325.2602739721</c:v>
                </c:pt>
                <c:pt idx="17">
                  <c:v>3091837.5890410962</c:v>
                </c:pt>
                <c:pt idx="18">
                  <c:v>3091863.01369863</c:v>
                </c:pt>
                <c:pt idx="19">
                  <c:v>3026791.1232876708</c:v>
                </c:pt>
                <c:pt idx="20">
                  <c:v>3074416.0547945211</c:v>
                </c:pt>
                <c:pt idx="21">
                  <c:v>3282033.2328767125</c:v>
                </c:pt>
                <c:pt idx="22">
                  <c:v>3078502.4109589043</c:v>
                </c:pt>
                <c:pt idx="23">
                  <c:v>3018858.493150685</c:v>
                </c:pt>
                <c:pt idx="24">
                  <c:v>3040528.219178082</c:v>
                </c:pt>
                <c:pt idx="25">
                  <c:v>3060476.0547945206</c:v>
                </c:pt>
                <c:pt idx="26">
                  <c:v>3628946.8493150687</c:v>
                </c:pt>
                <c:pt idx="27">
                  <c:v>2598175.3424657532</c:v>
                </c:pt>
                <c:pt idx="28">
                  <c:v>915127.67123287672</c:v>
                </c:pt>
                <c:pt idx="29">
                  <c:v>1041356.1643835616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56-4913-A4CE-3BA3A2E1D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0812400"/>
        <c:axId val="1690793200"/>
      </c:barChart>
      <c:catAx>
        <c:axId val="169081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90793200"/>
        <c:crosses val="autoZero"/>
        <c:auto val="1"/>
        <c:lblAlgn val="ctr"/>
        <c:lblOffset val="100"/>
        <c:noMultiLvlLbl val="0"/>
      </c:catAx>
      <c:valAx>
        <c:axId val="169079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$-2C0A]\ * #,##0.00_ ;_ [$$-2C0A]\ * \-#,##0.00_ ;_ [$$-2C0A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9081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[TITULOS.xlsx]POR BANC!TablaDinámica2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'POR BANC'!$B$3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'POR BANC'!$A$4:$A$13</c:f>
              <c:strCache>
                <c:ptCount val="9"/>
                <c:pt idx="0">
                  <c:v>BBVA BANCO</c:v>
                </c:pt>
                <c:pt idx="1">
                  <c:v>BBVA BANCO BARBARA</c:v>
                </c:pt>
                <c:pt idx="2">
                  <c:v>BBVA BANCO RAMONA</c:v>
                </c:pt>
                <c:pt idx="3">
                  <c:v>BNA BANCO</c:v>
                </c:pt>
                <c:pt idx="4">
                  <c:v>BNA JUBIL. BANCO</c:v>
                </c:pt>
                <c:pt idx="5">
                  <c:v>BNA RAMONA</c:v>
                </c:pt>
                <c:pt idx="6">
                  <c:v>HSBC BANCO</c:v>
                </c:pt>
                <c:pt idx="7">
                  <c:v>HSBC BANCO MARIA</c:v>
                </c:pt>
                <c:pt idx="8">
                  <c:v>ITAU BANCO</c:v>
                </c:pt>
              </c:strCache>
            </c:strRef>
          </c:cat>
          <c:val>
            <c:numRef>
              <c:f>'POR BANC'!$B$4:$B$13</c:f>
              <c:numCache>
                <c:formatCode>_ [$$-2C0A]\ * #,##0.00_ ;_ [$$-2C0A]\ * \-#,##0.00_ ;_ [$$-2C0A]\ * "-"??_ ;_ @_ </c:formatCode>
                <c:ptCount val="9"/>
                <c:pt idx="0">
                  <c:v>6678632.6027397253</c:v>
                </c:pt>
                <c:pt idx="1">
                  <c:v>4252055.5890410962</c:v>
                </c:pt>
                <c:pt idx="2">
                  <c:v>4103689.8767123283</c:v>
                </c:pt>
                <c:pt idx="3">
                  <c:v>4815310.958904109</c:v>
                </c:pt>
                <c:pt idx="4">
                  <c:v>5248067.3287671227</c:v>
                </c:pt>
                <c:pt idx="5">
                  <c:v>2615432.3287671232</c:v>
                </c:pt>
                <c:pt idx="6">
                  <c:v>31867806.917808205</c:v>
                </c:pt>
                <c:pt idx="7">
                  <c:v>7885593.01369863</c:v>
                </c:pt>
                <c:pt idx="8">
                  <c:v>24822087.589041099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4-4443-B9F9-8C7A82A4CB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7693584"/>
        <c:axId val="1517695024"/>
      </c:barChart>
      <c:catAx>
        <c:axId val="151769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17695024"/>
        <c:crosses val="autoZero"/>
        <c:auto val="1"/>
        <c:lblAlgn val="ctr"/>
        <c:lblOffset val="100"/>
        <c:noMultiLvlLbl val="0"/>
      </c:catAx>
      <c:valAx>
        <c:axId val="15176950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$-2C0A]\ * #,##0.00_ ;_ [$$-2C0A]\ * \-#,##0.00_ ;_ [$$-2C0A]\ * &quot;-&quot;??_ ;_ @_ " sourceLinked="1"/>
        <c:majorTickMark val="none"/>
        <c:minorTickMark val="none"/>
        <c:tickLblPos val="nextTo"/>
        <c:crossAx val="151769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microsoft.com/office/2011/relationships/webextension" Target="../webextensions/webextension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image" Target="../media/image7.png"/><Relationship Id="rId1" Type="http://schemas.microsoft.com/office/2011/relationships/webextension" Target="../webextensions/webextension2.xml"/><Relationship Id="rId5" Type="http://schemas.openxmlformats.org/officeDocument/2006/relationships/image" Target="../media/image8.png"/><Relationship Id="rId4" Type="http://schemas.microsoft.com/office/2011/relationships/webextension" Target="../webextensions/webextension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hyperlink" Target="https://www.pcbanking2g.hsbc.com.ar/1/2/!ut/p/c1/04_SB8K8xLLM9MSSzPy8xBz9CP0os3gDd-NQv1BDg2AXA3cP_2CXMFMjAwgAykdiynsD2VB5oG4Td18LH293QwN3MzcLA8_QwGDDgCAXAwN3U-y6PVB0E7Y7LMjPy9nDz9XA0TDY3MLU2IA43X4e-bmp-gW5oaER5Y6KAJZxZC4!/dl2/d1/L2dJQSEvUUt3QS9ZQnB3LzZfMEczVU5VMTBTRDBHSE9TRDI2MjAwMDAwMDA!/?cmd_detail=&amp;term_deposit_number=0" TargetMode="Externa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cbanking2g.hsbc.com.ar/1/2/!ut/p/c1/04_SB8K8xLLM9MSSzPy8xBz9CP0os3gDd-NQv1BDg2AXA3cP_2CXMFMjAwgAykdiynsD2VB5oG4Td18LH293QwN3MzcLA8_QwGDDgCAXAwN3U-y6PVB0E7Y7LMjPy9nDz9XA0TDY3MLU2IA43X4e-bmp-gW5oaER5Y6KAJZxZC4!/dl2/d1/L2dJQSEvUUt3QS9ZQnB3LzZfMEczVU5VMTBTRDBHSE9TRDI2MjAwMDAwMDA!/?cmd_detail=&amp;term_deposit_number=1" TargetMode="External"/><Relationship Id="rId2" Type="http://schemas.openxmlformats.org/officeDocument/2006/relationships/image" Target="../media/image9.png"/><Relationship Id="rId1" Type="http://schemas.openxmlformats.org/officeDocument/2006/relationships/hyperlink" Target="https://www.pcbanking2g.hsbc.com.ar/1/2/!ut/p/c1/04_SB8K8xLLM9MSSzPy8xBz9CP0os3gDd-NQv1BDg2AXA3cP_2CXMFMjAwgAykdiynsD2VB5oG4Td18LH293QwN3MzcLA8_QwGDDgCAXAwN3U-y6PVB0E7Y7LMjPy9nDz9XA0TDY3MLU2IA43X4e-bmp-gW5oaER5Y6KAJZxZC4!/dl2/d1/L2dJQSEvUUt3QS9ZQnB3LzZfMEczVU5VMTBTRDBHSE9TRDI2MjAwMDAwMDA!/?cmd_detail=&amp;term_deposit_number=0" TargetMode="External"/><Relationship Id="rId4" Type="http://schemas.openxmlformats.org/officeDocument/2006/relationships/hyperlink" Target="https://www.pcbanking2g.hsbc.com.ar/1/2/!ut/p/c1/04_SB8K8xLLM9MSSzPy8xBz9CP0os3gDd-NQv1BDg2AXA3cP_2CXMFMjAwgAykdiynsD2VB5oG4Td18LH293QwN3MzcLA8_QwGDDgCAXAwN3U-y6PVB0E7Y7LMjPy9nDz9XA0TDY3MLU2IA43X4e-bmp-gW5oaER5Y6KAJZxZC4!/dl2/d1/L2dJQSEvUUt3QS9ZQnB3LzZfMEczVU5VMTBTRDBHSE9TRDI2MjAwMDAwMDA!/?cmd_detail=&amp;term_deposit_number=2" TargetMode="Externa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2.emf"/><Relationship Id="rId1" Type="http://schemas.openxmlformats.org/officeDocument/2006/relationships/image" Target="../media/image3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9522</xdr:rowOff>
    </xdr:from>
    <xdr:to>
      <xdr:col>31</xdr:col>
      <xdr:colOff>462643</xdr:colOff>
      <xdr:row>54</xdr:row>
      <xdr:rowOff>47625</xdr:rowOff>
    </xdr:to>
    <xdr:graphicFrame macro="">
      <xdr:nvGraphicFramePr>
        <xdr:cNvPr id="16102448" name="2 Gráfico">
          <a:extLst>
            <a:ext uri="{FF2B5EF4-FFF2-40B4-BE49-F238E27FC236}">
              <a16:creationId xmlns:a16="http://schemas.microsoft.com/office/drawing/2014/main" id="{00000000-0008-0000-0000-000030B4F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53</xdr:row>
      <xdr:rowOff>135211</xdr:rowOff>
    </xdr:from>
    <xdr:to>
      <xdr:col>24</xdr:col>
      <xdr:colOff>209549</xdr:colOff>
      <xdr:row>101</xdr:row>
      <xdr:rowOff>66674</xdr:rowOff>
    </xdr:to>
    <xdr:graphicFrame macro="">
      <xdr:nvGraphicFramePr>
        <xdr:cNvPr id="16102449" name="9 Gráfico">
          <a:extLst>
            <a:ext uri="{FF2B5EF4-FFF2-40B4-BE49-F238E27FC236}">
              <a16:creationId xmlns:a16="http://schemas.microsoft.com/office/drawing/2014/main" id="{00000000-0008-0000-0000-000031B4F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619125</xdr:colOff>
      <xdr:row>28</xdr:row>
      <xdr:rowOff>47625</xdr:rowOff>
    </xdr:from>
    <xdr:to>
      <xdr:col>15</xdr:col>
      <xdr:colOff>142875</xdr:colOff>
      <xdr:row>32</xdr:row>
      <xdr:rowOff>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 bwMode="auto">
        <a:xfrm flipH="1" flipV="1">
          <a:off x="10858500" y="4581525"/>
          <a:ext cx="238125" cy="600075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688098</xdr:colOff>
      <xdr:row>32</xdr:row>
      <xdr:rowOff>36676</xdr:rowOff>
    </xdr:from>
    <xdr:to>
      <xdr:col>16</xdr:col>
      <xdr:colOff>371474</xdr:colOff>
      <xdr:row>37</xdr:row>
      <xdr:rowOff>19051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0213098" y="5218276"/>
          <a:ext cx="1826501" cy="792000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Marzo 2017</a:t>
          </a:r>
        </a:p>
        <a:p>
          <a:r>
            <a:rPr lang="es-AR" sz="1100"/>
            <a:t>Blanqueo:</a:t>
          </a:r>
          <a:r>
            <a:rPr lang="es-AR" sz="1100" baseline="0"/>
            <a:t> se usaron u$s 225.000 en Bonos GJ17 y AA17</a:t>
          </a:r>
          <a:endParaRPr lang="es-AR" sz="1100"/>
        </a:p>
      </xdr:txBody>
    </xdr:sp>
    <xdr:clientData/>
  </xdr:twoCellAnchor>
  <xdr:twoCellAnchor>
    <xdr:from>
      <xdr:col>0</xdr:col>
      <xdr:colOff>142875</xdr:colOff>
      <xdr:row>98</xdr:row>
      <xdr:rowOff>104992</xdr:rowOff>
    </xdr:from>
    <xdr:to>
      <xdr:col>20</xdr:col>
      <xdr:colOff>285201</xdr:colOff>
      <xdr:row>160</xdr:row>
      <xdr:rowOff>53317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0.5996</cdr:x>
      <cdr:y>0.70758</cdr:y>
    </cdr:from>
    <cdr:to>
      <cdr:x>0.66421</cdr:x>
      <cdr:y>0.77261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13626842" y="6213995"/>
          <a:ext cx="1468369" cy="57109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34925">
          <a:solidFill>
            <a:srgbClr val="FF0000"/>
          </a:solidFill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100">
              <a:effectLst/>
              <a:latin typeface="+mn-lt"/>
              <a:ea typeface="+mn-ea"/>
              <a:cs typeface="+mn-cs"/>
            </a:rPr>
            <a:t>derrumbe por PASO 12/08/19</a:t>
          </a:r>
          <a:endParaRPr lang="es-AR">
            <a:effectLst/>
          </a:endParaRPr>
        </a:p>
      </cdr:txBody>
    </cdr:sp>
  </cdr:relSizeAnchor>
  <cdr:relSizeAnchor xmlns:cdr="http://schemas.openxmlformats.org/drawingml/2006/chartDrawing">
    <cdr:from>
      <cdr:x>0.62704</cdr:x>
      <cdr:y>0.61114</cdr:y>
    </cdr:from>
    <cdr:to>
      <cdr:x>0.63111</cdr:x>
      <cdr:y>0.70419</cdr:y>
    </cdr:to>
    <cdr:cxnSp macro="">
      <cdr:nvCxnSpPr>
        <cdr:cNvPr id="4" name="Conector recto de flecha 3">
          <a:extLst xmlns:a="http://schemas.openxmlformats.org/drawingml/2006/main">
            <a:ext uri="{FF2B5EF4-FFF2-40B4-BE49-F238E27FC236}">
              <a16:creationId xmlns:a16="http://schemas.microsoft.com/office/drawing/2014/main" id="{4ACAC29B-9925-A84A-8016-343355D0903B}"/>
            </a:ext>
          </a:extLst>
        </cdr:cNvPr>
        <cdr:cNvCxnSpPr/>
      </cdr:nvCxnSpPr>
      <cdr:spPr bwMode="auto">
        <a:xfrm xmlns:a="http://schemas.openxmlformats.org/drawingml/2006/main" flipV="1">
          <a:off x="14250608" y="5367101"/>
          <a:ext cx="92498" cy="817170"/>
        </a:xfrm>
        <a:prstGeom xmlns:a="http://schemas.openxmlformats.org/drawingml/2006/main" prst="straightConnector1">
          <a:avLst/>
        </a:prstGeom>
        <a:solidFill xmlns:a="http://schemas.openxmlformats.org/drawingml/2006/main">
          <a:srgbClr val="FFFFFF"/>
        </a:solidFill>
        <a:ln xmlns:a="http://schemas.openxmlformats.org/drawingml/2006/main"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 xmlns:a="http://schemas.openxmlformats.org/drawingml/2006/main"/>
      </cdr:spPr>
    </cdr:cxnSp>
  </cdr:relSizeAnchor>
  <cdr:relSizeAnchor xmlns:cdr="http://schemas.openxmlformats.org/drawingml/2006/chartDrawing">
    <cdr:from>
      <cdr:x>0.67064</cdr:x>
      <cdr:y>0.66301</cdr:y>
    </cdr:from>
    <cdr:to>
      <cdr:x>0.71773</cdr:x>
      <cdr:y>0.69493</cdr:y>
    </cdr:to>
    <cdr:cxnSp macro="">
      <cdr:nvCxnSpPr>
        <cdr:cNvPr id="9" name="Conector recto de flecha 8">
          <a:extLst xmlns:a="http://schemas.openxmlformats.org/drawingml/2006/main">
            <a:ext uri="{FF2B5EF4-FFF2-40B4-BE49-F238E27FC236}">
              <a16:creationId xmlns:a16="http://schemas.microsoft.com/office/drawing/2014/main" id="{11EA0FC9-8E8C-D26C-5079-D0B33AE7449B}"/>
            </a:ext>
          </a:extLst>
        </cdr:cNvPr>
        <cdr:cNvCxnSpPr>
          <a:stCxn xmlns:a="http://schemas.openxmlformats.org/drawingml/2006/main" id="13" idx="0"/>
        </cdr:cNvCxnSpPr>
      </cdr:nvCxnSpPr>
      <cdr:spPr bwMode="auto">
        <a:xfrm xmlns:a="http://schemas.openxmlformats.org/drawingml/2006/main" flipH="1" flipV="1">
          <a:off x="15241490" y="5822587"/>
          <a:ext cx="1070198" cy="280324"/>
        </a:xfrm>
        <a:prstGeom xmlns:a="http://schemas.openxmlformats.org/drawingml/2006/main" prst="straightConnector1">
          <a:avLst/>
        </a:prstGeom>
        <a:solidFill xmlns:a="http://schemas.openxmlformats.org/drawingml/2006/main">
          <a:srgbClr val="FFFFFF"/>
        </a:solidFill>
        <a:ln xmlns:a="http://schemas.openxmlformats.org/drawingml/2006/main"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 xmlns:a="http://schemas.openxmlformats.org/drawingml/2006/main"/>
      </cdr:spPr>
    </cdr:cxnSp>
  </cdr:relSizeAnchor>
  <cdr:relSizeAnchor xmlns:cdr="http://schemas.openxmlformats.org/drawingml/2006/chartDrawing">
    <cdr:from>
      <cdr:x>0.68213</cdr:x>
      <cdr:y>0.69493</cdr:y>
    </cdr:from>
    <cdr:to>
      <cdr:x>0.75334</cdr:x>
      <cdr:y>0.75646</cdr:y>
    </cdr:to>
    <cdr:sp macro="" textlink="">
      <cdr:nvSpPr>
        <cdr:cNvPr id="13" name="CuadroTexto 12"/>
        <cdr:cNvSpPr txBox="1"/>
      </cdr:nvSpPr>
      <cdr:spPr>
        <a:xfrm xmlns:a="http://schemas.openxmlformats.org/drawingml/2006/main">
          <a:off x="15502619" y="6102911"/>
          <a:ext cx="1618365" cy="54035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38100">
          <a:solidFill>
            <a:srgbClr val="FF0000"/>
          </a:solidFill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MX" sz="1100"/>
            <a:t>ENERO</a:t>
          </a:r>
          <a:r>
            <a:rPr lang="es-MX" sz="1100" baseline="0"/>
            <a:t> 2020</a:t>
          </a:r>
        </a:p>
        <a:p xmlns:a="http://schemas.openxmlformats.org/drawingml/2006/main">
          <a:r>
            <a:rPr lang="es-MX" sz="1100" baseline="0"/>
            <a:t>CORONAVIRUS</a:t>
          </a:r>
          <a:endParaRPr lang="es-MX" sz="1100"/>
        </a:p>
      </cdr:txBody>
    </cdr:sp>
  </cdr:relSizeAnchor>
  <cdr:relSizeAnchor xmlns:cdr="http://schemas.openxmlformats.org/drawingml/2006/chartDrawing">
    <cdr:from>
      <cdr:x>0.80536</cdr:x>
      <cdr:y>0.64066</cdr:y>
    </cdr:from>
    <cdr:to>
      <cdr:x>0.87657</cdr:x>
      <cdr:y>0.70219</cdr:y>
    </cdr:to>
    <cdr:sp macro="" textlink="">
      <cdr:nvSpPr>
        <cdr:cNvPr id="3" name="CuadroTexto 1">
          <a:extLst xmlns:a="http://schemas.openxmlformats.org/drawingml/2006/main">
            <a:ext uri="{FF2B5EF4-FFF2-40B4-BE49-F238E27FC236}">
              <a16:creationId xmlns:a16="http://schemas.microsoft.com/office/drawing/2014/main" id="{A535DB29-228B-1813-9044-30A65A825DE2}"/>
            </a:ext>
          </a:extLst>
        </cdr:cNvPr>
        <cdr:cNvSpPr txBox="1"/>
      </cdr:nvSpPr>
      <cdr:spPr>
        <a:xfrm xmlns:a="http://schemas.openxmlformats.org/drawingml/2006/main">
          <a:off x="18303081" y="5791100"/>
          <a:ext cx="1618365" cy="5561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38100">
          <a:solidFill>
            <a:srgbClr val="FF0000"/>
          </a:solidFill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/>
            <a:t>INFLACION INTERNACIONAL</a:t>
          </a:r>
        </a:p>
      </cdr:txBody>
    </cdr:sp>
  </cdr:relSizeAnchor>
  <cdr:relSizeAnchor xmlns:cdr="http://schemas.openxmlformats.org/drawingml/2006/chartDrawing">
    <cdr:from>
      <cdr:x>0.83141</cdr:x>
      <cdr:y>0.61012</cdr:y>
    </cdr:from>
    <cdr:to>
      <cdr:x>0.83351</cdr:x>
      <cdr:y>0.63909</cdr:y>
    </cdr:to>
    <cdr:cxnSp macro="">
      <cdr:nvCxnSpPr>
        <cdr:cNvPr id="6" name="Conector recto de flecha 5">
          <a:extLst xmlns:a="http://schemas.openxmlformats.org/drawingml/2006/main">
            <a:ext uri="{FF2B5EF4-FFF2-40B4-BE49-F238E27FC236}">
              <a16:creationId xmlns:a16="http://schemas.microsoft.com/office/drawing/2014/main" id="{22EAB3B4-2ABF-3576-557E-4E99217F56E3}"/>
            </a:ext>
          </a:extLst>
        </cdr:cNvPr>
        <cdr:cNvCxnSpPr/>
      </cdr:nvCxnSpPr>
      <cdr:spPr bwMode="auto">
        <a:xfrm xmlns:a="http://schemas.openxmlformats.org/drawingml/2006/main" flipH="1" flipV="1">
          <a:off x="18895219" y="5514978"/>
          <a:ext cx="47625" cy="261937"/>
        </a:xfrm>
        <a:prstGeom xmlns:a="http://schemas.openxmlformats.org/drawingml/2006/main" prst="straightConnector1">
          <a:avLst/>
        </a:prstGeom>
        <a:solidFill xmlns:a="http://schemas.openxmlformats.org/drawingml/2006/main">
          <a:srgbClr val="FFFFFF"/>
        </a:solidFill>
        <a:ln xmlns:a="http://schemas.openxmlformats.org/drawingml/2006/main"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 xmlns:a="http://schemas.openxmlformats.org/drawingml/2006/main"/>
      </cdr:spPr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47</xdr:row>
      <xdr:rowOff>0</xdr:rowOff>
    </xdr:from>
    <xdr:to>
      <xdr:col>0</xdr:col>
      <xdr:colOff>152400</xdr:colOff>
      <xdr:row>47</xdr:row>
      <xdr:rowOff>19050</xdr:rowOff>
    </xdr:to>
    <xdr:pic>
      <xdr:nvPicPr>
        <xdr:cNvPr id="16084490" name="Picture 986" descr="http://cohen.com.ar/images/pixel.gif">
          <a:extLst>
            <a:ext uri="{FF2B5EF4-FFF2-40B4-BE49-F238E27FC236}">
              <a16:creationId xmlns:a16="http://schemas.microsoft.com/office/drawing/2014/main" id="{00000000-0008-0000-0100-00000A6EF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82075"/>
          <a:ext cx="1524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9525</xdr:colOff>
      <xdr:row>175</xdr:row>
      <xdr:rowOff>19050</xdr:rowOff>
    </xdr:to>
    <xdr:pic>
      <xdr:nvPicPr>
        <xdr:cNvPr id="16084491" name="Picture 987" descr="http://cohen.com.ar/../images/pixel.gif">
          <a:extLst>
            <a:ext uri="{FF2B5EF4-FFF2-40B4-BE49-F238E27FC236}">
              <a16:creationId xmlns:a16="http://schemas.microsoft.com/office/drawing/2014/main" id="{00000000-0008-0000-0100-00000B6EF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54520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152400</xdr:colOff>
      <xdr:row>47</xdr:row>
      <xdr:rowOff>19050</xdr:rowOff>
    </xdr:to>
    <xdr:pic>
      <xdr:nvPicPr>
        <xdr:cNvPr id="16084492" name="Picture 1024" descr="http://cohen.com.ar/images/pixel.gif">
          <a:extLst>
            <a:ext uri="{FF2B5EF4-FFF2-40B4-BE49-F238E27FC236}">
              <a16:creationId xmlns:a16="http://schemas.microsoft.com/office/drawing/2014/main" id="{00000000-0008-0000-0100-00000C6EF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82075"/>
          <a:ext cx="1524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9525</xdr:colOff>
      <xdr:row>47</xdr:row>
      <xdr:rowOff>19050</xdr:rowOff>
    </xdr:to>
    <xdr:pic>
      <xdr:nvPicPr>
        <xdr:cNvPr id="16084493" name="Picture 1025" descr="http://cohen.com.ar/../images/pixel.gif">
          <a:extLst>
            <a:ext uri="{FF2B5EF4-FFF2-40B4-BE49-F238E27FC236}">
              <a16:creationId xmlns:a16="http://schemas.microsoft.com/office/drawing/2014/main" id="{00000000-0008-0000-0100-00000D6EF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7625" y="8982075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152400</xdr:colOff>
      <xdr:row>47</xdr:row>
      <xdr:rowOff>19050</xdr:rowOff>
    </xdr:to>
    <xdr:pic>
      <xdr:nvPicPr>
        <xdr:cNvPr id="16084494" name="Picture 1024" descr="http://cohen.com.ar/images/pixel.gif">
          <a:extLst>
            <a:ext uri="{FF2B5EF4-FFF2-40B4-BE49-F238E27FC236}">
              <a16:creationId xmlns:a16="http://schemas.microsoft.com/office/drawing/2014/main" id="{00000000-0008-0000-0100-00000E6EF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82075"/>
          <a:ext cx="1524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9525</xdr:colOff>
      <xdr:row>47</xdr:row>
      <xdr:rowOff>19050</xdr:rowOff>
    </xdr:to>
    <xdr:pic>
      <xdr:nvPicPr>
        <xdr:cNvPr id="16084495" name="Picture 1025" descr="http://cohen.com.ar/../images/pixel.gif">
          <a:extLst>
            <a:ext uri="{FF2B5EF4-FFF2-40B4-BE49-F238E27FC236}">
              <a16:creationId xmlns:a16="http://schemas.microsoft.com/office/drawing/2014/main" id="{00000000-0008-0000-0100-00000F6EF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7625" y="8982075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1285875</xdr:colOff>
      <xdr:row>13</xdr:row>
      <xdr:rowOff>19050</xdr:rowOff>
    </xdr:from>
    <xdr:to>
      <xdr:col>5</xdr:col>
      <xdr:colOff>390525</xdr:colOff>
      <xdr:row>32</xdr:row>
      <xdr:rowOff>161925</xdr:rowOff>
    </xdr:to>
    <xdr:graphicFrame macro="">
      <xdr:nvGraphicFramePr>
        <xdr:cNvPr id="16084496" name="21 Gráfico">
          <a:extLst>
            <a:ext uri="{FF2B5EF4-FFF2-40B4-BE49-F238E27FC236}">
              <a16:creationId xmlns:a16="http://schemas.microsoft.com/office/drawing/2014/main" id="{00000000-0008-0000-0100-0000106EF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152400</xdr:colOff>
      <xdr:row>78</xdr:row>
      <xdr:rowOff>9525</xdr:rowOff>
    </xdr:to>
    <xdr:sp macro="" textlink="">
      <xdr:nvSpPr>
        <xdr:cNvPr id="16084497" name="AutoShape 1290" descr="http://www.cohen.com.ar/images/pixel.gif">
          <a:extLst>
            <a:ext uri="{FF2B5EF4-FFF2-40B4-BE49-F238E27FC236}">
              <a16:creationId xmlns:a16="http://schemas.microsoft.com/office/drawing/2014/main" id="{00000000-0008-0000-0100-0000116EF500}"/>
            </a:ext>
          </a:extLst>
        </xdr:cNvPr>
        <xdr:cNvSpPr>
          <a:spLocks noChangeAspect="1" noChangeArrowheads="1"/>
        </xdr:cNvSpPr>
      </xdr:nvSpPr>
      <xdr:spPr bwMode="auto">
        <a:xfrm>
          <a:off x="7667625" y="15944850"/>
          <a:ext cx="1524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409575</xdr:colOff>
      <xdr:row>486</xdr:row>
      <xdr:rowOff>180974</xdr:rowOff>
    </xdr:from>
    <xdr:to>
      <xdr:col>7</xdr:col>
      <xdr:colOff>1000125</xdr:colOff>
      <xdr:row>491</xdr:row>
      <xdr:rowOff>142874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7773650" y="73028174"/>
          <a:ext cx="1543050" cy="962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SE TRANSFIRIERON</a:t>
          </a:r>
          <a:r>
            <a:rPr lang="es-AR" sz="1100" baseline="0"/>
            <a:t> LOS BONOS EN DOLARES (AL OFICIAL), AL LIBRE LLEVANDOLOS AL EXTERIOR</a:t>
          </a:r>
          <a:endParaRPr lang="es-A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224</xdr:row>
          <xdr:rowOff>31750</xdr:rowOff>
        </xdr:from>
        <xdr:to>
          <xdr:col>3</xdr:col>
          <xdr:colOff>1320800</xdr:colOff>
          <xdr:row>225</xdr:row>
          <xdr:rowOff>63500</xdr:rowOff>
        </xdr:to>
        <xdr:sp macro="" textlink="">
          <xdr:nvSpPr>
            <xdr:cNvPr id="4940800" name="Control 6144" hidden="1">
              <a:extLst>
                <a:ext uri="{63B3BB69-23CF-44E3-9099-C40C66FF867C}">
                  <a14:compatExt spid="_x0000_s4940800"/>
                </a:ext>
                <a:ext uri="{FF2B5EF4-FFF2-40B4-BE49-F238E27FC236}">
                  <a16:creationId xmlns:a16="http://schemas.microsoft.com/office/drawing/2014/main" id="{00000000-0008-0000-0100-000000644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224</xdr:row>
          <xdr:rowOff>31750</xdr:rowOff>
        </xdr:from>
        <xdr:to>
          <xdr:col>2</xdr:col>
          <xdr:colOff>914400</xdr:colOff>
          <xdr:row>225</xdr:row>
          <xdr:rowOff>63500</xdr:rowOff>
        </xdr:to>
        <xdr:sp macro="" textlink="">
          <xdr:nvSpPr>
            <xdr:cNvPr id="4940801" name="Control 6145" hidden="1">
              <a:extLst>
                <a:ext uri="{63B3BB69-23CF-44E3-9099-C40C66FF867C}">
                  <a14:compatExt spid="_x0000_s4940801"/>
                </a:ext>
                <a:ext uri="{FF2B5EF4-FFF2-40B4-BE49-F238E27FC236}">
                  <a16:creationId xmlns:a16="http://schemas.microsoft.com/office/drawing/2014/main" id="{00000000-0008-0000-0100-000001644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224</xdr:row>
          <xdr:rowOff>31750</xdr:rowOff>
        </xdr:from>
        <xdr:to>
          <xdr:col>3</xdr:col>
          <xdr:colOff>768350</xdr:colOff>
          <xdr:row>225</xdr:row>
          <xdr:rowOff>95250</xdr:rowOff>
        </xdr:to>
        <xdr:sp macro="" textlink="">
          <xdr:nvSpPr>
            <xdr:cNvPr id="4940802" name="Control 6146" hidden="1">
              <a:extLst>
                <a:ext uri="{63B3BB69-23CF-44E3-9099-C40C66FF867C}">
                  <a14:compatExt spid="_x0000_s4940802"/>
                </a:ext>
                <a:ext uri="{FF2B5EF4-FFF2-40B4-BE49-F238E27FC236}">
                  <a16:creationId xmlns:a16="http://schemas.microsoft.com/office/drawing/2014/main" id="{00000000-0008-0000-0100-000002644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224</xdr:row>
          <xdr:rowOff>31750</xdr:rowOff>
        </xdr:from>
        <xdr:to>
          <xdr:col>3</xdr:col>
          <xdr:colOff>1320800</xdr:colOff>
          <xdr:row>225</xdr:row>
          <xdr:rowOff>63500</xdr:rowOff>
        </xdr:to>
        <xdr:sp macro="" textlink="">
          <xdr:nvSpPr>
            <xdr:cNvPr id="4940803" name="Control 6147" hidden="1">
              <a:extLst>
                <a:ext uri="{63B3BB69-23CF-44E3-9099-C40C66FF867C}">
                  <a14:compatExt spid="_x0000_s4940803"/>
                </a:ext>
                <a:ext uri="{FF2B5EF4-FFF2-40B4-BE49-F238E27FC236}">
                  <a16:creationId xmlns:a16="http://schemas.microsoft.com/office/drawing/2014/main" id="{00000000-0008-0000-0100-000003644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224</xdr:row>
          <xdr:rowOff>31750</xdr:rowOff>
        </xdr:from>
        <xdr:to>
          <xdr:col>2</xdr:col>
          <xdr:colOff>914400</xdr:colOff>
          <xdr:row>225</xdr:row>
          <xdr:rowOff>63500</xdr:rowOff>
        </xdr:to>
        <xdr:sp macro="" textlink="">
          <xdr:nvSpPr>
            <xdr:cNvPr id="4940804" name="Control 6148" hidden="1">
              <a:extLst>
                <a:ext uri="{63B3BB69-23CF-44E3-9099-C40C66FF867C}">
                  <a14:compatExt spid="_x0000_s4940804"/>
                </a:ext>
                <a:ext uri="{FF2B5EF4-FFF2-40B4-BE49-F238E27FC236}">
                  <a16:creationId xmlns:a16="http://schemas.microsoft.com/office/drawing/2014/main" id="{00000000-0008-0000-0100-000004644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224</xdr:row>
          <xdr:rowOff>31750</xdr:rowOff>
        </xdr:from>
        <xdr:to>
          <xdr:col>3</xdr:col>
          <xdr:colOff>774700</xdr:colOff>
          <xdr:row>225</xdr:row>
          <xdr:rowOff>95250</xdr:rowOff>
        </xdr:to>
        <xdr:sp macro="" textlink="">
          <xdr:nvSpPr>
            <xdr:cNvPr id="4940805" name="Control 6149" hidden="1">
              <a:extLst>
                <a:ext uri="{63B3BB69-23CF-44E3-9099-C40C66FF867C}">
                  <a14:compatExt spid="_x0000_s4940805"/>
                </a:ext>
                <a:ext uri="{FF2B5EF4-FFF2-40B4-BE49-F238E27FC236}">
                  <a16:creationId xmlns:a16="http://schemas.microsoft.com/office/drawing/2014/main" id="{00000000-0008-0000-0100-000005644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12</xdr:col>
      <xdr:colOff>304800</xdr:colOff>
      <xdr:row>1015</xdr:row>
      <xdr:rowOff>133349</xdr:rowOff>
    </xdr:from>
    <xdr:to>
      <xdr:col>14</xdr:col>
      <xdr:colOff>438150</xdr:colOff>
      <xdr:row>1020</xdr:row>
      <xdr:rowOff>9525</xdr:rowOff>
    </xdr:to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5897225" y="204368399"/>
          <a:ext cx="2257425" cy="8763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CAIDA PARIDAD TITULOS ARGENTINOS, POR PROMESA FED INCREMENTO</a:t>
          </a:r>
          <a:r>
            <a:rPr lang="es-ES" sz="1100" baseline="0"/>
            <a:t> TASA EN EL PROXIMO DICIEMBRE</a:t>
          </a:r>
          <a:endParaRPr lang="es-ES" sz="1100"/>
        </a:p>
      </xdr:txBody>
    </xdr:sp>
    <xdr:clientData/>
  </xdr:twoCellAnchor>
  <xdr:twoCellAnchor>
    <xdr:from>
      <xdr:col>10</xdr:col>
      <xdr:colOff>657225</xdr:colOff>
      <xdr:row>1012</xdr:row>
      <xdr:rowOff>123825</xdr:rowOff>
    </xdr:from>
    <xdr:to>
      <xdr:col>12</xdr:col>
      <xdr:colOff>304800</xdr:colOff>
      <xdr:row>1017</xdr:row>
      <xdr:rowOff>171450</xdr:rowOff>
    </xdr:to>
    <xdr:cxnSp macro="">
      <xdr:nvCxnSpPr>
        <xdr:cNvPr id="16084500" name="6 Conector recto de flecha">
          <a:extLst>
            <a:ext uri="{FF2B5EF4-FFF2-40B4-BE49-F238E27FC236}">
              <a16:creationId xmlns:a16="http://schemas.microsoft.com/office/drawing/2014/main" id="{00000000-0008-0000-0100-0000146EF500}"/>
            </a:ext>
          </a:extLst>
        </xdr:cNvPr>
        <xdr:cNvCxnSpPr>
          <a:cxnSpLocks noChangeShapeType="1"/>
          <a:endCxn id="5" idx="1"/>
        </xdr:cNvCxnSpPr>
      </xdr:nvCxnSpPr>
      <xdr:spPr bwMode="auto">
        <a:xfrm>
          <a:off x="14297025" y="203758800"/>
          <a:ext cx="1600200" cy="10477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419100</xdr:colOff>
      <xdr:row>1026</xdr:row>
      <xdr:rowOff>66675</xdr:rowOff>
    </xdr:from>
    <xdr:to>
      <xdr:col>14</xdr:col>
      <xdr:colOff>552450</xdr:colOff>
      <xdr:row>1030</xdr:row>
      <xdr:rowOff>142876</xdr:rowOff>
    </xdr:to>
    <xdr:sp macro="" textlink="">
      <xdr:nvSpPr>
        <xdr:cNvPr id="19" name="18 CuadroTexto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16011525" y="206511525"/>
          <a:ext cx="2257425" cy="8763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SIGUIO CAIDA PARIDAD TITULOS ARGENTINOS, POR PROMESA FED INCREMENTO</a:t>
          </a:r>
          <a:r>
            <a:rPr lang="es-ES" sz="1100" baseline="0"/>
            <a:t> TASA EN EL PROXIMO DICIEMBRE</a:t>
          </a:r>
          <a:endParaRPr lang="es-ES" sz="1100"/>
        </a:p>
      </xdr:txBody>
    </xdr:sp>
    <xdr:clientData/>
  </xdr:twoCellAnchor>
  <xdr:twoCellAnchor>
    <xdr:from>
      <xdr:col>10</xdr:col>
      <xdr:colOff>723900</xdr:colOff>
      <xdr:row>1023</xdr:row>
      <xdr:rowOff>66675</xdr:rowOff>
    </xdr:from>
    <xdr:to>
      <xdr:col>12</xdr:col>
      <xdr:colOff>371475</xdr:colOff>
      <xdr:row>1028</xdr:row>
      <xdr:rowOff>114300</xdr:rowOff>
    </xdr:to>
    <xdr:cxnSp macro="">
      <xdr:nvCxnSpPr>
        <xdr:cNvPr id="16084502" name="6 Conector recto de flecha">
          <a:extLst>
            <a:ext uri="{FF2B5EF4-FFF2-40B4-BE49-F238E27FC236}">
              <a16:creationId xmlns:a16="http://schemas.microsoft.com/office/drawing/2014/main" id="{00000000-0008-0000-0100-0000166EF500}"/>
            </a:ext>
          </a:extLst>
        </xdr:cNvPr>
        <xdr:cNvCxnSpPr>
          <a:cxnSpLocks noChangeShapeType="1"/>
        </xdr:cNvCxnSpPr>
      </xdr:nvCxnSpPr>
      <xdr:spPr bwMode="auto">
        <a:xfrm>
          <a:off x="14363700" y="205911450"/>
          <a:ext cx="1600200" cy="10477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340</xdr:row>
      <xdr:rowOff>52386</xdr:rowOff>
    </xdr:from>
    <xdr:to>
      <xdr:col>21</xdr:col>
      <xdr:colOff>57150</xdr:colOff>
      <xdr:row>369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48</xdr:row>
      <xdr:rowOff>85725</xdr:rowOff>
    </xdr:from>
    <xdr:to>
      <xdr:col>6</xdr:col>
      <xdr:colOff>1466850</xdr:colOff>
      <xdr:row>61</xdr:row>
      <xdr:rowOff>57150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Complemento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Complemento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2466975</xdr:colOff>
      <xdr:row>0</xdr:row>
      <xdr:rowOff>0</xdr:rowOff>
    </xdr:from>
    <xdr:to>
      <xdr:col>1</xdr:col>
      <xdr:colOff>5372100</xdr:colOff>
      <xdr:row>11</xdr:row>
      <xdr:rowOff>95250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3" name="Complemento 2">
              <a:extLst>
                <a:ext uri="{FF2B5EF4-FFF2-40B4-BE49-F238E27FC236}">
                  <a16:creationId xmlns:a16="http://schemas.microsoft.com/office/drawing/2014/main" id="{1FD225F3-EFE6-43E5-89C2-5F11D66135FC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3" name="Complemento 2">
              <a:extLst>
                <a:ext uri="{FF2B5EF4-FFF2-40B4-BE49-F238E27FC236}">
                  <a16:creationId xmlns:a16="http://schemas.microsoft.com/office/drawing/2014/main" id="{1FD225F3-EFE6-43E5-89C2-5F11D66135F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>
    <xdr:from>
      <xdr:col>2</xdr:col>
      <xdr:colOff>295271</xdr:colOff>
      <xdr:row>11</xdr:row>
      <xdr:rowOff>142875</xdr:rowOff>
    </xdr:from>
    <xdr:to>
      <xdr:col>27</xdr:col>
      <xdr:colOff>374650</xdr:colOff>
      <xdr:row>82</xdr:row>
      <xdr:rowOff>31750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22ADA20-CF5F-F3A3-1C4F-D0CF86C63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200025</xdr:colOff>
      <xdr:row>1</xdr:row>
      <xdr:rowOff>38099</xdr:rowOff>
    </xdr:from>
    <xdr:to>
      <xdr:col>7</xdr:col>
      <xdr:colOff>752475</xdr:colOff>
      <xdr:row>10</xdr:row>
      <xdr:rowOff>76199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Complemento 1">
              <a:extLst>
                <a:ext uri="{FF2B5EF4-FFF2-40B4-BE49-F238E27FC236}">
                  <a16:creationId xmlns:a16="http://schemas.microsoft.com/office/drawing/2014/main" id="{345BCF2E-8363-4D90-BFC7-BC331E2D7F56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4"/>
            </a:graphicData>
          </a:graphic>
        </xdr:graphicFrame>
      </mc:Choice>
      <mc:Fallback>
        <xdr:pic>
          <xdr:nvPicPr>
            <xdr:cNvPr id="2" name="Complemento 1">
              <a:extLst>
                <a:ext uri="{FF2B5EF4-FFF2-40B4-BE49-F238E27FC236}">
                  <a16:creationId xmlns:a16="http://schemas.microsoft.com/office/drawing/2014/main" id="{345BCF2E-8363-4D90-BFC7-BC331E2D7F5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1401</xdr:row>
      <xdr:rowOff>0</xdr:rowOff>
    </xdr:from>
    <xdr:ext cx="104775" cy="171450"/>
    <xdr:pic>
      <xdr:nvPicPr>
        <xdr:cNvPr id="2" name="1 Imagen" descr="Detalle de Plazo Fij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92425" y="226856925"/>
          <a:ext cx="1047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0</xdr:colOff>
      <xdr:row>1401</xdr:row>
      <xdr:rowOff>0</xdr:rowOff>
    </xdr:from>
    <xdr:ext cx="104775" cy="171450"/>
    <xdr:pic>
      <xdr:nvPicPr>
        <xdr:cNvPr id="3" name="1 Imagen" descr="Detalle de Plazo Fij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92425" y="226856925"/>
          <a:ext cx="1047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161924</xdr:colOff>
      <xdr:row>2</xdr:row>
      <xdr:rowOff>9525</xdr:rowOff>
    </xdr:from>
    <xdr:to>
      <xdr:col>12</xdr:col>
      <xdr:colOff>685800</xdr:colOff>
      <xdr:row>22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07E33F-F7E5-3CF0-5E3D-19C6FED0F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296</xdr:row>
      <xdr:rowOff>0</xdr:rowOff>
    </xdr:from>
    <xdr:to>
      <xdr:col>19</xdr:col>
      <xdr:colOff>104775</xdr:colOff>
      <xdr:row>298</xdr:row>
      <xdr:rowOff>9525</xdr:rowOff>
    </xdr:to>
    <xdr:pic>
      <xdr:nvPicPr>
        <xdr:cNvPr id="16107776" name="1 Imagen" descr="Detalle de Plazo Fij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0C9F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287102550"/>
          <a:ext cx="1047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297</xdr:row>
      <xdr:rowOff>0</xdr:rowOff>
    </xdr:from>
    <xdr:to>
      <xdr:col>19</xdr:col>
      <xdr:colOff>104775</xdr:colOff>
      <xdr:row>298</xdr:row>
      <xdr:rowOff>9525</xdr:rowOff>
    </xdr:to>
    <xdr:pic>
      <xdr:nvPicPr>
        <xdr:cNvPr id="16107777" name="1 Imagen" descr="Detalle de Plazo Fij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1C9F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287264475"/>
          <a:ext cx="1047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298</xdr:row>
      <xdr:rowOff>0</xdr:rowOff>
    </xdr:from>
    <xdr:to>
      <xdr:col>19</xdr:col>
      <xdr:colOff>104775</xdr:colOff>
      <xdr:row>299</xdr:row>
      <xdr:rowOff>9525</xdr:rowOff>
    </xdr:to>
    <xdr:pic>
      <xdr:nvPicPr>
        <xdr:cNvPr id="16107778" name="1 Imagen" descr="Detalle de Plazo Fij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C9F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287426400"/>
          <a:ext cx="1047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300</xdr:row>
      <xdr:rowOff>0</xdr:rowOff>
    </xdr:from>
    <xdr:to>
      <xdr:col>19</xdr:col>
      <xdr:colOff>104775</xdr:colOff>
      <xdr:row>301</xdr:row>
      <xdr:rowOff>9525</xdr:rowOff>
    </xdr:to>
    <xdr:pic>
      <xdr:nvPicPr>
        <xdr:cNvPr id="16107779" name="2 Imagen" descr="Detalle de Plazo Fij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3C9F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287750250"/>
          <a:ext cx="1047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300</xdr:row>
      <xdr:rowOff>0</xdr:rowOff>
    </xdr:from>
    <xdr:to>
      <xdr:col>19</xdr:col>
      <xdr:colOff>104775</xdr:colOff>
      <xdr:row>301</xdr:row>
      <xdr:rowOff>9525</xdr:rowOff>
    </xdr:to>
    <xdr:pic>
      <xdr:nvPicPr>
        <xdr:cNvPr id="16107780" name="2 Imagen" descr="Detalle de Plazo Fij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4C9F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287750250"/>
          <a:ext cx="1047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302</xdr:row>
      <xdr:rowOff>0</xdr:rowOff>
    </xdr:from>
    <xdr:to>
      <xdr:col>19</xdr:col>
      <xdr:colOff>104775</xdr:colOff>
      <xdr:row>303</xdr:row>
      <xdr:rowOff>9525</xdr:rowOff>
    </xdr:to>
    <xdr:pic>
      <xdr:nvPicPr>
        <xdr:cNvPr id="16107781" name="1 Imagen" descr="Detalle de Plazo Fij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5C9F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288074100"/>
          <a:ext cx="1047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303</xdr:row>
      <xdr:rowOff>0</xdr:rowOff>
    </xdr:from>
    <xdr:to>
      <xdr:col>19</xdr:col>
      <xdr:colOff>104775</xdr:colOff>
      <xdr:row>304</xdr:row>
      <xdr:rowOff>9525</xdr:rowOff>
    </xdr:to>
    <xdr:pic>
      <xdr:nvPicPr>
        <xdr:cNvPr id="16107782" name="1 Imagen" descr="Detalle de Plazo Fij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6C9F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288236025"/>
          <a:ext cx="1047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305</xdr:row>
      <xdr:rowOff>0</xdr:rowOff>
    </xdr:from>
    <xdr:to>
      <xdr:col>19</xdr:col>
      <xdr:colOff>104775</xdr:colOff>
      <xdr:row>306</xdr:row>
      <xdr:rowOff>9525</xdr:rowOff>
    </xdr:to>
    <xdr:pic>
      <xdr:nvPicPr>
        <xdr:cNvPr id="16107783" name="1 Imagen" descr="Detalle de Plazo Fij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7C9F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288559875"/>
          <a:ext cx="1047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308</xdr:row>
      <xdr:rowOff>0</xdr:rowOff>
    </xdr:from>
    <xdr:to>
      <xdr:col>19</xdr:col>
      <xdr:colOff>104775</xdr:colOff>
      <xdr:row>309</xdr:row>
      <xdr:rowOff>9525</xdr:rowOff>
    </xdr:to>
    <xdr:pic>
      <xdr:nvPicPr>
        <xdr:cNvPr id="16107786" name="1 Imagen" descr="Detalle de Plazo Fij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AC9F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288721800"/>
          <a:ext cx="1047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309</xdr:row>
      <xdr:rowOff>0</xdr:rowOff>
    </xdr:from>
    <xdr:to>
      <xdr:col>19</xdr:col>
      <xdr:colOff>104775</xdr:colOff>
      <xdr:row>310</xdr:row>
      <xdr:rowOff>9525</xdr:rowOff>
    </xdr:to>
    <xdr:pic>
      <xdr:nvPicPr>
        <xdr:cNvPr id="16107787" name="1 Imagen" descr="Detalle de Plazo Fij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BC9F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288883725"/>
          <a:ext cx="1047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309</xdr:row>
      <xdr:rowOff>0</xdr:rowOff>
    </xdr:from>
    <xdr:to>
      <xdr:col>19</xdr:col>
      <xdr:colOff>104775</xdr:colOff>
      <xdr:row>310</xdr:row>
      <xdr:rowOff>9525</xdr:rowOff>
    </xdr:to>
    <xdr:pic>
      <xdr:nvPicPr>
        <xdr:cNvPr id="16107788" name="1 Imagen" descr="Detalle de Plazo Fij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CC9F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288883725"/>
          <a:ext cx="1047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311</xdr:row>
      <xdr:rowOff>0</xdr:rowOff>
    </xdr:from>
    <xdr:to>
      <xdr:col>19</xdr:col>
      <xdr:colOff>104775</xdr:colOff>
      <xdr:row>312</xdr:row>
      <xdr:rowOff>9525</xdr:rowOff>
    </xdr:to>
    <xdr:pic>
      <xdr:nvPicPr>
        <xdr:cNvPr id="16107789" name="2 Imagen" descr="Detalle de Plazo Fij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DC9F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289207575"/>
          <a:ext cx="1047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311</xdr:row>
      <xdr:rowOff>0</xdr:rowOff>
    </xdr:from>
    <xdr:to>
      <xdr:col>19</xdr:col>
      <xdr:colOff>104775</xdr:colOff>
      <xdr:row>312</xdr:row>
      <xdr:rowOff>9525</xdr:rowOff>
    </xdr:to>
    <xdr:pic>
      <xdr:nvPicPr>
        <xdr:cNvPr id="16107790" name="2 Imagen" descr="Detalle de Plazo Fij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EC9F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289207575"/>
          <a:ext cx="1047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313</xdr:row>
      <xdr:rowOff>0</xdr:rowOff>
    </xdr:from>
    <xdr:to>
      <xdr:col>19</xdr:col>
      <xdr:colOff>104775</xdr:colOff>
      <xdr:row>314</xdr:row>
      <xdr:rowOff>9525</xdr:rowOff>
    </xdr:to>
    <xdr:pic>
      <xdr:nvPicPr>
        <xdr:cNvPr id="16107791" name="3 Imagen" descr="Detalle de Plazo Fij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FC9F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289531425"/>
          <a:ext cx="1047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o arona" refreshedDate="45961.790515277775" createdVersion="8" refreshedVersion="8" minRefreshableVersion="3" recordCount="128" xr:uid="{521F7D08-7BE5-4028-9210-A37AC943985A}">
  <cacheSource type="worksheet">
    <worksheetSource name="Tabla1"/>
  </cacheSource>
  <cacheFields count="13">
    <cacheField name="FECHA" numFmtId="0">
      <sharedItems containsSemiMixedTypes="0" containsNonDate="0" containsDate="1" containsString="0" minDate="2025-09-12T00:00:00" maxDate="2025-11-01T00:00:00"/>
    </cacheField>
    <cacheField name="DEPOSITADO" numFmtId="0">
      <sharedItems containsSemiMixedTypes="0" containsString="0" containsNumber="1" containsInteger="1" minValue="10000" maxValue="1600000"/>
    </cacheField>
    <cacheField name="ACOBRAR" numFmtId="0">
      <sharedItems containsSemiMixedTypes="0" containsString="0" containsNumber="1" minValue="10021.917808219177" maxValue="2498878.3561643837"/>
    </cacheField>
    <cacheField name="VTO." numFmtId="0">
      <sharedItems containsSemiMixedTypes="0" containsNonDate="0" containsDate="1" containsString="0" minDate="1899-12-30T00:00:00" maxDate="2026-10-21T00:00:00" count="235">
        <d v="2025-11-03T00:00:00"/>
        <d v="2025-11-04T00:00:00"/>
        <d v="2025-11-05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5T00:00:00"/>
        <d v="2025-11-26T00:00:00"/>
        <d v="2025-11-27T00:00:00"/>
        <d v="2025-11-28T00:00:00"/>
        <d v="2025-12-01T00:00:00"/>
        <d v="2025-12-02T00:00:00"/>
        <d v="2025-12-03T00:00:00"/>
        <d v="2025-12-04T00:00:00"/>
        <d v="2025-12-05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6-01-12T00:00:00"/>
        <d v="1900-02-17T00:00:00" u="1"/>
        <d v="1900-02-18T00:00:00" u="1"/>
        <d v="2025-10-31T00:00:00" u="1"/>
        <d v="2025-10-30T00:00:00" u="1"/>
        <d v="2025-10-29T00:00:00" u="1"/>
        <d v="2025-10-28T00:00:00" u="1"/>
        <d v="2025-10-27T00:00:00" u="1"/>
        <d v="2025-10-24T00:00:00" u="1"/>
        <d v="2025-10-23T00:00:00" u="1"/>
        <d v="2025-10-22T00:00:00" u="1"/>
        <d v="2025-10-21T00:00:00" u="1"/>
        <d v="2025-10-20T00:00:00" u="1"/>
        <d v="2025-10-17T00:00:00" u="1"/>
        <d v="2025-10-16T00:00:00" u="1"/>
        <d v="2025-10-15T00:00:00" u="1"/>
        <d v="2025-10-14T00:00:00" u="1"/>
        <d v="2025-10-13T00:00:00" u="1"/>
        <d v="2025-10-09T00:00:00" u="1"/>
        <d v="2025-10-10T00:00:00" u="1"/>
        <d v="1900-02-16T00:00:00" u="1"/>
        <d v="2025-10-08T00:00:00" u="1"/>
        <d v="2025-10-07T00:00:00" u="1"/>
        <d v="2025-11-24T00:00:00" u="1"/>
        <d v="2025-10-06T00:00:00" u="1"/>
        <d v="2025-09-30T00:00:00" u="1"/>
        <d v="2025-10-01T00:00:00" u="1"/>
        <d v="2025-10-02T00:00:00" u="1"/>
        <d v="2025-10-03T00:00:00" u="1"/>
        <d v="2025-09-29T00:00:00" u="1"/>
        <d v="2025-09-26T00:00:00" u="1"/>
        <d v="2025-09-25T00:00:00" u="1"/>
        <d v="2025-09-24T00:00:00" u="1"/>
        <d v="2025-09-23T00:00:00" u="1"/>
        <d v="2025-09-22T00:00:00" u="1"/>
        <d v="2025-09-19T00:00:00" u="1"/>
        <d v="2025-09-18T00:00:00" u="1"/>
        <d v="1900-02-11T00:00:00" u="1"/>
        <d v="1900-02-12T00:00:00" u="1"/>
        <d v="2025-09-17T00:00:00" u="1"/>
        <d v="2025-09-16T00:00:00" u="1"/>
        <d v="2025-09-12T00:00:00" u="1"/>
        <d v="2025-09-15T00:00:00" u="1"/>
        <d v="2025-09-11T00:00:00" u="1"/>
        <d v="2025-09-10T00:00:00" u="1"/>
        <d v="2025-09-09T00:00:00" u="1"/>
        <d v="2025-09-08T00:00:00" u="1"/>
        <d v="2025-09-05T00:00:00" u="1"/>
        <d v="2025-10-25T00:00:00" u="1"/>
        <d v="1900-02-10T00:00:00" u="1"/>
        <d v="2025-09-04T00:00:00" u="1"/>
        <d v="2025-09-03T00:00:00" u="1"/>
        <d v="1900-02-09T00:00:00" u="1"/>
        <d v="1900-02-08T00:00:00" u="1"/>
        <d v="2026-10-20T00:00:00" u="1"/>
        <d v="2025-09-02T00:00:00" u="1"/>
        <d v="2025-09-01T00:00:00" u="1"/>
        <d v="2025-08-29T00:00:00" u="1"/>
        <d v="2025-08-28T00:00:00" u="1"/>
        <d v="2025-08-27T00:00:00" u="1"/>
        <d v="2025-08-26T00:00:00" u="1"/>
        <d v="2025-08-25T00:00:00" u="1"/>
        <d v="2025-08-22T00:00:00" u="1"/>
        <d v="2025-08-21T00:00:00" u="1"/>
        <d v="2025-08-20T00:00:00" u="1"/>
        <d v="2025-08-19T00:00:00" u="1"/>
        <d v="2025-08-18T00:00:00" u="1"/>
        <d v="2025-08-14T00:00:00" u="1"/>
        <d v="2025-08-13T00:00:00" u="1"/>
        <d v="2025-06-25T00:00:00" u="1"/>
        <d v="2025-08-12T00:00:00" u="1"/>
        <d v="2025-08-11T00:00:00" u="1"/>
        <d v="1899-12-30T00:00:00" u="1"/>
        <d v="1900-04-04T00:00:00" u="1"/>
        <d v="1900-02-03T00:00:00" u="1"/>
        <d v="2025-08-08T00:00:00" u="1"/>
        <d v="2025-08-08T12:00:00" u="1"/>
        <d v="2025-08-07T00:00:00" u="1"/>
        <d v="2025-11-15T00:00:00" u="1"/>
        <d v="2025-11-09T00:00:00" u="1"/>
        <d v="2025-09-06T00:00:00" u="1"/>
        <d v="2025-08-06T00:00:00" u="1"/>
        <d v="2025-08-05T00:00:00" u="1"/>
        <d v="2025-05-28T00:00:00" u="1"/>
        <d v="2025-08-04T00:00:00" u="1"/>
        <d v="2025-08-01T00:00:00" u="1"/>
        <d v="2025-08-31T00:00:00" u="1"/>
        <d v="2025-05-21T00:00:00" u="1"/>
        <d v="2025-07-29T00:00:00" u="1"/>
        <d v="2025-07-31T00:00:00" u="1"/>
        <d v="2025-07-30T00:00:00" u="1"/>
        <d v="2025-07-28T00:00:00" u="1"/>
        <d v="2025-07-25T00:00:00" u="1"/>
        <d v="2025-08-23T00:00:00" u="1"/>
        <d v="2025-07-23T00:00:00" u="1"/>
        <d v="2025-07-24T00:00:00" u="1"/>
        <d v="2025-07-22T00:00:00" u="1"/>
        <d v="2025-07-21T00:00:00" u="1"/>
        <d v="2025-07-19T00:00:00" u="1"/>
        <d v="2025-07-18T00:00:00" u="1"/>
        <d v="2025-07-17T00:00:00" u="1"/>
        <d v="2025-07-16T00:00:00" u="1"/>
        <d v="2025-07-11T00:00:00" u="1"/>
        <d v="2025-07-14T00:00:00" u="1"/>
        <d v="2025-07-15T00:00:00" u="1"/>
        <d v="2025-07-10T00:00:00" u="1"/>
        <d v="2025-07-08T00:00:00" u="1"/>
        <d v="2025-07-04T00:00:00" u="1"/>
        <d v="2025-07-07T00:00:00" u="1"/>
        <d v="2025-07-03T00:00:00" u="1"/>
        <d v="2025-07-02T00:00:00" u="1"/>
        <d v="2025-06-30T00:00:00" u="1"/>
        <d v="2025-07-01T00:00:00" u="1"/>
        <d v="2025-06-27T00:00:00" u="1"/>
        <d v="2025-06-26T00:00:00" u="1"/>
        <d v="2025-06-24T00:00:00" u="1"/>
        <d v="2025-06-19T00:00:00" u="1"/>
        <d v="2025-06-23T00:00:00" u="1"/>
        <d v="2025-06-18T00:00:00" u="1"/>
        <d v="2025-06-13T00:00:00" u="1"/>
        <d v="2025-06-17T00:00:00" u="1"/>
        <d v="2025-06-11T00:00:00" u="1"/>
        <d v="2025-06-12T00:00:00" u="1"/>
        <d v="2025-06-10T00:00:00" u="1"/>
        <d v="2025-06-09T00:00:00" u="1"/>
        <d v="2025-06-05T00:00:00" u="1"/>
        <d v="2025-06-06T00:00:00" u="1"/>
        <d v="2025-06-04T00:00:00" u="1"/>
        <d v="2025-06-03T00:00:00" u="1"/>
        <d v="2025-06-02T00:00:00" u="1"/>
        <d v="2025-05-30T00:00:00" u="1"/>
        <d v="2025-05-29T00:00:00" u="1"/>
        <d v="2025-05-15T00:00:00" u="1"/>
        <d v="2025-05-27T00:00:00" u="1"/>
        <d v="2025-05-26T00:00:00" u="1"/>
        <d v="2025-05-22T00:00:00" u="1"/>
        <d v="2025-05-19T00:00:00" u="1"/>
        <d v="2025-05-16T00:00:00" u="1"/>
        <d v="2025-05-14T00:00:00" u="1"/>
        <d v="2025-05-13T00:00:00" u="1"/>
        <d v="2025-05-12T00:00:00" u="1"/>
        <d v="2025-05-09T00:00:00" u="1"/>
        <d v="2025-05-08T00:00:00" u="1"/>
        <d v="2025-05-07T00:00:00" u="1"/>
        <d v="2025-05-06T00:00:00" u="1"/>
        <d v="2025-05-05T00:00:00" u="1"/>
        <d v="2025-04-30T00:00:00" u="1"/>
        <d v="2025-04-29T00:00:00" u="1"/>
        <d v="2025-04-28T00:00:00" u="1"/>
        <d v="2025-04-25T00:00:00" u="1"/>
        <d v="2025-04-24T00:00:00" u="1"/>
        <d v="2025-04-23T00:00:00" u="1"/>
        <d v="2025-04-22T00:00:00" u="1"/>
        <d v="2025-04-21T00:00:00" u="1"/>
        <d v="2025-04-16T00:00:00" u="1"/>
        <d v="2025-04-15T00:00:00" u="1"/>
        <d v="2025-04-12T00:00:00" u="1"/>
        <d v="2025-04-14T00:00:00" u="1"/>
        <d v="2025-04-10T00:00:00" u="1"/>
        <d v="2025-04-11T00:00:00" u="1"/>
        <d v="2025-04-09T00:00:00" u="1"/>
        <d v="2025-04-08T00:00:00" u="1"/>
        <d v="2025-07-06T00:00:00" u="1"/>
        <d v="2025-10-04T00:00:00" u="1"/>
        <d v="2025-04-05T00:00:00" u="1"/>
        <d v="2025-04-07T00:00:00" u="1"/>
        <d v="2025-04-04T00:00:00" u="1"/>
        <d v="2025-04-03T00:00:00" u="1"/>
        <d v="2025-04-02T00:00:00" u="1"/>
        <d v="2025-04-01T00:00:00" u="1"/>
        <d v="2025-03-31T00:00:00" u="1"/>
        <d v="2025-06-29T00:00:00" u="1"/>
        <d v="2025-03-28T00:00:00" u="1"/>
        <d v="2025-03-30T00:00:00" u="1"/>
        <d v="2025-05-02T00:00:00" u="1"/>
        <d v="2025-03-27T00:00:00" u="1"/>
        <d v="2025-03-26T00:00:00" u="1"/>
        <d v="2025-03-25T00:00:00" u="1"/>
        <d v="2025-03-19T00:00:00" u="1"/>
        <d v="2025-03-20T00:00:00" u="1"/>
        <d v="2025-03-21T00:00:00" u="1"/>
        <d v="2025-03-18T00:00:00" u="1"/>
        <d v="2025-04-17T00:00:00" u="1"/>
        <d v="2025-03-17T00:00:00" u="1"/>
        <d v="2025-03-13T00:00:00" u="1"/>
        <d v="2025-03-14T00:00:00" u="1"/>
        <d v="2025-03-12T00:00:00" u="1"/>
        <d v="2025-03-11T00:00:00" u="1"/>
        <d v="2025-03-10T00:00:00" u="1"/>
        <d v="2025-03-06T00:00:00" u="1"/>
        <d v="2025-03-08T00:00:00" u="1"/>
        <d v="1900-02-02T00:00:00" u="1"/>
        <d v="1900-02-04T00:00:00" u="1"/>
        <d v="2025-03-07T00:00:00" u="1"/>
        <d v="2025-03-05T00:00:00" u="1"/>
        <d v="2025-02-28T00:00:00" u="1"/>
        <d v="2025-02-27T00:00:00" u="1"/>
        <d v="2025-02-19T00:00:00" u="1"/>
        <d v="2025-02-26T00:00:00" u="1"/>
        <d v="2025-02-24T00:00:00" u="1"/>
        <d v="2025-02-25T00:00:00" u="1"/>
        <d v="2025-02-21T00:00:00" u="1"/>
        <d v="2025-02-15T00:00:00" u="1"/>
        <d v="2025-02-17T00:00:00" u="1"/>
        <d v="2025-02-12T00:00:00" u="1"/>
        <d v="2025-02-13T00:00:00" u="1"/>
      </sharedItems>
    </cacheField>
    <cacheField name="DIAS" numFmtId="170">
      <sharedItems containsSemiMixedTypes="0" containsString="0" containsNumber="1" containsInteger="1" minValue="30" maxValue="90"/>
    </cacheField>
    <cacheField name="TASA" numFmtId="10">
      <sharedItems containsSemiMixedTypes="0" containsString="0" containsNumber="1" minValue="2.5000000000000001E-2" maxValue="4.5999999999999996"/>
    </cacheField>
    <cacheField name="BANCO" numFmtId="0">
      <sharedItems containsBlank="1" count="14">
        <s v="BBVA BANCO RAMONA"/>
        <s v="ITAU BANCO"/>
        <s v="BNA RAMONA"/>
        <s v="HSBC BANCO"/>
        <s v="BNA BANCO"/>
        <s v="BBVA BANCO"/>
        <s v="BBVA BANCO BARBARA"/>
        <s v="BNA JUBIL. BANCO"/>
        <s v="HSBC BANCO MARIA"/>
        <s v="PATAGONIA BANCO" u="1"/>
        <m u="1"/>
        <s v="CIUDAD ARTURO BANCO" u="1"/>
        <s v="dummY" u="1"/>
        <s v="CIUDAD BANCO" u="1"/>
      </sharedItems>
    </cacheField>
    <cacheField name="Columna8" numFmtId="4">
      <sharedItems containsMixedTypes="1" containsNumber="1" minValue="5095.8904109589066" maxValue="1098337.8082191776"/>
    </cacheField>
    <cacheField name="Columna9" numFmtId="182">
      <sharedItems containsSemiMixedTypes="0" containsString="0" containsNumber="1" minValue="1578.5517089382483" maxValue="1620.3370022277488"/>
    </cacheField>
    <cacheField name="Columna10" numFmtId="182">
      <sharedItems containsSemiMixedTypes="0" containsString="0" containsNumber="1" minValue="1622.9309243646992" maxValue="1659.6848848597592"/>
    </cacheField>
    <cacheField name="Columna11" numFmtId="0">
      <sharedItems containsSemiMixedTypes="0" containsString="0" containsNumber="1" minValue="6.2211128574889871" maxValue="1001.3620534521634"/>
    </cacheField>
    <cacheField name="Columna12" numFmtId="194">
      <sharedItems containsSemiMixedTypes="0" containsString="0" containsNumber="1" minValue="10021.917808219177" maxValue="2498878.3561643837"/>
    </cacheField>
    <cacheField name="Columna13" numFmtId="183">
      <sharedItems containsSemiMixedTypes="0" containsString="0" containsNumber="1" minValue="-924835.54162205942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d v="2025-09-15T00:00:00"/>
    <n v="185000"/>
    <n v="195182.60273972602"/>
    <x v="0"/>
    <n v="49"/>
    <n v="0.41"/>
    <x v="0"/>
    <n v="6234.2465753424603"/>
    <n v="1581.0787389428131"/>
    <n v="1622.9309243646992"/>
    <n v="117.00872033969674"/>
    <n v="195182.60273972602"/>
    <n v="0"/>
  </r>
  <r>
    <d v="2025-09-15T00:00:00"/>
    <n v="621000"/>
    <n v="656014.19178082189"/>
    <x v="0"/>
    <n v="49"/>
    <n v="0.42"/>
    <x v="1"/>
    <n v="21437.260273972584"/>
    <n v="1581.0787389428131"/>
    <n v="1622.9309243646992"/>
    <n v="392.76981259973877"/>
    <n v="656014.19178082189"/>
    <n v="0"/>
  </r>
  <r>
    <d v="2025-09-15T00:00:00"/>
    <n v="1280000"/>
    <n v="1353889.3150684931"/>
    <x v="0"/>
    <n v="49"/>
    <n v="0.43"/>
    <x v="2"/>
    <n v="45238.356164383549"/>
    <n v="1581.0787389428131"/>
    <n v="1622.9309243646992"/>
    <n v="809.57384883682073"/>
    <n v="1353889.3150684931"/>
    <n v="0"/>
  </r>
  <r>
    <d v="2025-09-15T00:00:00"/>
    <n v="920000"/>
    <n v="974343.01369863015"/>
    <x v="0"/>
    <n v="49"/>
    <n v="0.44"/>
    <x v="3"/>
    <n v="33271.23287671234"/>
    <n v="1581.0787389428131"/>
    <n v="1622.9309243646992"/>
    <n v="581.88120385146487"/>
    <n v="974343.01369863015"/>
    <n v="0"/>
  </r>
  <r>
    <d v="2025-09-12T00:00:00"/>
    <n v="400000"/>
    <n v="423364.38356164383"/>
    <x v="0"/>
    <n v="52"/>
    <n v="0.41"/>
    <x v="0"/>
    <n v="13479.452054794518"/>
    <n v="1578.5517089382483"/>
    <n v="1622.9309243646992"/>
    <n v="253.39683061066432"/>
    <n v="423364.38356164383"/>
    <n v="0"/>
  </r>
  <r>
    <d v="2025-09-17T00:00:00"/>
    <n v="800000"/>
    <n v="842082.19178082189"/>
    <x v="1"/>
    <n v="48"/>
    <n v="0.4"/>
    <x v="3"/>
    <n v="26301.369863013679"/>
    <n v="1582.7656726600821"/>
    <n v="1623.7964875243604"/>
    <n v="505.44437108967395"/>
    <n v="842082.19178082189"/>
    <n v="0"/>
  </r>
  <r>
    <d v="2025-09-16T00:00:00"/>
    <n v="381000"/>
    <n v="402993.61643835617"/>
    <x v="1"/>
    <n v="49"/>
    <n v="0.43"/>
    <x v="4"/>
    <n v="13465.479452054797"/>
    <n v="1581.9219809369158"/>
    <n v="1623.7964875243604"/>
    <n v="240.84626460171401"/>
    <n v="402993.61643835617"/>
    <n v="0"/>
  </r>
  <r>
    <d v="2025-09-16T00:00:00"/>
    <n v="496000"/>
    <n v="523966.24657534249"/>
    <x v="1"/>
    <n v="49"/>
    <n v="0.42"/>
    <x v="1"/>
    <n v="17122.191780821933"/>
    <n v="1581.9219809369158"/>
    <n v="1623.7964875243604"/>
    <n v="313.54264368097154"/>
    <n v="523966.24657534249"/>
    <n v="0"/>
  </r>
  <r>
    <d v="2025-09-16T00:00:00"/>
    <n v="755000"/>
    <n v="795542.46575342468"/>
    <x v="1"/>
    <n v="49"/>
    <n v="0.4"/>
    <x v="3"/>
    <n v="24821.917808219194"/>
    <n v="1581.9219809369158"/>
    <n v="1623.7964875243604"/>
    <n v="477.26753221599495"/>
    <n v="795542.46575342468"/>
    <n v="0"/>
  </r>
  <r>
    <d v="2025-09-16T00:00:00"/>
    <n v="560000"/>
    <n v="591950.68493150687"/>
    <x v="1"/>
    <n v="49"/>
    <n v="0.42499999999999999"/>
    <x v="5"/>
    <n v="19561.643835616447"/>
    <n v="1581.9219809369158"/>
    <n v="1623.7964875243604"/>
    <n v="353.99975899464528"/>
    <n v="591950.68493150687"/>
    <n v="0"/>
  </r>
  <r>
    <d v="2025-09-22T00:00:00"/>
    <n v="250000"/>
    <n v="261904.10958904109"/>
    <x v="2"/>
    <n v="44"/>
    <n v="0.39500000000000002"/>
    <x v="6"/>
    <n v="8116.4383561643826"/>
    <n v="1586.9908856112877"/>
    <n v="1624.6625123177066"/>
    <n v="157.53083541100699"/>
    <n v="261904.10958904109"/>
    <n v="0"/>
  </r>
  <r>
    <d v="2025-09-22T00:00:00"/>
    <n v="638000"/>
    <n v="667225.64383561641"/>
    <x v="2"/>
    <n v="44"/>
    <n v="0.38"/>
    <x v="0"/>
    <n v="19926.575342465738"/>
    <n v="1586.9908856112877"/>
    <n v="1624.6625123177066"/>
    <n v="402.01869196888987"/>
    <n v="667225.64383561641"/>
    <n v="0"/>
  </r>
  <r>
    <d v="2025-09-22T00:00:00"/>
    <n v="920000"/>
    <n v="967688.76712328766"/>
    <x v="2"/>
    <n v="44"/>
    <n v="0.43"/>
    <x v="2"/>
    <n v="32515.068493150677"/>
    <n v="1586.9908856112877"/>
    <n v="1624.6625123177066"/>
    <n v="579.71347431250581"/>
    <n v="967688.76712328766"/>
    <n v="0"/>
  </r>
  <r>
    <d v="2025-09-17T00:00:00"/>
    <n v="750000"/>
    <n v="790273.9726027397"/>
    <x v="2"/>
    <n v="49"/>
    <n v="0.4"/>
    <x v="3"/>
    <n v="24657.534246575324"/>
    <n v="1582.7656726600821"/>
    <n v="1624.6625123177066"/>
    <n v="473.85409789656933"/>
    <n v="790273.9726027397"/>
    <n v="0"/>
  </r>
  <r>
    <d v="2025-09-17T00:00:00"/>
    <n v="550000"/>
    <n v="579165.06849315064"/>
    <x v="2"/>
    <n v="49"/>
    <n v="0.39500000000000002"/>
    <x v="5"/>
    <n v="17856.164383561616"/>
    <n v="1582.7656726600821"/>
    <n v="1624.6625123177066"/>
    <n v="347.49300512415084"/>
    <n v="579165.06849315064"/>
    <n v="0"/>
  </r>
  <r>
    <d v="2025-09-23T00:00:00"/>
    <n v="150000"/>
    <n v="157674.65753424657"/>
    <x v="3"/>
    <n v="45"/>
    <n v="0.41499999999999998"/>
    <x v="5"/>
    <n v="5116.4383561643772"/>
    <n v="1587.8372807502803"/>
    <n v="1626.3959477904045"/>
    <n v="94.4681182502041"/>
    <n v="157674.65753424657"/>
    <n v="0"/>
  </r>
  <r>
    <d v="2025-09-22T00:00:00"/>
    <n v="250000"/>
    <n v="262445.20547945204"/>
    <x v="3"/>
    <n v="46"/>
    <n v="0.39500000000000002"/>
    <x v="6"/>
    <n v="8116.4383561643726"/>
    <n v="1586.9908856112877"/>
    <n v="1626.3959477904045"/>
    <n v="157.53083541100699"/>
    <n v="262445.20547945204"/>
    <n v="0"/>
  </r>
  <r>
    <d v="2025-09-22T00:00:00"/>
    <n v="1105000"/>
    <n v="1164881.9178082191"/>
    <x v="3"/>
    <n v="46"/>
    <n v="0.43"/>
    <x v="3"/>
    <n v="39053.424657534189"/>
    <n v="1586.9908856112877"/>
    <n v="1626.3959477904045"/>
    <n v="696.28629251665097"/>
    <n v="1164881.9178082191"/>
    <n v="0"/>
  </r>
  <r>
    <d v="2025-09-22T00:00:00"/>
    <n v="1047000"/>
    <n v="1107697.3150684931"/>
    <x v="3"/>
    <n v="46"/>
    <n v="0.46"/>
    <x v="1"/>
    <n v="39585.205479452045"/>
    <n v="1586.9908856112877"/>
    <n v="1626.3959477904045"/>
    <n v="659.73913870129729"/>
    <n v="1107697.3150684931"/>
    <n v="0"/>
  </r>
  <r>
    <d v="2025-09-22T00:00:00"/>
    <n v="399000"/>
    <n v="420622.52054794523"/>
    <x v="3"/>
    <n v="46"/>
    <n v="0.43"/>
    <x v="7"/>
    <n v="14101.643835616453"/>
    <n v="1586.9908856112877"/>
    <n v="1626.3959477904045"/>
    <n v="251.41921331596717"/>
    <n v="420622.52054794523"/>
    <n v="0"/>
  </r>
  <r>
    <d v="2025-09-23T00:00:00"/>
    <n v="1590000"/>
    <n v="1683047.6712328768"/>
    <x v="4"/>
    <n v="48"/>
    <n v="0.44500000000000001"/>
    <x v="3"/>
    <n v="58154.794520548021"/>
    <n v="1587.8372807502803"/>
    <n v="1628.9995694114746"/>
    <n v="1001.3620534521634"/>
    <n v="1683047.6712328768"/>
    <n v="0"/>
  </r>
  <r>
    <d v="2025-09-23T00:00:00"/>
    <n v="1557000"/>
    <n v="2498878.3561643837"/>
    <x v="4"/>
    <n v="48"/>
    <n v="4.5999999999999996"/>
    <x v="1"/>
    <n v="588673.97260273981"/>
    <n v="1587.8372807502803"/>
    <n v="1628.9995694114746"/>
    <n v="980.57906743711851"/>
    <n v="2498878.3561643837"/>
    <n v="0"/>
  </r>
  <r>
    <d v="2025-09-24T00:00:00"/>
    <n v="1000000"/>
    <n v="1054575.3424657534"/>
    <x v="5"/>
    <n v="48"/>
    <n v="0.41499999999999998"/>
    <x v="5"/>
    <n v="34109.589041095896"/>
    <n v="1588.6841273000136"/>
    <n v="1629.8683691818273"/>
    <n v="629.45174740274592"/>
    <n v="1054575.3424657534"/>
    <n v="0"/>
  </r>
  <r>
    <d v="2025-09-24T00:00:00"/>
    <n v="1000000"/>
    <n v="1052602.7397260275"/>
    <x v="5"/>
    <n v="48"/>
    <n v="0.4"/>
    <x v="3"/>
    <n v="32876.712328767171"/>
    <n v="1588.6841273000136"/>
    <n v="1629.8683691818273"/>
    <n v="629.45174740274592"/>
    <n v="1052602.7397260275"/>
    <n v="0"/>
  </r>
  <r>
    <d v="2025-09-24T00:00:00"/>
    <n v="984000"/>
    <n v="1043525.2602739726"/>
    <x v="5"/>
    <n v="48"/>
    <n v="0.46"/>
    <x v="1"/>
    <n v="37203.287671232902"/>
    <n v="1588.6841273000136"/>
    <n v="1629.8683691818273"/>
    <n v="619.38051944430197"/>
    <n v="1043525.2602739726"/>
    <n v="0"/>
  </r>
  <r>
    <d v="2025-09-26T00:00:00"/>
    <n v="454000"/>
    <n v="475338"/>
    <x v="6"/>
    <n v="47"/>
    <n v="0.36499999999999999"/>
    <x v="6"/>
    <n v="13620"/>
    <n v="1590.3791755948407"/>
    <n v="1630.7376323120575"/>
    <n v="285.4665145060095"/>
    <n v="475338"/>
    <n v="0"/>
  </r>
  <r>
    <d v="2025-09-25T00:00:00"/>
    <n v="1000000"/>
    <n v="1048000"/>
    <x v="6"/>
    <n v="48"/>
    <n v="0.36499999999999999"/>
    <x v="5"/>
    <n v="30000"/>
    <n v="1589.5314255012402"/>
    <n v="1630.7376323120575"/>
    <n v="629.11621875274454"/>
    <n v="1048000"/>
    <n v="0"/>
  </r>
  <r>
    <d v="2025-09-25T00:00:00"/>
    <n v="1000000"/>
    <n v="1048986.3013698631"/>
    <x v="6"/>
    <n v="48"/>
    <n v="0.3725"/>
    <x v="3"/>
    <n v="30616.438356164435"/>
    <n v="1589.5314255012402"/>
    <n v="1630.7376323120575"/>
    <n v="629.11621875274454"/>
    <n v="1048986.3013698631"/>
    <n v="0"/>
  </r>
  <r>
    <d v="2025-09-24T00:00:00"/>
    <n v="550000"/>
    <n v="577503.76712328766"/>
    <x v="6"/>
    <n v="49"/>
    <n v="0.3725"/>
    <x v="3"/>
    <n v="16839.041095890407"/>
    <n v="1588.6841273000136"/>
    <n v="1630.7376323120575"/>
    <n v="346.19846107151022"/>
    <n v="577503.76712328766"/>
    <n v="0"/>
  </r>
  <r>
    <d v="2025-09-26T00:00:00"/>
    <n v="599000"/>
    <n v="626570.41095890407"/>
    <x v="7"/>
    <n v="48"/>
    <n v="0.35"/>
    <x v="0"/>
    <n v="17231.506849315047"/>
    <n v="1590.3791755948407"/>
    <n v="1631.6073590492904"/>
    <n v="376.63974050462485"/>
    <n v="626570.41095890407"/>
    <n v="0"/>
  </r>
  <r>
    <d v="2025-09-26T00:00:00"/>
    <n v="1400000"/>
    <n v="1468580.8219178081"/>
    <x v="7"/>
    <n v="48"/>
    <n v="0.3725"/>
    <x v="3"/>
    <n v="42863.013698630093"/>
    <n v="1590.3791755948407"/>
    <n v="1631.6073590492904"/>
    <n v="880.29321653835518"/>
    <n v="1468580.8219178081"/>
    <n v="0"/>
  </r>
  <r>
    <d v="2025-09-25T00:00:00"/>
    <n v="1000000"/>
    <n v="1050006.8493150685"/>
    <x v="7"/>
    <n v="49"/>
    <n v="0.3725"/>
    <x v="8"/>
    <n v="30616.438356164359"/>
    <n v="1589.5314255012402"/>
    <n v="1631.6073590492904"/>
    <n v="629.11621875274454"/>
    <n v="1050006.8493150685"/>
    <n v="0"/>
  </r>
  <r>
    <d v="2025-10-03T00:00:00"/>
    <n v="450000"/>
    <n v="469288.35616438359"/>
    <x v="8"/>
    <n v="42"/>
    <n v="0.3725"/>
    <x v="3"/>
    <n v="9372.3287671233065"/>
    <n v="1596.3260994974994"/>
    <n v="1632.4775496407833"/>
    <n v="281.89728912009491"/>
    <n v="469288.35616438359"/>
    <n v="-159603.61643835617"/>
  </r>
  <r>
    <d v="2025-10-03T00:00:00"/>
    <n v="600000"/>
    <n v="625890.41095890407"/>
    <x v="8"/>
    <n v="42"/>
    <n v="0.375"/>
    <x v="4"/>
    <n v="18493.150684931483"/>
    <n v="1596.3260994974994"/>
    <n v="1632.4775496407833"/>
    <n v="375.86305216012659"/>
    <n v="625890.41095890407"/>
    <n v="0"/>
  </r>
  <r>
    <d v="2025-09-29T00:00:00"/>
    <n v="260000"/>
    <n v="272205.75342465751"/>
    <x v="8"/>
    <n v="46"/>
    <n v="0.3725"/>
    <x v="3"/>
    <n v="7960.273972602723"/>
    <n v="1592.9251396406219"/>
    <n v="1632.4775496407833"/>
    <n v="163.22173185028541"/>
    <n v="272205.75342465751"/>
    <n v="0"/>
  </r>
  <r>
    <d v="2025-09-29T00:00:00"/>
    <n v="420000"/>
    <n v="439716.98630136985"/>
    <x v="8"/>
    <n v="46"/>
    <n v="0.3725"/>
    <x v="3"/>
    <n v="12858.904109589032"/>
    <n v="1592.9251396406219"/>
    <n v="1632.4775496407833"/>
    <n v="263.66587452738412"/>
    <n v="439716.98630136985"/>
    <n v="0"/>
  </r>
  <r>
    <d v="2025-09-29T00:00:00"/>
    <n v="420000"/>
    <n v="439716.98630136985"/>
    <x v="8"/>
    <n v="46"/>
    <n v="0.3725"/>
    <x v="8"/>
    <n v="12858.904109589032"/>
    <n v="1592.9251396406219"/>
    <n v="1632.4775496407833"/>
    <n v="263.66587452738412"/>
    <n v="439716.98630136985"/>
    <n v="0"/>
  </r>
  <r>
    <d v="2025-09-29T00:00:00"/>
    <n v="534000"/>
    <n v="559236.98630136985"/>
    <x v="8"/>
    <n v="46"/>
    <n v="0.375"/>
    <x v="1"/>
    <n v="16458.904109589032"/>
    <n v="1592.9251396406219"/>
    <n v="1632.4775496407833"/>
    <n v="335.23232618481694"/>
    <n v="559236.98630136985"/>
    <n v="0"/>
  </r>
  <r>
    <d v="2025-09-29T00:00:00"/>
    <n v="229000"/>
    <n v="239389.69863013699"/>
    <x v="8"/>
    <n v="46"/>
    <n v="0.36"/>
    <x v="4"/>
    <n v="6775.8904109589066"/>
    <n v="1592.9251396406219"/>
    <n v="1632.4775496407833"/>
    <n v="143.76067920659753"/>
    <n v="239389.69863013699"/>
    <n v="0"/>
  </r>
  <r>
    <d v="2025-10-16T00:00:00"/>
    <n v="10000"/>
    <n v="10021.917808219177"/>
    <x v="9"/>
    <n v="32"/>
    <n v="2.5000000000000001E-2"/>
    <x v="3"/>
    <s v="DOLARES"/>
    <n v="1607.429446961725"/>
    <n v="1635.0909070153702"/>
    <n v="6.2211128574889871"/>
    <n v="10021.917808219177"/>
    <n v="0"/>
  </r>
  <r>
    <d v="2025-10-06T00:00:00"/>
    <n v="950000"/>
    <n v="993179.45205479453"/>
    <x v="9"/>
    <n v="42"/>
    <n v="0.39500000000000002"/>
    <x v="1"/>
    <n v="30842.465753424662"/>
    <n v="1598.8815836971353"/>
    <n v="1635.0909070153702"/>
    <n v="594.16532761812812"/>
    <n v="993179.45205479453"/>
    <n v="0"/>
  </r>
  <r>
    <d v="2025-10-03T00:00:00"/>
    <n v="1200000"/>
    <n v="1255109.5890410959"/>
    <x v="9"/>
    <n v="45"/>
    <n v="0.3725"/>
    <x v="3"/>
    <n v="25879.00790317274"/>
    <n v="1596.3260994974994"/>
    <n v="1635.0909070153702"/>
    <n v="751.72610432025317"/>
    <n v="1255109.5890410959"/>
    <n v="-924835.54162205942"/>
  </r>
  <r>
    <d v="2025-10-03T00:00:00"/>
    <n v="783000"/>
    <n v="819200.34246575343"/>
    <x v="9"/>
    <n v="45"/>
    <n v="0.375"/>
    <x v="4"/>
    <n v="24133.561643835623"/>
    <n v="1596.3260994974994"/>
    <n v="1635.0909070153702"/>
    <n v="490.50128306896517"/>
    <n v="819200.34246575343"/>
    <n v="0"/>
  </r>
  <r>
    <d v="2025-10-08T00:00:00"/>
    <n v="455000"/>
    <n v="474677.19178082189"/>
    <x v="10"/>
    <n v="41"/>
    <n v="0.38500000000000001"/>
    <x v="0"/>
    <n v="14397.945205479429"/>
    <n v="1600.5875121793958"/>
    <n v="1635.9629554991118"/>
    <n v="284.27061721883723"/>
    <n v="474677.19178082189"/>
    <n v="0"/>
  </r>
  <r>
    <d v="2025-10-07T00:00:00"/>
    <n v="900000"/>
    <n v="940906.84931506845"/>
    <x v="10"/>
    <n v="42"/>
    <n v="0.39500000000000002"/>
    <x v="3"/>
    <n v="29219.178082191753"/>
    <n v="1599.7343205417737"/>
    <n v="1635.9629554991118"/>
    <n v="562.59341844663413"/>
    <n v="940906.84931506845"/>
    <n v="0"/>
  </r>
  <r>
    <d v="2025-10-06T00:00:00"/>
    <n v="1590000"/>
    <n v="1663989.4520547944"/>
    <x v="10"/>
    <n v="43"/>
    <n v="0.39500000000000002"/>
    <x v="1"/>
    <n v="51620.547945205406"/>
    <n v="1598.8815836971353"/>
    <n v="1635.9629554991118"/>
    <n v="994.44512727665665"/>
    <n v="1663989.4520547944"/>
    <n v="0"/>
  </r>
  <r>
    <d v="2025-10-09T00:00:00"/>
    <n v="528000"/>
    <n v="551130.73972602736"/>
    <x v="11"/>
    <n v="41"/>
    <n v="0.39"/>
    <x v="7"/>
    <n v="16924.931506849283"/>
    <n v="1601.4411588525581"/>
    <n v="1636.8354690753779"/>
    <n v="329.70302847612277"/>
    <n v="551130.73972602736"/>
    <n v="0"/>
  </r>
  <r>
    <d v="2025-10-08T00:00:00"/>
    <n v="430000"/>
    <n v="450781.36986301368"/>
    <x v="11"/>
    <n v="42"/>
    <n v="0.42"/>
    <x v="3"/>
    <n v="14843.835616438342"/>
    <n v="1600.5875121793958"/>
    <n v="1636.8354690753779"/>
    <n v="268.65135253648356"/>
    <n v="450781.36986301368"/>
    <n v="0"/>
  </r>
  <r>
    <d v="2025-10-08T00:00:00"/>
    <n v="430000"/>
    <n v="450781.36986301368"/>
    <x v="11"/>
    <n v="42"/>
    <n v="0.42"/>
    <x v="8"/>
    <n v="14843.835616438342"/>
    <n v="1600.5875121793958"/>
    <n v="1636.8354690753779"/>
    <n v="268.65135253648356"/>
    <n v="450781.36986301368"/>
    <n v="0"/>
  </r>
  <r>
    <d v="2025-10-08T00:00:00"/>
    <n v="890000"/>
    <n v="942229.58904109593"/>
    <x v="11"/>
    <n v="42"/>
    <n v="0.51"/>
    <x v="3"/>
    <n v="37306.849315068524"/>
    <n v="1600.5875121793958"/>
    <n v="1636.8354690753779"/>
    <n v="556.0458226917915"/>
    <n v="942229.58904109593"/>
    <n v="0"/>
  </r>
  <r>
    <d v="2025-10-07T00:00:00"/>
    <n v="488000"/>
    <n v="510708.71232876711"/>
    <x v="11"/>
    <n v="43"/>
    <n v="0.39500000000000002"/>
    <x v="1"/>
    <n v="15843.287671232869"/>
    <n v="1599.7343205417737"/>
    <n v="1636.8354690753779"/>
    <n v="305.05065355773047"/>
    <n v="510708.71232876711"/>
    <n v="0"/>
  </r>
  <r>
    <d v="2025-10-07T00:00:00"/>
    <n v="530000"/>
    <n v="554663.15068493155"/>
    <x v="11"/>
    <n v="43"/>
    <n v="0.39500000000000002"/>
    <x v="8"/>
    <n v="17206.849315068521"/>
    <n v="1599.7343205417737"/>
    <n v="1636.8354690753779"/>
    <n v="331.30501308524009"/>
    <n v="554663.15068493155"/>
    <n v="0"/>
  </r>
  <r>
    <d v="2025-10-14T00:00:00"/>
    <n v="250000"/>
    <n v="259883.56164383562"/>
    <x v="12"/>
    <n v="37"/>
    <n v="0.39"/>
    <x v="6"/>
    <n v="8013.6986301369925"/>
    <n v="1605.7162262499987"/>
    <n v="1637.708447992218"/>
    <n v="155.69376201911581"/>
    <n v="259883.56164383562"/>
    <n v="0"/>
  </r>
  <r>
    <d v="2025-10-13T00:00:00"/>
    <n v="1200000"/>
    <n v="1256219.1780821919"/>
    <x v="12"/>
    <n v="38"/>
    <n v="0.45"/>
    <x v="3"/>
    <n v="44383.561643835674"/>
    <n v="1604.8603007562622"/>
    <n v="1637.708447992218"/>
    <n v="747.72863372252471"/>
    <n v="1256219.1780821919"/>
    <n v="0"/>
  </r>
  <r>
    <d v="2025-10-09T00:00:00"/>
    <n v="800000"/>
    <n v="835901.36986301374"/>
    <x v="12"/>
    <n v="42"/>
    <n v="0.39"/>
    <x v="5"/>
    <n v="25643.835616438384"/>
    <n v="1601.4411588525581"/>
    <n v="1637.708447992218"/>
    <n v="499.55004314564053"/>
    <n v="835901.36986301374"/>
    <n v="0"/>
  </r>
  <r>
    <d v="2025-10-09T00:00:00"/>
    <n v="700000"/>
    <n v="736246.57534246577"/>
    <x v="12"/>
    <n v="42"/>
    <n v="0.45"/>
    <x v="3"/>
    <n v="25890.410958904125"/>
    <n v="1601.4411588525581"/>
    <n v="1637.708447992218"/>
    <n v="437.10628775243549"/>
    <n v="736246.57534246577"/>
    <n v="0"/>
  </r>
  <r>
    <d v="2025-10-14T00:00:00"/>
    <n v="1000000"/>
    <n v="1054082.1917808219"/>
    <x v="13"/>
    <n v="42"/>
    <n v="0.47"/>
    <x v="1"/>
    <n v="38630.136986301353"/>
    <n v="1605.7162262499987"/>
    <n v="1642.08033137602"/>
    <n v="622.77504807646324"/>
    <n v="1054082.1917808219"/>
    <n v="0"/>
  </r>
  <r>
    <d v="2025-10-13T00:00:00"/>
    <n v="450000"/>
    <n v="470675.34246575343"/>
    <x v="13"/>
    <n v="43"/>
    <n v="0.39"/>
    <x v="6"/>
    <n v="14424.657534246582"/>
    <n v="1604.8603007562622"/>
    <n v="1642.08033137602"/>
    <n v="280.39823764594678"/>
    <n v="470675.34246575343"/>
    <n v="0"/>
  </r>
  <r>
    <d v="2025-10-13T00:00:00"/>
    <n v="1150000"/>
    <n v="1210965.7534246575"/>
    <x v="13"/>
    <n v="43"/>
    <n v="0.45"/>
    <x v="3"/>
    <n v="42534.246575342448"/>
    <n v="1604.8603007562622"/>
    <n v="1642.08033137602"/>
    <n v="716.5732739840862"/>
    <n v="1210965.7534246575"/>
    <n v="0"/>
  </r>
  <r>
    <d v="2025-10-13T00:00:00"/>
    <n v="770000"/>
    <n v="811727.67123287672"/>
    <x v="13"/>
    <n v="43"/>
    <n v="0.46"/>
    <x v="1"/>
    <n v="29112.328767123294"/>
    <n v="1604.8603007562622"/>
    <n v="1642.08033137602"/>
    <n v="479.79253997195337"/>
    <n v="811727.67123287672"/>
    <n v="0"/>
  </r>
  <r>
    <d v="2025-10-15T00:00:00"/>
    <n v="331000"/>
    <n v="350424.71232876711"/>
    <x v="14"/>
    <n v="42"/>
    <n v="0.51"/>
    <x v="0"/>
    <n v="13874.794520547937"/>
    <n v="1606.5726082373319"/>
    <n v="1642.9561075527538"/>
    <n v="206.02865896186302"/>
    <n v="350424.71232876711"/>
    <n v="0"/>
  </r>
  <r>
    <d v="2025-10-14T00:00:00"/>
    <n v="600000"/>
    <n v="632515.06849315064"/>
    <x v="14"/>
    <n v="43"/>
    <n v="0.46"/>
    <x v="3"/>
    <n v="22684.931506849283"/>
    <n v="1605.7162262499987"/>
    <n v="1642.9561075527538"/>
    <n v="373.66502884587794"/>
    <n v="632515.06849315064"/>
    <n v="0"/>
  </r>
  <r>
    <d v="2025-10-13T00:00:00"/>
    <n v="450000"/>
    <n v="471156.16438356164"/>
    <x v="14"/>
    <n v="44"/>
    <n v="0.39"/>
    <x v="6"/>
    <n v="14424.657534246573"/>
    <n v="1604.8603007562622"/>
    <n v="1642.9561075527538"/>
    <n v="280.39823764594678"/>
    <n v="471156.16438356164"/>
    <n v="0"/>
  </r>
  <r>
    <d v="2025-10-13T00:00:00"/>
    <n v="1200000"/>
    <n v="1265095.8904109588"/>
    <x v="14"/>
    <n v="44"/>
    <n v="0.45"/>
    <x v="3"/>
    <n v="44383.561643835536"/>
    <n v="1604.8603007562622"/>
    <n v="1642.9561075527538"/>
    <n v="747.72863372252471"/>
    <n v="1265095.8904109588"/>
    <n v="0"/>
  </r>
  <r>
    <d v="2025-10-13T00:00:00"/>
    <n v="770000"/>
    <n v="812698.08219178079"/>
    <x v="14"/>
    <n v="44"/>
    <n v="0.46"/>
    <x v="1"/>
    <n v="29112.328767123268"/>
    <n v="1604.8603007562622"/>
    <n v="1642.9561075527538"/>
    <n v="479.79253997195337"/>
    <n v="812698.08219178079"/>
    <n v="0"/>
  </r>
  <r>
    <d v="2025-10-16T00:00:00"/>
    <n v="490000"/>
    <n v="514244.9315068493"/>
    <x v="15"/>
    <n v="42"/>
    <n v="0.43"/>
    <x v="8"/>
    <n v="17317.80821917807"/>
    <n v="1607.429446961725"/>
    <n v="1643.8323508101153"/>
    <n v="304.8345300169604"/>
    <n v="514244.9315068493"/>
    <n v="0"/>
  </r>
  <r>
    <d v="2025-10-16T00:00:00"/>
    <n v="357000"/>
    <n v="376307.34246575343"/>
    <x v="15"/>
    <n v="42"/>
    <n v="0.47"/>
    <x v="4"/>
    <n v="13790.958904109597"/>
    <n v="1607.429446961725"/>
    <n v="1643.8323508101153"/>
    <n v="222.09372901235685"/>
    <n v="376307.34246575343"/>
    <n v="0"/>
  </r>
  <r>
    <d v="2025-10-15T00:00:00"/>
    <n v="950000"/>
    <n v="998124.65753424657"/>
    <x v="15"/>
    <n v="43"/>
    <n v="0.43"/>
    <x v="3"/>
    <n v="33575.342465753412"/>
    <n v="1606.5726082373319"/>
    <n v="1643.8323508101153"/>
    <n v="591.32092451289986"/>
    <n v="998124.65753424657"/>
    <n v="0"/>
  </r>
  <r>
    <d v="2025-10-15T00:00:00"/>
    <n v="1000000"/>
    <n v="1055369.8630136987"/>
    <x v="15"/>
    <n v="43"/>
    <n v="0.47"/>
    <x v="1"/>
    <n v="38630.136986301433"/>
    <n v="1606.5726082373319"/>
    <n v="1643.8323508101153"/>
    <n v="622.44307843463139"/>
    <n v="1055369.8630136987"/>
    <n v="0"/>
  </r>
  <r>
    <d v="2025-10-15T00:00:00"/>
    <n v="500000"/>
    <n v="529452.05479452061"/>
    <x v="15"/>
    <n v="43"/>
    <n v="0.5"/>
    <x v="1"/>
    <n v="20547.945205479493"/>
    <n v="1606.5726082373319"/>
    <n v="1643.8323508101153"/>
    <n v="311.22153921731569"/>
    <n v="529452.05479452061"/>
    <n v="0"/>
  </r>
  <r>
    <d v="2025-10-29T00:00:00"/>
    <n v="40000"/>
    <n v="40082.191780821915"/>
    <x v="16"/>
    <n v="30"/>
    <n v="2.5000000000000001E-2"/>
    <x v="3"/>
    <s v="DOLARES"/>
    <n v="1618.6100244636918"/>
    <n v="1644.7090613972139"/>
    <n v="24.712561639579334"/>
    <n v="40082.191780821915"/>
    <n v="0"/>
  </r>
  <r>
    <d v="2025-10-20T00:00:00"/>
    <n v="321000"/>
    <n v="335405.42465753423"/>
    <x v="16"/>
    <n v="39"/>
    <n v="0.42"/>
    <x v="6"/>
    <n v="11081.095890410943"/>
    <n v="1610.8613741037079"/>
    <n v="1644.7090613972139"/>
    <n v="199.27226834066101"/>
    <n v="335405.42465753423"/>
    <n v="0"/>
  </r>
  <r>
    <d v="2025-10-17T00:00:00"/>
    <n v="437000"/>
    <n v="458119.67123287672"/>
    <x v="16"/>
    <n v="42"/>
    <n v="0.42"/>
    <x v="6"/>
    <n v="15085.479452054797"/>
    <n v="1608.2867426667713"/>
    <n v="1644.7090613972139"/>
    <n v="271.71771575719828"/>
    <n v="458119.67123287672"/>
    <n v="0"/>
  </r>
  <r>
    <d v="2025-10-17T00:00:00"/>
    <n v="427000"/>
    <n v="448619.0684931507"/>
    <x v="16"/>
    <n v="42"/>
    <n v="0.44"/>
    <x v="4"/>
    <n v="15442.19178082193"/>
    <n v="1608.2867426667713"/>
    <n v="1644.7090613972139"/>
    <n v="265.49991905794889"/>
    <n v="448619.0684931507"/>
    <n v="0"/>
  </r>
  <r>
    <d v="2025-10-17T00:00:00"/>
    <n v="400000"/>
    <n v="419791.78082191781"/>
    <x v="16"/>
    <n v="42"/>
    <n v="0.43"/>
    <x v="8"/>
    <n v="14136.986301369865"/>
    <n v="1608.2867426667713"/>
    <n v="1644.7090613972139"/>
    <n v="248.71186796997551"/>
    <n v="419791.78082191781"/>
    <n v="0"/>
  </r>
  <r>
    <d v="2025-10-16T00:00:00"/>
    <n v="280000"/>
    <n v="293854.24657534249"/>
    <x v="16"/>
    <n v="43"/>
    <n v="0.42"/>
    <x v="2"/>
    <n v="9665.7534246575524"/>
    <n v="1607.429446961725"/>
    <n v="1644.7090613972139"/>
    <n v="174.19116000969166"/>
    <n v="293854.24657534249"/>
    <n v="0"/>
  </r>
  <r>
    <d v="2025-10-16T00:00:00"/>
    <n v="600000"/>
    <n v="630394.52054794517"/>
    <x v="16"/>
    <n v="43"/>
    <n v="0.43"/>
    <x v="3"/>
    <n v="21205.479452054769"/>
    <n v="1607.429446961725"/>
    <n v="1644.7090613972139"/>
    <n v="373.26677144933927"/>
    <n v="630394.52054794517"/>
    <n v="0"/>
  </r>
  <r>
    <d v="2025-10-16T00:00:00"/>
    <n v="220000"/>
    <n v="231144.65753424657"/>
    <x v="16"/>
    <n v="43"/>
    <n v="0.43"/>
    <x v="3"/>
    <n v="7775.3424657534188"/>
    <n v="1607.429446961725"/>
    <n v="1644.7090613972139"/>
    <n v="136.86448286475772"/>
    <n v="231144.65753424657"/>
    <n v="0"/>
  </r>
  <r>
    <d v="2025-10-16T00:00:00"/>
    <n v="389000"/>
    <n v="411913.69863013696"/>
    <x v="16"/>
    <n v="43"/>
    <n v="0.5"/>
    <x v="1"/>
    <n v="15986.301369862997"/>
    <n v="1607.429446961725"/>
    <n v="1644.7090613972139"/>
    <n v="242.0012901563216"/>
    <n v="411913.69863013696"/>
    <n v="0"/>
  </r>
  <r>
    <d v="2025-10-20T00:00:00"/>
    <n v="400000"/>
    <n v="420712.32876712328"/>
    <x v="17"/>
    <n v="42"/>
    <n v="0.45"/>
    <x v="1"/>
    <n v="14794.520547945203"/>
    <n v="1610.8613741037079"/>
    <n v="1647.3419996300233"/>
    <n v="248.31435307247477"/>
    <n v="420712.32876712328"/>
    <n v="0"/>
  </r>
  <r>
    <d v="2025-10-20T00:00:00"/>
    <n v="587000"/>
    <n v="616719.89041095891"/>
    <x v="17"/>
    <n v="42"/>
    <n v="0.44"/>
    <x v="4"/>
    <n v="21228.493150684932"/>
    <n v="1610.8613741037079"/>
    <n v="1647.3419996300233"/>
    <n v="364.40131313385672"/>
    <n v="616719.89041095891"/>
    <n v="0"/>
  </r>
  <r>
    <d v="2025-10-20T00:00:00"/>
    <n v="452000"/>
    <n v="474884.82191780821"/>
    <x v="17"/>
    <n v="42"/>
    <n v="0.44"/>
    <x v="7"/>
    <n v="16346.301369863006"/>
    <n v="1610.8613741037079"/>
    <n v="1647.3419996300233"/>
    <n v="280.59521897189649"/>
    <n v="474884.82191780821"/>
    <n v="0"/>
  </r>
  <r>
    <d v="2025-10-20T00:00:00"/>
    <n v="1000000"/>
    <n v="1051780.8219178081"/>
    <x v="17"/>
    <n v="42"/>
    <n v="0.45"/>
    <x v="1"/>
    <n v="36986.301369862966"/>
    <n v="1610.8613741037079"/>
    <n v="1647.3419996300233"/>
    <n v="620.78588268118688"/>
    <n v="1051780.8219178081"/>
    <n v="0"/>
  </r>
  <r>
    <d v="2025-10-17T00:00:00"/>
    <n v="500000"/>
    <n v="527739.72602739721"/>
    <x v="17"/>
    <n v="45"/>
    <n v="0.45"/>
    <x v="1"/>
    <n v="18493.150684931472"/>
    <n v="1608.2867426667713"/>
    <n v="1647.3419996300233"/>
    <n v="310.88983496246937"/>
    <n v="527739.72602739721"/>
    <n v="0"/>
  </r>
  <r>
    <d v="2025-10-21T00:00:00"/>
    <n v="1250000"/>
    <n v="1306095.8904109588"/>
    <x v="18"/>
    <n v="42"/>
    <n v="0.39"/>
    <x v="3"/>
    <n v="40068.493150684844"/>
    <n v="1611.7205001698965"/>
    <n v="1648.2205820298259"/>
    <n v="775.56871670257567"/>
    <n v="1306095.8904109588"/>
    <n v="0"/>
  </r>
  <r>
    <d v="2025-10-21T00:00:00"/>
    <n v="700000"/>
    <n v="736246.57534246577"/>
    <x v="18"/>
    <n v="42"/>
    <n v="0.45"/>
    <x v="1"/>
    <n v="25890.410958904125"/>
    <n v="1611.7205001698965"/>
    <n v="1648.2205820298259"/>
    <n v="434.31848135344239"/>
    <n v="736246.57534246577"/>
    <n v="0"/>
  </r>
  <r>
    <d v="2025-10-21T00:00:00"/>
    <n v="500000"/>
    <n v="523013.69863013696"/>
    <x v="18"/>
    <n v="42"/>
    <n v="0.4"/>
    <x v="6"/>
    <n v="16438.356164383546"/>
    <n v="1611.7205001698965"/>
    <n v="1648.2205820298259"/>
    <n v="310.22748668103026"/>
    <n v="523013.69863013696"/>
    <n v="0"/>
  </r>
  <r>
    <d v="2025-10-20T00:00:00"/>
    <n v="500000"/>
    <n v="526506.84931506845"/>
    <x v="18"/>
    <n v="43"/>
    <n v="0.45"/>
    <x v="1"/>
    <n v="18493.150684931479"/>
    <n v="1610.8613741037079"/>
    <n v="1648.2205820298259"/>
    <n v="310.39294134059344"/>
    <n v="526506.84931506845"/>
    <n v="0"/>
  </r>
  <r>
    <d v="2025-10-22T00:00:00"/>
    <n v="300000"/>
    <n v="314843.83561643836"/>
    <x v="19"/>
    <n v="42"/>
    <n v="0.43"/>
    <x v="1"/>
    <n v="10602.739726027399"/>
    <n v="1612.5800844366536"/>
    <n v="1649.0996330069083"/>
    <n v="186.03727213014878"/>
    <n v="314843.83561643836"/>
    <n v="0"/>
  </r>
  <r>
    <d v="2025-10-22T00:00:00"/>
    <n v="900000"/>
    <n v="940389.04109589045"/>
    <x v="19"/>
    <n v="42"/>
    <n v="0.39"/>
    <x v="8"/>
    <n v="28849.315068493179"/>
    <n v="1612.5800844366536"/>
    <n v="1649.0996330069083"/>
    <n v="558.11181639044628"/>
    <n v="940389.04109589045"/>
    <n v="0"/>
  </r>
  <r>
    <d v="2025-10-22T00:00:00"/>
    <n v="480000"/>
    <n v="501540.82191780821"/>
    <x v="19"/>
    <n v="42"/>
    <n v="0.39"/>
    <x v="3"/>
    <n v="15386.301369863006"/>
    <n v="1612.5800844366536"/>
    <n v="1649.0996330069083"/>
    <n v="297.65963540823805"/>
    <n v="501540.82191780821"/>
    <n v="0"/>
  </r>
  <r>
    <d v="2025-10-22T00:00:00"/>
    <n v="407000"/>
    <n v="427606.46575342468"/>
    <x v="19"/>
    <n v="42"/>
    <n v="0.44"/>
    <x v="7"/>
    <n v="14718.904109589057"/>
    <n v="1612.5800844366536"/>
    <n v="1649.0996330069083"/>
    <n v="252.39056585656849"/>
    <n v="427606.46575342468"/>
    <n v="0"/>
  </r>
  <r>
    <d v="2025-10-21T00:00:00"/>
    <n v="800000"/>
    <n v="842410.95890410955"/>
    <x v="19"/>
    <n v="43"/>
    <n v="0.45"/>
    <x v="1"/>
    <n v="29589.041095890381"/>
    <n v="1611.7205001698965"/>
    <n v="1649.0996330069083"/>
    <n v="496.36397868964843"/>
    <n v="842410.95890410955"/>
    <n v="0"/>
  </r>
  <r>
    <d v="2025-10-23T00:00:00"/>
    <n v="440000"/>
    <n v="460252.05479452055"/>
    <x v="20"/>
    <n v="42"/>
    <n v="0.4"/>
    <x v="5"/>
    <n v="14465.753424657534"/>
    <n v="1613.440127148353"/>
    <n v="1649.9791528111787"/>
    <n v="272.70922087308588"/>
    <n v="460252.05479452055"/>
    <n v="0"/>
  </r>
  <r>
    <d v="2025-10-23T00:00:00"/>
    <n v="700000"/>
    <n v="731413.69863013702"/>
    <x v="20"/>
    <n v="42"/>
    <n v="0.39"/>
    <x v="3"/>
    <n v="22438.356164383586"/>
    <n v="1613.440127148353"/>
    <n v="1649.9791528111787"/>
    <n v="433.85557866172758"/>
    <n v="731413.69863013702"/>
    <n v="0"/>
  </r>
  <r>
    <d v="2025-10-23T00:00:00"/>
    <n v="180000"/>
    <n v="188284.9315068493"/>
    <x v="20"/>
    <n v="42"/>
    <n v="0.4"/>
    <x v="6"/>
    <n v="5917.8082191780722"/>
    <n v="1613.440127148353"/>
    <n v="1649.9791528111787"/>
    <n v="111.56286308444423"/>
    <n v="188284.9315068493"/>
    <n v="0"/>
  </r>
  <r>
    <d v="2025-10-23T00:00:00"/>
    <n v="1100000"/>
    <n v="1154427.397260274"/>
    <x v="20"/>
    <n v="42"/>
    <n v="0.43"/>
    <x v="1"/>
    <n v="38876.712328767171"/>
    <n v="1613.440127148353"/>
    <n v="1649.9791528111787"/>
    <n v="681.77305218271476"/>
    <n v="1154427.397260274"/>
    <n v="0"/>
  </r>
  <r>
    <d v="2025-10-22T00:00:00"/>
    <n v="514000"/>
    <n v="540037.9726027397"/>
    <x v="20"/>
    <n v="43"/>
    <n v="0.43"/>
    <x v="1"/>
    <n v="18166.027397260255"/>
    <n v="1612.5800844366536"/>
    <n v="1649.9791528111787"/>
    <n v="318.74385958298825"/>
    <n v="540037.9726027397"/>
    <n v="0"/>
  </r>
  <r>
    <d v="2025-10-24T00:00:00"/>
    <n v="1000000"/>
    <n v="1046027.3972602739"/>
    <x v="21"/>
    <n v="42"/>
    <n v="0.4"/>
    <x v="5"/>
    <n v="32876.712328767091"/>
    <n v="1614.3006285494987"/>
    <n v="1650.8591416926779"/>
    <n v="619.46330337400184"/>
    <n v="1046027.3972602739"/>
    <n v="0"/>
  </r>
  <r>
    <d v="2025-10-24T00:00:00"/>
    <n v="1600000"/>
    <n v="1671802.7397260275"/>
    <x v="21"/>
    <n v="42"/>
    <n v="0.39"/>
    <x v="3"/>
    <n v="1098337.8082191776"/>
    <n v="1614.3006285494987"/>
    <n v="1650.8591416926779"/>
    <n v="991.14128539840294"/>
    <n v="1671802.7397260275"/>
    <n v="0"/>
  </r>
  <r>
    <d v="2025-10-23T00:00:00"/>
    <n v="537000"/>
    <n v="564203.09589041094"/>
    <x v="21"/>
    <n v="43"/>
    <n v="0.43"/>
    <x v="1"/>
    <n v="18978.904109589028"/>
    <n v="1613.440127148353"/>
    <n v="1650.8591416926779"/>
    <n v="332.82920820192533"/>
    <n v="564203.09589041094"/>
    <n v="0"/>
  </r>
  <r>
    <d v="2025-10-27T00:00:00"/>
    <n v="250000"/>
    <n v="259719.17808219179"/>
    <x v="22"/>
    <n v="43"/>
    <n v="0.33"/>
    <x v="3"/>
    <n v="6780.8219178082272"/>
    <n v="1616.8848873366094"/>
    <n v="1654.3837929964564"/>
    <n v="154.61830459174428"/>
    <n v="259719.17808219179"/>
    <n v="0"/>
  </r>
  <r>
    <d v="2025-10-27T00:00:00"/>
    <n v="1479000"/>
    <n v="1555664.8767123288"/>
    <x v="22"/>
    <n v="43"/>
    <n v="0.44"/>
    <x v="7"/>
    <n v="53487.123287671224"/>
    <n v="1616.8848873366094"/>
    <n v="1654.3837929964564"/>
    <n v="914.72188996475916"/>
    <n v="1555664.8767123288"/>
    <n v="0"/>
  </r>
  <r>
    <d v="2025-10-27T00:00:00"/>
    <n v="600000"/>
    <n v="623326.0273972603"/>
    <x v="22"/>
    <n v="43"/>
    <n v="0.33"/>
    <x v="3"/>
    <n v="16273.972602739745"/>
    <n v="1616.8848873366094"/>
    <n v="1654.3837929964564"/>
    <n v="371.08393102018624"/>
    <n v="623326.0273972603"/>
    <n v="0"/>
  </r>
  <r>
    <d v="2025-10-27T00:00:00"/>
    <n v="611000"/>
    <n v="639792.32876712328"/>
    <x v="22"/>
    <n v="43"/>
    <n v="0.4"/>
    <x v="1"/>
    <n v="20087.671232876706"/>
    <n v="1616.8848873366094"/>
    <n v="1654.3837929964564"/>
    <n v="377.88713642222302"/>
    <n v="639792.32876712328"/>
    <n v="0"/>
  </r>
  <r>
    <d v="2025-10-28T00:00:00"/>
    <n v="1300000"/>
    <n v="1350539.7260273972"/>
    <x v="23"/>
    <n v="43"/>
    <n v="0.33"/>
    <x v="3"/>
    <n v="35260.273972602699"/>
    <n v="1617.7472259431888"/>
    <n v="1655.2661310193878"/>
    <n v="803.58660435474781"/>
    <n v="1350539.7260273972"/>
    <n v="0"/>
  </r>
  <r>
    <d v="2025-10-28T00:00:00"/>
    <n v="220000"/>
    <n v="228293.69863013699"/>
    <x v="23"/>
    <n v="43"/>
    <n v="0.32"/>
    <x v="0"/>
    <n v="5786.3013698630166"/>
    <n v="1617.7472259431888"/>
    <n v="1655.2661310193878"/>
    <n v="135.99157919849577"/>
    <n v="228293.69863013699"/>
    <n v="0"/>
  </r>
  <r>
    <d v="2025-10-28T00:00:00"/>
    <n v="1383000"/>
    <n v="1440025.0684931506"/>
    <x v="23"/>
    <n v="43"/>
    <n v="0.35"/>
    <x v="1"/>
    <n v="39784.931506849287"/>
    <n v="1617.7472259431888"/>
    <n v="1655.2661310193878"/>
    <n v="854.89251832508933"/>
    <n v="1440025.0684931506"/>
    <n v="0"/>
  </r>
  <r>
    <d v="2025-10-29T00:00:00"/>
    <n v="400000"/>
    <n v="415550.68493150687"/>
    <x v="24"/>
    <n v="43"/>
    <n v="0.33"/>
    <x v="3"/>
    <n v="10849.315068493164"/>
    <n v="1618.6100244636918"/>
    <n v="1656.1489396225979"/>
    <n v="247.12561639579334"/>
    <n v="415550.68493150687"/>
    <n v="0"/>
  </r>
  <r>
    <d v="2025-10-29T00:00:00"/>
    <n v="1011000"/>
    <n v="1058046.1232876712"/>
    <x v="24"/>
    <n v="43"/>
    <n v="0.39500000000000002"/>
    <x v="7"/>
    <n v="32822.876712328776"/>
    <n v="1618.6100244636918"/>
    <n v="1656.1489396225979"/>
    <n v="624.6099954403677"/>
    <n v="1058046.1232876712"/>
    <n v="0"/>
  </r>
  <r>
    <d v="2025-10-29T00:00:00"/>
    <n v="1229000"/>
    <n v="1286190.5890410959"/>
    <x v="24"/>
    <n v="43"/>
    <n v="0.39500000000000002"/>
    <x v="4"/>
    <n v="39900.410958904133"/>
    <n v="1618.6100244636918"/>
    <n v="1656.1489396225979"/>
    <n v="759.29345637607503"/>
    <n v="1286190.5890410959"/>
    <n v="0"/>
  </r>
  <r>
    <d v="2025-10-28T00:00:00"/>
    <n v="270000"/>
    <n v="280740.82191780821"/>
    <x v="24"/>
    <n v="44"/>
    <n v="0.33"/>
    <x v="3"/>
    <n v="7323.2876712328689"/>
    <n v="1617.7472259431888"/>
    <n v="1656.1489396225979"/>
    <n v="166.89875628906299"/>
    <n v="280740.82191780821"/>
    <n v="0"/>
  </r>
  <r>
    <d v="2025-10-31T00:00:00"/>
    <n v="461000"/>
    <n v="477974.90410958906"/>
    <x v="25"/>
    <n v="42"/>
    <n v="0.32"/>
    <x v="0"/>
    <n v="12124.931506849327"/>
    <n v="1620.3370022277488"/>
    <n v="1657.0322190570632"/>
    <n v="284.50871600548902"/>
    <n v="477974.90410958906"/>
    <n v="0"/>
  </r>
  <r>
    <d v="2025-10-30T00:00:00"/>
    <n v="636000"/>
    <n v="659976.32876712328"/>
    <x v="25"/>
    <n v="43"/>
    <n v="0.32"/>
    <x v="0"/>
    <n v="16727.671232876706"/>
    <n v="1619.4732831434058"/>
    <n v="1657.0322190570632"/>
    <n v="392.72027925370946"/>
    <n v="659976.32876712328"/>
    <n v="0"/>
  </r>
  <r>
    <d v="2025-10-30T00:00:00"/>
    <n v="500000"/>
    <n v="520616.43835616438"/>
    <x v="25"/>
    <n v="43"/>
    <n v="0.35"/>
    <x v="1"/>
    <n v="14383.561643835612"/>
    <n v="1619.4732831434058"/>
    <n v="1657.0322190570632"/>
    <n v="308.74235790385961"/>
    <n v="520616.43835616438"/>
    <n v="0"/>
  </r>
  <r>
    <d v="2025-10-30T00:00:00"/>
    <n v="526000"/>
    <n v="545829.47945205483"/>
    <x v="25"/>
    <n v="43"/>
    <n v="0.32"/>
    <x v="6"/>
    <n v="13834.520547945232"/>
    <n v="1619.4732831434058"/>
    <n v="1657.0322190570632"/>
    <n v="324.79696051486036"/>
    <n v="545829.47945205483"/>
    <n v="0"/>
  </r>
  <r>
    <d v="2025-10-29T00:00:00"/>
    <n v="250000"/>
    <n v="259945.20547945207"/>
    <x v="25"/>
    <n v="44"/>
    <n v="0.33"/>
    <x v="3"/>
    <n v="6780.8219178082272"/>
    <n v="1618.6100244636918"/>
    <n v="1657.0322190570632"/>
    <n v="154.45351024737084"/>
    <n v="259945.20547945207"/>
    <n v="0"/>
  </r>
  <r>
    <d v="2025-10-29T00:00:00"/>
    <n v="572000"/>
    <n v="596133.69863013702"/>
    <x v="25"/>
    <n v="44"/>
    <n v="0.35"/>
    <x v="1"/>
    <n v="16454.79452054797"/>
    <n v="1618.6100244636918"/>
    <n v="1657.0322190570632"/>
    <n v="353.38963144598449"/>
    <n v="596133.69863013702"/>
    <n v="0"/>
  </r>
  <r>
    <d v="2025-10-31T00:00:00"/>
    <n v="1580000"/>
    <n v="1665709.5890410959"/>
    <x v="26"/>
    <n v="45"/>
    <n v="0.44"/>
    <x v="8"/>
    <n v="57139.726027397286"/>
    <n v="1620.3370022277488"/>
    <n v="1659.6848848597592"/>
    <n v="975.10579455243521"/>
    <n v="1665709.5890410959"/>
    <n v="0"/>
  </r>
  <r>
    <d v="2025-10-30T00:00:00"/>
    <n v="684000"/>
    <n v="714170.95890410955"/>
    <x v="26"/>
    <n v="46"/>
    <n v="0.35"/>
    <x v="1"/>
    <n v="19676.712328767095"/>
    <n v="1619.4732831434058"/>
    <n v="1659.6848848597592"/>
    <n v="422.35954561247996"/>
    <n v="714170.95890410955"/>
    <n v="0"/>
  </r>
  <r>
    <d v="2025-10-30T00:00:00"/>
    <n v="470000"/>
    <n v="488954.52054794523"/>
    <x v="26"/>
    <n v="46"/>
    <n v="0.32"/>
    <x v="5"/>
    <n v="12361.643835616453"/>
    <n v="1619.4732831434058"/>
    <n v="1659.6848848597592"/>
    <n v="290.21781642962804"/>
    <n v="488954.52054794523"/>
    <n v="0"/>
  </r>
  <r>
    <d v="2025-10-30T00:00:00"/>
    <n v="728000"/>
    <n v="760111.78082191781"/>
    <x v="26"/>
    <n v="46"/>
    <n v="0.35"/>
    <x v="7"/>
    <n v="20942.465753424658"/>
    <n v="1619.4732831434058"/>
    <n v="1659.6848848597592"/>
    <n v="449.52887310801964"/>
    <n v="760111.78082191781"/>
    <n v="0"/>
  </r>
  <r>
    <d v="2025-10-31T00:00:00"/>
    <n v="1000000"/>
    <n v="1039068.493150685"/>
    <x v="27"/>
    <n v="46"/>
    <n v="0.31"/>
    <x v="3"/>
    <n v="25479.452054794554"/>
    <n v="1620.3370022277488"/>
    <n v="1659.6848848597592"/>
    <n v="617.15556617242737"/>
    <n v="1039068.493150685"/>
    <n v="0"/>
  </r>
  <r>
    <d v="2025-10-31T00:00:00"/>
    <n v="200000"/>
    <n v="207813.69863013699"/>
    <x v="27"/>
    <n v="46"/>
    <n v="0.31"/>
    <x v="3"/>
    <n v="5095.8904109589066"/>
    <n v="1620.3370022277488"/>
    <n v="1659.6848848597592"/>
    <n v="123.43111323448547"/>
    <n v="207813.69863013699"/>
    <n v="0"/>
  </r>
  <r>
    <d v="2025-10-31T00:00:00"/>
    <n v="400000"/>
    <n v="416131.50684931508"/>
    <x v="27"/>
    <n v="46"/>
    <n v="0.32"/>
    <x v="5"/>
    <n v="10520.547945205484"/>
    <n v="1620.3370022277488"/>
    <n v="1659.6848848597592"/>
    <n v="246.86222646897093"/>
    <n v="416131.50684931508"/>
    <n v="0"/>
  </r>
  <r>
    <d v="2025-10-31T00:00:00"/>
    <n v="900000"/>
    <n v="935161.64383561641"/>
    <x v="27"/>
    <n v="46"/>
    <n v="0.31"/>
    <x v="8"/>
    <n v="22931.506849315054"/>
    <n v="1620.3370022277488"/>
    <n v="1659.6848848597592"/>
    <n v="555.44000955518459"/>
    <n v="935161.64383561641"/>
    <n v="0"/>
  </r>
  <r>
    <d v="2025-10-31T00:00:00"/>
    <n v="880000"/>
    <n v="915127.67123287672"/>
    <x v="28"/>
    <n v="47"/>
    <n v="0.31"/>
    <x v="8"/>
    <n v="22421.917808219183"/>
    <n v="1620.3370022277488"/>
    <n v="1659.6848848597592"/>
    <n v="543.09689823173608"/>
    <n v="915127.67123287672"/>
    <n v="0"/>
  </r>
  <r>
    <d v="2025-10-14T00:00:00"/>
    <n v="950000"/>
    <n v="1041356.1643835616"/>
    <x v="29"/>
    <n v="90"/>
    <n v="0.39"/>
    <x v="3"/>
    <n v="30452.054794520529"/>
    <n v="1605.7162262499987"/>
    <n v="1659.6848848597592"/>
    <n v="591.63629567264002"/>
    <n v="984351.01407198783"/>
    <n v="-57005.1503115737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F09D4-E72E-4A9A-9DF8-F87B0449C328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16">
  <location ref="A11:B42" firstHeaderRow="1" firstDataRow="1" firstDataCol="1"/>
  <pivotFields count="13">
    <pivotField showAll="0"/>
    <pivotField numFmtId="183" showAll="0"/>
    <pivotField dataField="1" numFmtId="183" showAll="0"/>
    <pivotField axis="axisRow" numFmtId="171" showAll="0" sortType="ascending">
      <items count="236">
        <item m="1" x="101"/>
        <item m="1" x="220"/>
        <item m="1" x="103"/>
        <item m="1" x="221"/>
        <item m="1" x="82"/>
        <item m="1" x="81"/>
        <item m="1" x="78"/>
        <item m="1" x="66"/>
        <item m="1" x="67"/>
        <item m="1" x="49"/>
        <item m="1" x="30"/>
        <item m="1" x="31"/>
        <item m="1" x="102"/>
        <item m="1" x="233"/>
        <item m="1" x="234"/>
        <item m="1" x="231"/>
        <item m="1" x="232"/>
        <item m="1" x="226"/>
        <item m="1" x="230"/>
        <item m="1" x="228"/>
        <item m="1" x="229"/>
        <item m="1" x="227"/>
        <item m="1" x="225"/>
        <item m="1" x="224"/>
        <item m="1" x="223"/>
        <item m="1" x="218"/>
        <item m="1" x="222"/>
        <item m="1" x="219"/>
        <item m="1" x="217"/>
        <item m="1" x="216"/>
        <item m="1" x="215"/>
        <item m="1" x="213"/>
        <item m="1" x="214"/>
        <item m="1" x="212"/>
        <item m="1" x="210"/>
        <item m="1" x="207"/>
        <item m="1" x="208"/>
        <item m="1" x="209"/>
        <item m="1" x="206"/>
        <item m="1" x="205"/>
        <item m="1" x="204"/>
        <item m="1" x="201"/>
        <item m="1" x="202"/>
        <item m="1" x="199"/>
        <item m="1" x="198"/>
        <item m="1" x="197"/>
        <item m="1" x="196"/>
        <item m="1" x="195"/>
        <item m="1" x="193"/>
        <item m="1" x="194"/>
        <item m="1" x="190"/>
        <item m="1" x="189"/>
        <item m="1" x="187"/>
        <item m="1" x="188"/>
        <item m="1" x="185"/>
        <item m="1" x="186"/>
        <item m="1" x="184"/>
        <item m="1" x="183"/>
        <item m="1" x="211"/>
        <item m="1" x="182"/>
        <item m="1" x="181"/>
        <item m="1" x="180"/>
        <item m="1" x="179"/>
        <item m="1" x="178"/>
        <item m="1" x="177"/>
        <item m="1" x="176"/>
        <item m="1" x="175"/>
        <item m="1" x="203"/>
        <item m="1" x="174"/>
        <item m="1" x="173"/>
        <item m="1" x="172"/>
        <item m="1" x="171"/>
        <item m="1" x="170"/>
        <item m="1" x="169"/>
        <item m="1" x="168"/>
        <item m="1" x="167"/>
        <item m="1" x="161"/>
        <item m="1" x="166"/>
        <item m="1" x="165"/>
        <item m="1" x="116"/>
        <item m="1" x="164"/>
        <item m="1" x="163"/>
        <item m="1" x="162"/>
        <item m="1" x="112"/>
        <item m="1" x="160"/>
        <item m="1" x="159"/>
        <item m="1" x="158"/>
        <item m="1" x="157"/>
        <item m="1" x="156"/>
        <item m="1" x="154"/>
        <item m="1" x="155"/>
        <item m="1" x="153"/>
        <item m="1" x="152"/>
        <item m="1" x="150"/>
        <item m="1" x="151"/>
        <item m="1" x="148"/>
        <item m="1" x="149"/>
        <item m="1" x="147"/>
        <item m="1" x="145"/>
        <item m="1" x="146"/>
        <item m="1" x="144"/>
        <item m="1" x="98"/>
        <item m="1" x="143"/>
        <item m="1" x="142"/>
        <item m="1" x="200"/>
        <item m="1" x="140"/>
        <item m="1" x="141"/>
        <item m="1" x="139"/>
        <item m="1" x="138"/>
        <item m="1" x="136"/>
        <item m="1" x="191"/>
        <item m="1" x="137"/>
        <item m="1" x="135"/>
        <item m="1" x="134"/>
        <item m="1" x="131"/>
        <item m="1" x="132"/>
        <item m="1" x="133"/>
        <item m="1" x="130"/>
        <item m="1" x="129"/>
        <item m="1" x="128"/>
        <item m="1" x="127"/>
        <item m="1" x="126"/>
        <item m="1" x="125"/>
        <item m="1" x="123"/>
        <item m="1" x="124"/>
        <item m="1" x="121"/>
        <item m="1" x="120"/>
        <item m="1" x="117"/>
        <item m="1" x="119"/>
        <item m="1" x="118"/>
        <item m="1" x="114"/>
        <item m="1" x="113"/>
        <item m="1" x="111"/>
        <item m="1" x="110"/>
        <item m="1" x="106"/>
        <item m="1" x="104"/>
        <item m="1" x="105"/>
        <item m="1" x="100"/>
        <item m="1" x="99"/>
        <item m="1" x="97"/>
        <item m="1" x="96"/>
        <item m="1" x="95"/>
        <item m="1" x="94"/>
        <item m="1" x="93"/>
        <item m="1" x="92"/>
        <item m="1" x="91"/>
        <item m="1" x="122"/>
        <item m="1" x="90"/>
        <item m="1" x="89"/>
        <item m="1" x="88"/>
        <item m="1" x="87"/>
        <item m="1" x="86"/>
        <item m="1" x="115"/>
        <item m="1" x="85"/>
        <item m="1" x="84"/>
        <item m="1" x="80"/>
        <item m="1" x="79"/>
        <item m="1" x="76"/>
        <item m="1" x="109"/>
        <item m="1" x="75"/>
        <item m="1" x="74"/>
        <item m="1" x="73"/>
        <item m="1" x="72"/>
        <item m="1" x="70"/>
        <item m="1" x="71"/>
        <item m="1" x="69"/>
        <item m="1" x="68"/>
        <item m="1" x="65"/>
        <item m="1" x="64"/>
        <item m="1" x="63"/>
        <item m="1" x="62"/>
        <item m="1" x="61"/>
        <item m="1" x="60"/>
        <item m="1" x="59"/>
        <item m="1" x="58"/>
        <item m="1" x="54"/>
        <item m="1" x="55"/>
        <item m="1" x="56"/>
        <item m="1" x="57"/>
        <item m="1" x="192"/>
        <item m="1" x="53"/>
        <item m="1" x="51"/>
        <item m="1" x="50"/>
        <item m="1" x="47"/>
        <item m="1" x="48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77"/>
        <item m="1" x="36"/>
        <item m="1" x="35"/>
        <item m="1" x="34"/>
        <item m="1" x="33"/>
        <item m="1" x="32"/>
        <item x="0"/>
        <item x="1"/>
        <item x="2"/>
        <item x="3"/>
        <item m="1" x="108"/>
        <item x="4"/>
        <item x="5"/>
        <item x="6"/>
        <item x="7"/>
        <item x="8"/>
        <item m="1" x="107"/>
        <item x="9"/>
        <item x="10"/>
        <item x="11"/>
        <item x="12"/>
        <item m="1" x="5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83"/>
        <item t="default"/>
      </items>
    </pivotField>
    <pivotField numFmtId="170" showAll="0"/>
    <pivotField showAll="0"/>
    <pivotField showAll="0"/>
    <pivotField showAll="0"/>
    <pivotField numFmtId="182" showAll="0"/>
    <pivotField numFmtId="182" showAll="0"/>
    <pivotField showAll="0"/>
    <pivotField showAll="0"/>
    <pivotField showAll="0"/>
  </pivotFields>
  <rowFields count="1">
    <field x="3"/>
  </rowFields>
  <rowItems count="31">
    <i>
      <x v="201"/>
    </i>
    <i>
      <x v="202"/>
    </i>
    <i>
      <x v="203"/>
    </i>
    <i>
      <x v="204"/>
    </i>
    <i>
      <x v="206"/>
    </i>
    <i>
      <x v="207"/>
    </i>
    <i>
      <x v="208"/>
    </i>
    <i>
      <x v="209"/>
    </i>
    <i>
      <x v="210"/>
    </i>
    <i>
      <x v="212"/>
    </i>
    <i>
      <x v="213"/>
    </i>
    <i>
      <x v="214"/>
    </i>
    <i>
      <x v="215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 t="grand">
      <x/>
    </i>
  </rowItems>
  <colItems count="1">
    <i/>
  </colItems>
  <dataFields count="1">
    <dataField name="Suma de ACOBRAR" fld="2" baseField="0" baseItem="0" numFmtId="183"/>
  </dataField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5D4AA-47A0-42BD-8A96-9C576A37F01D}" name="TablaDiná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5">
  <location ref="A3:B13" firstHeaderRow="1" firstDataRow="1" firstDataCol="1"/>
  <pivotFields count="13">
    <pivotField showAll="0"/>
    <pivotField numFmtId="183" showAll="0"/>
    <pivotField dataField="1" numFmtId="183" showAll="0"/>
    <pivotField numFmtId="171" showAll="0"/>
    <pivotField numFmtId="170" showAll="0"/>
    <pivotField showAll="0"/>
    <pivotField axis="axisRow" showAll="0">
      <items count="15">
        <item x="5"/>
        <item x="6"/>
        <item x="0"/>
        <item x="4"/>
        <item x="7"/>
        <item x="2"/>
        <item m="1" x="11"/>
        <item m="1" x="13"/>
        <item m="1" x="12"/>
        <item x="3"/>
        <item x="8"/>
        <item x="1"/>
        <item m="1" x="10"/>
        <item m="1" x="9"/>
        <item t="default"/>
      </items>
    </pivotField>
    <pivotField showAll="0"/>
    <pivotField numFmtId="182" showAll="0"/>
    <pivotField numFmtId="182" showAll="0"/>
    <pivotField showAll="0"/>
    <pivotField showAll="0"/>
    <pivotField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9"/>
    </i>
    <i>
      <x v="10"/>
    </i>
    <i>
      <x v="11"/>
    </i>
    <i t="grand">
      <x/>
    </i>
  </rowItems>
  <colItems count="1">
    <i/>
  </colItems>
  <dataFields count="1">
    <dataField name="Suma de ACOBRAR" fld="2" baseField="0" baseItem="0" numFmtId="18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BAB14D-E37F-4676-9E81-EDB109B1554B}" name="Tabla3" displayName="Tabla3" ref="A2239:H2425" totalsRowShown="0">
  <autoFilter ref="A2239:H2425" xr:uid="{55BAB14D-E37F-4676-9E81-EDB109B1554B}"/>
  <tableColumns count="8">
    <tableColumn id="1" xr3:uid="{D09D41F9-4852-45B6-9018-B4F6987FB8B0}" name="Columna1" dataDxfId="925"/>
    <tableColumn id="2" xr3:uid="{CD4C87B5-4A72-4399-BE21-AB1200A72B12}" name="Columna2" dataDxfId="924"/>
    <tableColumn id="3" xr3:uid="{20718965-DBA5-481C-B18C-F1C247CA0089}" name="Columna3" dataDxfId="923"/>
    <tableColumn id="4" xr3:uid="{37659174-B82A-42DA-B243-89766FA62E07}" name="Columna4" dataDxfId="922"/>
    <tableColumn id="5" xr3:uid="{6FFEBC54-751D-451D-8226-F5FAFD3FE4BE}" name="Columna5" dataDxfId="921"/>
    <tableColumn id="6" xr3:uid="{4AF58F43-1063-4C0C-99FA-2C54AC44D9A9}" name="Columna6" dataDxfId="920">
      <calculatedColumnFormula>+B2240-B2239</calculatedColumnFormula>
    </tableColumn>
    <tableColumn id="7" xr3:uid="{670E261F-FE7D-412B-9FF6-B4085F88C1CF}" name="Columna7" dataDxfId="919" dataCellStyle="Porcentaje">
      <calculatedColumnFormula>+F2240/(B2239)</calculatedColumnFormula>
    </tableColumn>
    <tableColumn id="8" xr3:uid="{317DDB7F-CB19-48D4-AB35-2EAA5F3EC81C}" name="Columna8" dataDxfId="918">
      <calculatedColumnFormula>+H2239+G2240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UVA" displayName="TablaUVA" ref="A2:C874" totalsRowShown="0" headerRowDxfId="917" headerRowBorderDxfId="916" tableBorderDxfId="915" totalsRowBorderDxfId="914">
  <autoFilter ref="A2:C874" xr:uid="{00000000-0009-0000-0100-000002000000}"/>
  <tableColumns count="3">
    <tableColumn id="1" xr3:uid="{00000000-0010-0000-0000-000001000000}" name="FECHA" dataDxfId="913"/>
    <tableColumn id="2" xr3:uid="{00000000-0010-0000-0000-000002000000}" name="Valor" dataDxfId="912"/>
    <tableColumn id="3" xr3:uid="{00000000-0010-0000-0000-000003000000}" name="Columna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63:M192" totalsRowCount="1" headerRowDxfId="911" dataDxfId="910" tableBorderDxfId="909" headerRowCellStyle="Normal_RESUMEN">
  <autoFilter ref="A63:M191" xr:uid="{00000000-0009-0000-0100-000001000000}"/>
  <sortState xmlns:xlrd2="http://schemas.microsoft.com/office/spreadsheetml/2017/richdata2" ref="A64:M191">
    <sortCondition ref="D64:D191"/>
  </sortState>
  <tableColumns count="13">
    <tableColumn id="1" xr3:uid="{00000000-0010-0000-0100-000001000000}" name="FECHA" totalsRowLabel="Total" dataDxfId="908" totalsRowDxfId="907" dataCellStyle="Normal_RESUMEN"/>
    <tableColumn id="2" xr3:uid="{00000000-0010-0000-0100-000002000000}" name="DEPOSITADO" dataDxfId="906" totalsRowDxfId="905" dataCellStyle="Normal 4"/>
    <tableColumn id="3" xr3:uid="{00000000-0010-0000-0100-000003000000}" name="ACOBRAR" dataDxfId="904" totalsRowDxfId="903" dataCellStyle="Normal 4">
      <calculatedColumnFormula>'PF ANTERIORES $'!B4021+('PF ANTERIORES $'!B4021*'PF ANTERIORES $'!F4021/365*'PF ANTERIORES $'!E4021)*1</calculatedColumnFormula>
    </tableColumn>
    <tableColumn id="4" xr3:uid="{00000000-0010-0000-0100-000004000000}" name="VTO." dataDxfId="902" totalsRowDxfId="901" dataCellStyle="Normal_RESUMEN">
      <calculatedColumnFormula>+#REF!+#REF!</calculatedColumnFormula>
    </tableColumn>
    <tableColumn id="5" xr3:uid="{00000000-0010-0000-0100-000005000000}" name="DIAS" dataDxfId="900" totalsRowDxfId="899" dataCellStyle="Normal_RESUMEN"/>
    <tableColumn id="6" xr3:uid="{00000000-0010-0000-0100-000006000000}" name="TASA" dataDxfId="898" totalsRowDxfId="897" dataCellStyle="Normal_RESUMEN"/>
    <tableColumn id="7" xr3:uid="{00000000-0010-0000-0100-000007000000}" name="BANCO" dataDxfId="896" totalsRowDxfId="895"/>
    <tableColumn id="8" xr3:uid="{00000000-0010-0000-0100-000008000000}" name="Columna8" dataDxfId="894" totalsRowDxfId="893" dataCellStyle="Normal 3">
      <calculatedColumnFormula>('PF ANTERIORES $'!C4021-'PF ANTERIORES $'!B4021)/'PF ANTERIORES $'!E4021*30</calculatedColumnFormula>
    </tableColumn>
    <tableColumn id="9" xr3:uid="{00000000-0010-0000-0100-000009000000}" name="Columna9" dataDxfId="892" totalsRowDxfId="891" dataCellStyle="Moneda [0]"/>
    <tableColumn id="10" xr3:uid="{00000000-0010-0000-0100-00000A000000}" name="Columna10" dataDxfId="890" totalsRowDxfId="889" dataCellStyle="Moneda [0]"/>
    <tableColumn id="11" xr3:uid="{00000000-0010-0000-0100-00000B000000}" name="Columna11" dataDxfId="888" totalsRowDxfId="887"/>
    <tableColumn id="12" xr3:uid="{00000000-0010-0000-0100-00000C000000}" name="Columna12" dataDxfId="886" totalsRowDxfId="885" dataCellStyle="Moneda"/>
    <tableColumn id="13" xr3:uid="{00000000-0010-0000-0100-00000D000000}" name="Columna13" totalsRowFunction="count" dataDxfId="884" totalsRowDxfId="88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4.xml"/></Relationships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webextensions/_rels/webextension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webextensions/_rels/webextension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0000000-0008-0000-0300-000002000000}">
  <we:reference id="wa102957665" version="1.3.0.0" store="es-ES" storeType="OMEX"/>
  <we:alternateReferences>
    <we:reference id="WA102957665" version="1.3.0.0" store="" storeType="OMEX"/>
  </we:alternateReferences>
  <we:properties>
    <we:property name="opt_cal_sys" value="1"/>
    <we:property name="opt_confirm" value="true"/>
    <we:property name="opt_month" value="&quot;2025-10-01&quot;"/>
    <we:property name="opt_size" value="0"/>
    <we:property name="opt_theme" value="1"/>
    <we:property name="opt_wn" value="false"/>
  </we:properties>
  <we:bindings/>
  <we:snapshot xmlns:r="http://schemas.openxmlformats.org/officeDocument/2006/relationships" r:embed="rId1"/>
</we:webextension>
</file>

<file path=xl/webextensions/webextension2.xml><?xml version="1.0" encoding="utf-8"?>
<we:webextension xmlns:we="http://schemas.microsoft.com/office/webextensions/webextension/2010/11" id="{1FD225F3-EFE6-43E5-89C2-5F11D66135FC}">
  <we:reference id="wa102957665" version="1.3.0.0" store="es-ES" storeType="OMEX"/>
  <we:alternateReferences>
    <we:reference id="WA102957665" version="1.3.0.0" store="" storeType="OMEX"/>
  </we:alternateReferences>
  <we:properties>
    <we:property name="opt_month" value="&quot;2025-07-01&quot;"/>
  </we:properties>
  <we:bindings/>
  <we:snapshot xmlns:r="http://schemas.openxmlformats.org/officeDocument/2006/relationships" r:embed="rId1"/>
</we:webextension>
</file>

<file path=xl/webextensions/webextension3.xml><?xml version="1.0" encoding="utf-8"?>
<we:webextension xmlns:we="http://schemas.microsoft.com/office/webextensions/webextension/2010/11" id="{345BCF2E-8363-4D90-BFC7-BC331E2D7F56}">
  <we:reference id="wa102957665" version="1.3.0.0" store="es-ES" storeType="OMEX"/>
  <we:alternateReferences>
    <we:reference id="WA102957665" version="1.3.0.0" store="" storeType="OMEX"/>
  </we:alternateReferences>
  <we:properties>
    <we:property name="opt_month" value="&quot;2025-11-01&quot;"/>
  </we:properties>
  <we:bindings/>
  <we:snapshot xmlns:r="http://schemas.openxmlformats.org/officeDocument/2006/relationships" r:embed="rId1"/>
</we:webextension>
</file>

<file path=xl/webextensions/webextension4.xml><?xml version="1.0" encoding="utf-8"?>
<we:webextension xmlns:we="http://schemas.microsoft.com/office/webextensions/webextension/2010/11" id="{48FC28FF-FDB6-4C63-992D-488593E581CB}">
  <we:reference id="wa200005502" version="1.0.0.12" store="es-ES" storeType="OMEX"/>
  <we:alternateReferences>
    <we:reference id="WA200005502" version="1.0.0.12" store="" storeType="OMEX"/>
  </we:alternateReferences>
  <we:properties>
    <we:property name="docId" value="&quot;iWFyaTvQtCMo_vQhRmTQT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control" Target="../activeX/activeX6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comments" Target="../comments1.xml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"/>
  <sheetViews>
    <sheetView topLeftCell="K1" zoomScale="70" zoomScaleNormal="70" workbookViewId="0">
      <selection activeCell="AG16" sqref="AG16"/>
    </sheetView>
  </sheetViews>
  <sheetFormatPr baseColWidth="10" defaultColWidth="10.54296875" defaultRowHeight="12.5"/>
  <cols>
    <col min="1" max="5" width="11.45312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Z2433"/>
  <sheetViews>
    <sheetView topLeftCell="A2199" zoomScaleNormal="100" workbookViewId="0">
      <selection activeCell="A2212" sqref="A2212:XFD2212"/>
    </sheetView>
  </sheetViews>
  <sheetFormatPr baseColWidth="10" defaultColWidth="10.54296875" defaultRowHeight="12.5"/>
  <cols>
    <col min="1" max="1" width="37.1796875" customWidth="1"/>
    <col min="2" max="2" width="17.81640625" customWidth="1"/>
    <col min="3" max="3" width="17.36328125" customWidth="1"/>
    <col min="4" max="4" width="24.81640625" customWidth="1"/>
    <col min="5" max="5" width="17.54296875" customWidth="1"/>
    <col min="6" max="6" width="15" customWidth="1"/>
    <col min="7" max="7" width="23.08984375" customWidth="1"/>
    <col min="8" max="8" width="23.453125" customWidth="1"/>
    <col min="9" max="9" width="17.36328125" customWidth="1"/>
    <col min="10" max="10" width="27.54296875" customWidth="1"/>
    <col min="11" max="11" width="15.54296875" customWidth="1"/>
    <col min="12" max="12" width="13.7265625" customWidth="1"/>
    <col min="13" max="13" width="16.54296875" customWidth="1"/>
    <col min="14" max="14" width="15.26953125" customWidth="1"/>
    <col min="15" max="15" width="12.81640625" customWidth="1"/>
    <col min="16" max="16" width="14.453125" customWidth="1"/>
    <col min="17" max="17" width="18.453125" customWidth="1"/>
    <col min="18" max="18" width="10.54296875" customWidth="1"/>
    <col min="19" max="19" width="15.54296875" customWidth="1"/>
    <col min="20" max="20" width="14.453125" customWidth="1"/>
    <col min="21" max="21" width="14.7265625" customWidth="1"/>
  </cols>
  <sheetData>
    <row r="1" spans="1:19" ht="20">
      <c r="D1" t="s">
        <v>0</v>
      </c>
      <c r="E1" s="41">
        <v>45263</v>
      </c>
      <c r="Q1" s="1157" t="s">
        <v>1</v>
      </c>
      <c r="R1" s="1157"/>
      <c r="S1" s="1157"/>
    </row>
    <row r="2" spans="1:19" ht="13" thickBot="1"/>
    <row r="3" spans="1:19" ht="13.5" thickBot="1">
      <c r="A3" t="s">
        <v>2</v>
      </c>
      <c r="B3" s="251">
        <v>1450</v>
      </c>
      <c r="C3" s="238" t="s">
        <v>3</v>
      </c>
      <c r="D3" s="238" t="s">
        <v>4</v>
      </c>
      <c r="E3" s="238" t="s">
        <v>5</v>
      </c>
      <c r="F3" s="238" t="s">
        <v>6</v>
      </c>
    </row>
    <row r="4" spans="1:19" ht="15.5">
      <c r="A4" s="180" t="s">
        <v>7</v>
      </c>
      <c r="B4" s="250">
        <f>SUM(D4:F4)</f>
        <v>7845975.5727586206</v>
      </c>
      <c r="C4" s="241">
        <f t="shared" ref="C4:C11" si="0">+B4/$B$12</f>
        <v>0.68158613907597498</v>
      </c>
      <c r="D4" s="776">
        <f>+D65</f>
        <v>91380.522758620689</v>
      </c>
      <c r="E4" s="776">
        <v>3183784.4</v>
      </c>
      <c r="F4" s="776">
        <v>4570810.6500000004</v>
      </c>
      <c r="G4" s="577" t="s">
        <v>853</v>
      </c>
      <c r="H4" s="577" t="s">
        <v>854</v>
      </c>
      <c r="I4" s="577"/>
    </row>
    <row r="5" spans="1:19" ht="15.5">
      <c r="A5" s="180" t="s">
        <v>8</v>
      </c>
      <c r="B5" s="242">
        <f>SUM(D5:F5)</f>
        <v>0</v>
      </c>
      <c r="C5" s="241">
        <f t="shared" si="0"/>
        <v>0</v>
      </c>
      <c r="D5" s="242">
        <v>0</v>
      </c>
      <c r="F5" s="242"/>
      <c r="G5" s="32"/>
      <c r="I5">
        <v>0</v>
      </c>
    </row>
    <row r="6" spans="1:19" ht="15.5">
      <c r="A6" s="180" t="s">
        <v>9</v>
      </c>
      <c r="B6" s="242">
        <f t="shared" ref="B6:B10" si="1">SUM(D6:F6)</f>
        <v>297162.51813103445</v>
      </c>
      <c r="C6" s="241">
        <f t="shared" si="0"/>
        <v>2.581474432755761E-2</v>
      </c>
      <c r="D6" s="242">
        <f>+D43</f>
        <v>297162.51813103445</v>
      </c>
      <c r="E6" s="242"/>
      <c r="F6" s="242"/>
      <c r="I6">
        <v>874410.10018438473</v>
      </c>
    </row>
    <row r="7" spans="1:19" ht="15.5">
      <c r="A7" s="180" t="s">
        <v>10</v>
      </c>
      <c r="B7" s="242">
        <f t="shared" si="1"/>
        <v>474789.31</v>
      </c>
      <c r="C7" s="241">
        <f t="shared" si="0"/>
        <v>4.1245325030200924E-2</v>
      </c>
      <c r="D7" s="776">
        <v>474789.31</v>
      </c>
      <c r="E7" s="242"/>
      <c r="F7" s="242"/>
      <c r="I7">
        <v>0</v>
      </c>
    </row>
    <row r="8" spans="1:19" ht="15.5">
      <c r="A8" s="180" t="s">
        <v>11</v>
      </c>
      <c r="B8" s="242">
        <f t="shared" si="1"/>
        <v>0</v>
      </c>
      <c r="C8" s="241">
        <f t="shared" si="0"/>
        <v>0</v>
      </c>
      <c r="D8" s="242">
        <v>0</v>
      </c>
      <c r="E8" s="242"/>
      <c r="F8" s="242"/>
      <c r="I8">
        <v>0</v>
      </c>
    </row>
    <row r="9" spans="1:19" ht="15.5">
      <c r="A9" s="180" t="s">
        <v>12</v>
      </c>
      <c r="B9" s="242">
        <f t="shared" si="1"/>
        <v>660</v>
      </c>
      <c r="C9" s="241">
        <f t="shared" si="0"/>
        <v>5.7334724996088497E-5</v>
      </c>
      <c r="D9" s="242">
        <f>+CARTERA!D652</f>
        <v>660</v>
      </c>
      <c r="E9" s="242"/>
      <c r="F9" s="242"/>
      <c r="H9">
        <v>10904.91</v>
      </c>
      <c r="I9">
        <v>95800</v>
      </c>
    </row>
    <row r="10" spans="1:19" ht="15.5">
      <c r="A10" s="180" t="s">
        <v>13</v>
      </c>
      <c r="B10" s="242">
        <f t="shared" si="1"/>
        <v>2892761.0889657796</v>
      </c>
      <c r="C10" s="241">
        <f t="shared" si="0"/>
        <v>0.25129645684127044</v>
      </c>
      <c r="D10" s="242">
        <f>143288*1.1+2735144.28896578</f>
        <v>2892761.0889657796</v>
      </c>
      <c r="E10" s="242">
        <v>0</v>
      </c>
      <c r="F10" s="242">
        <v>0</v>
      </c>
      <c r="I10">
        <v>2735144.2889657775</v>
      </c>
    </row>
    <row r="11" spans="1:19" ht="15.5">
      <c r="A11" s="180"/>
      <c r="B11" s="242">
        <f>SUM(D11:E11)</f>
        <v>0</v>
      </c>
      <c r="C11" s="241">
        <f t="shared" si="0"/>
        <v>0</v>
      </c>
      <c r="D11" s="242"/>
      <c r="E11" s="242"/>
      <c r="F11" s="242"/>
    </row>
    <row r="12" spans="1:19" ht="15.5">
      <c r="A12" s="180"/>
      <c r="B12" s="243">
        <f>SUM(B4:B11)</f>
        <v>11511348.489855435</v>
      </c>
      <c r="C12" s="240">
        <f>SUM(C4:C11)</f>
        <v>1</v>
      </c>
      <c r="D12" s="243">
        <f>SUM(D4:D11)</f>
        <v>3756753.4398554349</v>
      </c>
      <c r="E12" s="243">
        <f>SUM(E4:E10)</f>
        <v>3183784.4</v>
      </c>
      <c r="F12" s="243">
        <f>SUM(F4:F10)</f>
        <v>4570810.6500000004</v>
      </c>
    </row>
    <row r="13" spans="1:19" ht="15.5">
      <c r="A13" s="180" t="s">
        <v>14</v>
      </c>
      <c r="B13" s="243" t="e">
        <f>+#REF!*1000</f>
        <v>#REF!</v>
      </c>
      <c r="E13" s="312"/>
      <c r="F13" s="841"/>
      <c r="G13" s="26"/>
    </row>
    <row r="14" spans="1:19" ht="15.5">
      <c r="A14" s="210" t="s">
        <v>15</v>
      </c>
      <c r="B14" s="296" t="e">
        <f>+B12-B13</f>
        <v>#REF!</v>
      </c>
      <c r="E14" s="32"/>
      <c r="G14" s="26"/>
    </row>
    <row r="15" spans="1:19" ht="15.5">
      <c r="A15" s="210"/>
      <c r="B15" s="26"/>
      <c r="G15" s="26">
        <v>246421.1</v>
      </c>
    </row>
    <row r="16" spans="1:19" ht="15.5">
      <c r="A16" s="210"/>
      <c r="B16" s="26"/>
      <c r="G16" s="26">
        <v>523211.46</v>
      </c>
    </row>
    <row r="17" spans="1:26" ht="15.5">
      <c r="A17" s="210"/>
      <c r="B17" s="26"/>
      <c r="G17" s="26">
        <f>+G15+G16</f>
        <v>769632.56</v>
      </c>
    </row>
    <row r="18" spans="1:26" ht="15.5">
      <c r="A18" s="210"/>
      <c r="B18" s="26"/>
      <c r="G18" s="26"/>
    </row>
    <row r="19" spans="1:26" ht="15.5">
      <c r="A19" s="210"/>
      <c r="B19" s="26"/>
      <c r="G19" s="26"/>
    </row>
    <row r="20" spans="1:26" ht="15.5">
      <c r="A20" s="210"/>
      <c r="B20" s="26"/>
      <c r="G20" s="26"/>
    </row>
    <row r="21" spans="1:26" ht="15.5">
      <c r="A21" s="210"/>
      <c r="B21" s="26"/>
      <c r="G21" s="26"/>
    </row>
    <row r="22" spans="1:26" ht="15.5">
      <c r="A22" s="210"/>
      <c r="B22" s="26"/>
      <c r="G22" s="26"/>
    </row>
    <row r="23" spans="1:26" ht="15.5">
      <c r="A23" s="210"/>
      <c r="B23" s="26"/>
      <c r="G23" s="26"/>
      <c r="V23" s="32">
        <f>+H152+H141</f>
        <v>120752.5906773748</v>
      </c>
      <c r="W23" s="32">
        <v>0</v>
      </c>
      <c r="X23" s="32">
        <f>+J152+J141</f>
        <v>95458.830677374819</v>
      </c>
      <c r="Y23" s="32">
        <f>+K152+K141</f>
        <v>23029.089999999997</v>
      </c>
      <c r="Z23" s="32">
        <f>+L152+L141</f>
        <v>2264.6699999999837</v>
      </c>
    </row>
    <row r="24" spans="1:26" ht="15.5">
      <c r="A24" s="210"/>
      <c r="B24" s="26"/>
      <c r="G24" s="26"/>
    </row>
    <row r="25" spans="1:26" ht="15.5">
      <c r="A25" s="210"/>
      <c r="B25" s="26"/>
      <c r="G25" s="26"/>
    </row>
    <row r="26" spans="1:26" ht="15.5">
      <c r="A26" s="210"/>
      <c r="B26" s="26"/>
      <c r="G26" s="26"/>
    </row>
    <row r="27" spans="1:26" ht="15.5">
      <c r="A27" s="210"/>
      <c r="B27" s="26"/>
      <c r="G27" s="26"/>
    </row>
    <row r="28" spans="1:26" ht="15.5">
      <c r="A28" s="210"/>
      <c r="B28" s="26"/>
      <c r="G28" s="26"/>
    </row>
    <row r="29" spans="1:26" ht="15.5">
      <c r="A29" s="210"/>
      <c r="B29" s="26"/>
      <c r="G29" s="26"/>
    </row>
    <row r="30" spans="1:26" ht="15.5">
      <c r="A30" s="210"/>
      <c r="B30" s="26"/>
      <c r="G30" s="26"/>
    </row>
    <row r="31" spans="1:26" ht="15.5">
      <c r="A31" s="210"/>
      <c r="B31" s="26"/>
      <c r="G31" s="26"/>
    </row>
    <row r="32" spans="1:26" ht="15.5">
      <c r="A32" s="210"/>
      <c r="B32" s="26"/>
      <c r="G32" s="26"/>
    </row>
    <row r="33" spans="1:26" ht="15.5">
      <c r="A33" s="210"/>
      <c r="B33" s="26"/>
      <c r="G33" s="26"/>
    </row>
    <row r="34" spans="1:26">
      <c r="V34" s="32">
        <f>+V23+H163</f>
        <v>131815.36739503633</v>
      </c>
      <c r="W34" s="32">
        <f>+W23+I163</f>
        <v>1</v>
      </c>
      <c r="X34" s="32">
        <f>+X23+J163</f>
        <v>99614.907395036353</v>
      </c>
      <c r="Y34" s="32">
        <f>+Y23+K163</f>
        <v>30958.789999999994</v>
      </c>
      <c r="Z34" s="32">
        <f>+Z23+L163</f>
        <v>1241.6699999999837</v>
      </c>
    </row>
    <row r="35" spans="1:26" ht="13">
      <c r="A35" s="510" t="s">
        <v>16</v>
      </c>
      <c r="B35" s="193"/>
      <c r="C35" s="193"/>
      <c r="D35" s="231">
        <f>+CARTERA!C19</f>
        <v>235474.66039999999</v>
      </c>
    </row>
    <row r="36" spans="1:26" ht="13">
      <c r="A36" s="510"/>
      <c r="B36" s="193"/>
      <c r="C36" s="193"/>
      <c r="D36" s="231"/>
      <c r="E36" s="231"/>
      <c r="F36" s="577" t="s">
        <v>17</v>
      </c>
    </row>
    <row r="37" spans="1:26" ht="13">
      <c r="A37" s="510"/>
      <c r="B37" s="193"/>
      <c r="C37" s="193"/>
      <c r="D37" s="231"/>
    </row>
    <row r="38" spans="1:26" ht="13.5" thickBot="1">
      <c r="A38" s="510"/>
      <c r="B38" s="193"/>
      <c r="C38" s="193"/>
      <c r="D38" s="232"/>
    </row>
    <row r="39" spans="1:26">
      <c r="A39" s="510" t="s">
        <v>18</v>
      </c>
      <c r="B39" s="193"/>
      <c r="C39" s="193"/>
      <c r="D39" s="233">
        <f>SUM(D35:D38)</f>
        <v>235474.66039999999</v>
      </c>
    </row>
    <row r="40" spans="1:26">
      <c r="A40" s="510" t="s">
        <v>19</v>
      </c>
      <c r="B40" s="193"/>
      <c r="C40" s="193"/>
      <c r="D40" s="842">
        <f>+CARTERA!C20</f>
        <v>89447393.709999993</v>
      </c>
    </row>
    <row r="41" spans="1:26">
      <c r="A41" s="510" t="s">
        <v>20</v>
      </c>
      <c r="B41" s="193"/>
      <c r="C41" s="193"/>
      <c r="D41" s="842">
        <v>0</v>
      </c>
    </row>
    <row r="42" spans="1:26" ht="13">
      <c r="A42" s="510" t="s">
        <v>21</v>
      </c>
      <c r="B42" s="193"/>
      <c r="C42" s="193"/>
      <c r="D42" s="231">
        <v>0</v>
      </c>
    </row>
    <row r="43" spans="1:26" ht="15.5">
      <c r="A43" s="510" t="s">
        <v>22</v>
      </c>
      <c r="B43" s="193"/>
      <c r="C43" s="193"/>
      <c r="D43" s="234">
        <f>+D39+(D40+D41)/B3+D42</f>
        <v>297162.51813103445</v>
      </c>
      <c r="E43" s="445"/>
    </row>
    <row r="44" spans="1:26">
      <c r="A44" s="577"/>
      <c r="D44" s="8"/>
    </row>
    <row r="45" spans="1:26">
      <c r="A45" s="577"/>
      <c r="D45" s="8"/>
      <c r="V45" s="32">
        <f>+V34+H174</f>
        <v>22425.865922075289</v>
      </c>
    </row>
    <row r="46" spans="1:26" ht="18">
      <c r="A46" s="577" t="s">
        <v>23</v>
      </c>
      <c r="D46" s="197"/>
      <c r="W46" s="32">
        <f>+W34+I174</f>
        <v>1.9999999999999998</v>
      </c>
      <c r="X46" s="32">
        <f>+X34+J174</f>
        <v>43938.095922075299</v>
      </c>
      <c r="Y46" s="32">
        <f>+Y34+K174</f>
        <v>-12112.80000000001</v>
      </c>
      <c r="Z46" s="32">
        <f>+Z34+L174</f>
        <v>-9399.429999999993</v>
      </c>
    </row>
    <row r="48" spans="1:26" ht="14" thickBot="1">
      <c r="A48" s="229" t="s">
        <v>24</v>
      </c>
      <c r="B48" s="228"/>
      <c r="C48" s="228"/>
      <c r="D48" s="228"/>
      <c r="J48" s="460" t="s">
        <v>25</v>
      </c>
      <c r="K48" s="461" t="s">
        <v>26</v>
      </c>
      <c r="L48" s="461" t="s">
        <v>27</v>
      </c>
      <c r="M48" s="461" t="s">
        <v>28</v>
      </c>
    </row>
    <row r="49" spans="1:26" ht="20">
      <c r="A49" s="255" t="s">
        <v>29</v>
      </c>
      <c r="B49" s="256" t="s">
        <v>30</v>
      </c>
      <c r="C49" s="256" t="s">
        <v>31</v>
      </c>
      <c r="D49" s="256" t="s">
        <v>32</v>
      </c>
      <c r="E49" s="257"/>
      <c r="G49" t="s">
        <v>33</v>
      </c>
      <c r="I49" t="s">
        <v>34</v>
      </c>
      <c r="J49" s="462" t="s">
        <v>35</v>
      </c>
      <c r="K49" s="463" t="s">
        <v>36</v>
      </c>
      <c r="L49" s="464">
        <v>9470</v>
      </c>
      <c r="M49" s="463" t="s">
        <v>37</v>
      </c>
    </row>
    <row r="50" spans="1:26" ht="27">
      <c r="A50" s="221" t="s">
        <v>33</v>
      </c>
      <c r="B50" s="230"/>
      <c r="C50" s="222" t="s">
        <v>34</v>
      </c>
      <c r="D50" s="222" t="s">
        <v>38</v>
      </c>
      <c r="E50" s="220" t="s">
        <v>39</v>
      </c>
      <c r="F50" s="245"/>
      <c r="G50" s="244"/>
      <c r="H50" s="440"/>
      <c r="I50" s="440"/>
      <c r="J50" s="465" t="s">
        <v>40</v>
      </c>
      <c r="K50" s="466" t="s">
        <v>41</v>
      </c>
      <c r="L50" s="467">
        <v>3300</v>
      </c>
      <c r="M50" s="466" t="s">
        <v>42</v>
      </c>
    </row>
    <row r="51" spans="1:26" ht="13.5">
      <c r="A51" s="221"/>
      <c r="B51" s="230"/>
      <c r="C51" s="447"/>
      <c r="D51" s="448"/>
      <c r="E51" s="843"/>
      <c r="F51" s="245"/>
      <c r="G51" s="244"/>
      <c r="H51" s="440"/>
      <c r="I51" s="440"/>
      <c r="J51" s="462" t="s">
        <v>43</v>
      </c>
      <c r="K51" s="463" t="s">
        <v>44</v>
      </c>
      <c r="L51" s="464">
        <v>12750</v>
      </c>
      <c r="M51" s="463" t="s">
        <v>45</v>
      </c>
    </row>
    <row r="52" spans="1:26" ht="13.5">
      <c r="A52" s="221"/>
      <c r="B52" s="230"/>
      <c r="C52" s="447"/>
      <c r="D52" s="448"/>
      <c r="E52" s="843"/>
      <c r="F52" s="284"/>
      <c r="G52" s="244"/>
      <c r="H52" s="440"/>
      <c r="I52" s="440"/>
      <c r="J52" s="465" t="s">
        <v>46</v>
      </c>
      <c r="K52" s="466" t="s">
        <v>47</v>
      </c>
      <c r="L52" s="467">
        <v>14950</v>
      </c>
      <c r="M52" s="466" t="s">
        <v>48</v>
      </c>
    </row>
    <row r="53" spans="1:26" ht="13.5">
      <c r="A53" s="221"/>
      <c r="B53" s="230"/>
      <c r="C53" s="447"/>
      <c r="D53" s="448"/>
      <c r="E53" s="843"/>
      <c r="F53" s="245"/>
      <c r="G53" s="244" t="s">
        <v>49</v>
      </c>
      <c r="H53" s="456">
        <v>200000</v>
      </c>
      <c r="I53" s="457">
        <v>1.41</v>
      </c>
      <c r="J53" s="462" t="s">
        <v>50</v>
      </c>
      <c r="K53" s="463" t="s">
        <v>51</v>
      </c>
      <c r="L53" s="464">
        <v>8600</v>
      </c>
      <c r="M53" s="463" t="s">
        <v>52</v>
      </c>
    </row>
    <row r="54" spans="1:26" ht="13.5">
      <c r="A54" s="221"/>
      <c r="B54" s="230"/>
      <c r="C54" s="447">
        <v>1.6</v>
      </c>
      <c r="D54" s="448"/>
      <c r="E54" s="843"/>
      <c r="F54" s="245">
        <f>+E54/$B$3</f>
        <v>0</v>
      </c>
      <c r="G54" s="244" t="s">
        <v>53</v>
      </c>
      <c r="H54" s="456">
        <v>270000</v>
      </c>
      <c r="I54" s="457">
        <v>0.55000000000000004</v>
      </c>
      <c r="J54" s="465" t="s">
        <v>54</v>
      </c>
      <c r="K54" s="466" t="s">
        <v>55</v>
      </c>
      <c r="L54" s="467">
        <v>45000</v>
      </c>
      <c r="M54" s="466" t="s">
        <v>56</v>
      </c>
      <c r="V54" s="32">
        <f>+V45+H183</f>
        <v>26237.108757246344</v>
      </c>
    </row>
    <row r="55" spans="1:26" ht="13.5">
      <c r="A55" s="221"/>
      <c r="B55" s="230"/>
      <c r="C55" s="447">
        <v>0.65</v>
      </c>
      <c r="D55" s="448"/>
      <c r="E55" s="843"/>
      <c r="F55" s="245">
        <f>+E55/$B$3</f>
        <v>0</v>
      </c>
      <c r="G55" s="244" t="s">
        <v>57</v>
      </c>
      <c r="H55" s="440">
        <v>20000</v>
      </c>
      <c r="I55" s="440">
        <v>0.55000000000000004</v>
      </c>
      <c r="J55" s="462" t="s">
        <v>58</v>
      </c>
      <c r="K55" s="463" t="s">
        <v>59</v>
      </c>
      <c r="L55" s="464">
        <v>7900</v>
      </c>
      <c r="M55" s="463" t="s">
        <v>60</v>
      </c>
      <c r="Y55" s="32">
        <f>+Y46+K183</f>
        <v>-12112.80000000001</v>
      </c>
      <c r="Z55" s="32">
        <f>+Z46+L183</f>
        <v>-9399.429999999993</v>
      </c>
    </row>
    <row r="56" spans="1:26" ht="20">
      <c r="A56" s="221"/>
      <c r="B56" s="230"/>
      <c r="C56" s="447">
        <v>0.65</v>
      </c>
      <c r="D56" s="448"/>
      <c r="E56" s="843"/>
      <c r="F56" s="245">
        <f>+E56/$B$3</f>
        <v>0</v>
      </c>
      <c r="G56" s="244" t="s">
        <v>61</v>
      </c>
      <c r="H56" s="440">
        <v>150000</v>
      </c>
      <c r="I56" s="440">
        <v>1.41</v>
      </c>
      <c r="J56" s="465" t="s">
        <v>62</v>
      </c>
      <c r="K56" s="466" t="s">
        <v>63</v>
      </c>
      <c r="L56" s="467">
        <v>32450</v>
      </c>
      <c r="M56" s="466" t="s">
        <v>64</v>
      </c>
      <c r="Y56" s="32"/>
      <c r="Z56" s="32"/>
    </row>
    <row r="57" spans="1:26" ht="20">
      <c r="A57" s="221"/>
      <c r="B57" s="230"/>
      <c r="C57" s="447">
        <v>1.6</v>
      </c>
      <c r="D57" s="448"/>
      <c r="E57" s="843"/>
      <c r="F57" s="245">
        <f>+E57/$B$3</f>
        <v>0</v>
      </c>
      <c r="G57" s="244" t="s">
        <v>65</v>
      </c>
      <c r="H57" s="440">
        <v>100000</v>
      </c>
      <c r="I57" s="440">
        <v>1</v>
      </c>
      <c r="J57" s="462"/>
      <c r="K57" s="462"/>
      <c r="L57" s="462"/>
      <c r="M57" s="463" t="s">
        <v>66</v>
      </c>
    </row>
    <row r="58" spans="1:26" ht="14" thickBot="1">
      <c r="A58" s="221" t="s">
        <v>33</v>
      </c>
      <c r="B58" s="230"/>
      <c r="C58" s="447">
        <v>1.1000000000000001</v>
      </c>
      <c r="D58" s="449">
        <v>0</v>
      </c>
      <c r="E58" s="844"/>
      <c r="F58" s="245">
        <f>+E58/$B$3</f>
        <v>0</v>
      </c>
      <c r="G58" s="244"/>
      <c r="H58" s="440"/>
      <c r="I58" s="440"/>
      <c r="J58" s="465"/>
      <c r="K58" s="465"/>
      <c r="L58" s="465" t="s">
        <v>67</v>
      </c>
      <c r="M58" s="466" t="s">
        <v>68</v>
      </c>
    </row>
    <row r="59" spans="1:26" ht="20">
      <c r="A59" s="221"/>
      <c r="B59" s="230"/>
      <c r="C59" s="222"/>
      <c r="D59" s="448">
        <f>SUM(D51:D58)</f>
        <v>0</v>
      </c>
      <c r="E59" s="843">
        <f>SUM(E51:E58)</f>
        <v>0</v>
      </c>
      <c r="F59" s="245"/>
      <c r="G59" s="244"/>
      <c r="H59" s="440"/>
      <c r="I59" s="440"/>
      <c r="J59" s="465" t="s">
        <v>69</v>
      </c>
      <c r="K59" s="466" t="s">
        <v>70</v>
      </c>
      <c r="L59" s="467">
        <v>127500</v>
      </c>
      <c r="M59" s="466" t="s">
        <v>71</v>
      </c>
    </row>
    <row r="60" spans="1:26" ht="20">
      <c r="A60" s="221"/>
      <c r="B60" s="230"/>
      <c r="C60" s="222"/>
      <c r="D60" s="222"/>
      <c r="E60" s="843"/>
      <c r="F60" s="245"/>
      <c r="G60" s="244" t="s">
        <v>72</v>
      </c>
      <c r="H60" s="440"/>
      <c r="I60" s="440"/>
      <c r="J60" s="462" t="s">
        <v>73</v>
      </c>
      <c r="K60" s="463" t="s">
        <v>74</v>
      </c>
      <c r="L60" s="464">
        <v>880000</v>
      </c>
      <c r="M60" s="463" t="s">
        <v>75</v>
      </c>
    </row>
    <row r="61" spans="1:26" ht="20">
      <c r="A61" s="221" t="s">
        <v>72</v>
      </c>
      <c r="B61" s="230"/>
      <c r="C61" s="222"/>
      <c r="D61" s="222"/>
      <c r="F61" s="245"/>
      <c r="G61" s="244" t="s">
        <v>76</v>
      </c>
      <c r="H61" s="440" t="s">
        <v>77</v>
      </c>
      <c r="I61" s="440"/>
      <c r="J61" s="465" t="s">
        <v>78</v>
      </c>
      <c r="K61" s="466" t="s">
        <v>79</v>
      </c>
      <c r="L61" s="467">
        <v>161000</v>
      </c>
      <c r="M61" s="466" t="s">
        <v>80</v>
      </c>
    </row>
    <row r="62" spans="1:26" ht="20">
      <c r="A62" s="221" t="s">
        <v>76</v>
      </c>
      <c r="B62" s="230"/>
      <c r="C62" s="222"/>
      <c r="D62" s="222"/>
      <c r="E62" s="838">
        <v>132501758</v>
      </c>
      <c r="F62" s="642">
        <v>12648939.67</v>
      </c>
      <c r="G62" s="32">
        <v>197457</v>
      </c>
      <c r="H62" s="440" t="s">
        <v>81</v>
      </c>
      <c r="I62" s="440"/>
      <c r="J62" s="462" t="s">
        <v>82</v>
      </c>
      <c r="K62" s="463" t="s">
        <v>83</v>
      </c>
      <c r="L62" s="464">
        <v>1875000</v>
      </c>
      <c r="M62" s="463" t="s">
        <v>84</v>
      </c>
    </row>
    <row r="63" spans="1:26" ht="20">
      <c r="A63" s="221" t="s">
        <v>85</v>
      </c>
      <c r="D63" s="448">
        <v>0</v>
      </c>
      <c r="E63" s="448">
        <v>0</v>
      </c>
      <c r="F63" s="245"/>
      <c r="G63" t="s">
        <v>86</v>
      </c>
      <c r="H63" s="440"/>
      <c r="I63" s="440"/>
      <c r="J63" s="465" t="s">
        <v>87</v>
      </c>
      <c r="K63" s="466" t="s">
        <v>88</v>
      </c>
      <c r="L63" s="467">
        <v>1545000</v>
      </c>
      <c r="M63" s="466" t="s">
        <v>89</v>
      </c>
    </row>
    <row r="64" spans="1:26" ht="20">
      <c r="A64" s="221" t="s">
        <v>90</v>
      </c>
      <c r="B64" s="230"/>
      <c r="C64" s="222"/>
      <c r="D64" s="222"/>
      <c r="E64" s="448">
        <f>+E62/B3+E63</f>
        <v>91380.522758620689</v>
      </c>
      <c r="F64" s="284"/>
      <c r="G64" s="244">
        <v>-319.14400000000001</v>
      </c>
      <c r="H64" s="441"/>
      <c r="I64" s="441"/>
      <c r="J64" s="462" t="s">
        <v>91</v>
      </c>
      <c r="K64" s="463" t="s">
        <v>92</v>
      </c>
      <c r="L64" s="464">
        <v>2140000</v>
      </c>
      <c r="M64" s="463" t="s">
        <v>93</v>
      </c>
    </row>
    <row r="65" spans="1:26" ht="20">
      <c r="A65" s="221" t="s">
        <v>94</v>
      </c>
      <c r="B65" s="230"/>
      <c r="C65" s="222"/>
      <c r="D65" s="450">
        <f>SUM(D59:D64)+E64</f>
        <v>91380.522758620689</v>
      </c>
      <c r="E65" s="220"/>
      <c r="F65" s="284"/>
      <c r="G65" s="244"/>
      <c r="H65" s="441"/>
      <c r="I65" s="441"/>
      <c r="J65" s="465" t="s">
        <v>95</v>
      </c>
      <c r="K65" s="466" t="s">
        <v>96</v>
      </c>
      <c r="L65" s="467">
        <v>251500</v>
      </c>
      <c r="M65" s="466" t="s">
        <v>97</v>
      </c>
    </row>
    <row r="66" spans="1:26" ht="20">
      <c r="A66" s="221"/>
      <c r="B66" s="230"/>
      <c r="C66" s="222"/>
      <c r="D66" s="222"/>
      <c r="E66" s="220"/>
      <c r="F66" s="284"/>
      <c r="G66" s="244"/>
      <c r="H66" s="441"/>
      <c r="I66" s="441"/>
      <c r="J66" s="462" t="s">
        <v>98</v>
      </c>
      <c r="K66" s="463" t="s">
        <v>99</v>
      </c>
      <c r="L66" s="464">
        <v>905000</v>
      </c>
      <c r="M66" s="463" t="s">
        <v>100</v>
      </c>
    </row>
    <row r="67" spans="1:26" ht="20">
      <c r="A67" s="221"/>
      <c r="B67" s="230"/>
      <c r="C67" s="222"/>
      <c r="D67" s="222"/>
      <c r="E67" s="220"/>
      <c r="F67" s="284"/>
      <c r="G67" s="244"/>
      <c r="H67" s="441"/>
      <c r="I67" s="441"/>
      <c r="J67" s="465"/>
      <c r="K67" s="465"/>
      <c r="L67" s="465"/>
      <c r="M67" s="466" t="s">
        <v>66</v>
      </c>
    </row>
    <row r="68" spans="1:26" ht="20">
      <c r="A68" s="221"/>
      <c r="B68" s="230"/>
      <c r="C68" s="222"/>
      <c r="D68" s="222"/>
      <c r="E68" s="220"/>
      <c r="F68" s="1158"/>
      <c r="G68" s="1158"/>
      <c r="H68" s="441"/>
      <c r="I68" s="441"/>
      <c r="J68" s="465"/>
      <c r="K68" s="465"/>
      <c r="L68" s="465" t="s">
        <v>101</v>
      </c>
      <c r="M68" s="466" t="s">
        <v>102</v>
      </c>
      <c r="V68" s="32">
        <f>+V54+H196</f>
        <v>129338.29677124551</v>
      </c>
    </row>
    <row r="69" spans="1:26" ht="13.5">
      <c r="A69" s="221"/>
      <c r="B69" s="230"/>
      <c r="C69" s="222"/>
      <c r="D69" s="222"/>
      <c r="E69" s="220"/>
      <c r="F69" s="1158"/>
      <c r="G69" s="1158"/>
      <c r="H69" s="441"/>
      <c r="I69" s="441"/>
      <c r="J69" s="462" t="s">
        <v>103</v>
      </c>
      <c r="K69" s="463" t="s">
        <v>104</v>
      </c>
      <c r="L69" s="464">
        <v>13960</v>
      </c>
      <c r="M69" s="463" t="s">
        <v>105</v>
      </c>
      <c r="W69" s="32" t="e">
        <f>+#REF!+I196</f>
        <v>#REF!</v>
      </c>
      <c r="X69" s="32" t="e">
        <f>+#REF!+J196</f>
        <v>#REF!</v>
      </c>
    </row>
    <row r="70" spans="1:26" ht="13.5">
      <c r="A70" s="221"/>
      <c r="B70" s="230"/>
      <c r="C70" s="222"/>
      <c r="D70" s="222"/>
      <c r="E70" s="220"/>
      <c r="F70" s="244"/>
      <c r="G70" s="284"/>
      <c r="J70" s="465" t="s">
        <v>106</v>
      </c>
      <c r="K70" s="466" t="s">
        <v>107</v>
      </c>
      <c r="L70" s="467">
        <v>13960</v>
      </c>
      <c r="M70" s="466" t="s">
        <v>108</v>
      </c>
      <c r="Y70" s="32">
        <f>+Y55+K196</f>
        <v>32753.659999999989</v>
      </c>
      <c r="Z70" s="32">
        <f>+Z55+L196</f>
        <v>-165.0899999999674</v>
      </c>
    </row>
    <row r="71" spans="1:26" ht="20">
      <c r="A71" s="221"/>
      <c r="B71" s="230"/>
      <c r="C71" s="222"/>
      <c r="D71" s="222"/>
      <c r="E71" s="220"/>
      <c r="F71" s="244"/>
      <c r="G71" s="284"/>
      <c r="J71" s="462"/>
      <c r="K71" s="462"/>
      <c r="L71" s="462"/>
      <c r="M71" s="463" t="s">
        <v>66</v>
      </c>
    </row>
    <row r="72" spans="1:26" ht="13.5">
      <c r="A72" s="221"/>
      <c r="B72" s="230"/>
      <c r="C72" s="222"/>
      <c r="D72" s="222"/>
      <c r="E72" s="220"/>
      <c r="F72" s="244"/>
      <c r="G72" s="284"/>
      <c r="J72" s="465"/>
      <c r="K72" s="465"/>
      <c r="L72" s="465" t="s">
        <v>109</v>
      </c>
      <c r="M72" s="466" t="s">
        <v>110</v>
      </c>
    </row>
    <row r="73" spans="1:26" ht="13.5">
      <c r="A73" s="221"/>
      <c r="B73" s="230"/>
      <c r="C73" s="222"/>
      <c r="D73" s="222"/>
      <c r="E73" s="220"/>
      <c r="F73" s="244"/>
      <c r="G73" s="284"/>
      <c r="J73" s="465" t="s">
        <v>39</v>
      </c>
      <c r="K73" s="466"/>
      <c r="L73" s="466"/>
      <c r="M73" s="466" t="s">
        <v>111</v>
      </c>
    </row>
    <row r="74" spans="1:26" ht="20">
      <c r="A74" s="221"/>
      <c r="B74" s="230"/>
      <c r="C74" s="222"/>
      <c r="D74" s="222"/>
      <c r="E74" s="220"/>
      <c r="F74" s="244"/>
      <c r="G74" s="284"/>
      <c r="J74" s="462"/>
      <c r="K74" s="462"/>
      <c r="L74" s="462"/>
      <c r="M74" s="463" t="s">
        <v>66</v>
      </c>
    </row>
    <row r="75" spans="1:26" ht="20">
      <c r="A75" s="221"/>
      <c r="B75" s="230"/>
      <c r="C75" s="222"/>
      <c r="D75" s="222"/>
      <c r="E75" s="220"/>
      <c r="F75" s="246"/>
      <c r="G75" s="247"/>
      <c r="J75" s="465"/>
      <c r="K75" s="465"/>
      <c r="L75" s="465" t="s">
        <v>112</v>
      </c>
      <c r="M75" s="466" t="s">
        <v>111</v>
      </c>
    </row>
    <row r="76" spans="1:26" ht="20.5" thickBot="1">
      <c r="A76" s="221"/>
      <c r="B76" s="230"/>
      <c r="C76" s="222"/>
      <c r="D76" s="297"/>
      <c r="E76" s="220"/>
      <c r="F76" s="246"/>
      <c r="G76" s="247"/>
      <c r="J76" s="465"/>
      <c r="K76" s="465"/>
      <c r="L76" s="465"/>
      <c r="M76" s="466" t="s">
        <v>66</v>
      </c>
    </row>
    <row r="77" spans="1:26" ht="13.5">
      <c r="A77" s="221"/>
      <c r="B77" s="446"/>
      <c r="C77" s="222"/>
      <c r="D77" s="222"/>
      <c r="E77" s="220"/>
      <c r="F77" s="248"/>
      <c r="G77" s="249"/>
      <c r="J77" s="465"/>
      <c r="K77" s="465"/>
      <c r="L77" s="465" t="s">
        <v>22</v>
      </c>
      <c r="M77" s="466" t="s">
        <v>113</v>
      </c>
    </row>
    <row r="78" spans="1:26" ht="14" thickBot="1">
      <c r="A78" s="221"/>
      <c r="B78" s="446"/>
      <c r="C78" s="222"/>
      <c r="D78" s="222"/>
      <c r="E78" s="220"/>
      <c r="F78" s="248"/>
      <c r="G78" s="246"/>
    </row>
    <row r="79" spans="1:26" ht="14">
      <c r="A79" s="280"/>
      <c r="B79" s="258"/>
      <c r="C79" s="258"/>
      <c r="D79" s="283" t="s">
        <v>5</v>
      </c>
      <c r="E79" s="283" t="s">
        <v>114</v>
      </c>
      <c r="V79" s="32">
        <f>+V68+H207</f>
        <v>154972.9394954977</v>
      </c>
    </row>
    <row r="80" spans="1:26" ht="15.5">
      <c r="A80" s="259"/>
      <c r="B80" s="261">
        <v>36951</v>
      </c>
      <c r="C80" s="499">
        <v>200000</v>
      </c>
      <c r="D80" s="262"/>
      <c r="E80" s="260"/>
      <c r="W80" s="32" t="e">
        <f>+W69+I207</f>
        <v>#REF!</v>
      </c>
      <c r="X80" s="32" t="e">
        <f>+X69+J207</f>
        <v>#REF!</v>
      </c>
    </row>
    <row r="81" spans="1:26" ht="15.5">
      <c r="A81" s="259"/>
      <c r="B81" s="261">
        <v>37398</v>
      </c>
      <c r="C81" s="499">
        <v>95000</v>
      </c>
      <c r="D81" s="262"/>
      <c r="E81" s="260"/>
      <c r="Y81" s="32">
        <f>+Y70+K207</f>
        <v>12514.369999999995</v>
      </c>
      <c r="Z81" s="32">
        <f>+Z70+L207</f>
        <v>424.9100000000326</v>
      </c>
    </row>
    <row r="82" spans="1:26" ht="15.5">
      <c r="A82" s="259"/>
      <c r="B82" s="261">
        <v>37412</v>
      </c>
      <c r="C82" s="499">
        <v>74000</v>
      </c>
      <c r="D82" s="262">
        <f>SUM(C80:C87)</f>
        <v>697000</v>
      </c>
      <c r="E82" s="263">
        <f>+D82-E90-E91</f>
        <v>318000</v>
      </c>
    </row>
    <row r="83" spans="1:26" ht="15.5">
      <c r="A83" s="259"/>
      <c r="B83" s="261">
        <v>37425</v>
      </c>
      <c r="C83" s="499">
        <v>90000</v>
      </c>
      <c r="D83" s="260"/>
      <c r="E83" s="260"/>
    </row>
    <row r="84" spans="1:26" ht="15.5">
      <c r="A84" s="259"/>
      <c r="B84" s="261">
        <v>37449</v>
      </c>
      <c r="C84" s="499">
        <v>18000</v>
      </c>
      <c r="D84" s="260"/>
      <c r="E84" s="260"/>
    </row>
    <row r="85" spans="1:26" ht="15.5">
      <c r="A85" s="259"/>
      <c r="B85" s="261">
        <v>37497</v>
      </c>
      <c r="C85" s="499">
        <v>100000</v>
      </c>
      <c r="D85" s="260"/>
      <c r="E85" s="260"/>
    </row>
    <row r="86" spans="1:26" ht="15.5">
      <c r="A86" s="259"/>
      <c r="B86" s="261">
        <v>37607</v>
      </c>
      <c r="C86" s="499">
        <v>90000</v>
      </c>
      <c r="D86" s="260"/>
      <c r="E86" s="260"/>
    </row>
    <row r="87" spans="1:26" ht="15.5">
      <c r="A87" s="259"/>
      <c r="B87" s="261">
        <v>37701</v>
      </c>
      <c r="C87" s="499">
        <v>30000</v>
      </c>
      <c r="D87" s="263">
        <f>+E82</f>
        <v>318000</v>
      </c>
      <c r="E87" s="260"/>
    </row>
    <row r="88" spans="1:26" ht="15.5">
      <c r="A88" s="279" t="s">
        <v>115</v>
      </c>
      <c r="B88" s="261">
        <v>38139</v>
      </c>
      <c r="C88" s="499">
        <v>5000</v>
      </c>
      <c r="D88" s="260"/>
      <c r="E88" s="260"/>
    </row>
    <row r="89" spans="1:26" ht="15.5">
      <c r="A89" s="279" t="s">
        <v>115</v>
      </c>
      <c r="B89" s="261">
        <v>38988</v>
      </c>
      <c r="C89" s="499">
        <v>-5000</v>
      </c>
      <c r="D89" s="260"/>
      <c r="E89" s="260"/>
    </row>
    <row r="90" spans="1:26" ht="15.5">
      <c r="A90" s="279" t="s">
        <v>116</v>
      </c>
      <c r="B90" s="261">
        <v>38169</v>
      </c>
      <c r="C90" s="499">
        <v>52800</v>
      </c>
      <c r="D90" s="262">
        <f>+C90</f>
        <v>52800</v>
      </c>
      <c r="E90" s="262">
        <v>168000</v>
      </c>
      <c r="V90" s="32">
        <f>+V79+H218</f>
        <v>229411.52784903545</v>
      </c>
    </row>
    <row r="91" spans="1:26" ht="15.5">
      <c r="A91" s="279" t="s">
        <v>116</v>
      </c>
      <c r="B91" s="261">
        <v>38261</v>
      </c>
      <c r="C91" s="499">
        <v>49900</v>
      </c>
      <c r="D91" s="262">
        <f>+C91</f>
        <v>49900</v>
      </c>
      <c r="E91" s="262">
        <v>211000</v>
      </c>
      <c r="W91" s="32" t="e">
        <f>+W80+I218</f>
        <v>#REF!</v>
      </c>
      <c r="X91" s="32" t="e">
        <f>+X80+J218</f>
        <v>#REF!</v>
      </c>
    </row>
    <row r="92" spans="1:26" ht="15.5">
      <c r="A92" s="279" t="s">
        <v>114</v>
      </c>
      <c r="B92" s="261">
        <v>38572</v>
      </c>
      <c r="C92" s="499">
        <v>65000</v>
      </c>
      <c r="D92" s="260"/>
      <c r="E92" s="262">
        <f>+C92</f>
        <v>65000</v>
      </c>
      <c r="Y92" s="32">
        <f>+Y81+K218</f>
        <v>57774.140000000029</v>
      </c>
      <c r="Z92" s="32">
        <f>+Z81+L218</f>
        <v>12600.479999999981</v>
      </c>
    </row>
    <row r="93" spans="1:26" ht="15.5">
      <c r="A93" s="279" t="s">
        <v>114</v>
      </c>
      <c r="B93" s="261">
        <v>38597</v>
      </c>
      <c r="C93" s="499">
        <v>50000</v>
      </c>
      <c r="D93" s="260"/>
      <c r="E93" s="262">
        <f>+C93</f>
        <v>50000</v>
      </c>
    </row>
    <row r="94" spans="1:26" ht="15.5">
      <c r="A94" s="279" t="s">
        <v>116</v>
      </c>
      <c r="B94" s="261">
        <v>38898</v>
      </c>
      <c r="C94" s="499">
        <v>50000</v>
      </c>
      <c r="D94" s="262">
        <f>+C94</f>
        <v>50000</v>
      </c>
      <c r="E94" s="260"/>
    </row>
    <row r="95" spans="1:26" ht="15.5">
      <c r="A95" s="279" t="s">
        <v>116</v>
      </c>
      <c r="B95" s="261">
        <v>38936</v>
      </c>
      <c r="C95" s="499">
        <v>50000</v>
      </c>
      <c r="D95" s="262">
        <f>+C95</f>
        <v>50000</v>
      </c>
      <c r="E95" s="260"/>
    </row>
    <row r="96" spans="1:26" ht="15.5">
      <c r="A96" s="279" t="s">
        <v>114</v>
      </c>
      <c r="B96" s="261">
        <v>39035</v>
      </c>
      <c r="C96" s="499">
        <v>50000</v>
      </c>
      <c r="D96" s="260"/>
      <c r="E96" s="262">
        <f>+C96</f>
        <v>50000</v>
      </c>
    </row>
    <row r="97" spans="1:26" ht="15.5">
      <c r="A97" s="279" t="s">
        <v>114</v>
      </c>
      <c r="B97" s="261">
        <v>39092</v>
      </c>
      <c r="C97" s="499">
        <v>50000</v>
      </c>
      <c r="D97" s="260"/>
      <c r="E97" s="262">
        <f>+C97</f>
        <v>50000</v>
      </c>
    </row>
    <row r="98" spans="1:26" ht="15.5">
      <c r="A98" s="279" t="s">
        <v>116</v>
      </c>
      <c r="B98" s="261">
        <v>39259</v>
      </c>
      <c r="C98" s="499">
        <v>50000</v>
      </c>
      <c r="D98" s="262">
        <f>+C98</f>
        <v>50000</v>
      </c>
      <c r="E98" s="260"/>
    </row>
    <row r="99" spans="1:26" ht="15.5">
      <c r="A99" s="279" t="s">
        <v>114</v>
      </c>
      <c r="B99" s="261">
        <v>39304</v>
      </c>
      <c r="C99" s="499">
        <v>50000</v>
      </c>
      <c r="D99" s="262"/>
      <c r="E99" s="262">
        <f>+C99</f>
        <v>50000</v>
      </c>
      <c r="F99" s="262" t="s">
        <v>117</v>
      </c>
    </row>
    <row r="100" spans="1:26" ht="15.5">
      <c r="A100" s="279" t="s">
        <v>5</v>
      </c>
      <c r="B100" s="261">
        <v>40102</v>
      </c>
      <c r="C100" s="499">
        <v>50000</v>
      </c>
      <c r="D100" s="262">
        <v>50000</v>
      </c>
      <c r="E100" s="262"/>
      <c r="F100" s="262">
        <v>-50</v>
      </c>
    </row>
    <row r="101" spans="1:26" ht="15.5">
      <c r="A101" s="279" t="s">
        <v>5</v>
      </c>
      <c r="B101" s="261">
        <v>40106</v>
      </c>
      <c r="C101" s="499">
        <v>50000</v>
      </c>
      <c r="D101" s="262">
        <v>50000</v>
      </c>
      <c r="E101" s="262"/>
      <c r="F101" s="262">
        <v>-50</v>
      </c>
      <c r="V101" s="32">
        <f>+V90+H229</f>
        <v>344769.19395373261</v>
      </c>
    </row>
    <row r="102" spans="1:26" ht="15.5">
      <c r="A102" s="279" t="s">
        <v>5</v>
      </c>
      <c r="B102" s="261">
        <v>40534</v>
      </c>
      <c r="C102" s="499">
        <v>50000</v>
      </c>
      <c r="D102" s="262">
        <v>50000</v>
      </c>
      <c r="E102" s="262"/>
      <c r="F102" s="262">
        <v>250</v>
      </c>
      <c r="W102" s="32" t="e">
        <f>+W91+I229</f>
        <v>#REF!</v>
      </c>
      <c r="X102" s="32" t="e">
        <f>+X91+J229</f>
        <v>#REF!</v>
      </c>
    </row>
    <row r="103" spans="1:26" ht="15.5">
      <c r="A103" s="279" t="s">
        <v>5</v>
      </c>
      <c r="B103" s="261">
        <v>40535</v>
      </c>
      <c r="C103" s="499">
        <v>50000</v>
      </c>
      <c r="D103" s="262">
        <v>50000</v>
      </c>
      <c r="E103" s="262"/>
      <c r="F103" s="262">
        <v>250</v>
      </c>
      <c r="Y103" s="32">
        <f>+Y92+K229</f>
        <v>87610.619999999966</v>
      </c>
      <c r="Z103" s="32">
        <f>+Z92+L229</f>
        <v>19249.490000000049</v>
      </c>
    </row>
    <row r="104" spans="1:26" ht="15.5">
      <c r="A104" s="279" t="s">
        <v>114</v>
      </c>
      <c r="B104" s="261">
        <v>41394</v>
      </c>
      <c r="C104" s="499">
        <f>2800+4752*1.3</f>
        <v>8977.6</v>
      </c>
      <c r="D104" s="262"/>
      <c r="E104" s="262">
        <f>+C104</f>
        <v>8977.6</v>
      </c>
      <c r="F104" s="262"/>
      <c r="H104" s="8"/>
      <c r="I104" s="8"/>
    </row>
    <row r="105" spans="1:26" ht="15.5">
      <c r="A105" s="279" t="s">
        <v>5</v>
      </c>
      <c r="B105" s="261">
        <v>41582</v>
      </c>
      <c r="C105" s="499"/>
      <c r="D105" s="262">
        <v>50000</v>
      </c>
      <c r="E105" s="262"/>
      <c r="F105" s="262">
        <v>125</v>
      </c>
    </row>
    <row r="106" spans="1:26" ht="15.5">
      <c r="A106" s="279" t="s">
        <v>114</v>
      </c>
      <c r="B106" s="261">
        <v>41635</v>
      </c>
      <c r="C106" s="499">
        <v>50000</v>
      </c>
      <c r="D106" s="262"/>
      <c r="E106" s="262">
        <f>+C106</f>
        <v>50000</v>
      </c>
      <c r="F106" s="262">
        <v>-125</v>
      </c>
    </row>
    <row r="107" spans="1:26" ht="15.5">
      <c r="A107" s="279"/>
      <c r="B107" s="261"/>
      <c r="C107" s="499"/>
      <c r="D107" s="262"/>
      <c r="E107" s="262"/>
      <c r="F107" s="262"/>
    </row>
    <row r="108" spans="1:26" ht="15.5">
      <c r="A108" s="279"/>
      <c r="B108" s="261"/>
      <c r="D108" s="262">
        <f>SUM(D80:D104)</f>
        <v>1467700</v>
      </c>
      <c r="E108" s="262">
        <f>SUM(E80:E104)</f>
        <v>970977.6</v>
      </c>
      <c r="F108" s="262">
        <f>SUM(F87:F107)</f>
        <v>400</v>
      </c>
    </row>
    <row r="109" spans="1:26" ht="15.5">
      <c r="A109" s="279"/>
      <c r="B109" s="261"/>
      <c r="C109" s="499"/>
      <c r="D109" s="262"/>
      <c r="E109" s="262"/>
      <c r="F109" s="262"/>
    </row>
    <row r="110" spans="1:26" ht="15.5">
      <c r="A110" s="279" t="s">
        <v>118</v>
      </c>
      <c r="B110" s="261">
        <v>42578</v>
      </c>
      <c r="C110" s="499" t="s">
        <v>119</v>
      </c>
      <c r="D110" s="845">
        <v>53800</v>
      </c>
      <c r="E110" s="265"/>
      <c r="F110" s="845"/>
    </row>
    <row r="114" spans="2:26" ht="15.5">
      <c r="B114" s="266" t="s">
        <v>22</v>
      </c>
      <c r="C114" s="846">
        <f>SUM(C80:C110)</f>
        <v>1473677.6</v>
      </c>
      <c r="D114" s="260"/>
      <c r="E114" s="263"/>
      <c r="G114" s="21"/>
      <c r="H114" s="21"/>
      <c r="I114" s="21"/>
    </row>
    <row r="115" spans="2:26" ht="16" thickBot="1">
      <c r="B115" s="267"/>
      <c r="C115" s="268"/>
      <c r="D115" s="282">
        <f>+F5</f>
        <v>0</v>
      </c>
      <c r="E115" s="282"/>
    </row>
    <row r="116" spans="2:26" ht="15.5">
      <c r="B116" s="267" t="s">
        <v>5</v>
      </c>
      <c r="C116" s="269">
        <f>+D115</f>
        <v>0</v>
      </c>
      <c r="D116" s="263">
        <f>+D115-D108</f>
        <v>-1467700</v>
      </c>
      <c r="E116" s="263"/>
      <c r="V116" s="32">
        <f>+V101+H240</f>
        <v>368281.46434374881</v>
      </c>
    </row>
    <row r="117" spans="2:26" ht="15.5">
      <c r="B117" s="267" t="s">
        <v>120</v>
      </c>
      <c r="C117" s="269">
        <v>0</v>
      </c>
      <c r="D117" s="264"/>
      <c r="E117" s="260"/>
      <c r="W117" s="32" t="e">
        <f>+W102+I240</f>
        <v>#REF!</v>
      </c>
      <c r="X117" s="32" t="e">
        <f>+X102+J240</f>
        <v>#REF!</v>
      </c>
    </row>
    <row r="118" spans="2:26" ht="15.5">
      <c r="B118" s="267" t="s">
        <v>114</v>
      </c>
      <c r="C118" s="269">
        <f>+E115</f>
        <v>0</v>
      </c>
      <c r="D118" s="264"/>
      <c r="E118" s="260"/>
      <c r="Y118" s="32">
        <f>+Y103+K240</f>
        <v>84651.510000000009</v>
      </c>
      <c r="Z118" s="32">
        <f>+Z103+L240</f>
        <v>16382.910000000047</v>
      </c>
    </row>
    <row r="119" spans="2:26" ht="15.5">
      <c r="B119" s="267" t="s">
        <v>121</v>
      </c>
      <c r="C119" s="847">
        <f>SUM(C116:C118)</f>
        <v>0</v>
      </c>
      <c r="D119" s="261">
        <v>41912</v>
      </c>
      <c r="E119" s="260"/>
    </row>
    <row r="120" spans="2:26" ht="15.5">
      <c r="B120" s="267"/>
      <c r="C120" s="268"/>
      <c r="D120" s="264"/>
      <c r="E120" s="260"/>
    </row>
    <row r="121" spans="2:26" ht="15.5">
      <c r="B121" s="270" t="s">
        <v>15</v>
      </c>
      <c r="C121" s="848">
        <f>+C119-C114</f>
        <v>-1473677.6</v>
      </c>
      <c r="D121" s="271">
        <f>+C121/C114</f>
        <v>-1</v>
      </c>
      <c r="E121" s="260"/>
      <c r="F121" s="31"/>
    </row>
    <row r="122" spans="2:26" ht="15.5">
      <c r="B122" s="264"/>
      <c r="C122" s="264"/>
      <c r="D122" s="264"/>
      <c r="E122" s="260"/>
    </row>
    <row r="123" spans="2:26" ht="15.5">
      <c r="B123" s="264" t="s">
        <v>122</v>
      </c>
      <c r="C123" s="272">
        <f>150000/0.97</f>
        <v>154639.17525773196</v>
      </c>
      <c r="D123" s="273" t="s">
        <v>123</v>
      </c>
      <c r="E123" s="274"/>
    </row>
    <row r="124" spans="2:26" ht="15.5">
      <c r="B124" s="264" t="s">
        <v>124</v>
      </c>
      <c r="C124" s="272">
        <v>4000</v>
      </c>
      <c r="D124" s="264"/>
      <c r="E124" s="260"/>
    </row>
    <row r="125" spans="2:26" ht="15.5">
      <c r="B125" s="264"/>
      <c r="C125" s="272">
        <f>+C124+C123</f>
        <v>158639.17525773196</v>
      </c>
      <c r="D125" s="260"/>
      <c r="E125" s="260"/>
    </row>
    <row r="126" spans="2:26" ht="15.5">
      <c r="B126" s="264"/>
      <c r="C126" s="272">
        <f>+C125*1.312</f>
        <v>208134.59793814435</v>
      </c>
      <c r="D126" s="260"/>
      <c r="E126" s="260"/>
    </row>
    <row r="127" spans="2:26" ht="15.5">
      <c r="B127" s="264" t="s">
        <v>125</v>
      </c>
      <c r="C127" s="272">
        <v>150000</v>
      </c>
      <c r="D127" s="260"/>
      <c r="E127" s="260"/>
      <c r="V127" s="32">
        <f>+V116+H251</f>
        <v>545243.47393350396</v>
      </c>
    </row>
    <row r="128" spans="2:26" ht="15.5">
      <c r="B128" s="264"/>
      <c r="C128" s="272">
        <f>+C126-C127</f>
        <v>58134.597938144347</v>
      </c>
      <c r="D128" s="260"/>
      <c r="E128" s="260"/>
      <c r="W128" s="32" t="e">
        <f>+W117+I251</f>
        <v>#REF!</v>
      </c>
      <c r="X128" s="32" t="e">
        <f>+X117+J251</f>
        <v>#REF!</v>
      </c>
    </row>
    <row r="129" spans="1:26" ht="16" thickBot="1">
      <c r="A129" s="275"/>
      <c r="B129" s="276" t="s">
        <v>126</v>
      </c>
      <c r="C129" s="277">
        <f>+C121-C128</f>
        <v>-1531812.1979381444</v>
      </c>
      <c r="D129" s="278"/>
      <c r="E129" s="278"/>
      <c r="Y129" s="32">
        <f>+Y118+K251</f>
        <v>228349.89</v>
      </c>
      <c r="Z129" s="32">
        <f>+Z118+L251</f>
        <v>23757.400000000038</v>
      </c>
    </row>
    <row r="131" spans="1:26" ht="13" thickBot="1"/>
    <row r="132" spans="1:26" ht="16" thickBot="1">
      <c r="A132" s="253">
        <v>40237</v>
      </c>
      <c r="B132" s="251">
        <v>3.87</v>
      </c>
      <c r="C132" s="238" t="s">
        <v>3</v>
      </c>
      <c r="D132" s="238" t="s">
        <v>4</v>
      </c>
      <c r="E132" s="238" t="s">
        <v>5</v>
      </c>
      <c r="F132" s="238" t="s">
        <v>114</v>
      </c>
      <c r="G132" s="437" t="s">
        <v>127</v>
      </c>
      <c r="H132" s="438" t="s">
        <v>128</v>
      </c>
      <c r="I132" s="438" t="s">
        <v>129</v>
      </c>
      <c r="J132" s="438" t="s">
        <v>130</v>
      </c>
      <c r="K132" s="438" t="s">
        <v>131</v>
      </c>
    </row>
    <row r="133" spans="1:26" ht="15.5">
      <c r="A133" s="180" t="s">
        <v>7</v>
      </c>
      <c r="B133" s="250">
        <f t="shared" ref="B133:B139" si="2">SUM(D133:F133)</f>
        <v>911722.12677002582</v>
      </c>
      <c r="C133" s="241">
        <f t="shared" ref="C133:C139" si="3">+B133/$B$141</f>
        <v>0.16471024023017286</v>
      </c>
      <c r="D133" s="242">
        <v>658535.19677002588</v>
      </c>
      <c r="E133" s="242">
        <v>195709.93</v>
      </c>
      <c r="F133" s="242">
        <v>57477</v>
      </c>
      <c r="G133" s="439" t="s">
        <v>132</v>
      </c>
      <c r="H133" s="438" t="s">
        <v>133</v>
      </c>
      <c r="I133" s="438" t="s">
        <v>134</v>
      </c>
      <c r="J133" s="438" t="s">
        <v>135</v>
      </c>
      <c r="K133" s="438" t="s">
        <v>136</v>
      </c>
    </row>
    <row r="134" spans="1:26" ht="15.5">
      <c r="A134" s="180" t="s">
        <v>137</v>
      </c>
      <c r="B134" s="250">
        <f t="shared" si="2"/>
        <v>197364.06428940568</v>
      </c>
      <c r="C134" s="241">
        <f t="shared" si="3"/>
        <v>3.5655471648009182E-2</v>
      </c>
      <c r="D134" s="242">
        <v>41808.824289405682</v>
      </c>
      <c r="E134" s="242">
        <v>155555.24</v>
      </c>
      <c r="F134" s="242">
        <v>0</v>
      </c>
      <c r="G134" s="439" t="s">
        <v>138</v>
      </c>
      <c r="H134" s="438" t="s">
        <v>139</v>
      </c>
      <c r="I134" s="438" t="s">
        <v>140</v>
      </c>
      <c r="J134" s="438" t="s">
        <v>141</v>
      </c>
      <c r="K134" s="438" t="s">
        <v>142</v>
      </c>
    </row>
    <row r="135" spans="1:26" ht="15.5">
      <c r="A135" s="180" t="s">
        <v>9</v>
      </c>
      <c r="B135" s="250">
        <f t="shared" si="2"/>
        <v>1284784.2327469047</v>
      </c>
      <c r="C135" s="241">
        <f t="shared" si="3"/>
        <v>0.23210703503421676</v>
      </c>
      <c r="D135" s="242">
        <v>779270.95274690457</v>
      </c>
      <c r="E135" s="242">
        <v>17898.75</v>
      </c>
      <c r="F135" s="242">
        <v>487614.53</v>
      </c>
      <c r="G135" s="439" t="s">
        <v>143</v>
      </c>
      <c r="H135" s="438" t="s">
        <v>144</v>
      </c>
      <c r="I135" s="438" t="s">
        <v>145</v>
      </c>
      <c r="J135" s="438" t="s">
        <v>146</v>
      </c>
      <c r="K135" s="438" t="s">
        <v>147</v>
      </c>
    </row>
    <row r="136" spans="1:26" ht="15.5">
      <c r="A136" s="180" t="s">
        <v>148</v>
      </c>
      <c r="B136" s="250">
        <f t="shared" si="2"/>
        <v>153688.5</v>
      </c>
      <c r="C136" s="241">
        <f t="shared" si="3"/>
        <v>2.7765115063397142E-2</v>
      </c>
      <c r="D136" s="242">
        <v>0</v>
      </c>
      <c r="E136" s="242">
        <v>80597.7</v>
      </c>
      <c r="F136" s="242">
        <v>73090.8</v>
      </c>
      <c r="G136" s="439" t="s">
        <v>149</v>
      </c>
      <c r="H136" s="438" t="s">
        <v>150</v>
      </c>
      <c r="I136" s="438" t="s">
        <v>151</v>
      </c>
      <c r="J136" s="438" t="s">
        <v>152</v>
      </c>
      <c r="K136" s="438" t="s">
        <v>153</v>
      </c>
    </row>
    <row r="137" spans="1:26" ht="25">
      <c r="A137" s="180" t="s">
        <v>154</v>
      </c>
      <c r="B137" s="250">
        <f t="shared" si="2"/>
        <v>337538.4</v>
      </c>
      <c r="C137" s="241">
        <f t="shared" si="3"/>
        <v>6.0979139716471759E-2</v>
      </c>
      <c r="D137" s="242">
        <v>0</v>
      </c>
      <c r="E137" s="242">
        <v>307554.40000000002</v>
      </c>
      <c r="F137" s="242">
        <v>29984</v>
      </c>
      <c r="G137" s="437" t="s">
        <v>155</v>
      </c>
      <c r="H137" s="438" t="s">
        <v>156</v>
      </c>
      <c r="I137" s="438" t="s">
        <v>157</v>
      </c>
      <c r="J137" s="438" t="s">
        <v>158</v>
      </c>
      <c r="K137" s="438" t="s">
        <v>159</v>
      </c>
    </row>
    <row r="138" spans="1:26" ht="15.5">
      <c r="A138" s="180" t="s">
        <v>12</v>
      </c>
      <c r="B138" s="250">
        <f t="shared" si="2"/>
        <v>211058.75968992247</v>
      </c>
      <c r="C138" s="241">
        <f t="shared" si="3"/>
        <v>3.8129533100580613E-2</v>
      </c>
      <c r="D138" s="242">
        <v>211058.75968992247</v>
      </c>
      <c r="E138" s="242">
        <v>0</v>
      </c>
      <c r="F138" s="242">
        <v>0</v>
      </c>
    </row>
    <row r="139" spans="1:26" ht="15.5">
      <c r="A139" s="180" t="s">
        <v>160</v>
      </c>
      <c r="B139" s="250">
        <f t="shared" si="2"/>
        <v>2439153.22997416</v>
      </c>
      <c r="C139" s="241">
        <f t="shared" si="3"/>
        <v>0.44065346520715171</v>
      </c>
      <c r="D139" s="242">
        <v>2439153.22997416</v>
      </c>
      <c r="E139" s="242">
        <v>0</v>
      </c>
      <c r="F139" s="242">
        <v>0</v>
      </c>
    </row>
    <row r="140" spans="1:26" ht="15.5">
      <c r="A140" s="180"/>
      <c r="B140" s="239"/>
      <c r="C140" s="237"/>
      <c r="D140" s="237"/>
      <c r="E140" s="237"/>
      <c r="F140" s="237"/>
    </row>
    <row r="141" spans="1:26" ht="15.5">
      <c r="A141" s="180"/>
      <c r="B141" s="418">
        <f>SUM(B133:B139)</f>
        <v>5535309.3134704186</v>
      </c>
      <c r="C141" s="240">
        <f>SUM(C133:C140)</f>
        <v>1</v>
      </c>
      <c r="D141" s="243">
        <f>SUM(D133:D139)</f>
        <v>4129826.9634704185</v>
      </c>
      <c r="E141" s="243">
        <f>SUM(E133:E139)</f>
        <v>757316.02</v>
      </c>
      <c r="F141" s="243">
        <f>SUM(F133:F139)</f>
        <v>648166.33000000007</v>
      </c>
      <c r="H141" s="378">
        <v>0</v>
      </c>
      <c r="I141" s="377" t="s">
        <v>161</v>
      </c>
      <c r="J141" s="377"/>
    </row>
    <row r="142" spans="1:26" ht="14.5" thickBot="1">
      <c r="H142" s="254">
        <f>+A143</f>
        <v>40265</v>
      </c>
      <c r="I142" s="254"/>
      <c r="J142" s="254">
        <f>+A132</f>
        <v>40237</v>
      </c>
    </row>
    <row r="143" spans="1:26" ht="16" thickBot="1">
      <c r="A143" s="253">
        <v>40265</v>
      </c>
      <c r="B143" s="251">
        <v>3.88</v>
      </c>
      <c r="C143" s="238" t="s">
        <v>3</v>
      </c>
      <c r="D143" s="238" t="s">
        <v>4</v>
      </c>
      <c r="E143" s="238" t="s">
        <v>5</v>
      </c>
      <c r="F143" s="238" t="s">
        <v>114</v>
      </c>
      <c r="H143" s="251">
        <f>+B143-B132</f>
        <v>9.9999999999997868E-3</v>
      </c>
      <c r="I143" s="238" t="s">
        <v>3</v>
      </c>
      <c r="J143" s="238" t="s">
        <v>4</v>
      </c>
      <c r="K143" s="238" t="s">
        <v>5</v>
      </c>
      <c r="L143" s="238" t="s">
        <v>114</v>
      </c>
    </row>
    <row r="144" spans="1:26" ht="15.5">
      <c r="A144" s="180" t="s">
        <v>7</v>
      </c>
      <c r="B144" s="250">
        <f t="shared" ref="B144:B150" si="4">SUM(D144:F144)</f>
        <v>858348.91697164951</v>
      </c>
      <c r="C144" s="241">
        <f t="shared" ref="C144:C150" si="5">+B144/$B$152</f>
        <v>0.15175734133005006</v>
      </c>
      <c r="D144" s="242">
        <v>750627.24697164947</v>
      </c>
      <c r="E144" s="242">
        <v>50272.67</v>
      </c>
      <c r="F144" s="242">
        <v>57449</v>
      </c>
      <c r="H144" s="250">
        <f t="shared" ref="H144:H150" si="6">SUM(J144:L144)</f>
        <v>-53373.209798376425</v>
      </c>
      <c r="I144" s="241">
        <f t="shared" ref="I144:I150" si="7">+H144/$H$152</f>
        <v>-0.44200467666137511</v>
      </c>
      <c r="J144" s="242">
        <f t="shared" ref="J144:L150" si="8">+D144-D133</f>
        <v>92092.050201623584</v>
      </c>
      <c r="K144" s="849">
        <f t="shared" si="8"/>
        <v>-145437.26</v>
      </c>
      <c r="L144" s="242">
        <f t="shared" si="8"/>
        <v>-28</v>
      </c>
    </row>
    <row r="145" spans="1:12" ht="15.5">
      <c r="A145" s="180" t="s">
        <v>137</v>
      </c>
      <c r="B145" s="250">
        <f t="shared" si="4"/>
        <v>228523.89123711342</v>
      </c>
      <c r="C145" s="241">
        <f t="shared" si="5"/>
        <v>4.0403357514444578E-2</v>
      </c>
      <c r="D145" s="242">
        <v>44694.291237113408</v>
      </c>
      <c r="E145" s="242">
        <v>183829.6</v>
      </c>
      <c r="F145" s="242">
        <v>0</v>
      </c>
      <c r="H145" s="250">
        <f t="shared" si="6"/>
        <v>31159.826947707741</v>
      </c>
      <c r="I145" s="241">
        <f t="shared" si="7"/>
        <v>0.25804686071672084</v>
      </c>
      <c r="J145" s="242">
        <f t="shared" si="8"/>
        <v>2885.4669477077259</v>
      </c>
      <c r="K145" s="849">
        <f t="shared" si="8"/>
        <v>28274.360000000015</v>
      </c>
      <c r="L145" s="242">
        <f t="shared" si="8"/>
        <v>0</v>
      </c>
    </row>
    <row r="146" spans="1:12" ht="15.5">
      <c r="A146" s="180" t="s">
        <v>9</v>
      </c>
      <c r="B146" s="250">
        <f t="shared" si="4"/>
        <v>1170066.4120215038</v>
      </c>
      <c r="C146" s="241">
        <f t="shared" si="5"/>
        <v>0.20686944942442234</v>
      </c>
      <c r="D146" s="242">
        <v>759791.2920215039</v>
      </c>
      <c r="E146" s="242">
        <v>74011.12</v>
      </c>
      <c r="F146" s="242">
        <v>336264</v>
      </c>
      <c r="H146" s="250">
        <f t="shared" si="6"/>
        <v>-114717.8207254007</v>
      </c>
      <c r="I146" s="241">
        <f t="shared" si="7"/>
        <v>-0.95002368132955661</v>
      </c>
      <c r="J146" s="242">
        <f t="shared" si="8"/>
        <v>-19479.660725400667</v>
      </c>
      <c r="K146" s="849">
        <f t="shared" si="8"/>
        <v>56112.369999999995</v>
      </c>
      <c r="L146" s="242">
        <f t="shared" si="8"/>
        <v>-151350.53000000003</v>
      </c>
    </row>
    <row r="147" spans="1:12" ht="15.5">
      <c r="A147" s="180" t="s">
        <v>148</v>
      </c>
      <c r="B147" s="250">
        <f t="shared" si="4"/>
        <v>309076.52</v>
      </c>
      <c r="C147" s="241">
        <f t="shared" si="5"/>
        <v>5.464517985090353E-2</v>
      </c>
      <c r="D147" s="242">
        <v>0</v>
      </c>
      <c r="E147" s="242">
        <v>84050.52</v>
      </c>
      <c r="F147" s="242">
        <v>225026</v>
      </c>
      <c r="H147" s="250">
        <f t="shared" si="6"/>
        <v>155388.02000000002</v>
      </c>
      <c r="I147" s="241">
        <f t="shared" si="7"/>
        <v>1.2868296997052735</v>
      </c>
      <c r="J147" s="242">
        <f t="shared" si="8"/>
        <v>0</v>
      </c>
      <c r="K147" s="849">
        <f t="shared" si="8"/>
        <v>3452.820000000007</v>
      </c>
      <c r="L147" s="242">
        <f t="shared" si="8"/>
        <v>151935.20000000001</v>
      </c>
    </row>
    <row r="148" spans="1:12" ht="15.5">
      <c r="A148" s="180" t="s">
        <v>154</v>
      </c>
      <c r="B148" s="250">
        <f t="shared" si="4"/>
        <v>419873.2</v>
      </c>
      <c r="C148" s="241">
        <f t="shared" si="5"/>
        <v>7.4234194589011121E-2</v>
      </c>
      <c r="D148" s="242">
        <v>0</v>
      </c>
      <c r="E148" s="242">
        <v>388181.2</v>
      </c>
      <c r="F148" s="242">
        <v>31692</v>
      </c>
      <c r="H148" s="250">
        <f t="shared" si="6"/>
        <v>82334.799999999988</v>
      </c>
      <c r="I148" s="241">
        <f t="shared" si="7"/>
        <v>0.6818470687720567</v>
      </c>
      <c r="J148" s="242">
        <f t="shared" si="8"/>
        <v>0</v>
      </c>
      <c r="K148" s="849">
        <f t="shared" si="8"/>
        <v>80626.799999999988</v>
      </c>
      <c r="L148" s="242">
        <f t="shared" si="8"/>
        <v>1708</v>
      </c>
    </row>
    <row r="149" spans="1:12" ht="15.5">
      <c r="A149" s="180" t="s">
        <v>12</v>
      </c>
      <c r="B149" s="250">
        <f t="shared" si="4"/>
        <v>203517.55154639177</v>
      </c>
      <c r="C149" s="241">
        <f t="shared" si="5"/>
        <v>3.5982200158938334E-2</v>
      </c>
      <c r="D149" s="242">
        <v>203517.55154639177</v>
      </c>
      <c r="E149" s="242">
        <v>0</v>
      </c>
      <c r="F149" s="242">
        <v>0</v>
      </c>
      <c r="H149" s="250">
        <f t="shared" si="6"/>
        <v>-7541.2081435307045</v>
      </c>
      <c r="I149" s="241">
        <f t="shared" si="7"/>
        <v>-6.2451729616958745E-2</v>
      </c>
      <c r="J149" s="242">
        <f t="shared" si="8"/>
        <v>-7541.2081435307045</v>
      </c>
      <c r="K149" s="849">
        <f t="shared" si="8"/>
        <v>0</v>
      </c>
      <c r="L149" s="242">
        <f t="shared" si="8"/>
        <v>0</v>
      </c>
    </row>
    <row r="150" spans="1:12" ht="15.5">
      <c r="A150" s="180" t="s">
        <v>160</v>
      </c>
      <c r="B150" s="250">
        <f t="shared" si="4"/>
        <v>2466655.4123711349</v>
      </c>
      <c r="C150" s="241">
        <f t="shared" si="5"/>
        <v>0.43610827713223016</v>
      </c>
      <c r="D150" s="242">
        <v>2466655.4123711349</v>
      </c>
      <c r="E150" s="242">
        <v>0</v>
      </c>
      <c r="F150" s="242">
        <v>0</v>
      </c>
      <c r="H150" s="250">
        <f t="shared" si="6"/>
        <v>27502.18239697488</v>
      </c>
      <c r="I150" s="241">
        <f t="shared" si="7"/>
        <v>0.22775645841383937</v>
      </c>
      <c r="J150" s="242">
        <f t="shared" si="8"/>
        <v>27502.18239697488</v>
      </c>
      <c r="K150" s="849">
        <f t="shared" si="8"/>
        <v>0</v>
      </c>
      <c r="L150" s="242">
        <f t="shared" si="8"/>
        <v>0</v>
      </c>
    </row>
    <row r="151" spans="1:12" ht="15.5">
      <c r="A151" s="180"/>
      <c r="B151" s="239"/>
      <c r="C151" s="237"/>
      <c r="D151" s="237"/>
      <c r="E151" s="237"/>
      <c r="F151" s="237"/>
      <c r="H151" s="239"/>
      <c r="I151" s="237"/>
      <c r="J151" s="237"/>
      <c r="K151" s="252"/>
      <c r="L151" s="237"/>
    </row>
    <row r="152" spans="1:12" ht="15.5">
      <c r="A152" s="180"/>
      <c r="B152" s="243">
        <f>SUM(B144:B150)</f>
        <v>5656061.9041477926</v>
      </c>
      <c r="C152" s="240">
        <f>SUM(C144:C151)</f>
        <v>1.0000000000000002</v>
      </c>
      <c r="D152" s="243">
        <f>SUM(D144:D150)</f>
        <v>4225285.7941477932</v>
      </c>
      <c r="E152" s="243">
        <v>780345.1100000001</v>
      </c>
      <c r="F152" s="243">
        <f>SUM(F144:F150)</f>
        <v>650431</v>
      </c>
      <c r="G152" s="32">
        <f>+B152-B141</f>
        <v>120752.59067737404</v>
      </c>
      <c r="H152" s="243">
        <f>SUM(H144:H150)</f>
        <v>120752.5906773748</v>
      </c>
      <c r="I152" s="240">
        <f>SUM(I144:I150)</f>
        <v>1</v>
      </c>
      <c r="J152" s="243">
        <f>SUM(J144:J150)</f>
        <v>95458.830677374819</v>
      </c>
      <c r="K152" s="243">
        <f>SUM(K144:K150)</f>
        <v>23029.089999999997</v>
      </c>
      <c r="L152" s="243">
        <f>SUM(L144:L150)</f>
        <v>2264.6699999999837</v>
      </c>
    </row>
    <row r="153" spans="1:12" ht="14.5" thickBot="1">
      <c r="H153" s="254">
        <f>+A154</f>
        <v>40296</v>
      </c>
      <c r="I153" s="254"/>
      <c r="J153" s="254">
        <f>+A143</f>
        <v>40265</v>
      </c>
    </row>
    <row r="154" spans="1:12" ht="16" thickBot="1">
      <c r="A154" s="253">
        <v>40296</v>
      </c>
      <c r="B154" s="251">
        <v>3.9</v>
      </c>
      <c r="C154" s="238" t="s">
        <v>3</v>
      </c>
      <c r="D154" s="238" t="s">
        <v>4</v>
      </c>
      <c r="E154" s="238" t="s">
        <v>5</v>
      </c>
      <c r="F154" s="238" t="s">
        <v>114</v>
      </c>
      <c r="H154" s="251">
        <f>+B154-B143</f>
        <v>2.0000000000000018E-2</v>
      </c>
      <c r="I154" s="238" t="s">
        <v>3</v>
      </c>
      <c r="J154" s="238" t="s">
        <v>4</v>
      </c>
      <c r="K154" s="238" t="s">
        <v>5</v>
      </c>
      <c r="L154" s="238" t="s">
        <v>114</v>
      </c>
    </row>
    <row r="155" spans="1:12" ht="15.5">
      <c r="A155" s="180" t="s">
        <v>7</v>
      </c>
      <c r="B155" s="250">
        <f t="shared" ref="B155:B161" si="9">SUM(D155:F155)</f>
        <v>791188.26814102568</v>
      </c>
      <c r="C155" s="241">
        <f t="shared" ref="C155:C161" si="10">+B155/$B$163</f>
        <v>0.13961017494681258</v>
      </c>
      <c r="D155" s="242">
        <v>739622.11814102565</v>
      </c>
      <c r="E155" s="849">
        <v>51566.15</v>
      </c>
      <c r="F155" s="242">
        <v>0</v>
      </c>
      <c r="H155" s="250">
        <f t="shared" ref="H155:H161" si="11">SUM(J155:L155)</f>
        <v>-67160.648830623802</v>
      </c>
      <c r="I155" s="241">
        <f t="shared" ref="I155:I161" si="12">+H155/$H$163</f>
        <v>-6.0708672465026794</v>
      </c>
      <c r="J155" s="242">
        <f t="shared" ref="J155:L161" si="13">+D155-D144</f>
        <v>-11005.128830623813</v>
      </c>
      <c r="K155" s="849">
        <f t="shared" si="13"/>
        <v>1293.4800000000032</v>
      </c>
      <c r="L155" s="242">
        <f t="shared" si="13"/>
        <v>-57449</v>
      </c>
    </row>
    <row r="156" spans="1:12" ht="15.5">
      <c r="A156" s="180" t="s">
        <v>137</v>
      </c>
      <c r="B156" s="250">
        <f t="shared" si="9"/>
        <v>239758.3323076923</v>
      </c>
      <c r="C156" s="241">
        <f t="shared" si="10"/>
        <v>4.2306874439733973E-2</v>
      </c>
      <c r="D156" s="242">
        <v>53658.992307692308</v>
      </c>
      <c r="E156" s="849">
        <v>186099.34</v>
      </c>
      <c r="F156" s="242">
        <v>0</v>
      </c>
      <c r="H156" s="250">
        <f t="shared" si="11"/>
        <v>11234.441070578891</v>
      </c>
      <c r="I156" s="241">
        <f t="shared" si="12"/>
        <v>1.0155172934696677</v>
      </c>
      <c r="J156" s="242">
        <f t="shared" si="13"/>
        <v>8964.7010705788998</v>
      </c>
      <c r="K156" s="849">
        <f t="shared" si="13"/>
        <v>2269.7399999999907</v>
      </c>
      <c r="L156" s="242">
        <f t="shared" si="13"/>
        <v>0</v>
      </c>
    </row>
    <row r="157" spans="1:12" ht="15.5">
      <c r="A157" s="180" t="s">
        <v>9</v>
      </c>
      <c r="B157" s="250">
        <f t="shared" si="9"/>
        <v>1207621.089391096</v>
      </c>
      <c r="C157" s="241">
        <f t="shared" si="10"/>
        <v>0.21309238059796384</v>
      </c>
      <c r="D157" s="242">
        <v>779070.11939109594</v>
      </c>
      <c r="E157" s="849">
        <v>136712.97</v>
      </c>
      <c r="F157" s="242">
        <v>291838</v>
      </c>
      <c r="H157" s="250">
        <f t="shared" si="11"/>
        <v>37554.677369592042</v>
      </c>
      <c r="I157" s="241">
        <f t="shared" si="12"/>
        <v>3.3946881807382638</v>
      </c>
      <c r="J157" s="242">
        <f t="shared" si="13"/>
        <v>19278.827369592036</v>
      </c>
      <c r="K157" s="849">
        <f t="shared" si="13"/>
        <v>62701.850000000006</v>
      </c>
      <c r="L157" s="242">
        <f t="shared" si="13"/>
        <v>-44426</v>
      </c>
    </row>
    <row r="158" spans="1:12" ht="15.5">
      <c r="A158" s="180" t="s">
        <v>148</v>
      </c>
      <c r="B158" s="250">
        <f t="shared" si="9"/>
        <v>362516.85</v>
      </c>
      <c r="C158" s="241">
        <f t="shared" si="10"/>
        <v>6.3968391453254239E-2</v>
      </c>
      <c r="D158" s="242">
        <v>0</v>
      </c>
      <c r="E158" s="849">
        <v>85092.85</v>
      </c>
      <c r="F158" s="242">
        <v>277424</v>
      </c>
      <c r="H158" s="250">
        <f t="shared" si="11"/>
        <v>53440.33</v>
      </c>
      <c r="I158" s="241">
        <f t="shared" si="12"/>
        <v>4.8306434599446852</v>
      </c>
      <c r="J158" s="242">
        <f t="shared" si="13"/>
        <v>0</v>
      </c>
      <c r="K158" s="849">
        <f t="shared" si="13"/>
        <v>1042.3300000000017</v>
      </c>
      <c r="L158" s="242">
        <f t="shared" si="13"/>
        <v>52398</v>
      </c>
    </row>
    <row r="159" spans="1:12" ht="15.5">
      <c r="A159" s="180" t="s">
        <v>154</v>
      </c>
      <c r="B159" s="250">
        <f t="shared" si="9"/>
        <v>408949.5</v>
      </c>
      <c r="C159" s="241">
        <f t="shared" si="10"/>
        <v>7.2161726277309865E-2</v>
      </c>
      <c r="D159" s="242">
        <v>0</v>
      </c>
      <c r="E159" s="849">
        <v>328803.5</v>
      </c>
      <c r="F159" s="242">
        <v>80146</v>
      </c>
      <c r="H159" s="250">
        <f t="shared" si="11"/>
        <v>-10923.700000000012</v>
      </c>
      <c r="I159" s="241">
        <f t="shared" si="12"/>
        <v>-0.98742840778486607</v>
      </c>
      <c r="J159" s="242">
        <f t="shared" si="13"/>
        <v>0</v>
      </c>
      <c r="K159" s="849">
        <f t="shared" si="13"/>
        <v>-59377.700000000012</v>
      </c>
      <c r="L159" s="242">
        <f t="shared" si="13"/>
        <v>48454</v>
      </c>
    </row>
    <row r="160" spans="1:12" ht="15.5">
      <c r="A160" s="180" t="s">
        <v>12</v>
      </c>
      <c r="B160" s="250">
        <f t="shared" si="9"/>
        <v>202520.64102564103</v>
      </c>
      <c r="C160" s="241">
        <f t="shared" si="10"/>
        <v>3.5736048248494343E-2</v>
      </c>
      <c r="D160" s="242">
        <v>202520.64102564103</v>
      </c>
      <c r="E160" s="849">
        <v>0</v>
      </c>
      <c r="F160" s="242">
        <v>0</v>
      </c>
      <c r="H160" s="250">
        <f t="shared" si="11"/>
        <v>-996.91052075073821</v>
      </c>
      <c r="I160" s="241">
        <f t="shared" si="12"/>
        <v>-9.0113951152895264E-2</v>
      </c>
      <c r="J160" s="242">
        <f t="shared" si="13"/>
        <v>-996.91052075073821</v>
      </c>
      <c r="K160" s="849">
        <f t="shared" si="13"/>
        <v>0</v>
      </c>
      <c r="L160" s="242">
        <f t="shared" si="13"/>
        <v>0</v>
      </c>
    </row>
    <row r="161" spans="1:12" ht="15.5">
      <c r="A161" s="180" t="s">
        <v>160</v>
      </c>
      <c r="B161" s="250">
        <f t="shared" si="9"/>
        <v>2454570</v>
      </c>
      <c r="C161" s="241">
        <f t="shared" si="10"/>
        <v>0.43312440403643104</v>
      </c>
      <c r="D161" s="242">
        <v>2454570</v>
      </c>
      <c r="E161" s="849">
        <v>0</v>
      </c>
      <c r="F161" s="242">
        <v>0</v>
      </c>
      <c r="H161" s="250">
        <f t="shared" si="11"/>
        <v>-12085.412371134851</v>
      </c>
      <c r="I161" s="241">
        <f t="shared" si="12"/>
        <v>-1.0924393287121759</v>
      </c>
      <c r="J161" s="242">
        <f t="shared" si="13"/>
        <v>-12085.412371134851</v>
      </c>
      <c r="K161" s="849">
        <f t="shared" si="13"/>
        <v>0</v>
      </c>
      <c r="L161" s="242">
        <f t="shared" si="13"/>
        <v>0</v>
      </c>
    </row>
    <row r="162" spans="1:12" ht="15.5">
      <c r="A162" s="180"/>
      <c r="B162" s="239"/>
      <c r="C162" s="237"/>
      <c r="D162" s="237"/>
      <c r="E162" s="849"/>
      <c r="F162" s="237"/>
      <c r="H162" s="239"/>
      <c r="I162" s="237"/>
      <c r="J162" s="237"/>
      <c r="K162" s="252"/>
      <c r="L162" s="237"/>
    </row>
    <row r="163" spans="1:12" ht="15.5">
      <c r="A163" s="180"/>
      <c r="B163" s="243">
        <f>SUM(B155:B161)</f>
        <v>5667124.6808654554</v>
      </c>
      <c r="C163" s="240">
        <v>0.99999999999999989</v>
      </c>
      <c r="D163" s="243">
        <v>4229441.8708654549</v>
      </c>
      <c r="E163" s="849">
        <v>788274.80999999994</v>
      </c>
      <c r="F163" s="243">
        <v>649408</v>
      </c>
      <c r="G163" s="32">
        <f>+B163-B152</f>
        <v>11062.776717662811</v>
      </c>
      <c r="H163" s="243">
        <f>SUM(H155:H161)</f>
        <v>11062.776717661531</v>
      </c>
      <c r="I163" s="240">
        <f>SUM(I155:I161)</f>
        <v>1</v>
      </c>
      <c r="J163" s="243">
        <f>SUM(J155:J161)</f>
        <v>4156.0767176615336</v>
      </c>
      <c r="K163" s="243">
        <f>SUM(K155:K161)</f>
        <v>7929.6999999999971</v>
      </c>
      <c r="L163" s="243">
        <f>SUM(L155:L161)</f>
        <v>-1023</v>
      </c>
    </row>
    <row r="164" spans="1:12" ht="14.5" thickBot="1">
      <c r="G164" s="32">
        <f>+F163+E163+D160+D155+D156+D157</f>
        <v>3212554.680865455</v>
      </c>
      <c r="H164" s="254">
        <f>+A165</f>
        <v>40326</v>
      </c>
      <c r="I164" s="254"/>
      <c r="J164" s="254">
        <f>+A154</f>
        <v>40296</v>
      </c>
    </row>
    <row r="165" spans="1:12" ht="16" thickBot="1">
      <c r="A165" s="253">
        <v>40326</v>
      </c>
      <c r="B165" s="251">
        <v>3.93</v>
      </c>
      <c r="C165" s="238" t="s">
        <v>3</v>
      </c>
      <c r="D165" s="238" t="s">
        <v>4</v>
      </c>
      <c r="E165" s="238" t="s">
        <v>5</v>
      </c>
      <c r="F165" s="238" t="s">
        <v>114</v>
      </c>
      <c r="H165" s="251">
        <f>+B165-B154</f>
        <v>3.0000000000000249E-2</v>
      </c>
      <c r="I165" s="238" t="s">
        <v>3</v>
      </c>
      <c r="J165" s="238" t="s">
        <v>4</v>
      </c>
      <c r="K165" s="238" t="s">
        <v>5</v>
      </c>
      <c r="L165" s="238" t="s">
        <v>114</v>
      </c>
    </row>
    <row r="166" spans="1:12" ht="15.5">
      <c r="A166" s="180" t="s">
        <v>7</v>
      </c>
      <c r="B166" s="250">
        <f t="shared" ref="B166:B172" si="14">SUM(D166:F166)</f>
        <v>757892.98298982193</v>
      </c>
      <c r="C166" s="241">
        <f t="shared" ref="C166:C172" si="15">+B166/$B$174</f>
        <v>0.13636723566822875</v>
      </c>
      <c r="D166" s="242">
        <v>706417.51298982196</v>
      </c>
      <c r="E166" s="849">
        <v>51475.47</v>
      </c>
      <c r="F166" s="849">
        <v>0</v>
      </c>
      <c r="H166" s="250">
        <f t="shared" ref="H166:H172" si="16">SUM(J166:L166)</f>
        <v>-33295.285151203694</v>
      </c>
      <c r="I166" s="241">
        <f t="shared" ref="I166:I172" si="17">+H166/$H$174</f>
        <v>0.30437368031550671</v>
      </c>
      <c r="J166" s="242">
        <f t="shared" ref="J166:L172" si="18">+D166-D155</f>
        <v>-33204.605151203694</v>
      </c>
      <c r="K166" s="849">
        <f t="shared" si="18"/>
        <v>-90.680000000000291</v>
      </c>
      <c r="L166" s="242">
        <f t="shared" si="18"/>
        <v>0</v>
      </c>
    </row>
    <row r="167" spans="1:12" ht="15.5">
      <c r="A167" s="180" t="s">
        <v>8</v>
      </c>
      <c r="B167" s="250">
        <f t="shared" si="14"/>
        <v>228027.95737913487</v>
      </c>
      <c r="C167" s="241">
        <f t="shared" si="15"/>
        <v>4.1028935352054714E-2</v>
      </c>
      <c r="D167" s="242">
        <v>52745.707379134859</v>
      </c>
      <c r="E167" s="849">
        <v>175282.25</v>
      </c>
      <c r="F167" s="849">
        <v>0</v>
      </c>
      <c r="H167" s="250">
        <f t="shared" si="16"/>
        <v>-11730.374928557445</v>
      </c>
      <c r="I167" s="241">
        <f t="shared" si="17"/>
        <v>0.10723492447268319</v>
      </c>
      <c r="J167" s="242">
        <f t="shared" si="18"/>
        <v>-913.28492855744844</v>
      </c>
      <c r="K167" s="849">
        <f t="shared" si="18"/>
        <v>-10817.089999999997</v>
      </c>
      <c r="L167" s="242">
        <f t="shared" si="18"/>
        <v>0</v>
      </c>
    </row>
    <row r="168" spans="1:12" ht="15.5">
      <c r="A168" s="180" t="s">
        <v>9</v>
      </c>
      <c r="B168" s="250">
        <f t="shared" si="14"/>
        <v>1195449.2334277248</v>
      </c>
      <c r="C168" s="241">
        <f t="shared" si="15"/>
        <v>0.21509647272513571</v>
      </c>
      <c r="D168" s="242">
        <v>759708.07342772477</v>
      </c>
      <c r="E168" s="849">
        <f>262.55+137968.61</f>
        <v>138231.15999999997</v>
      </c>
      <c r="F168" s="849">
        <f>6447+291063</f>
        <v>297510</v>
      </c>
      <c r="H168" s="250">
        <f t="shared" si="16"/>
        <v>-12171.855963371199</v>
      </c>
      <c r="I168" s="241">
        <f t="shared" si="17"/>
        <v>0.11127078741079961</v>
      </c>
      <c r="J168" s="242">
        <f t="shared" si="18"/>
        <v>-19362.045963371173</v>
      </c>
      <c r="K168" s="849">
        <f t="shared" si="18"/>
        <v>1518.1899999999732</v>
      </c>
      <c r="L168" s="242">
        <f t="shared" si="18"/>
        <v>5672</v>
      </c>
    </row>
    <row r="169" spans="1:12" ht="15.5">
      <c r="A169" s="180" t="s">
        <v>148</v>
      </c>
      <c r="B169" s="250">
        <f t="shared" si="14"/>
        <v>354361.84</v>
      </c>
      <c r="C169" s="241">
        <f t="shared" si="15"/>
        <v>6.3760116047618998E-2</v>
      </c>
      <c r="D169" s="242">
        <v>0</v>
      </c>
      <c r="E169" s="849">
        <v>79874.94</v>
      </c>
      <c r="F169" s="849">
        <f>48355+29880.9+196251</f>
        <v>274486.90000000002</v>
      </c>
      <c r="H169" s="250">
        <f t="shared" si="16"/>
        <v>-8155.0099999999802</v>
      </c>
      <c r="I169" s="241">
        <f t="shared" si="17"/>
        <v>7.4550207197129792E-2</v>
      </c>
      <c r="J169" s="242">
        <f t="shared" si="18"/>
        <v>0</v>
      </c>
      <c r="K169" s="849">
        <f t="shared" si="18"/>
        <v>-5217.9100000000035</v>
      </c>
      <c r="L169" s="242">
        <f t="shared" si="18"/>
        <v>-2937.0999999999767</v>
      </c>
    </row>
    <row r="170" spans="1:12" ht="15.5">
      <c r="A170" s="180" t="s">
        <v>11</v>
      </c>
      <c r="B170" s="250">
        <f t="shared" si="14"/>
        <v>367109.4</v>
      </c>
      <c r="C170" s="241">
        <f t="shared" si="15"/>
        <v>6.6053776970375205E-2</v>
      </c>
      <c r="D170" s="242">
        <v>0</v>
      </c>
      <c r="E170" s="849">
        <v>300339.40000000002</v>
      </c>
      <c r="F170" s="849">
        <v>66770</v>
      </c>
      <c r="H170" s="250">
        <f t="shared" si="16"/>
        <v>-41840.099999999977</v>
      </c>
      <c r="I170" s="241">
        <f t="shared" si="17"/>
        <v>0.38248734509812204</v>
      </c>
      <c r="J170" s="242">
        <f t="shared" si="18"/>
        <v>0</v>
      </c>
      <c r="K170" s="849">
        <f t="shared" si="18"/>
        <v>-28464.099999999977</v>
      </c>
      <c r="L170" s="242">
        <f t="shared" si="18"/>
        <v>-13376</v>
      </c>
    </row>
    <row r="171" spans="1:12" ht="15.5">
      <c r="A171" s="180" t="s">
        <v>12</v>
      </c>
      <c r="B171" s="250">
        <f t="shared" si="14"/>
        <v>201044.30025445292</v>
      </c>
      <c r="C171" s="241">
        <f t="shared" si="15"/>
        <v>3.6173781903086052E-2</v>
      </c>
      <c r="D171" s="242">
        <v>201044.30025445292</v>
      </c>
      <c r="E171" s="849">
        <v>0</v>
      </c>
      <c r="F171" s="849">
        <v>0</v>
      </c>
      <c r="H171" s="250">
        <f t="shared" si="16"/>
        <v>-1476.3407711881155</v>
      </c>
      <c r="I171" s="241">
        <f t="shared" si="17"/>
        <v>1.349618337508411E-2</v>
      </c>
      <c r="J171" s="242">
        <f t="shared" si="18"/>
        <v>-1476.3407711881155</v>
      </c>
      <c r="K171" s="849">
        <f t="shared" si="18"/>
        <v>0</v>
      </c>
      <c r="L171" s="242">
        <f t="shared" si="18"/>
        <v>0</v>
      </c>
    </row>
    <row r="172" spans="1:12" ht="15.5">
      <c r="A172" s="180" t="s">
        <v>160</v>
      </c>
      <c r="B172" s="250">
        <f t="shared" si="14"/>
        <v>2453849.4653413594</v>
      </c>
      <c r="C172" s="241">
        <f t="shared" si="15"/>
        <v>0.4415196813335005</v>
      </c>
      <c r="D172" s="242">
        <v>2453849.4653413594</v>
      </c>
      <c r="E172" s="849">
        <v>0</v>
      </c>
      <c r="F172" s="849">
        <v>0</v>
      </c>
      <c r="H172" s="250">
        <f t="shared" si="16"/>
        <v>-720.53465864062309</v>
      </c>
      <c r="I172" s="241">
        <f t="shared" si="17"/>
        <v>6.5868721306744892E-3</v>
      </c>
      <c r="J172" s="242">
        <f t="shared" si="18"/>
        <v>-720.53465864062309</v>
      </c>
      <c r="K172" s="849">
        <f t="shared" si="18"/>
        <v>0</v>
      </c>
      <c r="L172" s="242">
        <f t="shared" si="18"/>
        <v>0</v>
      </c>
    </row>
    <row r="173" spans="1:12" ht="15.5">
      <c r="A173" s="180"/>
      <c r="B173" s="239"/>
      <c r="C173" s="237"/>
      <c r="D173" s="237"/>
      <c r="E173" s="295"/>
      <c r="F173" s="295"/>
      <c r="H173" s="239"/>
      <c r="I173" s="237"/>
      <c r="J173" s="237"/>
      <c r="K173" s="252"/>
      <c r="L173" s="237"/>
    </row>
    <row r="174" spans="1:12" ht="15.5">
      <c r="A174" s="180"/>
      <c r="B174" s="243">
        <f>SUM(B166:B172)</f>
        <v>5557735.1793924943</v>
      </c>
      <c r="C174" s="240">
        <f>SUM(C166:C172)</f>
        <v>0.99999999999999989</v>
      </c>
      <c r="D174" s="243">
        <f>SUM(D166:D172)</f>
        <v>4173765.0593924941</v>
      </c>
      <c r="E174" s="849">
        <f>SUM(E166:E172)</f>
        <v>745203.22</v>
      </c>
      <c r="F174" s="243">
        <f>SUM(F166:F172)</f>
        <v>638766.9</v>
      </c>
      <c r="G174" s="32">
        <f>+B174-B163</f>
        <v>-109389.50147296116</v>
      </c>
      <c r="H174" s="243">
        <f>SUM(H166:H172)</f>
        <v>-109389.50147296104</v>
      </c>
      <c r="I174" s="240">
        <f>SUM(I166:I172)</f>
        <v>0.99999999999999978</v>
      </c>
      <c r="J174" s="243">
        <f>SUM(J166:J172)</f>
        <v>-55676.811472961053</v>
      </c>
      <c r="K174" s="243">
        <f>SUM(K166:K172)</f>
        <v>-43071.590000000004</v>
      </c>
      <c r="L174" s="243">
        <f>SUM(L166:L172)</f>
        <v>-10641.099999999977</v>
      </c>
    </row>
    <row r="175" spans="1:12" ht="14.5" thickBot="1">
      <c r="H175" s="254">
        <f>+A176</f>
        <v>40357</v>
      </c>
      <c r="I175" s="254"/>
      <c r="J175" s="254">
        <f>+A165</f>
        <v>40326</v>
      </c>
    </row>
    <row r="176" spans="1:12" ht="16" thickBot="1">
      <c r="A176" s="253">
        <v>40357</v>
      </c>
      <c r="B176" s="251">
        <v>3.95</v>
      </c>
      <c r="C176" s="238" t="s">
        <v>3</v>
      </c>
      <c r="D176" s="238" t="s">
        <v>4</v>
      </c>
      <c r="E176" s="238" t="s">
        <v>5</v>
      </c>
      <c r="F176" s="238" t="s">
        <v>114</v>
      </c>
      <c r="H176" s="251">
        <f>+B176-B165</f>
        <v>2.0000000000000018E-2</v>
      </c>
      <c r="I176" s="238" t="s">
        <v>3</v>
      </c>
      <c r="J176" s="238" t="s">
        <v>4</v>
      </c>
      <c r="K176" s="238" t="s">
        <v>5</v>
      </c>
      <c r="L176" s="238" t="s">
        <v>114</v>
      </c>
    </row>
    <row r="177" spans="1:12" ht="15.5">
      <c r="A177" s="180" t="s">
        <v>7</v>
      </c>
      <c r="B177" s="250">
        <f t="shared" ref="B177:B183" si="19">SUM(D177:F177)</f>
        <v>812390.99394910946</v>
      </c>
      <c r="C177" s="241">
        <f t="shared" ref="C177:C183" si="20">+B177/$B$185</f>
        <v>0.14472561238833759</v>
      </c>
      <c r="D177" s="242">
        <v>760064.72394910944</v>
      </c>
      <c r="E177" s="849">
        <v>52326.27</v>
      </c>
      <c r="F177" s="849">
        <v>0</v>
      </c>
      <c r="H177" s="250">
        <f t="shared" ref="H177:H183" si="21">SUM(J177:L177)</f>
        <v>54498.010959287472</v>
      </c>
      <c r="I177" s="241">
        <f t="shared" ref="I177:I183" si="22">+H177/$H$185</f>
        <v>0.9804697353155285</v>
      </c>
      <c r="J177" s="242">
        <f t="shared" ref="J177:L183" si="23">+D177-D166</f>
        <v>53647.210959287477</v>
      </c>
      <c r="K177" s="849">
        <f t="shared" si="23"/>
        <v>850.79999999999563</v>
      </c>
      <c r="L177" s="242">
        <f t="shared" si="23"/>
        <v>0</v>
      </c>
    </row>
    <row r="178" spans="1:12" ht="15.5">
      <c r="A178" s="180" t="s">
        <v>8</v>
      </c>
      <c r="B178" s="250">
        <f t="shared" si="19"/>
        <v>219467.27615776082</v>
      </c>
      <c r="C178" s="241">
        <f t="shared" si="20"/>
        <v>3.9097597311771815E-2</v>
      </c>
      <c r="D178" s="242">
        <v>52914.066157760812</v>
      </c>
      <c r="E178" s="849">
        <v>166553.21</v>
      </c>
      <c r="F178" s="849">
        <v>0</v>
      </c>
      <c r="H178" s="250">
        <f t="shared" si="21"/>
        <v>-8560.6812213740559</v>
      </c>
      <c r="I178" s="241">
        <f t="shared" si="22"/>
        <v>-0.1540145906886686</v>
      </c>
      <c r="J178" s="242">
        <f t="shared" si="23"/>
        <v>168.35877862595225</v>
      </c>
      <c r="K178" s="849">
        <f t="shared" si="23"/>
        <v>-8729.0400000000081</v>
      </c>
      <c r="L178" s="242">
        <f t="shared" si="23"/>
        <v>0</v>
      </c>
    </row>
    <row r="179" spans="1:12" ht="15.5">
      <c r="A179" s="180" t="s">
        <v>9</v>
      </c>
      <c r="B179" s="250">
        <f t="shared" si="19"/>
        <v>1211711.0637037801</v>
      </c>
      <c r="C179" s="241">
        <f t="shared" si="20"/>
        <v>0.21586357682251572</v>
      </c>
      <c r="D179" s="242">
        <v>774432.9837037801</v>
      </c>
      <c r="E179" s="849">
        <v>139721.07999999999</v>
      </c>
      <c r="F179" s="849">
        <v>297557</v>
      </c>
      <c r="H179" s="250">
        <f t="shared" si="21"/>
        <v>16261.830276055349</v>
      </c>
      <c r="I179" s="241">
        <f t="shared" si="22"/>
        <v>0.29256540093584538</v>
      </c>
      <c r="J179" s="242">
        <f t="shared" si="23"/>
        <v>14724.910276055336</v>
      </c>
      <c r="K179" s="849">
        <f t="shared" si="23"/>
        <v>1489.9200000000128</v>
      </c>
      <c r="L179" s="242">
        <f t="shared" si="23"/>
        <v>47</v>
      </c>
    </row>
    <row r="180" spans="1:12" ht="15.5">
      <c r="A180" s="180" t="s">
        <v>148</v>
      </c>
      <c r="B180" s="250">
        <f t="shared" si="19"/>
        <v>353602.41000000003</v>
      </c>
      <c r="C180" s="241">
        <f t="shared" si="20"/>
        <v>6.2993467074855092E-2</v>
      </c>
      <c r="D180" s="242">
        <v>0</v>
      </c>
      <c r="E180" s="849">
        <v>78985.850000000006</v>
      </c>
      <c r="F180" s="849">
        <v>274616.56</v>
      </c>
      <c r="H180" s="250">
        <f t="shared" si="21"/>
        <v>-759.43000000002212</v>
      </c>
      <c r="I180" s="241">
        <f t="shared" si="22"/>
        <v>-1.3662849670732802E-2</v>
      </c>
      <c r="J180" s="242">
        <f t="shared" si="23"/>
        <v>0</v>
      </c>
      <c r="K180" s="849">
        <f t="shared" si="23"/>
        <v>-889.08999999999651</v>
      </c>
      <c r="L180" s="242">
        <f t="shared" si="23"/>
        <v>129.65999999997439</v>
      </c>
    </row>
    <row r="181" spans="1:12" ht="15.5">
      <c r="A181" s="180" t="s">
        <v>11</v>
      </c>
      <c r="B181" s="250">
        <f t="shared" si="19"/>
        <v>357442</v>
      </c>
      <c r="C181" s="241">
        <f t="shared" si="20"/>
        <v>6.3677481321946741E-2</v>
      </c>
      <c r="D181" s="242">
        <v>0</v>
      </c>
      <c r="E181" s="849">
        <v>291072</v>
      </c>
      <c r="F181" s="849">
        <v>66370</v>
      </c>
      <c r="H181" s="250">
        <f t="shared" si="21"/>
        <v>-9667.4000000000233</v>
      </c>
      <c r="I181" s="241">
        <f t="shared" si="22"/>
        <v>-0.17392548741403258</v>
      </c>
      <c r="J181" s="242">
        <f t="shared" si="23"/>
        <v>0</v>
      </c>
      <c r="K181" s="849">
        <f t="shared" si="23"/>
        <v>-9267.4000000000233</v>
      </c>
      <c r="L181" s="242">
        <f t="shared" si="23"/>
        <v>-400</v>
      </c>
    </row>
    <row r="182" spans="1:12" ht="15.5">
      <c r="A182" s="180" t="s">
        <v>12</v>
      </c>
      <c r="B182" s="250">
        <f t="shared" si="19"/>
        <v>201044.30025445292</v>
      </c>
      <c r="C182" s="241">
        <f t="shared" si="20"/>
        <v>3.5815585953348453E-2</v>
      </c>
      <c r="D182" s="242">
        <v>201044.30025445292</v>
      </c>
      <c r="E182" s="849">
        <v>0</v>
      </c>
      <c r="F182" s="849">
        <v>0</v>
      </c>
      <c r="H182" s="250">
        <f t="shared" si="21"/>
        <v>0</v>
      </c>
      <c r="I182" s="241">
        <f t="shared" si="22"/>
        <v>0</v>
      </c>
      <c r="J182" s="242">
        <f t="shared" si="23"/>
        <v>0</v>
      </c>
      <c r="K182" s="849">
        <f t="shared" si="23"/>
        <v>0</v>
      </c>
      <c r="L182" s="242">
        <f t="shared" si="23"/>
        <v>0</v>
      </c>
    </row>
    <row r="183" spans="1:12" ht="15.5">
      <c r="A183" s="180" t="s">
        <v>160</v>
      </c>
      <c r="B183" s="250">
        <f t="shared" si="19"/>
        <v>2457660.7081765304</v>
      </c>
      <c r="C183" s="241">
        <f t="shared" si="20"/>
        <v>0.43782667912722456</v>
      </c>
      <c r="D183" s="242">
        <v>2457660.7081765304</v>
      </c>
      <c r="E183" s="849">
        <v>0</v>
      </c>
      <c r="F183" s="849">
        <v>0</v>
      </c>
      <c r="H183" s="250">
        <f t="shared" si="21"/>
        <v>3811.242835171055</v>
      </c>
      <c r="I183" s="241">
        <f t="shared" si="22"/>
        <v>6.8567791522060079E-2</v>
      </c>
      <c r="J183" s="242">
        <f t="shared" si="23"/>
        <v>3811.242835171055</v>
      </c>
      <c r="K183" s="849">
        <f t="shared" si="23"/>
        <v>0</v>
      </c>
      <c r="L183" s="242">
        <f t="shared" si="23"/>
        <v>0</v>
      </c>
    </row>
    <row r="184" spans="1:12" ht="15.5">
      <c r="A184" s="180"/>
      <c r="B184" s="239"/>
      <c r="C184" s="237"/>
      <c r="D184" s="237"/>
      <c r="E184" s="295"/>
      <c r="F184" s="295"/>
      <c r="H184" s="239"/>
      <c r="I184" s="237"/>
      <c r="J184" s="237"/>
      <c r="K184" s="252"/>
      <c r="L184" s="237"/>
    </row>
    <row r="185" spans="1:12" ht="15.5">
      <c r="A185" s="180"/>
      <c r="B185" s="243">
        <f>SUM(B177:B183)</f>
        <v>5613318.7522416338</v>
      </c>
      <c r="C185" s="240">
        <f>SUM(C177:C183)</f>
        <v>1</v>
      </c>
      <c r="D185" s="243">
        <f>SUM(D177:D184)</f>
        <v>4246116.7822416332</v>
      </c>
      <c r="E185" s="243">
        <f>SUM(E177:E184)</f>
        <v>728658.40999999992</v>
      </c>
      <c r="F185" s="243">
        <f>SUM(F177:F184)</f>
        <v>638543.56000000006</v>
      </c>
      <c r="G185" s="32">
        <f>+B185-B174</f>
        <v>55583.572849139571</v>
      </c>
      <c r="H185" s="243">
        <f>SUM(H177:H183)</f>
        <v>55583.572849139775</v>
      </c>
      <c r="I185" s="240">
        <f>SUM(I177:I183)</f>
        <v>0.99999999999999989</v>
      </c>
      <c r="J185" s="243">
        <f>SUM(J177:J183)</f>
        <v>72351.722849139827</v>
      </c>
      <c r="K185" s="243">
        <f>SUM(K177:K183)</f>
        <v>-16544.810000000019</v>
      </c>
      <c r="L185" s="243">
        <f>SUM(L177:L183)</f>
        <v>-223.34000000002561</v>
      </c>
    </row>
    <row r="186" spans="1:12" ht="14.5" thickBot="1">
      <c r="A186" s="245"/>
      <c r="B186" s="284"/>
      <c r="H186" s="254">
        <f>+A187</f>
        <v>40387</v>
      </c>
      <c r="I186" s="254"/>
      <c r="J186" s="254">
        <f>+A176</f>
        <v>40357</v>
      </c>
    </row>
    <row r="187" spans="1:12" ht="16" thickBot="1">
      <c r="A187" s="253">
        <v>40387</v>
      </c>
      <c r="B187" s="251">
        <v>3.96</v>
      </c>
      <c r="C187" s="238" t="s">
        <v>3</v>
      </c>
      <c r="D187" s="238" t="s">
        <v>4</v>
      </c>
      <c r="E187" s="238" t="s">
        <v>5</v>
      </c>
      <c r="F187" s="238" t="s">
        <v>114</v>
      </c>
      <c r="H187" s="251">
        <f>+B187-B176</f>
        <v>9.9999999999997868E-3</v>
      </c>
      <c r="I187" s="238" t="s">
        <v>3</v>
      </c>
      <c r="J187" s="238" t="s">
        <v>4</v>
      </c>
      <c r="K187" s="238" t="s">
        <v>5</v>
      </c>
      <c r="L187" s="238" t="s">
        <v>114</v>
      </c>
    </row>
    <row r="188" spans="1:12" ht="15.5">
      <c r="A188" s="180" t="s">
        <v>7</v>
      </c>
      <c r="B188" s="250">
        <f t="shared" ref="B188:B194" si="24">SUM(D188:F188)</f>
        <v>877191.03994949488</v>
      </c>
      <c r="C188" s="241">
        <f t="shared" ref="C188:C194" si="25">+B188/$B$196</f>
        <v>0.15345111960236213</v>
      </c>
      <c r="D188" s="242">
        <v>824746.62994949485</v>
      </c>
      <c r="E188" s="849">
        <v>52444.41</v>
      </c>
      <c r="F188" s="849">
        <v>0</v>
      </c>
      <c r="H188" s="250">
        <f t="shared" ref="H188:H194" si="26">SUM(J188:L188)</f>
        <v>64800.046000385417</v>
      </c>
      <c r="I188" s="241">
        <f t="shared" ref="I188:I194" si="27">+H188/$H$196</f>
        <v>0.6285092077851403</v>
      </c>
      <c r="J188" s="242">
        <f t="shared" ref="J188:L194" si="28">+D188-D177</f>
        <v>64681.90600038541</v>
      </c>
      <c r="K188" s="849">
        <f t="shared" si="28"/>
        <v>118.14000000000669</v>
      </c>
      <c r="L188" s="242">
        <f t="shared" si="28"/>
        <v>0</v>
      </c>
    </row>
    <row r="189" spans="1:12" ht="15.5">
      <c r="A189" s="180" t="s">
        <v>8</v>
      </c>
      <c r="B189" s="250">
        <f t="shared" si="24"/>
        <v>235597.99282828282</v>
      </c>
      <c r="C189" s="241">
        <f t="shared" si="25"/>
        <v>4.1214255651369644E-2</v>
      </c>
      <c r="D189" s="242">
        <v>54331.782828282827</v>
      </c>
      <c r="E189" s="849">
        <v>181266.21</v>
      </c>
      <c r="F189" s="849">
        <v>0</v>
      </c>
      <c r="H189" s="250">
        <f t="shared" si="26"/>
        <v>16130.716670522015</v>
      </c>
      <c r="I189" s="241">
        <f t="shared" si="27"/>
        <v>0.15645519689192885</v>
      </c>
      <c r="J189" s="242">
        <f t="shared" si="28"/>
        <v>1417.7166705220152</v>
      </c>
      <c r="K189" s="849">
        <f t="shared" si="28"/>
        <v>14713</v>
      </c>
      <c r="L189" s="242">
        <f t="shared" si="28"/>
        <v>0</v>
      </c>
    </row>
    <row r="190" spans="1:12" ht="15.5">
      <c r="A190" s="180" t="s">
        <v>9</v>
      </c>
      <c r="B190" s="250">
        <f t="shared" si="24"/>
        <v>1226171.2026202185</v>
      </c>
      <c r="C190" s="241">
        <f t="shared" si="25"/>
        <v>0.21449984700833322</v>
      </c>
      <c r="D190" s="242">
        <v>789231.80262021848</v>
      </c>
      <c r="E190" s="849">
        <v>139850.4</v>
      </c>
      <c r="F190" s="849">
        <v>297089</v>
      </c>
      <c r="H190" s="250">
        <f t="shared" si="26"/>
        <v>14460.138916438387</v>
      </c>
      <c r="I190" s="241">
        <f t="shared" si="27"/>
        <v>0.14025191362950132</v>
      </c>
      <c r="J190" s="242">
        <f t="shared" si="28"/>
        <v>14798.81891643838</v>
      </c>
      <c r="K190" s="849">
        <f t="shared" si="28"/>
        <v>129.32000000000698</v>
      </c>
      <c r="L190" s="242">
        <f t="shared" si="28"/>
        <v>-468</v>
      </c>
    </row>
    <row r="191" spans="1:12" ht="15.5">
      <c r="A191" s="180" t="s">
        <v>148</v>
      </c>
      <c r="B191" s="250">
        <f t="shared" si="24"/>
        <v>362031.95</v>
      </c>
      <c r="C191" s="241">
        <f t="shared" si="25"/>
        <v>6.3331937433520724E-2</v>
      </c>
      <c r="D191" s="242">
        <v>0</v>
      </c>
      <c r="E191" s="849">
        <v>82857.05</v>
      </c>
      <c r="F191" s="849">
        <v>279174.90000000002</v>
      </c>
      <c r="H191" s="250">
        <f t="shared" si="26"/>
        <v>8429.5400000000227</v>
      </c>
      <c r="I191" s="241">
        <f t="shared" si="27"/>
        <v>8.1759872629745572E-2</v>
      </c>
      <c r="J191" s="242">
        <f t="shared" si="28"/>
        <v>0</v>
      </c>
      <c r="K191" s="849">
        <f t="shared" si="28"/>
        <v>3871.1999999999971</v>
      </c>
      <c r="L191" s="242">
        <f t="shared" si="28"/>
        <v>4558.3400000000256</v>
      </c>
    </row>
    <row r="192" spans="1:12" ht="15.5">
      <c r="A192" s="180" t="s">
        <v>11</v>
      </c>
      <c r="B192" s="250">
        <f t="shared" si="24"/>
        <v>388620.79999999999</v>
      </c>
      <c r="C192" s="241">
        <f t="shared" si="25"/>
        <v>6.7983248967293547E-2</v>
      </c>
      <c r="D192" s="242">
        <v>0</v>
      </c>
      <c r="E192" s="849">
        <v>317106.8</v>
      </c>
      <c r="F192" s="849">
        <v>71514</v>
      </c>
      <c r="H192" s="250">
        <f t="shared" si="26"/>
        <v>31178.799999999988</v>
      </c>
      <c r="I192" s="241">
        <f t="shared" si="27"/>
        <v>0.30240970643099191</v>
      </c>
      <c r="J192" s="242">
        <f t="shared" si="28"/>
        <v>0</v>
      </c>
      <c r="K192" s="849">
        <f t="shared" si="28"/>
        <v>26034.799999999988</v>
      </c>
      <c r="L192" s="242">
        <f t="shared" si="28"/>
        <v>5144</v>
      </c>
    </row>
    <row r="193" spans="1:12" ht="15.5">
      <c r="A193" s="180" t="s">
        <v>12</v>
      </c>
      <c r="B193" s="250">
        <f t="shared" si="24"/>
        <v>168842.97979797979</v>
      </c>
      <c r="C193" s="241">
        <f t="shared" si="25"/>
        <v>2.9536489894482681E-2</v>
      </c>
      <c r="D193" s="242">
        <v>168842.97979797979</v>
      </c>
      <c r="E193" s="849">
        <v>0</v>
      </c>
      <c r="F193" s="849">
        <v>0</v>
      </c>
      <c r="H193" s="250">
        <f t="shared" si="26"/>
        <v>-32201.320456473128</v>
      </c>
      <c r="I193" s="241">
        <f t="shared" si="27"/>
        <v>-0.31232734633572606</v>
      </c>
      <c r="J193" s="242">
        <f t="shared" si="28"/>
        <v>-32201.320456473128</v>
      </c>
      <c r="K193" s="849">
        <f t="shared" si="28"/>
        <v>0</v>
      </c>
      <c r="L193" s="242">
        <f t="shared" si="28"/>
        <v>0</v>
      </c>
    </row>
    <row r="194" spans="1:12" ht="15.5">
      <c r="A194" s="180" t="s">
        <v>160</v>
      </c>
      <c r="B194" s="250">
        <f t="shared" si="24"/>
        <v>2457963.9750596569</v>
      </c>
      <c r="C194" s="241">
        <f t="shared" si="25"/>
        <v>0.42998310144263807</v>
      </c>
      <c r="D194" s="242">
        <v>2457963.9750596569</v>
      </c>
      <c r="E194" s="849">
        <v>0</v>
      </c>
      <c r="F194" s="849">
        <v>0</v>
      </c>
      <c r="H194" s="250">
        <f t="shared" si="26"/>
        <v>303.26688312646002</v>
      </c>
      <c r="I194" s="241">
        <f t="shared" si="27"/>
        <v>2.9414489684181154E-3</v>
      </c>
      <c r="J194" s="242">
        <f t="shared" si="28"/>
        <v>303.26688312646002</v>
      </c>
      <c r="K194" s="849">
        <f t="shared" si="28"/>
        <v>0</v>
      </c>
      <c r="L194" s="242">
        <f t="shared" si="28"/>
        <v>0</v>
      </c>
    </row>
    <row r="195" spans="1:12" ht="15.5">
      <c r="A195" s="180"/>
      <c r="B195" s="239"/>
      <c r="C195" s="237"/>
      <c r="D195" s="237"/>
      <c r="E195" s="295"/>
      <c r="F195" s="295"/>
      <c r="H195" s="239"/>
      <c r="I195" s="237"/>
      <c r="J195" s="237"/>
      <c r="K195" s="252"/>
      <c r="L195" s="237"/>
    </row>
    <row r="196" spans="1:12" ht="15.5">
      <c r="A196" s="180"/>
      <c r="B196" s="243">
        <f>SUM(B188:B194)</f>
        <v>5716419.9402556326</v>
      </c>
      <c r="C196" s="240">
        <f>SUM(C188:C194)</f>
        <v>1</v>
      </c>
      <c r="D196" s="243">
        <f>SUM(D188:D195)</f>
        <v>4295117.1702556331</v>
      </c>
      <c r="E196" s="243">
        <f>SUM(E188:E195)</f>
        <v>773524.87</v>
      </c>
      <c r="F196" s="243">
        <f>SUM(F188:F195)</f>
        <v>647777.9</v>
      </c>
      <c r="G196" s="32">
        <f>+B196-B185</f>
        <v>103101.18801399879</v>
      </c>
      <c r="H196" s="243">
        <f>SUM(H188:H194)</f>
        <v>103101.18801399917</v>
      </c>
      <c r="I196" s="240">
        <f>SUM(I188:I194)</f>
        <v>0.99999999999999978</v>
      </c>
      <c r="J196" s="243">
        <f>SUM(J188:J194)</f>
        <v>49000.388013999138</v>
      </c>
      <c r="K196" s="243">
        <f>SUM(K188:K194)</f>
        <v>44866.46</v>
      </c>
      <c r="L196" s="243">
        <f>SUM(L188:L194)</f>
        <v>9234.3400000000256</v>
      </c>
    </row>
    <row r="197" spans="1:12" ht="14.5" thickBot="1">
      <c r="A197" s="245"/>
      <c r="B197" s="284"/>
      <c r="H197" s="254">
        <f>+A198</f>
        <v>40418</v>
      </c>
      <c r="I197" s="254"/>
      <c r="J197" s="254">
        <f>+A187</f>
        <v>40387</v>
      </c>
    </row>
    <row r="198" spans="1:12" ht="16" thickBot="1">
      <c r="A198" s="253">
        <v>40418</v>
      </c>
      <c r="B198" s="251">
        <v>3.97</v>
      </c>
      <c r="C198" s="238" t="s">
        <v>3</v>
      </c>
      <c r="D198" s="238" t="s">
        <v>4</v>
      </c>
      <c r="E198" s="238" t="s">
        <v>5</v>
      </c>
      <c r="F198" s="238" t="s">
        <v>114</v>
      </c>
      <c r="H198" s="251">
        <f>+B198-B187</f>
        <v>1.0000000000000231E-2</v>
      </c>
      <c r="I198" s="238" t="s">
        <v>3</v>
      </c>
      <c r="J198" s="238" t="s">
        <v>4</v>
      </c>
      <c r="K198" s="238" t="s">
        <v>5</v>
      </c>
      <c r="L198" s="238" t="s">
        <v>114</v>
      </c>
    </row>
    <row r="199" spans="1:12" ht="15.5">
      <c r="A199" s="180" t="s">
        <v>7</v>
      </c>
      <c r="B199" s="250">
        <f t="shared" ref="B199:B205" si="29">SUM(D199:F199)</f>
        <v>857170.83698740555</v>
      </c>
      <c r="C199" s="241">
        <f t="shared" ref="C199:C205" si="30">+B199/$B$207</f>
        <v>0.1492794651461794</v>
      </c>
      <c r="D199" s="242">
        <v>803949.41698740551</v>
      </c>
      <c r="E199" s="849">
        <v>53221.42</v>
      </c>
      <c r="F199" s="849">
        <v>0</v>
      </c>
      <c r="H199" s="250">
        <f t="shared" ref="H199:H205" si="31">SUM(J199:L199)</f>
        <v>-20020.202962089345</v>
      </c>
      <c r="I199" s="241">
        <f t="shared" ref="I199:I205" si="32">+H199/$H$207</f>
        <v>-0.78098232838442516</v>
      </c>
      <c r="J199" s="242">
        <f t="shared" ref="J199:L201" si="33">+D199-D188</f>
        <v>-20797.212962089339</v>
      </c>
      <c r="K199" s="849">
        <f t="shared" si="33"/>
        <v>777.00999999999476</v>
      </c>
      <c r="L199" s="242">
        <f t="shared" si="33"/>
        <v>0</v>
      </c>
    </row>
    <row r="200" spans="1:12" ht="15.5">
      <c r="A200" s="180" t="s">
        <v>8</v>
      </c>
      <c r="B200" s="250">
        <f t="shared" si="29"/>
        <v>233402.40239294712</v>
      </c>
      <c r="C200" s="241">
        <f t="shared" si="30"/>
        <v>4.0647889883314386E-2</v>
      </c>
      <c r="D200" s="242">
        <v>60317.652392947108</v>
      </c>
      <c r="E200" s="849">
        <v>173084.75</v>
      </c>
      <c r="F200" s="849">
        <v>0</v>
      </c>
      <c r="H200" s="250">
        <f t="shared" si="31"/>
        <v>-2195.5904353357109</v>
      </c>
      <c r="I200" s="241">
        <f t="shared" si="32"/>
        <v>-8.5649347991830063E-2</v>
      </c>
      <c r="J200" s="242">
        <f t="shared" si="33"/>
        <v>5985.8695646642809</v>
      </c>
      <c r="K200" s="849">
        <f t="shared" si="33"/>
        <v>-8181.4599999999919</v>
      </c>
      <c r="L200" s="242">
        <f t="shared" si="33"/>
        <v>0</v>
      </c>
    </row>
    <row r="201" spans="1:12" ht="15.5">
      <c r="A201" s="180" t="s">
        <v>9</v>
      </c>
      <c r="B201" s="250">
        <f t="shared" si="29"/>
        <v>1286922.6056065198</v>
      </c>
      <c r="C201" s="241">
        <f t="shared" si="30"/>
        <v>0.22412232189869935</v>
      </c>
      <c r="D201" s="242">
        <v>847960.96560651984</v>
      </c>
      <c r="E201" s="849">
        <v>139944.64000000001</v>
      </c>
      <c r="F201" s="849">
        <v>299017</v>
      </c>
      <c r="H201" s="250">
        <f t="shared" si="31"/>
        <v>60751.402986301371</v>
      </c>
      <c r="I201" s="241">
        <f t="shared" si="32"/>
        <v>2.3698946632412481</v>
      </c>
      <c r="J201" s="242">
        <f t="shared" si="33"/>
        <v>58729.162986301351</v>
      </c>
      <c r="K201" s="849">
        <f t="shared" si="33"/>
        <v>94.240000000019791</v>
      </c>
      <c r="L201" s="242">
        <f t="shared" si="33"/>
        <v>1928</v>
      </c>
    </row>
    <row r="202" spans="1:12" ht="15.5">
      <c r="A202" s="180" t="s">
        <v>148</v>
      </c>
      <c r="B202" s="250">
        <f t="shared" si="29"/>
        <v>363048.07</v>
      </c>
      <c r="C202" s="241">
        <f t="shared" si="30"/>
        <v>6.322616142941527E-2</v>
      </c>
      <c r="D202" s="242">
        <v>0</v>
      </c>
      <c r="E202" s="849">
        <v>81239.17</v>
      </c>
      <c r="F202" s="849">
        <v>281808.90000000002</v>
      </c>
      <c r="H202" s="250">
        <f t="shared" si="31"/>
        <v>1016.1199999999953</v>
      </c>
      <c r="I202" s="241">
        <f t="shared" si="32"/>
        <v>3.9638547372406852E-2</v>
      </c>
      <c r="J202" s="242">
        <f>+D202-D191</f>
        <v>0</v>
      </c>
      <c r="K202" s="849">
        <f>+E202-E191</f>
        <v>-1617.8800000000047</v>
      </c>
      <c r="L202" s="242">
        <f>+F202-F191</f>
        <v>2634</v>
      </c>
    </row>
    <row r="203" spans="1:12" ht="15.5">
      <c r="A203" s="180" t="s">
        <v>11</v>
      </c>
      <c r="B203" s="250">
        <f t="shared" si="29"/>
        <v>373337.59999999998</v>
      </c>
      <c r="C203" s="241">
        <f t="shared" si="30"/>
        <v>6.5018121058377926E-2</v>
      </c>
      <c r="D203" s="242">
        <v>0</v>
      </c>
      <c r="E203" s="849">
        <v>305795.59999999998</v>
      </c>
      <c r="F203" s="849">
        <v>67542</v>
      </c>
      <c r="H203" s="250">
        <f t="shared" si="31"/>
        <v>-15283.200000000012</v>
      </c>
      <c r="I203" s="241">
        <f t="shared" si="32"/>
        <v>-0.59619321261462388</v>
      </c>
      <c r="J203" s="242">
        <f t="shared" ref="J203:L205" si="34">+D203-D192</f>
        <v>0</v>
      </c>
      <c r="K203" s="849">
        <f t="shared" si="34"/>
        <v>-11311.200000000012</v>
      </c>
      <c r="L203" s="242">
        <f t="shared" si="34"/>
        <v>-3972</v>
      </c>
    </row>
    <row r="204" spans="1:12" ht="15.5">
      <c r="A204" s="180" t="s">
        <v>12</v>
      </c>
      <c r="B204" s="250">
        <f t="shared" si="29"/>
        <v>168440.65491183879</v>
      </c>
      <c r="C204" s="241">
        <f t="shared" si="30"/>
        <v>2.9334561780571779E-2</v>
      </c>
      <c r="D204" s="242">
        <v>168440.65491183879</v>
      </c>
      <c r="E204" s="849">
        <v>0</v>
      </c>
      <c r="F204" s="849">
        <v>0</v>
      </c>
      <c r="H204" s="250">
        <f t="shared" si="31"/>
        <v>-402.32488614099566</v>
      </c>
      <c r="I204" s="241">
        <f t="shared" si="32"/>
        <v>-1.5694577469588359E-2</v>
      </c>
      <c r="J204" s="242">
        <f t="shared" si="34"/>
        <v>-402.32488614099566</v>
      </c>
      <c r="K204" s="849">
        <f t="shared" si="34"/>
        <v>0</v>
      </c>
      <c r="L204" s="242">
        <f t="shared" si="34"/>
        <v>0</v>
      </c>
    </row>
    <row r="205" spans="1:12" ht="15.5">
      <c r="A205" s="180" t="s">
        <v>160</v>
      </c>
      <c r="B205" s="250">
        <f t="shared" si="29"/>
        <v>2459732.4130811738</v>
      </c>
      <c r="C205" s="241">
        <f t="shared" si="30"/>
        <v>0.42837147880344179</v>
      </c>
      <c r="D205" s="242">
        <v>2459732.4130811738</v>
      </c>
      <c r="E205" s="849">
        <v>0</v>
      </c>
      <c r="F205" s="849">
        <v>0</v>
      </c>
      <c r="H205" s="250">
        <f t="shared" si="31"/>
        <v>1768.4380215168931</v>
      </c>
      <c r="I205" s="241">
        <f t="shared" si="32"/>
        <v>6.8986255846812519E-2</v>
      </c>
      <c r="J205" s="242">
        <f t="shared" si="34"/>
        <v>1768.4380215168931</v>
      </c>
      <c r="K205" s="849">
        <f t="shared" si="34"/>
        <v>0</v>
      </c>
      <c r="L205" s="242">
        <f t="shared" si="34"/>
        <v>0</v>
      </c>
    </row>
    <row r="206" spans="1:12" ht="15.5">
      <c r="A206" s="180"/>
      <c r="B206" s="239"/>
      <c r="C206" s="237"/>
      <c r="D206" s="237"/>
      <c r="E206" s="295"/>
      <c r="F206" s="295"/>
      <c r="H206" s="239"/>
      <c r="I206" s="237"/>
      <c r="J206" s="237"/>
      <c r="K206" s="252"/>
      <c r="L206" s="237"/>
    </row>
    <row r="207" spans="1:12" ht="15.5">
      <c r="A207" s="180"/>
      <c r="B207" s="243">
        <f>SUM(B199:B205)</f>
        <v>5742054.5829798859</v>
      </c>
      <c r="C207" s="240">
        <f>SUM(C199:C205)</f>
        <v>1</v>
      </c>
      <c r="D207" s="243">
        <f>SUM(D199:D206)</f>
        <v>4340401.1029798854</v>
      </c>
      <c r="E207" s="243">
        <f>SUM(E199:E206)</f>
        <v>753285.58</v>
      </c>
      <c r="F207" s="243">
        <f>SUM(F199:F206)</f>
        <v>648367.9</v>
      </c>
      <c r="G207" s="32">
        <f>+B207-B196</f>
        <v>25634.642724253237</v>
      </c>
      <c r="H207" s="243">
        <f>SUM(H199:H205)</f>
        <v>25634.642724252197</v>
      </c>
      <c r="I207" s="240">
        <f>SUM(I199:I205)</f>
        <v>0.99999999999999978</v>
      </c>
      <c r="J207" s="243">
        <f>SUM(J199:J205)</f>
        <v>45283.93272425219</v>
      </c>
      <c r="K207" s="243">
        <f>SUM(K199:K205)</f>
        <v>-20239.289999999994</v>
      </c>
      <c r="L207" s="243">
        <f>SUM(L199:L205)</f>
        <v>590</v>
      </c>
    </row>
    <row r="208" spans="1:12" ht="14.5" thickBot="1">
      <c r="H208" s="254">
        <f>+A209</f>
        <v>40449</v>
      </c>
      <c r="I208" s="254"/>
      <c r="J208" s="254">
        <f>+A198</f>
        <v>40418</v>
      </c>
    </row>
    <row r="209" spans="1:12" ht="16" thickBot="1">
      <c r="A209" s="253">
        <v>40449</v>
      </c>
      <c r="B209" s="251">
        <v>3.98</v>
      </c>
      <c r="C209" s="238" t="s">
        <v>3</v>
      </c>
      <c r="D209" s="238" t="s">
        <v>4</v>
      </c>
      <c r="E209" s="238" t="s">
        <v>5</v>
      </c>
      <c r="F209" s="238" t="s">
        <v>114</v>
      </c>
      <c r="H209" s="251">
        <f>+B209-B198</f>
        <v>9.9999999999997868E-3</v>
      </c>
      <c r="I209" s="238" t="s">
        <v>3</v>
      </c>
      <c r="J209" s="238" t="s">
        <v>4</v>
      </c>
      <c r="K209" s="238" t="s">
        <v>5</v>
      </c>
      <c r="L209" s="238" t="s">
        <v>114</v>
      </c>
    </row>
    <row r="210" spans="1:12" ht="15.5">
      <c r="A210" s="180" t="s">
        <v>7</v>
      </c>
      <c r="B210" s="250">
        <f t="shared" ref="B210:B216" si="35">SUM(D210:F210)</f>
        <v>883540.92326633167</v>
      </c>
      <c r="C210" s="241">
        <f t="shared" ref="C210:C216" si="36">+B210/$B$218</f>
        <v>0.15190268384064504</v>
      </c>
      <c r="D210" s="242">
        <v>829471.8332663317</v>
      </c>
      <c r="E210" s="849">
        <v>54069.09</v>
      </c>
      <c r="F210" s="849">
        <v>0</v>
      </c>
      <c r="H210" s="250">
        <f t="shared" ref="H210:H216" si="37">SUM(J210:L210)</f>
        <v>26370.086278926188</v>
      </c>
      <c r="I210" s="241">
        <f t="shared" ref="I210:I216" si="38">+H210/$H$218</f>
        <v>0.35425290648560409</v>
      </c>
      <c r="J210" s="242">
        <f>+D210-D199</f>
        <v>25522.41627892619</v>
      </c>
      <c r="K210" s="849">
        <f>+E210-E199</f>
        <v>847.66999999999825</v>
      </c>
      <c r="L210" s="242">
        <f>+F210-F199</f>
        <v>0</v>
      </c>
    </row>
    <row r="211" spans="1:12" ht="15.5">
      <c r="A211" s="180" t="s">
        <v>8</v>
      </c>
      <c r="B211" s="250">
        <f t="shared" si="35"/>
        <v>254550.14105527638</v>
      </c>
      <c r="C211" s="241">
        <f t="shared" si="36"/>
        <v>4.3763507246914059E-2</v>
      </c>
      <c r="D211" s="242">
        <v>67061.211055276377</v>
      </c>
      <c r="E211" s="242">
        <v>187488.93</v>
      </c>
      <c r="F211" s="849">
        <v>0</v>
      </c>
      <c r="H211" s="250">
        <f t="shared" si="37"/>
        <v>21147.738662329262</v>
      </c>
      <c r="I211" s="241">
        <f t="shared" si="38"/>
        <v>0.28409644957116115</v>
      </c>
      <c r="J211" s="242">
        <f t="shared" ref="J211:J216" si="39">+D211-D200</f>
        <v>6743.5586623292693</v>
      </c>
      <c r="K211" s="849">
        <f t="shared" ref="K211:L216" si="40">+E211-E200</f>
        <v>14404.179999999993</v>
      </c>
      <c r="L211" s="242">
        <f t="shared" si="40"/>
        <v>0</v>
      </c>
    </row>
    <row r="212" spans="1:12" ht="15.5">
      <c r="A212" s="180" t="s">
        <v>9</v>
      </c>
      <c r="B212" s="250">
        <f t="shared" si="35"/>
        <v>1067817.9154541958</v>
      </c>
      <c r="C212" s="241">
        <f t="shared" si="36"/>
        <v>0.18358448707838851</v>
      </c>
      <c r="D212" s="242">
        <v>848325.83545419585</v>
      </c>
      <c r="E212" s="242">
        <v>141075.19</v>
      </c>
      <c r="F212" s="849">
        <v>78416.89</v>
      </c>
      <c r="H212" s="250">
        <f t="shared" si="37"/>
        <v>-219104.69015232398</v>
      </c>
      <c r="I212" s="241">
        <f t="shared" si="38"/>
        <v>-2.9434288720214679</v>
      </c>
      <c r="J212" s="242">
        <f t="shared" si="39"/>
        <v>364.86984767601825</v>
      </c>
      <c r="K212" s="849">
        <f t="shared" si="40"/>
        <v>1130.5499999999884</v>
      </c>
      <c r="L212" s="242">
        <f t="shared" si="40"/>
        <v>-220600.11</v>
      </c>
    </row>
    <row r="213" spans="1:12" ht="15.5">
      <c r="A213" s="180" t="s">
        <v>148</v>
      </c>
      <c r="B213" s="250">
        <f t="shared" si="35"/>
        <v>419969.95999999996</v>
      </c>
      <c r="C213" s="241">
        <f t="shared" si="36"/>
        <v>7.2203292882697986E-2</v>
      </c>
      <c r="D213" s="242">
        <v>0</v>
      </c>
      <c r="E213" s="242">
        <v>86073.74</v>
      </c>
      <c r="F213" s="849">
        <v>333896.21999999997</v>
      </c>
      <c r="H213" s="250">
        <f t="shared" si="37"/>
        <v>56921.889999999956</v>
      </c>
      <c r="I213" s="241">
        <f t="shared" si="38"/>
        <v>0.76468255590307277</v>
      </c>
      <c r="J213" s="242">
        <f t="shared" si="39"/>
        <v>0</v>
      </c>
      <c r="K213" s="849">
        <f t="shared" si="40"/>
        <v>4834.570000000007</v>
      </c>
      <c r="L213" s="242">
        <f t="shared" si="40"/>
        <v>52087.319999999949</v>
      </c>
    </row>
    <row r="214" spans="1:12" ht="15.5">
      <c r="A214" s="180" t="s">
        <v>11</v>
      </c>
      <c r="B214" s="250">
        <f t="shared" si="35"/>
        <v>578068.76</v>
      </c>
      <c r="C214" s="241">
        <f t="shared" si="36"/>
        <v>9.9384413077111641E-2</v>
      </c>
      <c r="D214" s="242">
        <v>0</v>
      </c>
      <c r="E214" s="242">
        <v>329838.40000000002</v>
      </c>
      <c r="F214" s="849">
        <v>248230.36</v>
      </c>
      <c r="H214" s="250">
        <f t="shared" si="37"/>
        <v>204731.16000000003</v>
      </c>
      <c r="I214" s="241">
        <f t="shared" si="38"/>
        <v>2.7503364119111486</v>
      </c>
      <c r="J214" s="242">
        <f t="shared" si="39"/>
        <v>0</v>
      </c>
      <c r="K214" s="849">
        <f t="shared" si="40"/>
        <v>24042.800000000047</v>
      </c>
      <c r="L214" s="242">
        <f t="shared" si="40"/>
        <v>180688.36</v>
      </c>
    </row>
    <row r="215" spans="1:12" ht="15.5">
      <c r="A215" s="180" t="s">
        <v>12</v>
      </c>
      <c r="B215" s="250">
        <f t="shared" si="35"/>
        <v>158712.46231155779</v>
      </c>
      <c r="C215" s="241">
        <f t="shared" si="36"/>
        <v>2.7286624025241169E-2</v>
      </c>
      <c r="D215" s="242">
        <v>158712.46231155779</v>
      </c>
      <c r="E215" s="849">
        <v>0</v>
      </c>
      <c r="F215" s="849">
        <v>0</v>
      </c>
      <c r="H215" s="250">
        <f t="shared" si="37"/>
        <v>-9728.1926002810069</v>
      </c>
      <c r="I215" s="241">
        <f t="shared" si="38"/>
        <v>-0.13068749442262451</v>
      </c>
      <c r="J215" s="242">
        <f t="shared" si="39"/>
        <v>-9728.1926002810069</v>
      </c>
      <c r="K215" s="849">
        <f t="shared" si="40"/>
        <v>0</v>
      </c>
      <c r="L215" s="242">
        <f t="shared" si="40"/>
        <v>0</v>
      </c>
    </row>
    <row r="216" spans="1:12" ht="15.5">
      <c r="A216" s="180" t="s">
        <v>160</v>
      </c>
      <c r="B216" s="250">
        <f t="shared" si="35"/>
        <v>2453833.0092460611</v>
      </c>
      <c r="C216" s="241">
        <f t="shared" si="36"/>
        <v>0.42187499184900157</v>
      </c>
      <c r="D216" s="242">
        <v>2453833.0092460611</v>
      </c>
      <c r="E216" s="849">
        <v>0</v>
      </c>
      <c r="F216" s="849">
        <v>0</v>
      </c>
      <c r="H216" s="250">
        <f t="shared" si="37"/>
        <v>-5899.4038351126947</v>
      </c>
      <c r="I216" s="241">
        <f t="shared" si="38"/>
        <v>-7.9251957426894448E-2</v>
      </c>
      <c r="J216" s="242">
        <f t="shared" si="39"/>
        <v>-5899.4038351126947</v>
      </c>
      <c r="K216" s="849">
        <f t="shared" si="40"/>
        <v>0</v>
      </c>
      <c r="L216" s="242">
        <f t="shared" si="40"/>
        <v>0</v>
      </c>
    </row>
    <row r="217" spans="1:12" ht="15.5">
      <c r="A217" s="180"/>
      <c r="B217" s="239"/>
      <c r="C217" s="237"/>
      <c r="D217" s="237"/>
      <c r="E217" s="295"/>
      <c r="F217" s="295"/>
      <c r="H217" s="239"/>
      <c r="I217" s="237"/>
      <c r="J217" s="237"/>
      <c r="K217" s="252"/>
      <c r="L217" s="237"/>
    </row>
    <row r="218" spans="1:12" ht="15.5">
      <c r="A218" s="180"/>
      <c r="B218" s="243">
        <f>SUM(B210:B216)</f>
        <v>5816493.1713334229</v>
      </c>
      <c r="C218" s="240">
        <f>SUM(C210:C216)</f>
        <v>1</v>
      </c>
      <c r="D218" s="243">
        <f>SUM(D210:D217)</f>
        <v>4357404.3513334226</v>
      </c>
      <c r="E218" s="243">
        <f>SUM(E210:E217)</f>
        <v>798545.35</v>
      </c>
      <c r="F218" s="243">
        <f>SUM(F210:F217)</f>
        <v>660543.47</v>
      </c>
      <c r="G218" s="32">
        <f>+B218-B207</f>
        <v>74438.588353537023</v>
      </c>
      <c r="H218" s="243">
        <f>SUM(H210:H216)</f>
        <v>74438.588353537751</v>
      </c>
      <c r="I218" s="240">
        <f>SUM(I210:I216)</f>
        <v>1</v>
      </c>
      <c r="J218" s="243">
        <f>SUM(J210:J216)</f>
        <v>17003.248353537776</v>
      </c>
      <c r="K218" s="243">
        <f>SUM(K210:K216)</f>
        <v>45259.770000000033</v>
      </c>
      <c r="L218" s="243">
        <f>SUM(L210:L216)</f>
        <v>12175.569999999949</v>
      </c>
    </row>
    <row r="219" spans="1:12" ht="14.5" thickBot="1">
      <c r="H219" s="254">
        <f>+A220</f>
        <v>40479</v>
      </c>
      <c r="I219" s="254"/>
      <c r="J219" s="254">
        <f>+A209</f>
        <v>40449</v>
      </c>
    </row>
    <row r="220" spans="1:12" ht="16" thickBot="1">
      <c r="A220" s="253">
        <v>40479</v>
      </c>
      <c r="B220" s="251">
        <v>3.98</v>
      </c>
      <c r="C220" s="238" t="s">
        <v>3</v>
      </c>
      <c r="D220" s="238" t="s">
        <v>4</v>
      </c>
      <c r="E220" s="238" t="s">
        <v>5</v>
      </c>
      <c r="F220" s="238" t="s">
        <v>114</v>
      </c>
      <c r="H220" s="251">
        <f>+B220-B209</f>
        <v>0</v>
      </c>
      <c r="I220" s="238" t="s">
        <v>3</v>
      </c>
      <c r="J220" s="238" t="s">
        <v>4</v>
      </c>
      <c r="K220" s="238" t="s">
        <v>5</v>
      </c>
      <c r="L220" s="238" t="s">
        <v>114</v>
      </c>
    </row>
    <row r="221" spans="1:12" ht="15.5">
      <c r="A221" s="180" t="s">
        <v>7</v>
      </c>
      <c r="B221" s="250">
        <v>919926.61979899497</v>
      </c>
      <c r="C221" s="241">
        <f t="shared" ref="C221:C227" si="41">+B221/$B$229</f>
        <v>0.15508255323418277</v>
      </c>
      <c r="D221" s="242">
        <v>864750.35979899496</v>
      </c>
      <c r="E221" s="849">
        <v>55176.26</v>
      </c>
      <c r="F221" s="849">
        <v>0</v>
      </c>
      <c r="H221" s="250">
        <f t="shared" ref="H221:H227" si="42">SUM(J221:L221)</f>
        <v>36385.696532663271</v>
      </c>
      <c r="I221" s="241">
        <f t="shared" ref="I221:I227" si="43">+H221/$H$229</f>
        <v>0.31541637206529538</v>
      </c>
      <c r="J221" s="242">
        <f t="shared" ref="J221:L227" si="44">+D221-D210</f>
        <v>35278.526532663265</v>
      </c>
      <c r="K221" s="849">
        <f t="shared" si="44"/>
        <v>1107.1700000000055</v>
      </c>
      <c r="L221" s="242">
        <f t="shared" si="44"/>
        <v>0</v>
      </c>
    </row>
    <row r="222" spans="1:12" ht="15.5">
      <c r="A222" s="180" t="s">
        <v>8</v>
      </c>
      <c r="B222" s="242">
        <v>725236.29512562812</v>
      </c>
      <c r="C222" s="241">
        <f t="shared" si="41"/>
        <v>0.12226137816378971</v>
      </c>
      <c r="D222" s="242">
        <v>80300.025125628134</v>
      </c>
      <c r="E222" s="242">
        <v>225282.37</v>
      </c>
      <c r="F222" s="849">
        <v>0</v>
      </c>
      <c r="H222" s="250">
        <f t="shared" si="42"/>
        <v>51032.254070351759</v>
      </c>
      <c r="I222" s="241">
        <f t="shared" si="43"/>
        <v>0.44238285840522756</v>
      </c>
      <c r="J222" s="242">
        <f t="shared" si="44"/>
        <v>13238.814070351757</v>
      </c>
      <c r="K222" s="849">
        <f t="shared" si="44"/>
        <v>37793.440000000002</v>
      </c>
      <c r="L222" s="242">
        <f t="shared" si="44"/>
        <v>0</v>
      </c>
    </row>
    <row r="223" spans="1:12" ht="15.5">
      <c r="A223" s="180" t="s">
        <v>9</v>
      </c>
      <c r="B223" s="242">
        <v>992431.76515348954</v>
      </c>
      <c r="C223" s="241">
        <f t="shared" si="41"/>
        <v>0.16730557496459803</v>
      </c>
      <c r="D223" s="242">
        <v>873475.25515348953</v>
      </c>
      <c r="E223" s="242">
        <v>41093.93</v>
      </c>
      <c r="F223" s="849">
        <v>77862.58</v>
      </c>
      <c r="H223" s="250">
        <f t="shared" si="42"/>
        <v>-75386.150300706329</v>
      </c>
      <c r="I223" s="241">
        <f t="shared" si="43"/>
        <v>-0.65349926750673692</v>
      </c>
      <c r="J223" s="242">
        <f t="shared" si="44"/>
        <v>25149.419699293678</v>
      </c>
      <c r="K223" s="849">
        <f t="shared" si="44"/>
        <v>-99981.260000000009</v>
      </c>
      <c r="L223" s="242">
        <f t="shared" si="44"/>
        <v>-554.30999999999767</v>
      </c>
    </row>
    <row r="224" spans="1:12" ht="15.5">
      <c r="A224" s="180" t="s">
        <v>148</v>
      </c>
      <c r="B224" s="242">
        <v>421248.57</v>
      </c>
      <c r="C224" s="241">
        <f t="shared" si="41"/>
        <v>7.1014690058781735E-2</v>
      </c>
      <c r="D224" s="242">
        <v>0</v>
      </c>
      <c r="E224" s="242">
        <v>87175.67</v>
      </c>
      <c r="F224" s="849">
        <v>334072.90000000002</v>
      </c>
      <c r="H224" s="250">
        <f t="shared" si="42"/>
        <v>1278.6100000000442</v>
      </c>
      <c r="I224" s="241">
        <f t="shared" si="43"/>
        <v>1.1083875421331721E-2</v>
      </c>
      <c r="J224" s="242">
        <f t="shared" si="44"/>
        <v>0</v>
      </c>
      <c r="K224" s="849">
        <f t="shared" si="44"/>
        <v>1101.929999999993</v>
      </c>
      <c r="L224" s="242">
        <f t="shared" si="44"/>
        <v>176.68000000005122</v>
      </c>
    </row>
    <row r="225" spans="1:12" ht="15.5">
      <c r="A225" s="180" t="s">
        <v>11</v>
      </c>
      <c r="B225" s="242">
        <v>255257</v>
      </c>
      <c r="C225" s="241">
        <f t="shared" si="41"/>
        <v>4.3031592345427902E-2</v>
      </c>
      <c r="D225" s="242">
        <v>0</v>
      </c>
      <c r="E225" s="242">
        <v>419653.6</v>
      </c>
      <c r="F225" s="849">
        <v>255257</v>
      </c>
      <c r="H225" s="250">
        <f t="shared" si="42"/>
        <v>96841.839999999967</v>
      </c>
      <c r="I225" s="241">
        <f t="shared" si="43"/>
        <v>0.839492018780161</v>
      </c>
      <c r="J225" s="242">
        <f t="shared" si="44"/>
        <v>0</v>
      </c>
      <c r="K225" s="849">
        <f t="shared" si="44"/>
        <v>89815.199999999953</v>
      </c>
      <c r="L225" s="242">
        <f t="shared" si="44"/>
        <v>7026.640000000014</v>
      </c>
    </row>
    <row r="226" spans="1:12" ht="15.5">
      <c r="A226" s="180" t="s">
        <v>12</v>
      </c>
      <c r="B226" s="242">
        <v>158712.46231155779</v>
      </c>
      <c r="C226" s="241">
        <f t="shared" si="41"/>
        <v>2.6755975265438534E-2</v>
      </c>
      <c r="D226" s="242">
        <v>158712.46231155779</v>
      </c>
      <c r="E226" s="849">
        <v>0</v>
      </c>
      <c r="F226" s="849">
        <v>0</v>
      </c>
      <c r="H226" s="250">
        <f t="shared" si="42"/>
        <v>0</v>
      </c>
      <c r="I226" s="241">
        <f t="shared" si="43"/>
        <v>0</v>
      </c>
      <c r="J226" s="242">
        <f t="shared" si="44"/>
        <v>0</v>
      </c>
      <c r="K226" s="849">
        <f t="shared" si="44"/>
        <v>0</v>
      </c>
      <c r="L226" s="242">
        <f t="shared" si="44"/>
        <v>0</v>
      </c>
    </row>
    <row r="227" spans="1:12" ht="15.5">
      <c r="A227" s="180" t="s">
        <v>160</v>
      </c>
      <c r="B227" s="242">
        <v>2459038.4250484495</v>
      </c>
      <c r="C227" s="241">
        <f t="shared" si="41"/>
        <v>0.41454823596778123</v>
      </c>
      <c r="D227" s="242">
        <v>2459038.4250484495</v>
      </c>
      <c r="E227" s="849">
        <v>0</v>
      </c>
      <c r="F227" s="849">
        <v>0</v>
      </c>
      <c r="H227" s="250">
        <f t="shared" si="42"/>
        <v>5205.415802388452</v>
      </c>
      <c r="I227" s="241">
        <f t="shared" si="43"/>
        <v>4.5124142834721381E-2</v>
      </c>
      <c r="J227" s="242">
        <f t="shared" si="44"/>
        <v>5205.415802388452</v>
      </c>
      <c r="K227" s="849">
        <f t="shared" si="44"/>
        <v>0</v>
      </c>
      <c r="L227" s="242">
        <f t="shared" si="44"/>
        <v>0</v>
      </c>
    </row>
    <row r="228" spans="1:12" ht="15.5">
      <c r="A228" s="180"/>
      <c r="B228" s="239"/>
      <c r="C228" s="237"/>
      <c r="D228" s="237"/>
      <c r="E228" s="295"/>
      <c r="F228" s="295"/>
    </row>
    <row r="229" spans="1:12" ht="15.5">
      <c r="A229" s="180"/>
      <c r="B229" s="243">
        <f>SUM(B221:B227)</f>
        <v>5931851.1374381203</v>
      </c>
      <c r="C229" s="240">
        <f>SUM(C221:C227)</f>
        <v>0.99999999999999978</v>
      </c>
      <c r="D229" s="243">
        <f>SUM(D221:D228)</f>
        <v>4436276.52743812</v>
      </c>
      <c r="E229" s="243">
        <f>SUM(E221:E228)</f>
        <v>828381.83</v>
      </c>
      <c r="F229" s="243">
        <f>SUM(F221:F228)</f>
        <v>667192.48</v>
      </c>
      <c r="G229" s="32">
        <f>+B229-B218</f>
        <v>115357.96610469744</v>
      </c>
      <c r="H229" s="243">
        <f>SUM(H221:H227)</f>
        <v>115357.66610469716</v>
      </c>
      <c r="I229" s="240">
        <f>SUM(I221:I227)</f>
        <v>1.0000000000000002</v>
      </c>
      <c r="J229" s="243">
        <f>SUM(J221:J227)</f>
        <v>78872.176104697151</v>
      </c>
      <c r="K229" s="243">
        <f>SUM(K221:K227)</f>
        <v>29836.479999999945</v>
      </c>
      <c r="L229" s="243">
        <f>SUM(L221:L227)</f>
        <v>6649.0100000000675</v>
      </c>
    </row>
    <row r="230" spans="1:12" ht="14.5" thickBot="1">
      <c r="F230" s="841"/>
      <c r="H230" s="254">
        <f>+A231</f>
        <v>40510</v>
      </c>
      <c r="I230" s="254"/>
      <c r="J230" s="254">
        <f>+A220</f>
        <v>40479</v>
      </c>
    </row>
    <row r="231" spans="1:12" ht="16" thickBot="1">
      <c r="A231" s="253">
        <v>40510</v>
      </c>
      <c r="B231" s="251">
        <v>3.99</v>
      </c>
      <c r="C231" s="238" t="s">
        <v>3</v>
      </c>
      <c r="D231" s="238" t="s">
        <v>4</v>
      </c>
      <c r="E231" s="238" t="s">
        <v>5</v>
      </c>
      <c r="F231" s="238" t="s">
        <v>114</v>
      </c>
      <c r="H231" s="251">
        <f>+B231-B220</f>
        <v>1.0000000000000231E-2</v>
      </c>
      <c r="I231" s="238" t="s">
        <v>3</v>
      </c>
      <c r="J231" s="238" t="s">
        <v>4</v>
      </c>
      <c r="K231" s="238" t="s">
        <v>5</v>
      </c>
      <c r="L231" s="238" t="s">
        <v>114</v>
      </c>
    </row>
    <row r="232" spans="1:12" ht="15.5">
      <c r="A232" s="180" t="s">
        <v>7</v>
      </c>
      <c r="B232" s="250">
        <v>911791.02740852116</v>
      </c>
      <c r="C232" s="241">
        <f t="shared" ref="C232:C238" si="45">+B232/$B$240</f>
        <v>0.15310418708306814</v>
      </c>
      <c r="D232" s="242">
        <v>857289.21740852122</v>
      </c>
      <c r="E232" s="849">
        <v>54501.81</v>
      </c>
      <c r="F232" s="849">
        <v>0</v>
      </c>
      <c r="H232" s="250">
        <f t="shared" ref="H232:H238" si="46">SUM(J232:L232)</f>
        <v>-8135.5923904737501</v>
      </c>
      <c r="I232" s="241">
        <f t="shared" ref="I232:I238" si="47">+H232/$H$240</f>
        <v>-0.34601475125636089</v>
      </c>
      <c r="J232" s="242">
        <f t="shared" ref="J232:L238" si="48">+D232-D221</f>
        <v>-7461.1423904737458</v>
      </c>
      <c r="K232" s="849">
        <f t="shared" si="48"/>
        <v>-674.45000000000437</v>
      </c>
      <c r="L232" s="242">
        <f t="shared" si="48"/>
        <v>0</v>
      </c>
    </row>
    <row r="233" spans="1:12" ht="15.5">
      <c r="A233" s="180" t="s">
        <v>8</v>
      </c>
      <c r="B233" s="242">
        <v>322832.95912280702</v>
      </c>
      <c r="C233" s="241">
        <f t="shared" si="45"/>
        <v>5.420877841998472E-2</v>
      </c>
      <c r="D233" s="242">
        <v>90982.649122807023</v>
      </c>
      <c r="E233" s="849">
        <v>231850.31</v>
      </c>
      <c r="F233" s="849">
        <v>0</v>
      </c>
      <c r="H233" s="250">
        <f t="shared" si="46"/>
        <v>17250.563997178891</v>
      </c>
      <c r="I233" s="241">
        <f t="shared" si="47"/>
        <v>0.73368346446474386</v>
      </c>
      <c r="J233" s="242">
        <f t="shared" si="48"/>
        <v>10682.623997178889</v>
      </c>
      <c r="K233" s="849">
        <f t="shared" si="48"/>
        <v>6567.9400000000023</v>
      </c>
      <c r="L233" s="242">
        <f t="shared" si="48"/>
        <v>0</v>
      </c>
    </row>
    <row r="234" spans="1:12" ht="15.5">
      <c r="A234" s="180" t="s">
        <v>9</v>
      </c>
      <c r="B234" s="242">
        <v>1001564.8005735219</v>
      </c>
      <c r="C234" s="241">
        <f t="shared" si="45"/>
        <v>0.16817862864768005</v>
      </c>
      <c r="D234" s="242">
        <v>874573.97057352192</v>
      </c>
      <c r="E234" s="849">
        <v>428.83000000000004</v>
      </c>
      <c r="F234" s="849">
        <v>126562</v>
      </c>
      <c r="H234" s="250">
        <f t="shared" si="46"/>
        <v>9133.0354200323854</v>
      </c>
      <c r="I234" s="241">
        <f t="shared" si="47"/>
        <v>0.38843698496723938</v>
      </c>
      <c r="J234" s="242">
        <f t="shared" si="48"/>
        <v>1098.7154200323857</v>
      </c>
      <c r="K234" s="849">
        <f t="shared" si="48"/>
        <v>-40665.1</v>
      </c>
      <c r="L234" s="242">
        <f t="shared" si="48"/>
        <v>48699.42</v>
      </c>
    </row>
    <row r="235" spans="1:12" ht="15.5">
      <c r="A235" s="180" t="s">
        <v>148</v>
      </c>
      <c r="B235" s="242">
        <v>373007.59</v>
      </c>
      <c r="C235" s="241">
        <f t="shared" si="45"/>
        <v>6.2633895405922999E-2</v>
      </c>
      <c r="D235" s="242">
        <v>0</v>
      </c>
      <c r="E235" s="849">
        <v>85862.69</v>
      </c>
      <c r="F235" s="849">
        <v>287144.90000000002</v>
      </c>
      <c r="H235" s="250">
        <f t="shared" si="46"/>
        <v>-48240.979999999996</v>
      </c>
      <c r="I235" s="241">
        <f t="shared" si="47"/>
        <v>-2.0517363572207024</v>
      </c>
      <c r="J235" s="242">
        <f t="shared" si="48"/>
        <v>0</v>
      </c>
      <c r="K235" s="849">
        <f t="shared" si="48"/>
        <v>-1312.9799999999959</v>
      </c>
      <c r="L235" s="242">
        <f t="shared" si="48"/>
        <v>-46928</v>
      </c>
    </row>
    <row r="236" spans="1:12" ht="15.5">
      <c r="A236" s="180" t="s">
        <v>11</v>
      </c>
      <c r="B236" s="242">
        <v>703398.08000000007</v>
      </c>
      <c r="C236" s="241">
        <f t="shared" si="45"/>
        <v>0.11811170322686211</v>
      </c>
      <c r="D236" s="242">
        <v>0</v>
      </c>
      <c r="E236" s="849">
        <v>452779.08</v>
      </c>
      <c r="F236" s="849">
        <v>250619</v>
      </c>
      <c r="H236" s="250">
        <f t="shared" si="46"/>
        <v>28487.48000000004</v>
      </c>
      <c r="I236" s="241">
        <f t="shared" si="47"/>
        <v>1.2116005612157486</v>
      </c>
      <c r="J236" s="242">
        <f t="shared" si="48"/>
        <v>0</v>
      </c>
      <c r="K236" s="849">
        <f t="shared" si="48"/>
        <v>33125.48000000004</v>
      </c>
      <c r="L236" s="242">
        <f t="shared" si="48"/>
        <v>-4638</v>
      </c>
    </row>
    <row r="237" spans="1:12" ht="15.5">
      <c r="A237" s="180" t="s">
        <v>12</v>
      </c>
      <c r="B237" s="242">
        <v>183142.55639097744</v>
      </c>
      <c r="C237" s="241">
        <f t="shared" si="45"/>
        <v>3.0752542384903842E-2</v>
      </c>
      <c r="D237" s="242">
        <v>183142.55639097744</v>
      </c>
      <c r="E237" s="849">
        <v>0</v>
      </c>
      <c r="F237" s="849">
        <v>0</v>
      </c>
      <c r="H237" s="250">
        <f t="shared" si="46"/>
        <v>24430.09407941965</v>
      </c>
      <c r="I237" s="241">
        <f t="shared" si="47"/>
        <v>1.0390359448142954</v>
      </c>
      <c r="J237" s="242">
        <f t="shared" si="48"/>
        <v>24430.09407941965</v>
      </c>
      <c r="K237" s="849">
        <f t="shared" si="48"/>
        <v>0</v>
      </c>
      <c r="L237" s="242">
        <f t="shared" si="48"/>
        <v>0</v>
      </c>
    </row>
    <row r="238" spans="1:12" ht="15.5">
      <c r="A238" s="180" t="s">
        <v>160</v>
      </c>
      <c r="B238" s="242">
        <v>2459626.0943323085</v>
      </c>
      <c r="C238" s="241">
        <f t="shared" si="45"/>
        <v>0.41301026483157804</v>
      </c>
      <c r="D238" s="242">
        <v>2459626.0943323085</v>
      </c>
      <c r="E238" s="849">
        <v>0</v>
      </c>
      <c r="F238" s="849">
        <v>0</v>
      </c>
      <c r="H238" s="250">
        <f t="shared" si="46"/>
        <v>587.66928385896608</v>
      </c>
      <c r="I238" s="241">
        <f t="shared" si="47"/>
        <v>2.4994153015036057E-2</v>
      </c>
      <c r="J238" s="242">
        <f t="shared" si="48"/>
        <v>587.66928385896608</v>
      </c>
      <c r="K238" s="849">
        <f t="shared" si="48"/>
        <v>0</v>
      </c>
      <c r="L238" s="242">
        <f t="shared" si="48"/>
        <v>0</v>
      </c>
    </row>
    <row r="239" spans="1:12" ht="15.5">
      <c r="A239" s="180"/>
      <c r="B239" s="239"/>
      <c r="C239" s="237"/>
      <c r="D239" s="237"/>
      <c r="E239" s="849"/>
      <c r="F239" s="295"/>
    </row>
    <row r="240" spans="1:12" ht="15.5">
      <c r="A240" s="180"/>
      <c r="B240" s="243">
        <f>SUM(B232:B238)</f>
        <v>5955363.1078281365</v>
      </c>
      <c r="C240" s="240">
        <f>SUM(C232:C238)</f>
        <v>1</v>
      </c>
      <c r="D240" s="243">
        <f>SUM(D232:D239)</f>
        <v>4465614.4878281364</v>
      </c>
      <c r="E240" s="243">
        <f>SUM(E232:E239)</f>
        <v>825422.72</v>
      </c>
      <c r="F240" s="243">
        <f>SUM(F232:F239)</f>
        <v>664325.9</v>
      </c>
      <c r="G240" s="32">
        <f>+B240-B229</f>
        <v>23511.970390016213</v>
      </c>
      <c r="H240" s="243">
        <f>SUM(H232:H238)</f>
        <v>23512.270390016187</v>
      </c>
      <c r="I240" s="240">
        <f>SUM(I232:I238)</f>
        <v>1.0000000000000002</v>
      </c>
      <c r="J240" s="243">
        <f>SUM(J232:J238)</f>
        <v>29337.960390016146</v>
      </c>
      <c r="K240" s="243">
        <f>SUM(K232:K238)</f>
        <v>-2959.1099999999569</v>
      </c>
      <c r="L240" s="243">
        <f>SUM(L232:L238)</f>
        <v>-2866.5800000000017</v>
      </c>
    </row>
    <row r="241" spans="1:12" ht="14.5" thickBot="1">
      <c r="H241" s="254">
        <f>+A242</f>
        <v>40540</v>
      </c>
      <c r="I241" s="254"/>
      <c r="J241" s="254">
        <f>+A231</f>
        <v>40510</v>
      </c>
    </row>
    <row r="242" spans="1:12" ht="16" thickBot="1">
      <c r="A242" s="253">
        <v>40540</v>
      </c>
      <c r="B242" s="251">
        <v>3.99</v>
      </c>
      <c r="C242" s="238" t="s">
        <v>3</v>
      </c>
      <c r="D242" s="238" t="s">
        <v>4</v>
      </c>
      <c r="E242" s="238" t="s">
        <v>5</v>
      </c>
      <c r="F242" s="238" t="s">
        <v>114</v>
      </c>
      <c r="H242" s="251">
        <f>+B242-B231</f>
        <v>0</v>
      </c>
      <c r="I242" s="238" t="s">
        <v>3</v>
      </c>
      <c r="J242" s="238" t="s">
        <v>4</v>
      </c>
      <c r="K242" s="238" t="s">
        <v>5</v>
      </c>
      <c r="L242" s="238" t="s">
        <v>114</v>
      </c>
    </row>
    <row r="243" spans="1:12" ht="15.5">
      <c r="A243" s="180" t="s">
        <v>7</v>
      </c>
      <c r="B243" s="250">
        <f t="shared" ref="B243:B249" si="49">SUM(D243:F243)</f>
        <v>959639.33127819537</v>
      </c>
      <c r="C243" s="241">
        <f t="shared" ref="C243:C249" si="50">+B243/$B$251</f>
        <v>0.15648865852733296</v>
      </c>
      <c r="D243" s="242">
        <v>905877.51127819542</v>
      </c>
      <c r="E243" s="849">
        <v>53761.82</v>
      </c>
      <c r="F243" s="849">
        <v>0</v>
      </c>
      <c r="H243" s="250">
        <f t="shared" ref="H243:H249" si="51">SUM(J243:L243)</f>
        <v>47848.303869674208</v>
      </c>
      <c r="I243" s="241">
        <f t="shared" ref="I243:I249" si="52">+H243/$H$251</f>
        <v>0.27038743502404422</v>
      </c>
      <c r="J243" s="242">
        <f t="shared" ref="J243:L249" si="53">+D243-D232</f>
        <v>48588.293869674206</v>
      </c>
      <c r="K243" s="849">
        <f t="shared" si="53"/>
        <v>-739.98999999999796</v>
      </c>
      <c r="L243" s="242">
        <f t="shared" si="53"/>
        <v>0</v>
      </c>
    </row>
    <row r="244" spans="1:12" ht="15.5">
      <c r="A244" s="180" t="s">
        <v>8</v>
      </c>
      <c r="B244" s="250">
        <f t="shared" si="49"/>
        <v>342285.45979949879</v>
      </c>
      <c r="C244" s="241">
        <f t="shared" si="50"/>
        <v>5.5816587223546175E-2</v>
      </c>
      <c r="D244" s="242">
        <v>106797.91979949875</v>
      </c>
      <c r="E244" s="849">
        <v>235487.54</v>
      </c>
      <c r="F244" s="849">
        <v>0</v>
      </c>
      <c r="H244" s="250">
        <f t="shared" si="51"/>
        <v>19452.500676691736</v>
      </c>
      <c r="I244" s="241">
        <f t="shared" si="52"/>
        <v>0.10992472746996823</v>
      </c>
      <c r="J244" s="242">
        <f t="shared" si="53"/>
        <v>15815.270676691725</v>
      </c>
      <c r="K244" s="849">
        <f t="shared" si="53"/>
        <v>3637.2300000000105</v>
      </c>
      <c r="L244" s="242">
        <f t="shared" si="53"/>
        <v>0</v>
      </c>
    </row>
    <row r="245" spans="1:12" ht="15.5">
      <c r="A245" s="180" t="s">
        <v>9</v>
      </c>
      <c r="B245" s="250">
        <f t="shared" si="49"/>
        <v>634712.67622136988</v>
      </c>
      <c r="C245" s="241">
        <f t="shared" si="50"/>
        <v>0.10350277652738432</v>
      </c>
      <c r="D245" s="242">
        <v>575325.87622136984</v>
      </c>
      <c r="E245" s="849">
        <v>51712.800000000003</v>
      </c>
      <c r="F245" s="849">
        <v>7674</v>
      </c>
      <c r="H245" s="250">
        <f t="shared" si="51"/>
        <v>-366852.12435215211</v>
      </c>
      <c r="I245" s="241">
        <f t="shared" si="52"/>
        <v>-2.0730558225610833</v>
      </c>
      <c r="J245" s="242">
        <f t="shared" si="53"/>
        <v>-299248.09435215208</v>
      </c>
      <c r="K245" s="849">
        <f t="shared" si="53"/>
        <v>51283.97</v>
      </c>
      <c r="L245" s="242">
        <f t="shared" si="53"/>
        <v>-118888</v>
      </c>
    </row>
    <row r="246" spans="1:12" ht="15.5">
      <c r="A246" s="180" t="s">
        <v>148</v>
      </c>
      <c r="B246" s="250">
        <f t="shared" si="49"/>
        <v>372171.93</v>
      </c>
      <c r="C246" s="241">
        <f t="shared" si="50"/>
        <v>6.0690182414318672E-2</v>
      </c>
      <c r="D246" s="242">
        <v>0</v>
      </c>
      <c r="E246" s="849">
        <v>89241.54</v>
      </c>
      <c r="F246" s="849">
        <v>282930.39</v>
      </c>
      <c r="H246" s="250">
        <f t="shared" si="51"/>
        <v>-835.66000000001804</v>
      </c>
      <c r="I246" s="241">
        <f t="shared" si="52"/>
        <v>-4.7222564997837649E-3</v>
      </c>
      <c r="J246" s="242">
        <f t="shared" si="53"/>
        <v>0</v>
      </c>
      <c r="K246" s="849">
        <f t="shared" si="53"/>
        <v>3378.8499999999913</v>
      </c>
      <c r="L246" s="242">
        <f t="shared" si="53"/>
        <v>-4214.5100000000093</v>
      </c>
    </row>
    <row r="247" spans="1:12" ht="15.5">
      <c r="A247" s="180" t="s">
        <v>11</v>
      </c>
      <c r="B247" s="250">
        <f t="shared" si="49"/>
        <v>920013.4</v>
      </c>
      <c r="C247" s="241">
        <f t="shared" si="50"/>
        <v>0.15002684665019614</v>
      </c>
      <c r="D247" s="242">
        <v>0</v>
      </c>
      <c r="E247" s="849">
        <v>538917.4</v>
      </c>
      <c r="F247" s="849">
        <v>381096</v>
      </c>
      <c r="H247" s="250">
        <f t="shared" si="51"/>
        <v>216615.32</v>
      </c>
      <c r="I247" s="241">
        <f t="shared" si="52"/>
        <v>1.2240780973394898</v>
      </c>
      <c r="J247" s="242">
        <f t="shared" si="53"/>
        <v>0</v>
      </c>
      <c r="K247" s="849">
        <f t="shared" si="53"/>
        <v>86138.32</v>
      </c>
      <c r="L247" s="242">
        <f t="shared" si="53"/>
        <v>130477</v>
      </c>
    </row>
    <row r="248" spans="1:12" ht="15.5">
      <c r="A248" s="180" t="s">
        <v>12</v>
      </c>
      <c r="B248" s="250">
        <f t="shared" si="49"/>
        <v>193541.35338345863</v>
      </c>
      <c r="C248" s="241">
        <f t="shared" si="50"/>
        <v>3.1560843510031016E-2</v>
      </c>
      <c r="D248" s="242">
        <v>193541.35338345863</v>
      </c>
      <c r="E248" s="849">
        <v>0</v>
      </c>
      <c r="F248" s="849">
        <v>0</v>
      </c>
      <c r="H248" s="250">
        <f t="shared" si="51"/>
        <v>10398.796992481191</v>
      </c>
      <c r="I248" s="241">
        <f t="shared" si="52"/>
        <v>5.8762878069639701E-2</v>
      </c>
      <c r="J248" s="242">
        <f t="shared" si="53"/>
        <v>10398.796992481191</v>
      </c>
      <c r="K248" s="849">
        <f t="shared" si="53"/>
        <v>0</v>
      </c>
      <c r="L248" s="242">
        <f t="shared" si="53"/>
        <v>0</v>
      </c>
    </row>
    <row r="249" spans="1:12" ht="15.5">
      <c r="A249" s="180" t="s">
        <v>160</v>
      </c>
      <c r="B249" s="250">
        <f t="shared" si="49"/>
        <v>2709960.9667353686</v>
      </c>
      <c r="C249" s="241">
        <f t="shared" si="50"/>
        <v>0.44191410514719071</v>
      </c>
      <c r="D249" s="242">
        <v>2709960.9667353686</v>
      </c>
      <c r="E249" s="849">
        <v>0</v>
      </c>
      <c r="F249" s="849">
        <v>0</v>
      </c>
      <c r="H249" s="250">
        <f t="shared" si="51"/>
        <v>250334.87240306009</v>
      </c>
      <c r="I249" s="241">
        <f t="shared" si="52"/>
        <v>1.414624941157725</v>
      </c>
      <c r="J249" s="242">
        <f t="shared" si="53"/>
        <v>250334.87240306009</v>
      </c>
      <c r="K249" s="849">
        <f t="shared" si="53"/>
        <v>0</v>
      </c>
      <c r="L249" s="242">
        <f t="shared" si="53"/>
        <v>0</v>
      </c>
    </row>
    <row r="250" spans="1:12" ht="15.5">
      <c r="A250" s="180"/>
      <c r="B250" s="242"/>
      <c r="C250" s="241"/>
      <c r="D250" s="237"/>
      <c r="E250" s="849"/>
      <c r="F250" s="295"/>
      <c r="H250" s="250"/>
      <c r="I250" s="241"/>
      <c r="J250" s="242"/>
      <c r="K250" s="849"/>
      <c r="L250" s="242"/>
    </row>
    <row r="251" spans="1:12" ht="15.5">
      <c r="A251" s="180"/>
      <c r="B251" s="243">
        <f>SUM(B243:B249)</f>
        <v>6132325.1174178915</v>
      </c>
      <c r="C251" s="240">
        <f>SUM(C243:C249)</f>
        <v>1</v>
      </c>
      <c r="D251" s="243">
        <f>SUM(D243:D250)</f>
        <v>4491503.6274178913</v>
      </c>
      <c r="E251" s="243">
        <f>SUM(E243:E250)</f>
        <v>969121.1</v>
      </c>
      <c r="F251" s="243">
        <f>SUM(F243:F250)</f>
        <v>671700.39</v>
      </c>
      <c r="G251" s="32">
        <f>+B251-B240</f>
        <v>176962.00958975498</v>
      </c>
      <c r="H251" s="243">
        <f>SUM(H243:H249)</f>
        <v>176962.00958975512</v>
      </c>
      <c r="I251" s="240">
        <f>SUM(I243:I250)</f>
        <v>0.99999999999999978</v>
      </c>
      <c r="J251" s="243">
        <f>SUM(J243:J249)</f>
        <v>25889.139589755127</v>
      </c>
      <c r="K251" s="243">
        <f>SUM(K243:K249)</f>
        <v>143698.38</v>
      </c>
      <c r="L251" s="243">
        <f>SUM(L243:L249)</f>
        <v>7374.4899999999907</v>
      </c>
    </row>
    <row r="252" spans="1:12" ht="14.5" thickBot="1">
      <c r="H252" s="254">
        <f>+A253</f>
        <v>40571</v>
      </c>
      <c r="I252" s="254"/>
      <c r="J252" s="254">
        <f>+A242</f>
        <v>40540</v>
      </c>
    </row>
    <row r="253" spans="1:12" ht="16" thickBot="1">
      <c r="A253" s="253">
        <v>40571</v>
      </c>
      <c r="B253" s="251">
        <v>4.0199999999999996</v>
      </c>
      <c r="C253" s="238" t="s">
        <v>3</v>
      </c>
      <c r="D253" s="238" t="s">
        <v>4</v>
      </c>
      <c r="E253" s="238" t="s">
        <v>5</v>
      </c>
      <c r="F253" s="238" t="s">
        <v>114</v>
      </c>
      <c r="H253" s="251">
        <f>+B253-B242</f>
        <v>2.9999999999999361E-2</v>
      </c>
      <c r="I253" s="238" t="s">
        <v>3</v>
      </c>
      <c r="J253" s="238" t="s">
        <v>4</v>
      </c>
      <c r="K253" s="238" t="s">
        <v>5</v>
      </c>
      <c r="L253" s="238" t="s">
        <v>114</v>
      </c>
    </row>
    <row r="254" spans="1:12" ht="15.5">
      <c r="A254" s="180" t="s">
        <v>7</v>
      </c>
      <c r="B254" s="250">
        <f t="shared" ref="B254:B260" si="54">SUM(D254:F254)</f>
        <v>963940.68950248766</v>
      </c>
      <c r="C254" s="241">
        <f t="shared" ref="C254:C260" si="55">+B254/$B$262</f>
        <v>0.15577352305172756</v>
      </c>
      <c r="D254" s="242">
        <v>910001.9895024877</v>
      </c>
      <c r="E254" s="242">
        <v>53938.7</v>
      </c>
      <c r="F254" s="849">
        <v>0</v>
      </c>
      <c r="H254" s="250">
        <f t="shared" ref="H254:H260" si="56">SUM(J254:L254)</f>
        <v>4301.3582242922785</v>
      </c>
      <c r="I254" s="241">
        <f t="shared" ref="I254:I260" si="57">+H254/$H$262</f>
        <v>7.7132846572488575E-2</v>
      </c>
      <c r="J254" s="242">
        <f t="shared" ref="J254:L260" si="58">+D254-D243</f>
        <v>4124.4782242922811</v>
      </c>
      <c r="K254" s="849">
        <f t="shared" si="58"/>
        <v>176.87999999999738</v>
      </c>
      <c r="L254" s="242">
        <f t="shared" si="58"/>
        <v>0</v>
      </c>
    </row>
    <row r="255" spans="1:12" ht="15.5">
      <c r="A255" s="180" t="s">
        <v>8</v>
      </c>
      <c r="B255" s="250">
        <f t="shared" si="54"/>
        <v>366501.83930348261</v>
      </c>
      <c r="C255" s="241">
        <f t="shared" si="55"/>
        <v>5.9226966280163724E-2</v>
      </c>
      <c r="D255" s="242">
        <v>123799.6393034826</v>
      </c>
      <c r="E255" s="242">
        <v>242702.2</v>
      </c>
      <c r="F255" s="849">
        <v>0</v>
      </c>
      <c r="H255" s="250">
        <f t="shared" si="56"/>
        <v>24216.379503983859</v>
      </c>
      <c r="I255" s="241">
        <f t="shared" si="57"/>
        <v>0.43425313294599505</v>
      </c>
      <c r="J255" s="242">
        <f t="shared" si="58"/>
        <v>17001.719503983855</v>
      </c>
      <c r="K255" s="849">
        <f t="shared" si="58"/>
        <v>7214.6600000000035</v>
      </c>
      <c r="L255" s="242">
        <f t="shared" si="58"/>
        <v>0</v>
      </c>
    </row>
    <row r="256" spans="1:12" ht="15.5">
      <c r="A256" s="180" t="s">
        <v>9</v>
      </c>
      <c r="B256" s="250">
        <f t="shared" si="54"/>
        <v>635155.57450684928</v>
      </c>
      <c r="C256" s="241">
        <f t="shared" si="55"/>
        <v>0.10264160710753005</v>
      </c>
      <c r="D256" s="242">
        <v>575499.28450684925</v>
      </c>
      <c r="E256" s="242">
        <v>52682.520000000004</v>
      </c>
      <c r="F256" s="849">
        <v>6973.77</v>
      </c>
      <c r="H256" s="250">
        <f t="shared" si="56"/>
        <v>442.89828547941215</v>
      </c>
      <c r="I256" s="241">
        <f t="shared" si="57"/>
        <v>7.942143788017695E-3</v>
      </c>
      <c r="J256" s="242">
        <f t="shared" si="58"/>
        <v>173.40828547941055</v>
      </c>
      <c r="K256" s="849">
        <f t="shared" si="58"/>
        <v>969.72000000000116</v>
      </c>
      <c r="L256" s="242">
        <f t="shared" si="58"/>
        <v>-700.22999999999956</v>
      </c>
    </row>
    <row r="257" spans="1:12" ht="15.5">
      <c r="A257" s="180" t="s">
        <v>148</v>
      </c>
      <c r="B257" s="250">
        <f t="shared" si="54"/>
        <v>376245.99</v>
      </c>
      <c r="C257" s="241">
        <f t="shared" si="55"/>
        <v>6.0801628185894532E-2</v>
      </c>
      <c r="D257" s="242">
        <v>0</v>
      </c>
      <c r="E257" s="242">
        <v>89920.54</v>
      </c>
      <c r="F257" s="849">
        <v>286325.45</v>
      </c>
      <c r="H257" s="250">
        <f t="shared" si="56"/>
        <v>4074.0599999999977</v>
      </c>
      <c r="I257" s="241">
        <f t="shared" si="57"/>
        <v>7.3056887736621043E-2</v>
      </c>
      <c r="J257" s="242">
        <f t="shared" si="58"/>
        <v>0</v>
      </c>
      <c r="K257" s="849">
        <f t="shared" si="58"/>
        <v>679</v>
      </c>
      <c r="L257" s="242">
        <f t="shared" si="58"/>
        <v>3395.0599999999977</v>
      </c>
    </row>
    <row r="258" spans="1:12" ht="15.5">
      <c r="A258" s="180" t="s">
        <v>11</v>
      </c>
      <c r="B258" s="250">
        <f t="shared" si="54"/>
        <v>944261.22</v>
      </c>
      <c r="C258" s="241">
        <f t="shared" si="55"/>
        <v>0.15259330633344201</v>
      </c>
      <c r="D258" s="242">
        <v>0</v>
      </c>
      <c r="E258" s="242">
        <v>555663.69999999995</v>
      </c>
      <c r="F258" s="849">
        <v>388597.52</v>
      </c>
      <c r="H258" s="250">
        <f t="shared" si="56"/>
        <v>24247.819999999949</v>
      </c>
      <c r="I258" s="241">
        <f t="shared" si="57"/>
        <v>0.43481693043249037</v>
      </c>
      <c r="J258" s="242">
        <f t="shared" si="58"/>
        <v>0</v>
      </c>
      <c r="K258" s="849">
        <f t="shared" si="58"/>
        <v>16746.29999999993</v>
      </c>
      <c r="L258" s="242">
        <f t="shared" si="58"/>
        <v>7501.5200000000186</v>
      </c>
    </row>
    <row r="259" spans="1:12" ht="15.5">
      <c r="A259" s="180" t="s">
        <v>12</v>
      </c>
      <c r="B259" s="250">
        <f t="shared" si="54"/>
        <v>192186.56716417911</v>
      </c>
      <c r="C259" s="241">
        <f t="shared" si="55"/>
        <v>3.105749033774384E-2</v>
      </c>
      <c r="D259" s="242">
        <v>192186.56716417911</v>
      </c>
      <c r="E259" s="242">
        <v>0</v>
      </c>
      <c r="F259" s="849">
        <v>0</v>
      </c>
      <c r="H259" s="250">
        <f t="shared" si="56"/>
        <v>-1354.7862192795146</v>
      </c>
      <c r="I259" s="241">
        <f t="shared" si="57"/>
        <v>-2.4294307086548755E-2</v>
      </c>
      <c r="J259" s="242">
        <f t="shared" si="58"/>
        <v>-1354.7862192795146</v>
      </c>
      <c r="K259" s="849">
        <f t="shared" si="58"/>
        <v>0</v>
      </c>
      <c r="L259" s="242">
        <f t="shared" si="58"/>
        <v>0</v>
      </c>
    </row>
    <row r="260" spans="1:12" ht="15.5">
      <c r="A260" s="180" t="s">
        <v>160</v>
      </c>
      <c r="B260" s="250">
        <f t="shared" si="54"/>
        <v>2709798.8208059962</v>
      </c>
      <c r="C260" s="241">
        <f t="shared" si="55"/>
        <v>0.43790547870349827</v>
      </c>
      <c r="D260" s="242">
        <v>2709798.8208059962</v>
      </c>
      <c r="E260" s="242">
        <v>0</v>
      </c>
      <c r="F260" s="849">
        <v>0</v>
      </c>
      <c r="H260" s="250">
        <f t="shared" si="56"/>
        <v>-162.14592937240377</v>
      </c>
      <c r="I260" s="241">
        <f t="shared" si="57"/>
        <v>-2.9076343890639296E-3</v>
      </c>
      <c r="J260" s="242">
        <f t="shared" si="58"/>
        <v>-162.14592937240377</v>
      </c>
      <c r="K260" s="849">
        <f t="shared" si="58"/>
        <v>0</v>
      </c>
      <c r="L260" s="242">
        <f t="shared" si="58"/>
        <v>0</v>
      </c>
    </row>
    <row r="261" spans="1:12" ht="15.5">
      <c r="A261" s="180"/>
      <c r="B261" s="242">
        <v>0</v>
      </c>
      <c r="C261" s="241">
        <v>0</v>
      </c>
      <c r="D261" s="237"/>
      <c r="E261" s="242">
        <v>0</v>
      </c>
      <c r="F261" s="295"/>
      <c r="H261" s="250"/>
      <c r="I261" s="241"/>
      <c r="J261" s="242"/>
      <c r="K261" s="849"/>
      <c r="L261" s="242"/>
    </row>
    <row r="262" spans="1:12" ht="15.5">
      <c r="A262" s="180"/>
      <c r="B262" s="243">
        <f>SUM(B254:B261)</f>
        <v>6188090.7012829948</v>
      </c>
      <c r="C262" s="240">
        <f>SUM(C254:C261)</f>
        <v>1</v>
      </c>
      <c r="D262" s="243">
        <f>SUM(D254:D261)</f>
        <v>4511286.3012829944</v>
      </c>
      <c r="E262" s="243">
        <f>SUM(E254:E261)</f>
        <v>994907.65999999992</v>
      </c>
      <c r="F262" s="243">
        <f>SUM(F254:F261)</f>
        <v>681896.74</v>
      </c>
      <c r="G262" s="32">
        <f>+B262-B251</f>
        <v>55765.583865103312</v>
      </c>
      <c r="H262" s="243">
        <f>SUM(H254:H260)</f>
        <v>55765.583865103574</v>
      </c>
      <c r="I262" s="240">
        <f>SUM(I254:I261)</f>
        <v>1.0000000000000002</v>
      </c>
      <c r="J262" s="243">
        <f>SUM(J254:J260)</f>
        <v>19782.673865103628</v>
      </c>
      <c r="K262" s="243">
        <f>SUM(K254:K260)</f>
        <v>25786.559999999932</v>
      </c>
      <c r="L262" s="243">
        <f>SUM(L254:L260)</f>
        <v>10196.350000000017</v>
      </c>
    </row>
    <row r="263" spans="1:12" ht="14.5" thickBot="1">
      <c r="H263" s="254">
        <f>+A264</f>
        <v>40602</v>
      </c>
      <c r="I263" s="254"/>
      <c r="J263" s="254">
        <f>+A253</f>
        <v>40571</v>
      </c>
    </row>
    <row r="264" spans="1:12" ht="16" thickBot="1">
      <c r="A264" s="253">
        <v>40602</v>
      </c>
      <c r="B264" s="251">
        <v>4.05</v>
      </c>
      <c r="C264" s="238" t="s">
        <v>3</v>
      </c>
      <c r="D264" s="238" t="s">
        <v>4</v>
      </c>
      <c r="E264" s="238" t="s">
        <v>5</v>
      </c>
      <c r="F264" s="238" t="s">
        <v>114</v>
      </c>
      <c r="H264" s="251">
        <f>+B264-B253</f>
        <v>3.0000000000000249E-2</v>
      </c>
      <c r="I264" s="238" t="s">
        <v>3</v>
      </c>
      <c r="J264" s="238" t="s">
        <v>4</v>
      </c>
      <c r="K264" s="238" t="s">
        <v>5</v>
      </c>
      <c r="L264" s="238" t="s">
        <v>114</v>
      </c>
    </row>
    <row r="265" spans="1:12" ht="15.5">
      <c r="A265" s="180" t="s">
        <v>7</v>
      </c>
      <c r="B265" s="250">
        <f t="shared" ref="B265:B271" si="59">SUM(D265:F265)</f>
        <v>956847.85167901253</v>
      </c>
      <c r="C265" s="241">
        <f t="shared" ref="C265:C271" si="60">+B265/$B$273</f>
        <v>0.15344326226428376</v>
      </c>
      <c r="D265" s="242">
        <v>902794.80167901248</v>
      </c>
      <c r="E265" s="242">
        <v>54053.05</v>
      </c>
      <c r="F265" s="849">
        <v>0</v>
      </c>
      <c r="H265" s="250">
        <f t="shared" ref="H265:H271" si="61">SUM(J265:L265)</f>
        <v>-7092.8378234752163</v>
      </c>
      <c r="I265" s="241">
        <f t="shared" ref="I265:I271" si="62">+H265/$H$273</f>
        <v>-0.14853884552822658</v>
      </c>
      <c r="J265" s="242">
        <f t="shared" ref="J265:L271" si="63">+D265-D254</f>
        <v>-7207.1878234752221</v>
      </c>
      <c r="K265" s="849">
        <f t="shared" si="63"/>
        <v>114.35000000000582</v>
      </c>
      <c r="L265" s="242">
        <f t="shared" si="63"/>
        <v>0</v>
      </c>
    </row>
    <row r="266" spans="1:12" ht="15.5">
      <c r="A266" s="180" t="s">
        <v>8</v>
      </c>
      <c r="B266" s="250">
        <f t="shared" si="59"/>
        <v>358486.38679012342</v>
      </c>
      <c r="C266" s="241">
        <f t="shared" si="60"/>
        <v>5.7488053685744514E-2</v>
      </c>
      <c r="D266" s="242">
        <v>129980.85679012345</v>
      </c>
      <c r="E266" s="242">
        <v>228505.53</v>
      </c>
      <c r="F266" s="849">
        <v>0</v>
      </c>
      <c r="H266" s="250">
        <f t="shared" si="61"/>
        <v>-8015.4525133591669</v>
      </c>
      <c r="I266" s="241">
        <f t="shared" si="62"/>
        <v>-0.16786032507047252</v>
      </c>
      <c r="J266" s="242">
        <f t="shared" si="63"/>
        <v>6181.2174866408459</v>
      </c>
      <c r="K266" s="849">
        <f t="shared" si="63"/>
        <v>-14196.670000000013</v>
      </c>
      <c r="L266" s="242">
        <f t="shared" si="63"/>
        <v>0</v>
      </c>
    </row>
    <row r="267" spans="1:12" ht="15.5">
      <c r="A267" s="180" t="s">
        <v>9</v>
      </c>
      <c r="B267" s="250">
        <f t="shared" si="59"/>
        <v>636784.21142739733</v>
      </c>
      <c r="C267" s="241">
        <f t="shared" si="60"/>
        <v>0.10211680633274543</v>
      </c>
      <c r="D267" s="242">
        <v>575665.88142739725</v>
      </c>
      <c r="E267" s="242">
        <v>52721.18</v>
      </c>
      <c r="F267" s="849">
        <v>8397.15</v>
      </c>
      <c r="H267" s="250">
        <f t="shared" si="61"/>
        <v>1628.6369205480023</v>
      </c>
      <c r="I267" s="241">
        <f t="shared" si="62"/>
        <v>3.4107060387335478E-2</v>
      </c>
      <c r="J267" s="242">
        <f t="shared" si="63"/>
        <v>166.59692054800689</v>
      </c>
      <c r="K267" s="849">
        <f t="shared" si="63"/>
        <v>38.659999999996217</v>
      </c>
      <c r="L267" s="242">
        <f t="shared" si="63"/>
        <v>1423.3799999999992</v>
      </c>
    </row>
    <row r="268" spans="1:12" ht="15.5">
      <c r="A268" s="180" t="s">
        <v>148</v>
      </c>
      <c r="B268" s="250">
        <f t="shared" si="59"/>
        <v>379692.38</v>
      </c>
      <c r="C268" s="241">
        <f t="shared" si="60"/>
        <v>6.0888716363690601E-2</v>
      </c>
      <c r="D268" s="242">
        <v>0</v>
      </c>
      <c r="E268" s="242">
        <v>91771.08</v>
      </c>
      <c r="F268" s="849">
        <v>287921.3</v>
      </c>
      <c r="H268" s="250">
        <f t="shared" si="61"/>
        <v>3446.3899999999849</v>
      </c>
      <c r="I268" s="241">
        <f t="shared" si="62"/>
        <v>7.2174608327531184E-2</v>
      </c>
      <c r="J268" s="242">
        <f t="shared" si="63"/>
        <v>0</v>
      </c>
      <c r="K268" s="849">
        <f t="shared" si="63"/>
        <v>1850.5400000000081</v>
      </c>
      <c r="L268" s="242">
        <f t="shared" si="63"/>
        <v>1595.8499999999767</v>
      </c>
    </row>
    <row r="269" spans="1:12" ht="15.5">
      <c r="A269" s="180" t="s">
        <v>11</v>
      </c>
      <c r="B269" s="250">
        <f t="shared" si="59"/>
        <v>964267.3600000001</v>
      </c>
      <c r="C269" s="241">
        <f t="shared" si="60"/>
        <v>0.15463307897252176</v>
      </c>
      <c r="D269" s="242">
        <v>0</v>
      </c>
      <c r="E269" s="242">
        <v>575134.80000000005</v>
      </c>
      <c r="F269" s="849">
        <v>389132.56</v>
      </c>
      <c r="H269" s="250">
        <f t="shared" si="61"/>
        <v>20006.140000000072</v>
      </c>
      <c r="I269" s="241">
        <f t="shared" si="62"/>
        <v>0.41897037730662123</v>
      </c>
      <c r="J269" s="242">
        <f t="shared" si="63"/>
        <v>0</v>
      </c>
      <c r="K269" s="849">
        <f t="shared" si="63"/>
        <v>19471.100000000093</v>
      </c>
      <c r="L269" s="242">
        <f t="shared" si="63"/>
        <v>535.03999999997905</v>
      </c>
    </row>
    <row r="270" spans="1:12" ht="15.5">
      <c r="A270" s="180" t="s">
        <v>12</v>
      </c>
      <c r="B270" s="250">
        <f t="shared" si="59"/>
        <v>229835.41975308643</v>
      </c>
      <c r="C270" s="241">
        <f t="shared" si="60"/>
        <v>3.6857162326184821E-2</v>
      </c>
      <c r="D270" s="242">
        <v>230086.41975308643</v>
      </c>
      <c r="E270" s="242">
        <v>-251</v>
      </c>
      <c r="F270" s="849">
        <v>0</v>
      </c>
      <c r="H270" s="250">
        <f t="shared" si="61"/>
        <v>37648.852588907321</v>
      </c>
      <c r="I270" s="241">
        <f t="shared" si="62"/>
        <v>0.78844564590349797</v>
      </c>
      <c r="J270" s="242">
        <f t="shared" si="63"/>
        <v>37899.852588907321</v>
      </c>
      <c r="K270" s="849">
        <f t="shared" si="63"/>
        <v>-251</v>
      </c>
      <c r="L270" s="242">
        <f t="shared" si="63"/>
        <v>0</v>
      </c>
    </row>
    <row r="271" spans="1:12" ht="15.5">
      <c r="A271" s="180" t="s">
        <v>160</v>
      </c>
      <c r="B271" s="250">
        <f t="shared" si="59"/>
        <v>2709927.8183759456</v>
      </c>
      <c r="C271" s="241">
        <f t="shared" si="60"/>
        <v>0.43457292005482917</v>
      </c>
      <c r="D271" s="242">
        <v>2709927.8183759456</v>
      </c>
      <c r="E271" s="242">
        <v>0</v>
      </c>
      <c r="F271" s="849">
        <v>0</v>
      </c>
      <c r="H271" s="250">
        <f t="shared" si="61"/>
        <v>128.99756994936615</v>
      </c>
      <c r="I271" s="241">
        <f t="shared" si="62"/>
        <v>2.7014786737133202E-3</v>
      </c>
      <c r="J271" s="242">
        <f t="shared" si="63"/>
        <v>128.99756994936615</v>
      </c>
      <c r="K271" s="849">
        <f t="shared" si="63"/>
        <v>0</v>
      </c>
      <c r="L271" s="242">
        <f t="shared" si="63"/>
        <v>0</v>
      </c>
    </row>
    <row r="272" spans="1:12" ht="15.5">
      <c r="A272" s="180"/>
      <c r="B272" s="250"/>
      <c r="C272" s="241"/>
      <c r="D272" s="237"/>
      <c r="E272" s="242">
        <v>0</v>
      </c>
      <c r="F272" s="295"/>
      <c r="H272" s="250"/>
      <c r="I272" s="241"/>
      <c r="J272" s="242"/>
      <c r="K272" s="849"/>
      <c r="L272" s="242"/>
    </row>
    <row r="273" spans="1:12" ht="15.5">
      <c r="A273" s="180"/>
      <c r="B273" s="243">
        <f>SUM(B265:B272)</f>
        <v>6235841.4280255651</v>
      </c>
      <c r="C273" s="240">
        <v>1</v>
      </c>
      <c r="D273" s="243">
        <f>SUM(D265:D272)</f>
        <v>4548455.7780255657</v>
      </c>
      <c r="E273" s="243">
        <f>SUM(E265:E272)</f>
        <v>1001934.6400000001</v>
      </c>
      <c r="F273" s="243">
        <f>SUM(F265:F272)</f>
        <v>685451.01</v>
      </c>
      <c r="G273" s="32">
        <f>+B273-B262</f>
        <v>47750.726742570288</v>
      </c>
      <c r="H273" s="243">
        <f>SUM(H265:H271)</f>
        <v>47750.726742570361</v>
      </c>
      <c r="I273" s="240">
        <f>SUM(I265:I272)</f>
        <v>1.0000000000000002</v>
      </c>
      <c r="J273" s="243">
        <f>SUM(J265:J271)</f>
        <v>37169.476742570318</v>
      </c>
      <c r="K273" s="243">
        <f>SUM(K265:K271)</f>
        <v>7026.9800000000905</v>
      </c>
      <c r="L273" s="243">
        <f>SUM(L265:L271)</f>
        <v>3554.269999999955</v>
      </c>
    </row>
    <row r="274" spans="1:12" ht="14.5" thickBot="1">
      <c r="H274" s="254">
        <f>+A275</f>
        <v>40630</v>
      </c>
      <c r="I274" s="254"/>
      <c r="J274" s="254">
        <f>+A264</f>
        <v>40602</v>
      </c>
    </row>
    <row r="275" spans="1:12" ht="16" thickBot="1">
      <c r="A275" s="253">
        <v>40630</v>
      </c>
      <c r="B275" s="251">
        <v>4.07</v>
      </c>
      <c r="C275" s="238" t="s">
        <v>3</v>
      </c>
      <c r="D275" s="238" t="s">
        <v>4</v>
      </c>
      <c r="E275" s="238" t="s">
        <v>5</v>
      </c>
      <c r="F275" s="238" t="s">
        <v>114</v>
      </c>
      <c r="H275" s="251">
        <f>+B275-B264</f>
        <v>2.0000000000000462E-2</v>
      </c>
      <c r="I275" s="238" t="s">
        <v>3</v>
      </c>
      <c r="J275" s="238" t="s">
        <v>4</v>
      </c>
      <c r="K275" s="238" t="s">
        <v>5</v>
      </c>
      <c r="L275" s="238" t="s">
        <v>114</v>
      </c>
    </row>
    <row r="276" spans="1:12" ht="15.5">
      <c r="A276" s="180" t="s">
        <v>7</v>
      </c>
      <c r="B276" s="250">
        <f t="shared" ref="B276:B282" si="64">SUM(D276:F276)</f>
        <v>1109006.926918919</v>
      </c>
      <c r="C276" s="241">
        <f t="shared" ref="C276:C282" si="65">+B276/$B$284</f>
        <v>0.17218053706356098</v>
      </c>
      <c r="D276" s="242">
        <v>1022095.0969189189</v>
      </c>
      <c r="E276" s="242">
        <v>86911.83</v>
      </c>
      <c r="F276" s="849">
        <v>0</v>
      </c>
      <c r="H276" s="250">
        <f t="shared" ref="H276:H282" si="66">SUM(J276:L276)</f>
        <v>152159.07523990641</v>
      </c>
      <c r="I276" s="241">
        <f t="shared" ref="I276:I282" si="67">+H276/$H$284</f>
        <v>0.74183186003433899</v>
      </c>
      <c r="J276" s="242">
        <f t="shared" ref="J276:L282" si="68">+D276-D265</f>
        <v>119300.29523990641</v>
      </c>
      <c r="K276" s="849">
        <f t="shared" si="68"/>
        <v>32858.78</v>
      </c>
      <c r="L276" s="242">
        <f t="shared" si="68"/>
        <v>0</v>
      </c>
    </row>
    <row r="277" spans="1:12" ht="15.5">
      <c r="A277" s="180" t="s">
        <v>8</v>
      </c>
      <c r="B277" s="250">
        <f t="shared" si="64"/>
        <v>327463.69351351348</v>
      </c>
      <c r="C277" s="241">
        <f t="shared" si="65"/>
        <v>5.084086785158224E-2</v>
      </c>
      <c r="D277" s="242">
        <v>125163.51351351351</v>
      </c>
      <c r="E277" s="242">
        <v>202300.18</v>
      </c>
      <c r="F277" s="849">
        <v>0</v>
      </c>
      <c r="H277" s="250">
        <f t="shared" si="66"/>
        <v>-31022.693276609949</v>
      </c>
      <c r="I277" s="241">
        <f t="shared" si="67"/>
        <v>-0.15124712226580758</v>
      </c>
      <c r="J277" s="242">
        <f t="shared" si="68"/>
        <v>-4817.3432766099431</v>
      </c>
      <c r="K277" s="849">
        <f t="shared" si="68"/>
        <v>-26205.350000000006</v>
      </c>
      <c r="L277" s="242">
        <f t="shared" si="68"/>
        <v>0</v>
      </c>
    </row>
    <row r="278" spans="1:12" ht="15.5">
      <c r="A278" s="180" t="s">
        <v>9</v>
      </c>
      <c r="B278" s="250">
        <f t="shared" si="64"/>
        <v>721420.87506849319</v>
      </c>
      <c r="C278" s="241">
        <f t="shared" si="65"/>
        <v>0.11200528211600502</v>
      </c>
      <c r="D278" s="242">
        <v>487131.28506849316</v>
      </c>
      <c r="E278" s="242">
        <v>224245.2</v>
      </c>
      <c r="F278" s="849">
        <v>10044.39</v>
      </c>
      <c r="H278" s="250">
        <f t="shared" si="66"/>
        <v>84636.663641095933</v>
      </c>
      <c r="I278" s="241">
        <f t="shared" si="67"/>
        <v>0.41263508940877236</v>
      </c>
      <c r="J278" s="242">
        <f t="shared" si="68"/>
        <v>-88534.596358904091</v>
      </c>
      <c r="K278" s="849">
        <f t="shared" si="68"/>
        <v>171524.02000000002</v>
      </c>
      <c r="L278" s="242">
        <f t="shared" si="68"/>
        <v>1647.2399999999998</v>
      </c>
    </row>
    <row r="279" spans="1:12" ht="15.5">
      <c r="A279" s="180" t="s">
        <v>148</v>
      </c>
      <c r="B279" s="250">
        <f t="shared" si="64"/>
        <v>380081.41000000003</v>
      </c>
      <c r="C279" s="241">
        <f t="shared" si="65"/>
        <v>5.9010110499030384E-2</v>
      </c>
      <c r="D279" s="242">
        <v>0</v>
      </c>
      <c r="E279" s="242">
        <v>92320.31</v>
      </c>
      <c r="F279" s="849">
        <v>287761.10000000003</v>
      </c>
      <c r="H279" s="250">
        <f t="shared" si="66"/>
        <v>389.03000000004249</v>
      </c>
      <c r="I279" s="241">
        <f t="shared" si="67"/>
        <v>1.8966653684912862E-3</v>
      </c>
      <c r="J279" s="242">
        <f t="shared" si="68"/>
        <v>0</v>
      </c>
      <c r="K279" s="849">
        <f t="shared" si="68"/>
        <v>549.22999999999593</v>
      </c>
      <c r="L279" s="242">
        <f t="shared" si="68"/>
        <v>-160.19999999995343</v>
      </c>
    </row>
    <row r="280" spans="1:12" ht="15.5">
      <c r="A280" s="417" t="s">
        <v>148</v>
      </c>
      <c r="B280" s="250">
        <f>SUM(D280:F280)</f>
        <v>964267.3600000001</v>
      </c>
      <c r="C280" s="241">
        <f t="shared" si="65"/>
        <v>0.14970877808574828</v>
      </c>
      <c r="D280" s="242">
        <v>0</v>
      </c>
      <c r="E280" s="416">
        <f>+E269</f>
        <v>575134.80000000005</v>
      </c>
      <c r="F280" s="416">
        <f>+F269</f>
        <v>389132.56</v>
      </c>
      <c r="H280" s="250">
        <f>SUM(J280:L280)</f>
        <v>0</v>
      </c>
      <c r="I280" s="241">
        <f t="shared" si="67"/>
        <v>0</v>
      </c>
      <c r="J280" s="242">
        <f>+D280-D269</f>
        <v>0</v>
      </c>
      <c r="K280" s="849">
        <f>+E280-E269</f>
        <v>0</v>
      </c>
      <c r="L280" s="242">
        <f>+F280-F269</f>
        <v>0</v>
      </c>
    </row>
    <row r="281" spans="1:12" ht="15.5">
      <c r="A281" s="180" t="s">
        <v>12</v>
      </c>
      <c r="B281" s="250">
        <f t="shared" si="64"/>
        <v>229004.914004914</v>
      </c>
      <c r="C281" s="241">
        <f t="shared" si="65"/>
        <v>3.5554502074308041E-2</v>
      </c>
      <c r="D281" s="242">
        <v>229004.914004914</v>
      </c>
      <c r="E281" s="242">
        <v>0</v>
      </c>
      <c r="F281" s="849">
        <v>0</v>
      </c>
      <c r="H281" s="250">
        <f t="shared" si="66"/>
        <v>-830.50574817243614</v>
      </c>
      <c r="I281" s="241">
        <f t="shared" si="67"/>
        <v>-4.0490231881639789E-3</v>
      </c>
      <c r="J281" s="242">
        <f t="shared" si="68"/>
        <v>-1081.5057481724361</v>
      </c>
      <c r="K281" s="849">
        <f t="shared" si="68"/>
        <v>251</v>
      </c>
      <c r="L281" s="242">
        <f t="shared" si="68"/>
        <v>0</v>
      </c>
    </row>
    <row r="282" spans="1:12" ht="15.5">
      <c r="A282" s="180" t="s">
        <v>160</v>
      </c>
      <c r="B282" s="250">
        <f t="shared" si="64"/>
        <v>2709708.8669409174</v>
      </c>
      <c r="C282" s="241">
        <f t="shared" si="65"/>
        <v>0.420699922309765</v>
      </c>
      <c r="D282" s="242">
        <v>2709708.8669409174</v>
      </c>
      <c r="E282" s="242">
        <v>0</v>
      </c>
      <c r="F282" s="849">
        <v>0</v>
      </c>
      <c r="H282" s="250">
        <f t="shared" si="66"/>
        <v>-218.9514350281097</v>
      </c>
      <c r="I282" s="241">
        <f t="shared" si="67"/>
        <v>-1.0674693576311343E-3</v>
      </c>
      <c r="J282" s="242">
        <f t="shared" si="68"/>
        <v>-218.9514350281097</v>
      </c>
      <c r="K282" s="849">
        <f t="shared" si="68"/>
        <v>0</v>
      </c>
      <c r="L282" s="242">
        <f t="shared" si="68"/>
        <v>0</v>
      </c>
    </row>
    <row r="283" spans="1:12" ht="15.5">
      <c r="A283" s="180"/>
      <c r="B283" s="250"/>
      <c r="C283" s="241"/>
      <c r="D283" s="237"/>
      <c r="E283" s="242"/>
      <c r="F283" s="295"/>
      <c r="H283" s="250"/>
      <c r="I283" s="241"/>
      <c r="J283" s="242"/>
      <c r="K283" s="849"/>
      <c r="L283" s="242"/>
    </row>
    <row r="284" spans="1:12" ht="15.5">
      <c r="A284" s="180"/>
      <c r="B284" s="243">
        <f>SUM(B276:B282)</f>
        <v>6440954.0464467574</v>
      </c>
      <c r="C284" s="240">
        <v>1</v>
      </c>
      <c r="D284" s="243">
        <f>SUM(D276:D283)</f>
        <v>4573103.6764467573</v>
      </c>
      <c r="E284" s="243">
        <f>SUM(E276:E283)</f>
        <v>1180912.32</v>
      </c>
      <c r="F284" s="243">
        <f>SUM(F276:F283)</f>
        <v>686938.05</v>
      </c>
      <c r="G284" s="32">
        <f>+B284-B273</f>
        <v>205112.61842119228</v>
      </c>
      <c r="H284" s="243">
        <f>SUM(H276:H282)</f>
        <v>205112.6184211919</v>
      </c>
      <c r="I284" s="240">
        <f>SUM(I276:I283)</f>
        <v>0.99999999999999978</v>
      </c>
      <c r="J284" s="243">
        <f>SUM(J276:J282)</f>
        <v>24647.898421191829</v>
      </c>
      <c r="K284" s="243">
        <f>SUM(K276:K282)</f>
        <v>178977.68</v>
      </c>
      <c r="L284" s="243">
        <f>SUM(L276:L282)</f>
        <v>1487.0400000000463</v>
      </c>
    </row>
    <row r="285" spans="1:12" ht="14.5" thickBot="1">
      <c r="B285" s="334"/>
      <c r="C285" s="335"/>
      <c r="D285" s="334"/>
      <c r="E285" s="334"/>
      <c r="F285" s="334"/>
      <c r="H285" s="254">
        <f>+A286</f>
        <v>40661</v>
      </c>
      <c r="I285" s="254"/>
      <c r="J285" s="254">
        <f>+A275</f>
        <v>40630</v>
      </c>
    </row>
    <row r="286" spans="1:12" ht="16" thickBot="1">
      <c r="A286" s="253">
        <v>40661</v>
      </c>
      <c r="B286" s="251">
        <v>4.1100000000000003</v>
      </c>
      <c r="C286" s="238" t="s">
        <v>3</v>
      </c>
      <c r="D286" s="238" t="s">
        <v>4</v>
      </c>
      <c r="E286" s="238" t="s">
        <v>5</v>
      </c>
      <c r="F286" s="238" t="s">
        <v>114</v>
      </c>
      <c r="H286" s="251">
        <f>+B286-B275</f>
        <v>4.0000000000000036E-2</v>
      </c>
      <c r="I286" s="238" t="s">
        <v>3</v>
      </c>
      <c r="J286" s="238" t="s">
        <v>4</v>
      </c>
      <c r="K286" s="238" t="s">
        <v>5</v>
      </c>
      <c r="L286" s="238" t="s">
        <v>114</v>
      </c>
    </row>
    <row r="287" spans="1:12" ht="15.5">
      <c r="A287" s="180" t="s">
        <v>7</v>
      </c>
      <c r="B287" s="250">
        <f t="shared" ref="B287:B293" si="69">SUM(D287:F287)</f>
        <v>1159922.7185352796</v>
      </c>
      <c r="C287" s="241">
        <f t="shared" ref="C287:C293" si="70">+B287/$B$295</f>
        <v>0.1826565661967646</v>
      </c>
      <c r="D287" s="242">
        <v>1041276.7285352796</v>
      </c>
      <c r="E287" s="242">
        <v>118645.98999999999</v>
      </c>
      <c r="F287" s="849">
        <v>0</v>
      </c>
      <c r="H287" s="250">
        <f t="shared" ref="H287:H293" si="71">SUM(J287:L287)</f>
        <v>50915.79161636073</v>
      </c>
      <c r="I287" s="241">
        <f t="shared" ref="I287:I294" si="72">+H287/$H$295</f>
        <v>-0.561606206931341</v>
      </c>
      <c r="J287" s="242">
        <f t="shared" ref="J287:L293" si="73">+D287-D276</f>
        <v>19181.631616360741</v>
      </c>
      <c r="K287" s="849">
        <f t="shared" si="73"/>
        <v>31734.159999999989</v>
      </c>
      <c r="L287" s="242">
        <f t="shared" si="73"/>
        <v>0</v>
      </c>
    </row>
    <row r="288" spans="1:12" ht="15.5">
      <c r="A288" s="180" t="s">
        <v>8</v>
      </c>
      <c r="B288" s="250">
        <f t="shared" si="69"/>
        <v>373423.28294403892</v>
      </c>
      <c r="C288" s="241">
        <f t="shared" si="70"/>
        <v>5.8804102644538739E-2</v>
      </c>
      <c r="D288" s="242">
        <v>123025.8929440389</v>
      </c>
      <c r="E288" s="242">
        <v>250397.39</v>
      </c>
      <c r="F288" s="849">
        <v>0</v>
      </c>
      <c r="H288" s="250">
        <f t="shared" si="71"/>
        <v>45959.589430525419</v>
      </c>
      <c r="I288" s="241">
        <f t="shared" si="72"/>
        <v>-0.50693880764303478</v>
      </c>
      <c r="J288" s="242">
        <f t="shared" si="73"/>
        <v>-2137.6205694746022</v>
      </c>
      <c r="K288" s="849">
        <f t="shared" si="73"/>
        <v>48097.210000000021</v>
      </c>
      <c r="L288" s="242">
        <f t="shared" si="73"/>
        <v>0</v>
      </c>
    </row>
    <row r="289" spans="1:12" ht="15.5">
      <c r="A289" s="180" t="s">
        <v>9</v>
      </c>
      <c r="B289" s="250">
        <f t="shared" si="69"/>
        <v>586519.10463287681</v>
      </c>
      <c r="C289" s="241">
        <f t="shared" si="70"/>
        <v>9.23609512505498E-2</v>
      </c>
      <c r="D289" s="242">
        <v>523139.75463287672</v>
      </c>
      <c r="E289" s="242">
        <v>53435.43</v>
      </c>
      <c r="F289" s="849">
        <v>9943.92</v>
      </c>
      <c r="H289" s="250">
        <f t="shared" si="71"/>
        <v>-134901.77043561646</v>
      </c>
      <c r="I289" s="241">
        <f t="shared" si="72"/>
        <v>1.4879798427473461</v>
      </c>
      <c r="J289" s="242">
        <f t="shared" si="73"/>
        <v>36008.469564383558</v>
      </c>
      <c r="K289" s="849">
        <f t="shared" si="73"/>
        <v>-170809.77000000002</v>
      </c>
      <c r="L289" s="242">
        <f t="shared" si="73"/>
        <v>-100.46999999999935</v>
      </c>
    </row>
    <row r="290" spans="1:12" ht="15.5">
      <c r="A290" s="180" t="s">
        <v>148</v>
      </c>
      <c r="B290" s="250">
        <f t="shared" si="69"/>
        <v>386151.26</v>
      </c>
      <c r="C290" s="241">
        <f t="shared" si="70"/>
        <v>6.0808415989318139E-2</v>
      </c>
      <c r="D290" s="242">
        <v>0</v>
      </c>
      <c r="E290" s="242">
        <v>95734.52</v>
      </c>
      <c r="F290" s="849">
        <v>290416.74</v>
      </c>
      <c r="H290" s="250">
        <f t="shared" si="71"/>
        <v>6069.8499999999622</v>
      </c>
      <c r="I290" s="241">
        <f t="shared" si="72"/>
        <v>-6.6951044595893336E-2</v>
      </c>
      <c r="J290" s="242">
        <f t="shared" si="73"/>
        <v>0</v>
      </c>
      <c r="K290" s="849">
        <f t="shared" si="73"/>
        <v>3414.2100000000064</v>
      </c>
      <c r="L290" s="242">
        <f t="shared" si="73"/>
        <v>2655.6399999999558</v>
      </c>
    </row>
    <row r="291" spans="1:12" ht="15.5">
      <c r="A291" s="180" t="s">
        <v>11</v>
      </c>
      <c r="B291" s="250">
        <f t="shared" si="69"/>
        <v>908228.86</v>
      </c>
      <c r="C291" s="241">
        <f t="shared" si="70"/>
        <v>0.14302156707292418</v>
      </c>
      <c r="D291" s="242">
        <v>0</v>
      </c>
      <c r="E291" s="242">
        <v>500768.2</v>
      </c>
      <c r="F291" s="849">
        <v>407460.66</v>
      </c>
      <c r="H291" s="250">
        <f t="shared" si="71"/>
        <v>-56038.500000000058</v>
      </c>
      <c r="I291" s="241">
        <f t="shared" si="72"/>
        <v>0.61811018601563394</v>
      </c>
      <c r="J291" s="242">
        <f t="shared" si="73"/>
        <v>0</v>
      </c>
      <c r="K291" s="849">
        <f t="shared" si="73"/>
        <v>-74366.600000000035</v>
      </c>
      <c r="L291" s="242">
        <f t="shared" si="73"/>
        <v>18328.099999999977</v>
      </c>
    </row>
    <row r="292" spans="1:12" ht="15.5">
      <c r="A292" s="180" t="s">
        <v>12</v>
      </c>
      <c r="B292" s="250">
        <f t="shared" si="69"/>
        <v>226873.47931873478</v>
      </c>
      <c r="C292" s="241">
        <f t="shared" si="70"/>
        <v>3.5726458350433941E-2</v>
      </c>
      <c r="D292" s="242">
        <v>226873.47931873478</v>
      </c>
      <c r="E292" s="242">
        <v>0</v>
      </c>
      <c r="F292" s="849">
        <v>0</v>
      </c>
      <c r="H292" s="250">
        <f t="shared" si="71"/>
        <v>-2131.4346861792146</v>
      </c>
      <c r="I292" s="241">
        <f t="shared" si="72"/>
        <v>2.3509934961756782E-2</v>
      </c>
      <c r="J292" s="242">
        <f t="shared" si="73"/>
        <v>-2131.4346861792146</v>
      </c>
      <c r="K292" s="849">
        <f t="shared" si="73"/>
        <v>0</v>
      </c>
      <c r="L292" s="242">
        <f t="shared" si="73"/>
        <v>0</v>
      </c>
    </row>
    <row r="293" spans="1:12" ht="15.5">
      <c r="A293" s="180" t="s">
        <v>160</v>
      </c>
      <c r="B293" s="250">
        <f t="shared" si="69"/>
        <v>2709174.3209132031</v>
      </c>
      <c r="C293" s="241">
        <f t="shared" si="70"/>
        <v>0.4266219384954707</v>
      </c>
      <c r="D293" s="242">
        <v>2709174.3209132031</v>
      </c>
      <c r="E293" s="242">
        <v>0</v>
      </c>
      <c r="F293" s="849">
        <v>0</v>
      </c>
      <c r="H293" s="250">
        <f t="shared" si="71"/>
        <v>-534.54602771438658</v>
      </c>
      <c r="I293" s="241">
        <f t="shared" si="72"/>
        <v>5.896095445532221E-3</v>
      </c>
      <c r="J293" s="242">
        <f t="shared" si="73"/>
        <v>-534.54602771438658</v>
      </c>
      <c r="K293" s="849">
        <f t="shared" si="73"/>
        <v>0</v>
      </c>
      <c r="L293" s="242">
        <f t="shared" si="73"/>
        <v>0</v>
      </c>
    </row>
    <row r="294" spans="1:12" ht="15.5">
      <c r="A294" s="180"/>
      <c r="B294" s="250"/>
      <c r="C294" s="241"/>
      <c r="D294" s="237"/>
      <c r="E294" s="242"/>
      <c r="F294" s="295"/>
      <c r="H294" s="250"/>
      <c r="I294" s="241">
        <f t="shared" si="72"/>
        <v>0</v>
      </c>
      <c r="J294" s="242"/>
      <c r="K294" s="242"/>
      <c r="L294" s="242"/>
    </row>
    <row r="295" spans="1:12" ht="15.5">
      <c r="A295" s="180"/>
      <c r="B295" s="243">
        <f>SUM(B287:B294)</f>
        <v>6350293.0263441326</v>
      </c>
      <c r="C295" s="240">
        <f>SUM(C287:C294)</f>
        <v>1</v>
      </c>
      <c r="D295" s="243">
        <f>SUM(D287:D294)</f>
        <v>4623490.176344133</v>
      </c>
      <c r="E295" s="243">
        <f>SUM(E287:E294)</f>
        <v>1018981.53</v>
      </c>
      <c r="F295" s="243">
        <f>SUM(F287:F294)</f>
        <v>707821.32</v>
      </c>
      <c r="G295" s="32">
        <f>+B295-B284</f>
        <v>-90661.020102624781</v>
      </c>
      <c r="H295" s="243">
        <f>SUM(H287:H294)</f>
        <v>-90661.02010262401</v>
      </c>
      <c r="I295" s="240">
        <f>SUM(I287:I294)</f>
        <v>0.99999999999999989</v>
      </c>
      <c r="J295" s="243">
        <f>SUM(J287:J294)</f>
        <v>50386.499897376096</v>
      </c>
      <c r="K295" s="243">
        <f>SUM(K287:K294)</f>
        <v>-161930.79000000004</v>
      </c>
      <c r="L295" s="243">
        <f>SUM(L287:L294)</f>
        <v>20883.269999999931</v>
      </c>
    </row>
    <row r="296" spans="1:12" ht="16" thickBot="1">
      <c r="A296" s="180"/>
      <c r="B296" s="334"/>
      <c r="C296" s="335"/>
      <c r="D296" s="334"/>
      <c r="E296" s="334"/>
      <c r="F296" s="334"/>
      <c r="H296" s="254">
        <f>+A297</f>
        <v>40691</v>
      </c>
      <c r="I296" s="254"/>
      <c r="J296" s="254">
        <f>+A286</f>
        <v>40661</v>
      </c>
    </row>
    <row r="297" spans="1:12" ht="16" thickBot="1">
      <c r="A297" s="253">
        <v>40691</v>
      </c>
      <c r="B297" s="251">
        <v>4.1100000000000003</v>
      </c>
      <c r="C297" s="238" t="s">
        <v>3</v>
      </c>
      <c r="D297" s="238" t="s">
        <v>4</v>
      </c>
      <c r="E297" s="238" t="s">
        <v>5</v>
      </c>
      <c r="F297" s="238" t="s">
        <v>114</v>
      </c>
      <c r="H297" s="251">
        <f>+B297-B286</f>
        <v>0</v>
      </c>
      <c r="I297" s="238" t="s">
        <v>3</v>
      </c>
      <c r="J297" s="238" t="s">
        <v>4</v>
      </c>
      <c r="K297" s="238" t="s">
        <v>5</v>
      </c>
      <c r="L297" s="238" t="s">
        <v>114</v>
      </c>
    </row>
    <row r="298" spans="1:12" ht="15.5">
      <c r="A298" s="180" t="s">
        <v>7</v>
      </c>
      <c r="B298" s="250">
        <f t="shared" ref="B298:B305" si="74">SUM(D298:F298)</f>
        <v>1036913.045304136</v>
      </c>
      <c r="C298" s="241">
        <f t="shared" ref="C298:C304" si="75">+B298/$B$306</f>
        <v>0.16397977411041229</v>
      </c>
      <c r="D298" s="242">
        <v>917037.42530413601</v>
      </c>
      <c r="E298" s="242">
        <v>119875.62</v>
      </c>
      <c r="F298" s="849">
        <v>0</v>
      </c>
      <c r="H298" s="250">
        <f t="shared" ref="H298:H304" si="76">SUM(J298:L298)</f>
        <v>-123009.67323114362</v>
      </c>
      <c r="I298" s="241">
        <f t="shared" ref="I298:I304" si="77">+H298/$H$306</f>
        <v>4.5775047867502119</v>
      </c>
      <c r="J298" s="242">
        <f t="shared" ref="J298:L304" si="78">+D298-D287</f>
        <v>-124239.30323114363</v>
      </c>
      <c r="K298" s="849">
        <f t="shared" si="78"/>
        <v>1229.6300000000047</v>
      </c>
      <c r="L298" s="242">
        <f t="shared" si="78"/>
        <v>0</v>
      </c>
    </row>
    <row r="299" spans="1:12" ht="15.5">
      <c r="A299" s="180" t="s">
        <v>8</v>
      </c>
      <c r="B299" s="242">
        <f t="shared" si="74"/>
        <v>351971.95116788324</v>
      </c>
      <c r="C299" s="241">
        <f t="shared" si="75"/>
        <v>5.5661640392210367E-2</v>
      </c>
      <c r="D299" s="242">
        <v>115511.32116788322</v>
      </c>
      <c r="E299" s="242">
        <v>236460.63</v>
      </c>
      <c r="F299" s="849">
        <v>0</v>
      </c>
      <c r="H299" s="250">
        <f t="shared" si="76"/>
        <v>-21451.331776155697</v>
      </c>
      <c r="I299" s="241">
        <f t="shared" si="77"/>
        <v>0.79825896052099221</v>
      </c>
      <c r="J299" s="242">
        <f t="shared" si="78"/>
        <v>-7514.571776155688</v>
      </c>
      <c r="K299" s="849">
        <f t="shared" si="78"/>
        <v>-13936.760000000009</v>
      </c>
      <c r="L299" s="242">
        <f t="shared" si="78"/>
        <v>0</v>
      </c>
    </row>
    <row r="300" spans="1:12" ht="15.5">
      <c r="A300" s="180" t="s">
        <v>9</v>
      </c>
      <c r="B300" s="242">
        <f t="shared" si="74"/>
        <v>725713.59299197746</v>
      </c>
      <c r="C300" s="241">
        <f t="shared" si="75"/>
        <v>0.11476598890003903</v>
      </c>
      <c r="D300" s="242">
        <v>660913.76299197739</v>
      </c>
      <c r="E300" s="242">
        <v>54806.91</v>
      </c>
      <c r="F300" s="849">
        <v>9992.92</v>
      </c>
      <c r="H300" s="250">
        <f t="shared" si="76"/>
        <v>139194.48835910068</v>
      </c>
      <c r="I300" s="241">
        <f t="shared" si="77"/>
        <v>-5.179783183032737</v>
      </c>
      <c r="J300" s="242">
        <f t="shared" si="78"/>
        <v>137774.00835910067</v>
      </c>
      <c r="K300" s="849">
        <f t="shared" si="78"/>
        <v>1371.4800000000032</v>
      </c>
      <c r="L300" s="242">
        <f t="shared" si="78"/>
        <v>49</v>
      </c>
    </row>
    <row r="301" spans="1:12" ht="15.5">
      <c r="A301" s="180" t="s">
        <v>148</v>
      </c>
      <c r="B301" s="242">
        <f t="shared" si="74"/>
        <v>390013.44999999995</v>
      </c>
      <c r="C301" s="241">
        <f t="shared" si="75"/>
        <v>6.1677609053769969E-2</v>
      </c>
      <c r="D301" s="242">
        <v>0</v>
      </c>
      <c r="E301" s="242">
        <v>94950.09</v>
      </c>
      <c r="F301" s="849">
        <v>295063.36</v>
      </c>
      <c r="H301" s="250">
        <f t="shared" si="76"/>
        <v>3862.1899999999878</v>
      </c>
      <c r="I301" s="241">
        <f t="shared" si="77"/>
        <v>-0.14372197525570471</v>
      </c>
      <c r="J301" s="242">
        <f t="shared" si="78"/>
        <v>0</v>
      </c>
      <c r="K301" s="849">
        <f t="shared" si="78"/>
        <v>-784.43000000000757</v>
      </c>
      <c r="L301" s="242">
        <f t="shared" si="78"/>
        <v>4646.6199999999953</v>
      </c>
    </row>
    <row r="302" spans="1:12" ht="15.5">
      <c r="A302" s="180" t="s">
        <v>11</v>
      </c>
      <c r="B302" s="242">
        <f t="shared" si="74"/>
        <v>882517.23</v>
      </c>
      <c r="C302" s="241">
        <f t="shared" si="75"/>
        <v>0.13956327069016722</v>
      </c>
      <c r="D302" s="242">
        <v>0</v>
      </c>
      <c r="E302" s="242">
        <v>489393.5</v>
      </c>
      <c r="F302" s="849">
        <v>393123.73</v>
      </c>
      <c r="H302" s="250">
        <f t="shared" si="76"/>
        <v>-25711.630000000005</v>
      </c>
      <c r="I302" s="241">
        <f t="shared" si="77"/>
        <v>0.95679556175223046</v>
      </c>
      <c r="J302" s="242">
        <f t="shared" si="78"/>
        <v>0</v>
      </c>
      <c r="K302" s="849">
        <f t="shared" si="78"/>
        <v>-11374.700000000012</v>
      </c>
      <c r="L302" s="242">
        <f t="shared" si="78"/>
        <v>-14336.929999999993</v>
      </c>
    </row>
    <row r="303" spans="1:12" ht="15.5">
      <c r="A303" s="180" t="s">
        <v>12</v>
      </c>
      <c r="B303" s="242">
        <f t="shared" si="74"/>
        <v>227116.78832116787</v>
      </c>
      <c r="C303" s="241">
        <f t="shared" si="75"/>
        <v>3.5916762561959907E-2</v>
      </c>
      <c r="D303" s="242">
        <v>227116.78832116787</v>
      </c>
      <c r="E303" s="242">
        <v>0</v>
      </c>
      <c r="F303" s="849">
        <v>0</v>
      </c>
      <c r="H303" s="250">
        <f t="shared" si="76"/>
        <v>243.30900243308861</v>
      </c>
      <c r="I303" s="241">
        <f t="shared" si="77"/>
        <v>-9.0541507349919774E-3</v>
      </c>
      <c r="J303" s="242">
        <f t="shared" si="78"/>
        <v>243.30900243308861</v>
      </c>
      <c r="K303" s="849">
        <f t="shared" si="78"/>
        <v>0</v>
      </c>
      <c r="L303" s="242">
        <f t="shared" si="78"/>
        <v>0</v>
      </c>
    </row>
    <row r="304" spans="1:12" ht="15.5">
      <c r="A304" s="180" t="s">
        <v>160</v>
      </c>
      <c r="B304" s="242">
        <f t="shared" si="74"/>
        <v>2709174.3209132031</v>
      </c>
      <c r="C304" s="241">
        <f t="shared" si="75"/>
        <v>0.42843495429144124</v>
      </c>
      <c r="D304" s="242">
        <v>2709174.3209132031</v>
      </c>
      <c r="E304" s="242">
        <v>0</v>
      </c>
      <c r="F304" s="849">
        <v>0</v>
      </c>
      <c r="H304" s="250">
        <f t="shared" si="76"/>
        <v>0</v>
      </c>
      <c r="I304" s="241">
        <f t="shared" si="77"/>
        <v>0</v>
      </c>
      <c r="J304" s="242">
        <f t="shared" si="78"/>
        <v>0</v>
      </c>
      <c r="K304" s="849">
        <f t="shared" si="78"/>
        <v>0</v>
      </c>
      <c r="L304" s="242">
        <f t="shared" si="78"/>
        <v>0</v>
      </c>
    </row>
    <row r="305" spans="1:12" ht="15.5">
      <c r="A305" s="180"/>
      <c r="B305" s="242">
        <f t="shared" si="74"/>
        <v>0</v>
      </c>
      <c r="C305" s="241">
        <f>+B305/$B$12</f>
        <v>0</v>
      </c>
      <c r="D305" s="237"/>
      <c r="E305" s="242"/>
      <c r="F305" s="295"/>
      <c r="H305" s="250"/>
      <c r="I305" s="241">
        <f>+H305/$H$295</f>
        <v>0</v>
      </c>
      <c r="J305" s="242"/>
      <c r="K305" s="242"/>
      <c r="L305" s="242"/>
    </row>
    <row r="306" spans="1:12" ht="15.5">
      <c r="A306" s="180"/>
      <c r="B306" s="243">
        <f>SUM(B298:B305)</f>
        <v>6323420.3786983676</v>
      </c>
      <c r="C306" s="240">
        <f>SUM(C298:C305)</f>
        <v>1</v>
      </c>
      <c r="D306" s="243">
        <f>SUM(D298:D305)</f>
        <v>4629753.6186983678</v>
      </c>
      <c r="E306" s="243">
        <f>SUM(E298:E305)</f>
        <v>995486.75</v>
      </c>
      <c r="F306" s="243">
        <f>SUM(F298:F305)</f>
        <v>698180.01</v>
      </c>
      <c r="G306" s="32">
        <f>+B306-B295</f>
        <v>-26872.647645764984</v>
      </c>
      <c r="H306" s="243">
        <f>SUM(H298:H305)</f>
        <v>-26872.647645765552</v>
      </c>
      <c r="I306" s="240">
        <f>SUM(I298:I305)</f>
        <v>1.0000000000000009</v>
      </c>
      <c r="J306" s="243">
        <f>SUM(J298:J305)</f>
        <v>6263.4423542344593</v>
      </c>
      <c r="K306" s="243">
        <f>SUM(K298:K305)</f>
        <v>-23494.780000000021</v>
      </c>
      <c r="L306" s="243">
        <f>SUM(L298:L305)</f>
        <v>-9641.3099999999977</v>
      </c>
    </row>
    <row r="307" spans="1:12" ht="14.5" thickBot="1">
      <c r="B307" s="334"/>
      <c r="C307" s="335"/>
      <c r="D307" s="334"/>
      <c r="E307" s="334"/>
      <c r="F307" s="334"/>
      <c r="H307" s="254">
        <f>+A308</f>
        <v>40722</v>
      </c>
      <c r="I307" s="254"/>
      <c r="J307" s="254">
        <f>+A297</f>
        <v>40691</v>
      </c>
    </row>
    <row r="308" spans="1:12" ht="16" thickBot="1">
      <c r="A308" s="253">
        <v>40722</v>
      </c>
      <c r="B308" s="251">
        <v>4.13</v>
      </c>
      <c r="C308" s="238" t="s">
        <v>3</v>
      </c>
      <c r="D308" s="238" t="s">
        <v>4</v>
      </c>
      <c r="E308" s="238" t="s">
        <v>5</v>
      </c>
      <c r="F308" s="238" t="s">
        <v>114</v>
      </c>
      <c r="H308" s="251">
        <f>+B308-B297</f>
        <v>1.9999999999999574E-2</v>
      </c>
      <c r="I308" s="238" t="s">
        <v>3</v>
      </c>
      <c r="J308" s="238" t="s">
        <v>4</v>
      </c>
      <c r="K308" s="238" t="s">
        <v>5</v>
      </c>
      <c r="L308" s="238" t="s">
        <v>114</v>
      </c>
    </row>
    <row r="309" spans="1:12" ht="15.5">
      <c r="A309" s="180" t="s">
        <v>7</v>
      </c>
      <c r="B309" s="250">
        <f t="shared" ref="B309:B315" si="79">SUM(D309:F309)</f>
        <v>1030539.1239104116</v>
      </c>
      <c r="C309" s="241">
        <f t="shared" ref="C309:C315" si="80">+B309/$B$317</f>
        <v>0.16333604325483245</v>
      </c>
      <c r="D309" s="242">
        <v>909634.27391041163</v>
      </c>
      <c r="E309" s="242">
        <v>120904.85</v>
      </c>
      <c r="F309" s="849">
        <v>0</v>
      </c>
      <c r="H309" s="250">
        <f t="shared" ref="H309:H315" si="81">SUM(J309:L309)</f>
        <v>-6373.9213937243621</v>
      </c>
      <c r="I309" s="241">
        <f t="shared" ref="I309:I315" si="82">+H309/$H$317</f>
        <v>0.45199181922229431</v>
      </c>
      <c r="J309" s="242">
        <f t="shared" ref="J309:L315" si="83">+D309-D298</f>
        <v>-7403.1513937243726</v>
      </c>
      <c r="K309" s="849">
        <f t="shared" si="83"/>
        <v>1029.2300000000105</v>
      </c>
      <c r="L309" s="242">
        <f t="shared" si="83"/>
        <v>0</v>
      </c>
    </row>
    <row r="310" spans="1:12" ht="15.5">
      <c r="A310" s="180" t="s">
        <v>8</v>
      </c>
      <c r="B310" s="250">
        <f t="shared" si="79"/>
        <v>357928.20556900726</v>
      </c>
      <c r="C310" s="241">
        <f t="shared" si="80"/>
        <v>5.6730089630276169E-2</v>
      </c>
      <c r="D310" s="242">
        <v>121367.90556900727</v>
      </c>
      <c r="E310" s="242">
        <v>236560.3</v>
      </c>
      <c r="F310" s="849">
        <v>0</v>
      </c>
      <c r="H310" s="250">
        <f t="shared" si="81"/>
        <v>5956.2544011240388</v>
      </c>
      <c r="I310" s="241">
        <f t="shared" si="82"/>
        <v>-0.4223739353242601</v>
      </c>
      <c r="J310" s="242">
        <f t="shared" si="83"/>
        <v>5856.5844011240551</v>
      </c>
      <c r="K310" s="849">
        <f t="shared" si="83"/>
        <v>99.669999999983702</v>
      </c>
      <c r="L310" s="242">
        <f t="shared" si="83"/>
        <v>0</v>
      </c>
    </row>
    <row r="311" spans="1:12" ht="15.5">
      <c r="A311" s="180" t="s">
        <v>9</v>
      </c>
      <c r="B311" s="250">
        <f t="shared" si="79"/>
        <v>741692.29874958913</v>
      </c>
      <c r="C311" s="241">
        <f t="shared" si="80"/>
        <v>0.11755505694014831</v>
      </c>
      <c r="D311" s="242">
        <v>667923.1387495891</v>
      </c>
      <c r="E311" s="242">
        <v>62456.36</v>
      </c>
      <c r="F311" s="849">
        <v>11312.8</v>
      </c>
      <c r="H311" s="250">
        <f t="shared" si="81"/>
        <v>15978.705757611702</v>
      </c>
      <c r="I311" s="241">
        <f t="shared" si="82"/>
        <v>-1.13309277571442</v>
      </c>
      <c r="J311" s="242">
        <f t="shared" si="83"/>
        <v>7009.3757576117059</v>
      </c>
      <c r="K311" s="849">
        <f t="shared" si="83"/>
        <v>7649.4499999999971</v>
      </c>
      <c r="L311" s="242">
        <f t="shared" si="83"/>
        <v>1319.8799999999992</v>
      </c>
    </row>
    <row r="312" spans="1:12" ht="15.5">
      <c r="A312" s="180" t="s">
        <v>148</v>
      </c>
      <c r="B312" s="250">
        <f t="shared" si="79"/>
        <v>386532.08</v>
      </c>
      <c r="C312" s="241">
        <f t="shared" si="80"/>
        <v>6.1263681381347412E-2</v>
      </c>
      <c r="D312" s="242">
        <v>0</v>
      </c>
      <c r="E312" s="242">
        <v>94249.49</v>
      </c>
      <c r="F312" s="849">
        <v>292282.59000000003</v>
      </c>
      <c r="H312" s="250">
        <f t="shared" si="81"/>
        <v>-3481.3699999999517</v>
      </c>
      <c r="I312" s="241">
        <f t="shared" si="82"/>
        <v>0.24687326097795684</v>
      </c>
      <c r="J312" s="242">
        <f t="shared" si="83"/>
        <v>0</v>
      </c>
      <c r="K312" s="849">
        <f t="shared" si="83"/>
        <v>-700.59999999999127</v>
      </c>
      <c r="L312" s="242">
        <f t="shared" si="83"/>
        <v>-2780.7699999999604</v>
      </c>
    </row>
    <row r="313" spans="1:12" ht="15.5">
      <c r="A313" s="180" t="s">
        <v>11</v>
      </c>
      <c r="B313" s="250">
        <f t="shared" si="79"/>
        <v>856761.09000000008</v>
      </c>
      <c r="C313" s="241">
        <f t="shared" si="80"/>
        <v>0.135792968174067</v>
      </c>
      <c r="D313" s="242">
        <v>0</v>
      </c>
      <c r="E313" s="242">
        <v>474450.69</v>
      </c>
      <c r="F313" s="849">
        <v>382310.40000000002</v>
      </c>
      <c r="H313" s="250">
        <f t="shared" si="81"/>
        <v>-25756.139999999956</v>
      </c>
      <c r="I313" s="241">
        <f t="shared" si="82"/>
        <v>1.8264367970094735</v>
      </c>
      <c r="J313" s="242">
        <f t="shared" si="83"/>
        <v>0</v>
      </c>
      <c r="K313" s="849">
        <f t="shared" si="83"/>
        <v>-14942.809999999998</v>
      </c>
      <c r="L313" s="242">
        <f t="shared" si="83"/>
        <v>-10813.329999999958</v>
      </c>
    </row>
    <row r="314" spans="1:12" ht="15.5">
      <c r="A314" s="180" t="s">
        <v>12</v>
      </c>
      <c r="B314" s="250">
        <f t="shared" si="79"/>
        <v>226065.37530266345</v>
      </c>
      <c r="C314" s="241">
        <f t="shared" si="80"/>
        <v>3.5830395044822924E-2</v>
      </c>
      <c r="D314" s="242">
        <v>226065.37530266345</v>
      </c>
      <c r="E314" s="242">
        <v>0</v>
      </c>
      <c r="F314" s="849">
        <v>0</v>
      </c>
      <c r="H314" s="250">
        <f t="shared" si="81"/>
        <v>-1051.4130185044196</v>
      </c>
      <c r="I314" s="241">
        <f t="shared" si="82"/>
        <v>7.4558510159180594E-2</v>
      </c>
      <c r="J314" s="242">
        <f t="shared" si="83"/>
        <v>-1051.4130185044196</v>
      </c>
      <c r="K314" s="849">
        <f t="shared" si="83"/>
        <v>0</v>
      </c>
      <c r="L314" s="242">
        <f t="shared" si="83"/>
        <v>0</v>
      </c>
    </row>
    <row r="315" spans="1:12" ht="15.5">
      <c r="A315" s="180" t="s">
        <v>160</v>
      </c>
      <c r="B315" s="250">
        <f t="shared" si="79"/>
        <v>2709800.3539325488</v>
      </c>
      <c r="C315" s="241">
        <f t="shared" si="80"/>
        <v>0.42949176557450575</v>
      </c>
      <c r="D315" s="242">
        <v>2709800.3539325488</v>
      </c>
      <c r="E315" s="242">
        <v>0</v>
      </c>
      <c r="F315" s="849">
        <v>0</v>
      </c>
      <c r="H315" s="250">
        <f t="shared" si="81"/>
        <v>626.03301934571937</v>
      </c>
      <c r="I315" s="241">
        <f t="shared" si="82"/>
        <v>-4.4393676330225236E-2</v>
      </c>
      <c r="J315" s="242">
        <f t="shared" si="83"/>
        <v>626.03301934571937</v>
      </c>
      <c r="K315" s="849">
        <f t="shared" si="83"/>
        <v>0</v>
      </c>
      <c r="L315" s="242">
        <f t="shared" si="83"/>
        <v>0</v>
      </c>
    </row>
    <row r="316" spans="1:12" ht="15.5">
      <c r="A316" s="180"/>
      <c r="B316" s="242">
        <v>0</v>
      </c>
      <c r="C316" s="241">
        <v>0</v>
      </c>
      <c r="D316" s="237"/>
      <c r="E316" s="242"/>
      <c r="F316" s="295"/>
      <c r="H316" s="250"/>
      <c r="I316" s="241">
        <f>+H316/$H$295</f>
        <v>0</v>
      </c>
      <c r="J316" s="242"/>
      <c r="K316" s="242"/>
      <c r="L316" s="242"/>
    </row>
    <row r="317" spans="1:12" ht="15.5">
      <c r="A317" s="180"/>
      <c r="B317" s="243">
        <f>SUM(B309:B315)</f>
        <v>6309318.5274642203</v>
      </c>
      <c r="C317" s="240">
        <f>SUM(C309:C316)</f>
        <v>0.99999999999999989</v>
      </c>
      <c r="D317" s="243">
        <f>SUM(D309:D315)</f>
        <v>4634791.0474642199</v>
      </c>
      <c r="E317" s="243">
        <f>SUM(E309:E315)</f>
        <v>988621.69</v>
      </c>
      <c r="F317" s="243">
        <f>SUM(F309:F315)</f>
        <v>685905.79</v>
      </c>
      <c r="G317" s="32">
        <f>+B317-B306</f>
        <v>-14101.851234147325</v>
      </c>
      <c r="H317" s="243">
        <f>SUM(H309:H316)</f>
        <v>-14101.851234147229</v>
      </c>
      <c r="I317" s="240">
        <f>SUM(I309:I316)</f>
        <v>0.99999999999999978</v>
      </c>
      <c r="J317" s="243">
        <f>SUM(J309:J316)</f>
        <v>5037.4287658526882</v>
      </c>
      <c r="K317" s="243">
        <f>SUM(K309:K316)</f>
        <v>-6865.0599999999977</v>
      </c>
      <c r="L317" s="243">
        <f>SUM(L309:L316)</f>
        <v>-12274.219999999919</v>
      </c>
    </row>
    <row r="318" spans="1:12" ht="14.5" thickBot="1">
      <c r="H318" s="254">
        <f>+A319</f>
        <v>40752</v>
      </c>
      <c r="I318" s="254"/>
      <c r="J318" s="254">
        <f>+A308</f>
        <v>40722</v>
      </c>
    </row>
    <row r="319" spans="1:12" ht="16" thickBot="1">
      <c r="A319" s="253">
        <v>40752</v>
      </c>
      <c r="B319" s="251">
        <v>4.17</v>
      </c>
      <c r="C319" s="238" t="s">
        <v>3</v>
      </c>
      <c r="D319" s="238" t="s">
        <v>4</v>
      </c>
      <c r="E319" s="238" t="s">
        <v>5</v>
      </c>
      <c r="F319" s="238" t="s">
        <v>114</v>
      </c>
      <c r="H319" s="251">
        <f>+B319-B308</f>
        <v>4.0000000000000036E-2</v>
      </c>
      <c r="I319" s="238" t="s">
        <v>3</v>
      </c>
      <c r="J319" s="238" t="s">
        <v>4</v>
      </c>
      <c r="K319" s="238" t="s">
        <v>5</v>
      </c>
      <c r="L319" s="238" t="s">
        <v>114</v>
      </c>
    </row>
    <row r="320" spans="1:12" ht="15.5">
      <c r="A320" s="180" t="s">
        <v>7</v>
      </c>
      <c r="B320" s="250">
        <f>SUM(D320:F320)</f>
        <v>1051063.2467577937</v>
      </c>
      <c r="C320" s="241">
        <v>0.16480194278078864</v>
      </c>
      <c r="D320" s="242">
        <v>926105.23675779381</v>
      </c>
      <c r="E320" s="242">
        <v>124958.01</v>
      </c>
      <c r="F320" s="849">
        <v>0</v>
      </c>
      <c r="H320" s="250">
        <f t="shared" ref="H320:H326" si="84">SUM(J320:L320)</f>
        <v>20524.122847382168</v>
      </c>
      <c r="I320" s="241">
        <f t="shared" ref="I320:I326" si="85">+H320/$H$328</f>
        <v>0.55931168253375052</v>
      </c>
      <c r="J320" s="242">
        <f t="shared" ref="J320:L326" si="86">+D320-D309</f>
        <v>16470.962847382179</v>
      </c>
      <c r="K320" s="849">
        <f t="shared" si="86"/>
        <v>4053.1599999999889</v>
      </c>
      <c r="L320" s="242">
        <f t="shared" si="86"/>
        <v>0</v>
      </c>
    </row>
    <row r="321" spans="1:12" ht="15.5">
      <c r="A321" s="180" t="s">
        <v>8</v>
      </c>
      <c r="B321" s="250">
        <f t="shared" ref="B321:B327" si="87">SUM(D321:F321)</f>
        <v>351507.44417266187</v>
      </c>
      <c r="C321" s="241">
        <v>5.6017967763514941E-2</v>
      </c>
      <c r="D321" s="242">
        <v>119329.78417266188</v>
      </c>
      <c r="E321" s="242">
        <v>232177.66</v>
      </c>
      <c r="F321" s="849">
        <v>0</v>
      </c>
      <c r="H321" s="250">
        <f t="shared" si="84"/>
        <v>-6420.7613963453769</v>
      </c>
      <c r="I321" s="241">
        <f t="shared" si="85"/>
        <v>-0.17497492518642477</v>
      </c>
      <c r="J321" s="242">
        <f t="shared" si="86"/>
        <v>-2038.121396345392</v>
      </c>
      <c r="K321" s="849">
        <f t="shared" si="86"/>
        <v>-4382.6399999999849</v>
      </c>
      <c r="L321" s="242">
        <f t="shared" si="86"/>
        <v>0</v>
      </c>
    </row>
    <row r="322" spans="1:12" ht="15.5">
      <c r="A322" s="180" t="s">
        <v>9</v>
      </c>
      <c r="B322" s="250">
        <f t="shared" si="87"/>
        <v>764356.49667734816</v>
      </c>
      <c r="C322" s="241">
        <v>0.120243397472763</v>
      </c>
      <c r="D322" s="242">
        <v>691013.61667734815</v>
      </c>
      <c r="E322" s="242">
        <v>62889.52</v>
      </c>
      <c r="F322" s="849">
        <v>10453.359999999999</v>
      </c>
      <c r="H322" s="250">
        <f t="shared" si="84"/>
        <v>22664.197927759051</v>
      </c>
      <c r="I322" s="241">
        <f t="shared" si="85"/>
        <v>0.61763178726391776</v>
      </c>
      <c r="J322" s="242">
        <f t="shared" si="86"/>
        <v>23090.477927759057</v>
      </c>
      <c r="K322" s="849">
        <f t="shared" si="86"/>
        <v>433.15999999999622</v>
      </c>
      <c r="L322" s="242">
        <f t="shared" si="86"/>
        <v>-859.44000000000051</v>
      </c>
    </row>
    <row r="323" spans="1:12" ht="15.5">
      <c r="A323" s="180" t="s">
        <v>148</v>
      </c>
      <c r="B323" s="250">
        <f t="shared" si="87"/>
        <v>388341.42</v>
      </c>
      <c r="C323" s="241">
        <v>6.1246802197722605E-2</v>
      </c>
      <c r="D323" s="242">
        <v>0</v>
      </c>
      <c r="E323" s="242">
        <v>93481.3</v>
      </c>
      <c r="F323" s="849">
        <v>294860.12</v>
      </c>
      <c r="H323" s="250">
        <f t="shared" si="84"/>
        <v>1809.3399999999674</v>
      </c>
      <c r="I323" s="241">
        <f t="shared" si="85"/>
        <v>4.9307101073246387E-2</v>
      </c>
      <c r="J323" s="242">
        <f t="shared" si="86"/>
        <v>0</v>
      </c>
      <c r="K323" s="849">
        <f t="shared" si="86"/>
        <v>-768.19000000000233</v>
      </c>
      <c r="L323" s="242">
        <f t="shared" si="86"/>
        <v>2577.5299999999697</v>
      </c>
    </row>
    <row r="324" spans="1:12" ht="15.5">
      <c r="A324" s="180" t="s">
        <v>11</v>
      </c>
      <c r="B324" s="250">
        <f t="shared" si="87"/>
        <v>858178.37</v>
      </c>
      <c r="C324" s="241">
        <v>0.13609670735690779</v>
      </c>
      <c r="D324" s="242">
        <v>0</v>
      </c>
      <c r="E324" s="242">
        <v>467987.4</v>
      </c>
      <c r="F324" s="849">
        <v>390190.97</v>
      </c>
      <c r="H324" s="250">
        <f t="shared" si="84"/>
        <v>1417.2799999999697</v>
      </c>
      <c r="I324" s="241">
        <f t="shared" si="85"/>
        <v>3.8622905705445305E-2</v>
      </c>
      <c r="J324" s="242">
        <f t="shared" si="86"/>
        <v>0</v>
      </c>
      <c r="K324" s="849">
        <f t="shared" si="86"/>
        <v>-6463.289999999979</v>
      </c>
      <c r="L324" s="242">
        <f t="shared" si="86"/>
        <v>7880.5699999999488</v>
      </c>
    </row>
    <row r="325" spans="1:12" ht="15.5">
      <c r="A325" s="180" t="s">
        <v>12</v>
      </c>
      <c r="B325" s="250">
        <f t="shared" si="87"/>
        <v>223992.80575539568</v>
      </c>
      <c r="C325" s="241">
        <v>3.5257014258305318E-2</v>
      </c>
      <c r="D325" s="242">
        <v>223992.80575539568</v>
      </c>
      <c r="E325" s="242">
        <v>0</v>
      </c>
      <c r="F325" s="849">
        <v>0</v>
      </c>
      <c r="H325" s="250">
        <f t="shared" si="84"/>
        <v>-2072.5695472677762</v>
      </c>
      <c r="I325" s="241">
        <f t="shared" si="85"/>
        <v>-5.6480482467898011E-2</v>
      </c>
      <c r="J325" s="242">
        <f t="shared" si="86"/>
        <v>-2072.5695472677762</v>
      </c>
      <c r="K325" s="849">
        <f t="shared" si="86"/>
        <v>0</v>
      </c>
      <c r="L325" s="242">
        <f t="shared" si="86"/>
        <v>0</v>
      </c>
    </row>
    <row r="326" spans="1:12" ht="15.5">
      <c r="A326" s="180" t="s">
        <v>160</v>
      </c>
      <c r="B326" s="250">
        <f t="shared" si="87"/>
        <v>2708574.0670994702</v>
      </c>
      <c r="C326" s="241">
        <v>0.42633616816999792</v>
      </c>
      <c r="D326" s="242">
        <v>2708574.0670994702</v>
      </c>
      <c r="E326" s="242">
        <v>0</v>
      </c>
      <c r="F326" s="849">
        <v>0</v>
      </c>
      <c r="H326" s="250">
        <f t="shared" si="84"/>
        <v>-1226.2868330786005</v>
      </c>
      <c r="I326" s="241">
        <f t="shared" si="85"/>
        <v>-3.341806892203724E-2</v>
      </c>
      <c r="J326" s="242">
        <f t="shared" si="86"/>
        <v>-1226.2868330786005</v>
      </c>
      <c r="K326" s="849">
        <f t="shared" si="86"/>
        <v>0</v>
      </c>
      <c r="L326" s="242">
        <f t="shared" si="86"/>
        <v>0</v>
      </c>
    </row>
    <row r="327" spans="1:12" ht="15.5">
      <c r="A327" s="180"/>
      <c r="B327" s="250">
        <f t="shared" si="87"/>
        <v>0</v>
      </c>
      <c r="C327" s="241">
        <v>0</v>
      </c>
      <c r="D327" s="237"/>
      <c r="E327" s="242"/>
      <c r="F327" s="295"/>
      <c r="H327" s="250"/>
      <c r="I327" s="241">
        <f>+H327/$H$295</f>
        <v>0</v>
      </c>
      <c r="J327" s="242"/>
      <c r="K327" s="242"/>
      <c r="L327" s="242"/>
    </row>
    <row r="328" spans="1:12" ht="15.5">
      <c r="A328" s="180"/>
      <c r="B328" s="243">
        <f>SUM(B320:B326)</f>
        <v>6346013.8504626695</v>
      </c>
      <c r="C328" s="240">
        <f>SUM(C320:C327)</f>
        <v>1.0000000000000002</v>
      </c>
      <c r="D328" s="243">
        <f>SUM(D320:D326)</f>
        <v>4669015.5104626697</v>
      </c>
      <c r="E328" s="243">
        <f>SUM(E320:E326)</f>
        <v>981493.89</v>
      </c>
      <c r="F328" s="243">
        <f>SUM(F320:F326)</f>
        <v>695504.45</v>
      </c>
      <c r="G328" s="32">
        <f>+B328-B317</f>
        <v>36695.322998449206</v>
      </c>
      <c r="H328" s="243">
        <f>SUM(H320:H327)</f>
        <v>36695.322998449403</v>
      </c>
      <c r="I328" s="240">
        <f>SUM(I320:I327)</f>
        <v>0.99999999999999989</v>
      </c>
      <c r="J328" s="243">
        <f>SUM(J320:J327)</f>
        <v>34224.462998449468</v>
      </c>
      <c r="K328" s="243">
        <f>SUM(K320:K327)</f>
        <v>-7127.7999999999811</v>
      </c>
      <c r="L328" s="243">
        <f>SUM(L320:L327)</f>
        <v>9598.659999999918</v>
      </c>
    </row>
    <row r="329" spans="1:12" ht="14.5" thickBot="1">
      <c r="H329" s="254">
        <f>+A330</f>
        <v>40783</v>
      </c>
      <c r="I329" s="254"/>
      <c r="J329" s="254">
        <f>+A319</f>
        <v>40752</v>
      </c>
    </row>
    <row r="330" spans="1:12" ht="16" thickBot="1">
      <c r="A330" s="253">
        <v>40783</v>
      </c>
      <c r="B330" s="251">
        <v>4.22</v>
      </c>
      <c r="C330" s="238" t="s">
        <v>3</v>
      </c>
      <c r="D330" s="238" t="s">
        <v>4</v>
      </c>
      <c r="E330" s="238" t="s">
        <v>5</v>
      </c>
      <c r="F330" s="238" t="s">
        <v>114</v>
      </c>
      <c r="H330" s="251">
        <f>+B330-B319</f>
        <v>4.9999999999999822E-2</v>
      </c>
      <c r="I330" s="238" t="s">
        <v>3</v>
      </c>
      <c r="J330" s="238" t="s">
        <v>4</v>
      </c>
      <c r="K330" s="238" t="s">
        <v>5</v>
      </c>
      <c r="L330" s="238" t="s">
        <v>114</v>
      </c>
    </row>
    <row r="331" spans="1:12" ht="15.5">
      <c r="A331" s="180" t="s">
        <v>7</v>
      </c>
      <c r="B331" s="250">
        <f>SUM(D331:F331)</f>
        <v>1031040.865971564</v>
      </c>
      <c r="C331" s="241">
        <v>0.1656124660914649</v>
      </c>
      <c r="D331" s="242">
        <v>909078.99597156397</v>
      </c>
      <c r="E331" s="242">
        <v>121961.87</v>
      </c>
      <c r="F331" s="849">
        <v>0</v>
      </c>
      <c r="H331" s="250">
        <f>SUM(J331:L331)</f>
        <v>-20022.380786229842</v>
      </c>
      <c r="I331" s="241">
        <f t="shared" ref="I331:I337" si="88">+H331/$H$339</f>
        <v>0.1703086953720582</v>
      </c>
      <c r="J331" s="242">
        <f>+D331-D320</f>
        <v>-17026.240786229842</v>
      </c>
      <c r="K331" s="849">
        <f>+E331-E320</f>
        <v>-2996.1399999999994</v>
      </c>
      <c r="L331" s="242">
        <f>+F331-F320</f>
        <v>0</v>
      </c>
    </row>
    <row r="332" spans="1:12" ht="15.5">
      <c r="A332" s="180" t="s">
        <v>8</v>
      </c>
      <c r="B332" s="250">
        <f t="shared" ref="B332:B337" si="89">SUM(D332:F332)</f>
        <v>319627.63094786729</v>
      </c>
      <c r="C332" s="241">
        <v>5.4278497926589564E-2</v>
      </c>
      <c r="D332" s="242">
        <v>106721.8009478673</v>
      </c>
      <c r="E332" s="242">
        <v>212905.83</v>
      </c>
      <c r="F332" s="849">
        <v>0</v>
      </c>
      <c r="H332" s="250">
        <f t="shared" ref="H332:H337" si="90">SUM(J332:L332)</f>
        <v>-31879.81322479459</v>
      </c>
      <c r="I332" s="241">
        <f t="shared" si="88"/>
        <v>0.27116702339182697</v>
      </c>
      <c r="J332" s="242">
        <f t="shared" ref="J332:J337" si="91">+D332-D321</f>
        <v>-12607.983224794574</v>
      </c>
      <c r="K332" s="849">
        <f t="shared" ref="K332:K337" si="92">+E332-E321</f>
        <v>-19271.830000000016</v>
      </c>
      <c r="L332" s="242">
        <f t="shared" ref="L332:L337" si="93">+F332-F321</f>
        <v>0</v>
      </c>
    </row>
    <row r="333" spans="1:12" ht="15.5">
      <c r="A333" s="180" t="s">
        <v>9</v>
      </c>
      <c r="B333" s="250">
        <f t="shared" si="89"/>
        <v>763212.83377323858</v>
      </c>
      <c r="C333" s="241">
        <v>0.12222005615933396</v>
      </c>
      <c r="D333" s="242">
        <v>689768.25377323851</v>
      </c>
      <c r="E333" s="242">
        <v>62995.18</v>
      </c>
      <c r="F333" s="849">
        <v>10449.4</v>
      </c>
      <c r="H333" s="250">
        <f t="shared" si="90"/>
        <v>-1143.6629041096385</v>
      </c>
      <c r="I333" s="241">
        <f t="shared" si="88"/>
        <v>9.7279009536311769E-3</v>
      </c>
      <c r="J333" s="242">
        <f t="shared" si="91"/>
        <v>-1245.3629041096428</v>
      </c>
      <c r="K333" s="849">
        <f t="shared" si="92"/>
        <v>105.66000000000349</v>
      </c>
      <c r="L333" s="242">
        <f t="shared" si="93"/>
        <v>-3.9599999999991269</v>
      </c>
    </row>
    <row r="334" spans="1:12" ht="15.5">
      <c r="A334" s="180" t="s">
        <v>148</v>
      </c>
      <c r="B334" s="250">
        <f t="shared" si="89"/>
        <v>379750.94</v>
      </c>
      <c r="C334" s="241">
        <v>6.1394655608256486E-2</v>
      </c>
      <c r="D334" s="242">
        <v>0</v>
      </c>
      <c r="E334" s="242">
        <v>89901.52</v>
      </c>
      <c r="F334" s="849">
        <v>289849.42</v>
      </c>
      <c r="H334" s="250">
        <f t="shared" si="90"/>
        <v>-8590.4800000000105</v>
      </c>
      <c r="I334" s="241">
        <f t="shared" si="88"/>
        <v>7.3069903975951978E-2</v>
      </c>
      <c r="J334" s="242">
        <f t="shared" si="91"/>
        <v>0</v>
      </c>
      <c r="K334" s="849">
        <f t="shared" si="92"/>
        <v>-3579.7799999999988</v>
      </c>
      <c r="L334" s="242">
        <f t="shared" si="93"/>
        <v>-5010.7000000000116</v>
      </c>
    </row>
    <row r="335" spans="1:12" ht="15.5">
      <c r="A335" s="180" t="s">
        <v>11</v>
      </c>
      <c r="B335" s="250">
        <f t="shared" si="89"/>
        <v>800953.6</v>
      </c>
      <c r="C335" s="241">
        <v>0.13213502316014944</v>
      </c>
      <c r="D335" s="242">
        <v>0</v>
      </c>
      <c r="E335" s="242">
        <v>443927.6</v>
      </c>
      <c r="F335" s="849">
        <v>357026</v>
      </c>
      <c r="H335" s="250">
        <f t="shared" si="90"/>
        <v>-57224.770000000019</v>
      </c>
      <c r="I335" s="241">
        <f t="shared" si="88"/>
        <v>0.48674910470031169</v>
      </c>
      <c r="J335" s="242">
        <f t="shared" si="91"/>
        <v>0</v>
      </c>
      <c r="K335" s="849">
        <f t="shared" si="92"/>
        <v>-24059.800000000047</v>
      </c>
      <c r="L335" s="242">
        <f t="shared" si="93"/>
        <v>-33164.969999999972</v>
      </c>
    </row>
    <row r="336" spans="1:12" ht="15.5">
      <c r="A336" s="180" t="s">
        <v>12</v>
      </c>
      <c r="B336" s="250">
        <f t="shared" si="89"/>
        <v>224964.45497630333</v>
      </c>
      <c r="C336" s="241">
        <v>3.54688439471866E-2</v>
      </c>
      <c r="D336" s="242">
        <v>224964.45497630333</v>
      </c>
      <c r="E336" s="242">
        <v>0</v>
      </c>
      <c r="F336" s="849">
        <v>0</v>
      </c>
      <c r="H336" s="250">
        <f t="shared" si="90"/>
        <v>971.64922090765322</v>
      </c>
      <c r="I336" s="241">
        <f t="shared" si="88"/>
        <v>-8.2647669594749871E-3</v>
      </c>
      <c r="J336" s="242">
        <f t="shared" si="91"/>
        <v>971.64922090765322</v>
      </c>
      <c r="K336" s="849">
        <f t="shared" si="92"/>
        <v>0</v>
      </c>
      <c r="L336" s="242">
        <f t="shared" si="93"/>
        <v>0</v>
      </c>
    </row>
    <row r="337" spans="1:12" ht="15.5">
      <c r="A337" s="180" t="s">
        <v>160</v>
      </c>
      <c r="B337" s="250">
        <f t="shared" si="89"/>
        <v>2708898.2957107732</v>
      </c>
      <c r="C337" s="241">
        <v>0.42889045710701912</v>
      </c>
      <c r="D337" s="242">
        <v>2708898.2957107732</v>
      </c>
      <c r="E337" s="242">
        <v>0</v>
      </c>
      <c r="F337" s="849">
        <v>0</v>
      </c>
      <c r="H337" s="250">
        <f t="shared" si="90"/>
        <v>324.22861130302772</v>
      </c>
      <c r="I337" s="241">
        <f t="shared" si="88"/>
        <v>-2.7578614343050055E-3</v>
      </c>
      <c r="J337" s="242">
        <f t="shared" si="91"/>
        <v>324.22861130302772</v>
      </c>
      <c r="K337" s="849">
        <f t="shared" si="92"/>
        <v>0</v>
      </c>
      <c r="L337" s="242">
        <f t="shared" si="93"/>
        <v>0</v>
      </c>
    </row>
    <row r="338" spans="1:12" ht="15.5">
      <c r="A338" s="180"/>
      <c r="B338" s="242">
        <v>0</v>
      </c>
      <c r="C338" s="241">
        <v>0</v>
      </c>
      <c r="D338" s="237"/>
      <c r="E338" s="242"/>
      <c r="F338" s="295"/>
      <c r="H338" s="250">
        <v>0</v>
      </c>
      <c r="I338" s="241">
        <f>+H338/$H$295</f>
        <v>0</v>
      </c>
      <c r="J338" s="242"/>
      <c r="K338" s="242"/>
      <c r="L338" s="242">
        <v>0</v>
      </c>
    </row>
    <row r="339" spans="1:12" ht="15.5">
      <c r="A339" s="180"/>
      <c r="B339" s="243">
        <f>SUM(B331:B337)</f>
        <v>6228448.6213797461</v>
      </c>
      <c r="C339" s="240">
        <f>SUM(C331:C338)</f>
        <v>1</v>
      </c>
      <c r="D339" s="243">
        <f>SUM(D331:D337)</f>
        <v>4639431.8013797458</v>
      </c>
      <c r="E339" s="243">
        <f>SUM(E331:E337)</f>
        <v>931692</v>
      </c>
      <c r="F339" s="243">
        <f>SUM(F331:F337)</f>
        <v>657324.82000000007</v>
      </c>
      <c r="G339" s="32">
        <f>+B339-B328</f>
        <v>-117565.22908292338</v>
      </c>
      <c r="H339" s="243">
        <f>SUM(H331:H338)</f>
        <v>-117565.22908292341</v>
      </c>
      <c r="I339" s="240">
        <f>SUM(I331:I338)</f>
        <v>0.99999999999999989</v>
      </c>
      <c r="J339" s="243">
        <f>SUM(J331:J338)</f>
        <v>-29583.709082923378</v>
      </c>
      <c r="K339" s="243">
        <f>SUM(K331:K338)</f>
        <v>-49801.890000000058</v>
      </c>
      <c r="L339" s="243">
        <f>SUM(L331:L338)</f>
        <v>-38179.629999999983</v>
      </c>
    </row>
    <row r="340" spans="1:12" ht="14.5" thickBot="1">
      <c r="H340" s="254">
        <f>+A341</f>
        <v>40814</v>
      </c>
      <c r="I340" s="254"/>
      <c r="J340" s="254">
        <f>+A330</f>
        <v>40783</v>
      </c>
    </row>
    <row r="341" spans="1:12" ht="16" thickBot="1">
      <c r="A341" s="253">
        <v>40814</v>
      </c>
      <c r="B341" s="251">
        <v>4.22</v>
      </c>
      <c r="C341" s="238" t="s">
        <v>3</v>
      </c>
      <c r="D341" s="238" t="s">
        <v>4</v>
      </c>
      <c r="E341" s="238" t="s">
        <v>5</v>
      </c>
      <c r="F341" s="238" t="s">
        <v>114</v>
      </c>
      <c r="H341" s="251">
        <f>+B341-B330</f>
        <v>0</v>
      </c>
      <c r="I341" s="238" t="s">
        <v>3</v>
      </c>
      <c r="J341" s="238" t="s">
        <v>4</v>
      </c>
      <c r="K341" s="238" t="s">
        <v>5</v>
      </c>
      <c r="L341" s="238" t="s">
        <v>114</v>
      </c>
    </row>
    <row r="342" spans="1:12" ht="15.5">
      <c r="A342" s="180" t="s">
        <v>7</v>
      </c>
      <c r="B342" s="250">
        <f>SUM(D342:F342)</f>
        <v>1004426.613962264</v>
      </c>
      <c r="C342" s="241">
        <f t="shared" ref="C342:C349" si="94">+B342/$B$350</f>
        <v>0.16507354997113835</v>
      </c>
      <c r="D342" s="242">
        <v>671179.99396226404</v>
      </c>
      <c r="E342" s="242">
        <v>333246.62</v>
      </c>
      <c r="F342" s="849">
        <v>0</v>
      </c>
      <c r="H342" s="250">
        <f t="shared" ref="H342:H348" si="95">SUM(J342:L342)</f>
        <v>-26614.252009299933</v>
      </c>
      <c r="I342" s="241">
        <f t="shared" ref="I342:I348" si="96">+H342/$H$350</f>
        <v>0.18517236991939176</v>
      </c>
      <c r="J342" s="242">
        <f>+D342-D331</f>
        <v>-237899.00200929993</v>
      </c>
      <c r="K342" s="849">
        <f>+E342-E331</f>
        <v>211284.75</v>
      </c>
      <c r="L342" s="242">
        <f t="shared" ref="L342:L348" si="97">+F342-F331</f>
        <v>0</v>
      </c>
    </row>
    <row r="343" spans="1:12" ht="15.5">
      <c r="A343" s="180" t="s">
        <v>8</v>
      </c>
      <c r="B343" s="250">
        <f t="shared" ref="B343:B348" si="98">SUM(D343:F343)</f>
        <v>282843.78443396225</v>
      </c>
      <c r="C343" s="241">
        <f t="shared" si="94"/>
        <v>4.6484259710724549E-2</v>
      </c>
      <c r="D343" s="242">
        <v>87090.634433962274</v>
      </c>
      <c r="E343" s="242">
        <v>195753.15</v>
      </c>
      <c r="F343" s="849">
        <v>0</v>
      </c>
      <c r="H343" s="250">
        <f t="shared" si="95"/>
        <v>-36783.846513905024</v>
      </c>
      <c r="I343" s="241">
        <f t="shared" si="96"/>
        <v>0.25592874191432585</v>
      </c>
      <c r="J343" s="242">
        <f t="shared" ref="J343:J348" si="99">+D343-D332</f>
        <v>-19631.166513905031</v>
      </c>
      <c r="K343" s="849">
        <f t="shared" ref="K343:K348" si="100">+E343-E332</f>
        <v>-17152.679999999993</v>
      </c>
      <c r="L343" s="242">
        <f t="shared" si="97"/>
        <v>0</v>
      </c>
    </row>
    <row r="344" spans="1:12" ht="15.5">
      <c r="A344" s="180" t="s">
        <v>9</v>
      </c>
      <c r="B344" s="250">
        <f t="shared" si="98"/>
        <v>771149.95596501941</v>
      </c>
      <c r="C344" s="241">
        <f t="shared" si="94"/>
        <v>0.12673545187046911</v>
      </c>
      <c r="D344" s="242">
        <v>522974.69596501935</v>
      </c>
      <c r="E344" s="242">
        <v>236783.99000000002</v>
      </c>
      <c r="F344" s="849">
        <v>11391.27</v>
      </c>
      <c r="H344" s="250">
        <f t="shared" si="95"/>
        <v>7937.1221917808634</v>
      </c>
      <c r="I344" s="241">
        <f t="shared" si="96"/>
        <v>-5.5223634542811255E-2</v>
      </c>
      <c r="J344" s="242">
        <f t="shared" si="99"/>
        <v>-166793.55780821916</v>
      </c>
      <c r="K344" s="849">
        <f t="shared" si="100"/>
        <v>173788.81000000003</v>
      </c>
      <c r="L344" s="242">
        <f t="shared" si="97"/>
        <v>941.8700000000008</v>
      </c>
    </row>
    <row r="345" spans="1:12" ht="15.5">
      <c r="A345" s="180" t="s">
        <v>148</v>
      </c>
      <c r="B345" s="250">
        <f t="shared" si="98"/>
        <v>362647.01</v>
      </c>
      <c r="C345" s="241">
        <f t="shared" si="94"/>
        <v>5.9599604883994003E-2</v>
      </c>
      <c r="D345" s="242">
        <v>0</v>
      </c>
      <c r="E345" s="242">
        <v>81724.33</v>
      </c>
      <c r="F345" s="849">
        <v>280922.68</v>
      </c>
      <c r="H345" s="250">
        <f t="shared" si="95"/>
        <v>-17103.929999999993</v>
      </c>
      <c r="I345" s="241">
        <f t="shared" si="96"/>
        <v>0.11900297825122651</v>
      </c>
      <c r="J345" s="242">
        <f t="shared" si="99"/>
        <v>0</v>
      </c>
      <c r="K345" s="849">
        <f t="shared" si="100"/>
        <v>-8177.1900000000023</v>
      </c>
      <c r="L345" s="242">
        <f t="shared" si="97"/>
        <v>-8926.7399999999907</v>
      </c>
    </row>
    <row r="346" spans="1:12" ht="15.5">
      <c r="A346" s="180" t="s">
        <v>11</v>
      </c>
      <c r="B346" s="250">
        <f t="shared" si="98"/>
        <v>730951.39</v>
      </c>
      <c r="C346" s="241">
        <f t="shared" si="94"/>
        <v>0.12012897620031723</v>
      </c>
      <c r="D346" s="242">
        <v>0</v>
      </c>
      <c r="E346" s="242">
        <v>401393.4</v>
      </c>
      <c r="F346" s="849">
        <v>329557.99</v>
      </c>
      <c r="H346" s="250">
        <f t="shared" si="95"/>
        <v>-70002.209999999963</v>
      </c>
      <c r="I346" s="241">
        <f t="shared" si="96"/>
        <v>0.48705013842829042</v>
      </c>
      <c r="J346" s="242">
        <f t="shared" si="99"/>
        <v>0</v>
      </c>
      <c r="K346" s="849">
        <f t="shared" si="100"/>
        <v>-42534.199999999953</v>
      </c>
      <c r="L346" s="242">
        <f t="shared" si="97"/>
        <v>-27468.010000000009</v>
      </c>
    </row>
    <row r="347" spans="1:12" ht="15.5">
      <c r="A347" s="180" t="s">
        <v>12</v>
      </c>
      <c r="B347" s="250">
        <f t="shared" si="98"/>
        <v>223950.47169811319</v>
      </c>
      <c r="C347" s="241">
        <f t="shared" si="94"/>
        <v>3.6805376188794793E-2</v>
      </c>
      <c r="D347" s="242">
        <v>223950.47169811319</v>
      </c>
      <c r="E347" s="242">
        <v>0</v>
      </c>
      <c r="F347" s="849">
        <v>0</v>
      </c>
      <c r="H347" s="250">
        <f t="shared" si="95"/>
        <v>-1013.983278190135</v>
      </c>
      <c r="I347" s="241">
        <f t="shared" si="96"/>
        <v>7.0549300658718809E-3</v>
      </c>
      <c r="J347" s="242">
        <f t="shared" si="99"/>
        <v>-1013.983278190135</v>
      </c>
      <c r="K347" s="849">
        <f t="shared" si="100"/>
        <v>0</v>
      </c>
      <c r="L347" s="242">
        <f t="shared" si="97"/>
        <v>0</v>
      </c>
    </row>
    <row r="348" spans="1:12" ht="15.5">
      <c r="A348" s="180" t="s">
        <v>160</v>
      </c>
      <c r="B348" s="250">
        <f t="shared" si="98"/>
        <v>2708752.4882181804</v>
      </c>
      <c r="C348" s="241">
        <f t="shared" si="94"/>
        <v>0.44517278117456194</v>
      </c>
      <c r="D348" s="242">
        <v>2708752.4882181804</v>
      </c>
      <c r="E348" s="242">
        <v>0</v>
      </c>
      <c r="F348" s="849">
        <v>0</v>
      </c>
      <c r="H348" s="250">
        <f t="shared" si="95"/>
        <v>-145.80749259283766</v>
      </c>
      <c r="I348" s="241">
        <f t="shared" si="96"/>
        <v>1.0144759637049109E-3</v>
      </c>
      <c r="J348" s="242">
        <f t="shared" si="99"/>
        <v>-145.80749259283766</v>
      </c>
      <c r="K348" s="849">
        <f t="shared" si="100"/>
        <v>0</v>
      </c>
      <c r="L348" s="242">
        <f t="shared" si="97"/>
        <v>0</v>
      </c>
    </row>
    <row r="349" spans="1:12" ht="15.5">
      <c r="A349" s="180"/>
      <c r="B349" s="242">
        <v>0</v>
      </c>
      <c r="C349" s="241">
        <f t="shared" si="94"/>
        <v>0</v>
      </c>
      <c r="D349" s="237"/>
      <c r="E349" s="242"/>
      <c r="F349" s="295"/>
      <c r="H349" s="250"/>
      <c r="I349" s="241">
        <f>+H349/$H$295</f>
        <v>0</v>
      </c>
      <c r="J349" s="242"/>
      <c r="K349" s="242"/>
      <c r="L349" s="242"/>
    </row>
    <row r="350" spans="1:12" ht="15.5">
      <c r="A350" s="180"/>
      <c r="B350" s="243">
        <f>SUM(B342:B348)</f>
        <v>6084721.7142775394</v>
      </c>
      <c r="C350" s="240">
        <f>SUM(C342:C349)</f>
        <v>0.99999999999999989</v>
      </c>
      <c r="D350" s="243">
        <f>SUM(D342:D349)</f>
        <v>4213948.2842775397</v>
      </c>
      <c r="E350" s="243">
        <f>SUM(E342:E349)</f>
        <v>1248901.49</v>
      </c>
      <c r="F350" s="243">
        <f>SUM(F342:F349)</f>
        <v>621871.93999999994</v>
      </c>
      <c r="G350" s="32">
        <f>+B350-B339</f>
        <v>-143726.90710220672</v>
      </c>
      <c r="H350" s="243">
        <f>SUM(H342:H349)</f>
        <v>-143726.90710220701</v>
      </c>
      <c r="I350" s="240">
        <f>SUM(I342:I349)</f>
        <v>1</v>
      </c>
      <c r="J350" s="243">
        <f>SUM(J342:J349)</f>
        <v>-425483.51710220712</v>
      </c>
      <c r="K350" s="243">
        <f>SUM(K342:K349)</f>
        <v>317209.49000000005</v>
      </c>
      <c r="L350" s="243">
        <f>SUM(L342:L349)</f>
        <v>-35452.879999999997</v>
      </c>
    </row>
    <row r="351" spans="1:12" ht="14.5" thickBot="1">
      <c r="H351" s="254">
        <f>+A352</f>
        <v>40844</v>
      </c>
      <c r="I351" s="254"/>
      <c r="J351" s="254">
        <f>+A341</f>
        <v>40814</v>
      </c>
    </row>
    <row r="352" spans="1:12" ht="16" thickBot="1">
      <c r="A352" s="253">
        <v>40844</v>
      </c>
      <c r="B352" s="251">
        <v>4.26</v>
      </c>
      <c r="C352" s="238" t="s">
        <v>3</v>
      </c>
      <c r="D352" s="238" t="s">
        <v>4</v>
      </c>
      <c r="E352" s="238" t="s">
        <v>5</v>
      </c>
      <c r="F352" s="238" t="s">
        <v>114</v>
      </c>
      <c r="H352" s="251">
        <f>+B352-B341</f>
        <v>4.0000000000000036E-2</v>
      </c>
      <c r="I352" s="238" t="s">
        <v>3</v>
      </c>
      <c r="J352" s="238" t="s">
        <v>4</v>
      </c>
      <c r="K352" s="238" t="s">
        <v>5</v>
      </c>
      <c r="L352" s="238" t="s">
        <v>114</v>
      </c>
    </row>
    <row r="353" spans="1:12" ht="15.5">
      <c r="A353" s="180" t="s">
        <v>7</v>
      </c>
      <c r="B353" s="250">
        <f t="shared" ref="B353:B360" si="101">SUM(D353:F353)</f>
        <v>1139540.2851173708</v>
      </c>
      <c r="C353" s="241">
        <f t="shared" ref="C353:C360" si="102">+B353/$B$12</f>
        <v>9.899277101389202E-2</v>
      </c>
      <c r="D353" s="242">
        <v>1023301.3251173708</v>
      </c>
      <c r="E353" s="242">
        <v>116238.95999999999</v>
      </c>
      <c r="F353" s="849">
        <v>0</v>
      </c>
      <c r="H353" s="250">
        <f t="shared" ref="H353:H359" si="103">SUM(J353:L353)</f>
        <v>135113.67115510677</v>
      </c>
      <c r="I353" s="241">
        <f t="shared" ref="I353:I359" si="104">+H353/$H$361</f>
        <v>0.43551778510640049</v>
      </c>
      <c r="J353" s="242">
        <f>+D353-D342</f>
        <v>352121.33115510677</v>
      </c>
      <c r="K353" s="849">
        <f>+E353-E342</f>
        <v>-217007.66</v>
      </c>
      <c r="L353" s="242">
        <f t="shared" ref="L353:L359" si="105">+F353-F342</f>
        <v>0</v>
      </c>
    </row>
    <row r="354" spans="1:12" ht="15.5">
      <c r="A354" s="180" t="s">
        <v>8</v>
      </c>
      <c r="B354" s="242">
        <f t="shared" si="101"/>
        <v>318772.43375586858</v>
      </c>
      <c r="C354" s="241">
        <f t="shared" si="102"/>
        <v>2.7692014887464492E-2</v>
      </c>
      <c r="D354" s="242">
        <v>99739.403755868567</v>
      </c>
      <c r="E354" s="242">
        <v>219033.03</v>
      </c>
      <c r="F354" s="849">
        <v>0</v>
      </c>
      <c r="H354" s="250">
        <f t="shared" si="103"/>
        <v>35928.649321906298</v>
      </c>
      <c r="I354" s="241">
        <f t="shared" si="104"/>
        <v>0.11581038129426766</v>
      </c>
      <c r="J354" s="242">
        <f t="shared" ref="J354:J359" si="106">+D354-D343</f>
        <v>12648.769321906293</v>
      </c>
      <c r="K354" s="849">
        <f t="shared" ref="K354:K359" si="107">+E354-E343</f>
        <v>23279.880000000005</v>
      </c>
      <c r="L354" s="242">
        <f t="shared" si="105"/>
        <v>0</v>
      </c>
    </row>
    <row r="355" spans="1:12" ht="15.5">
      <c r="A355" s="180" t="s">
        <v>9</v>
      </c>
      <c r="B355" s="242">
        <f t="shared" si="101"/>
        <v>818585.08443899918</v>
      </c>
      <c r="C355" s="241">
        <f t="shared" si="102"/>
        <v>7.1111137427590759E-2</v>
      </c>
      <c r="D355" s="242">
        <v>558738.9544389993</v>
      </c>
      <c r="E355" s="242">
        <v>249143.69</v>
      </c>
      <c r="F355" s="849">
        <v>10702.44</v>
      </c>
      <c r="H355" s="250">
        <f t="shared" si="103"/>
        <v>47435.12847397993</v>
      </c>
      <c r="I355" s="241">
        <f t="shared" si="104"/>
        <v>0.15289971705016814</v>
      </c>
      <c r="J355" s="242">
        <f t="shared" si="106"/>
        <v>35764.258473979949</v>
      </c>
      <c r="K355" s="849">
        <f t="shared" si="107"/>
        <v>12359.699999999983</v>
      </c>
      <c r="L355" s="242">
        <f t="shared" si="105"/>
        <v>-688.82999999999993</v>
      </c>
    </row>
    <row r="356" spans="1:12" ht="15.5">
      <c r="A356" s="180" t="s">
        <v>148</v>
      </c>
      <c r="B356" s="242">
        <f t="shared" si="101"/>
        <v>378882.41000000003</v>
      </c>
      <c r="C356" s="241">
        <f t="shared" si="102"/>
        <v>3.291381633818978E-2</v>
      </c>
      <c r="D356" s="242">
        <v>0</v>
      </c>
      <c r="E356" s="242">
        <v>87964.89</v>
      </c>
      <c r="F356" s="849">
        <v>290917.52</v>
      </c>
      <c r="H356" s="250">
        <f t="shared" si="103"/>
        <v>16235.400000000023</v>
      </c>
      <c r="I356" s="241">
        <f t="shared" si="104"/>
        <v>5.2332272433034364E-2</v>
      </c>
      <c r="J356" s="242">
        <f t="shared" si="106"/>
        <v>0</v>
      </c>
      <c r="K356" s="849">
        <f t="shared" si="107"/>
        <v>6240.5599999999977</v>
      </c>
      <c r="L356" s="242">
        <f t="shared" si="105"/>
        <v>9994.8400000000256</v>
      </c>
    </row>
    <row r="357" spans="1:12" ht="15.5">
      <c r="A357" s="180" t="s">
        <v>11</v>
      </c>
      <c r="B357" s="242">
        <f t="shared" si="101"/>
        <v>807393.05</v>
      </c>
      <c r="C357" s="241">
        <f t="shared" si="102"/>
        <v>7.0138876493186564E-2</v>
      </c>
      <c r="D357" s="242">
        <v>0</v>
      </c>
      <c r="E357" s="242">
        <v>446364</v>
      </c>
      <c r="F357" s="849">
        <v>361029.05</v>
      </c>
      <c r="H357" s="250">
        <f t="shared" si="103"/>
        <v>76441.659999999974</v>
      </c>
      <c r="I357" s="241">
        <f t="shared" si="104"/>
        <v>0.24639773435538259</v>
      </c>
      <c r="J357" s="242">
        <f t="shared" si="106"/>
        <v>0</v>
      </c>
      <c r="K357" s="849">
        <f t="shared" si="107"/>
        <v>44970.599999999977</v>
      </c>
      <c r="L357" s="242">
        <f t="shared" si="105"/>
        <v>31471.059999999998</v>
      </c>
    </row>
    <row r="358" spans="1:12" ht="15.5">
      <c r="A358" s="180" t="s">
        <v>12</v>
      </c>
      <c r="B358" s="242">
        <f t="shared" si="101"/>
        <v>223063.38028169016</v>
      </c>
      <c r="C358" s="241">
        <f t="shared" si="102"/>
        <v>1.9377693280528206E-2</v>
      </c>
      <c r="D358" s="242">
        <v>223063.38028169016</v>
      </c>
      <c r="E358" s="242">
        <v>0</v>
      </c>
      <c r="F358" s="849">
        <v>0</v>
      </c>
      <c r="H358" s="250">
        <f t="shared" si="103"/>
        <v>-887.09141642303439</v>
      </c>
      <c r="I358" s="241">
        <f t="shared" si="104"/>
        <v>-2.8594004260601219E-3</v>
      </c>
      <c r="J358" s="242">
        <f t="shared" si="106"/>
        <v>-887.09141642303439</v>
      </c>
      <c r="K358" s="849">
        <f t="shared" si="107"/>
        <v>0</v>
      </c>
      <c r="L358" s="242">
        <f t="shared" si="105"/>
        <v>0</v>
      </c>
    </row>
    <row r="359" spans="1:12" ht="15.5">
      <c r="A359" s="180" t="s">
        <v>160</v>
      </c>
      <c r="B359" s="242">
        <f t="shared" si="101"/>
        <v>2708721.9330475605</v>
      </c>
      <c r="C359" s="241">
        <f t="shared" si="102"/>
        <v>0.23530882897296232</v>
      </c>
      <c r="D359" s="242">
        <v>2708721.9330475605</v>
      </c>
      <c r="E359" s="242">
        <v>0</v>
      </c>
      <c r="F359" s="849">
        <v>0</v>
      </c>
      <c r="H359" s="250">
        <f t="shared" si="103"/>
        <v>-30.555170619860291</v>
      </c>
      <c r="I359" s="241">
        <f t="shared" si="104"/>
        <v>-9.8489813193168875E-5</v>
      </c>
      <c r="J359" s="242">
        <f t="shared" si="106"/>
        <v>-30.555170619860291</v>
      </c>
      <c r="K359" s="849">
        <f t="shared" si="107"/>
        <v>0</v>
      </c>
      <c r="L359" s="242">
        <f t="shared" si="105"/>
        <v>0</v>
      </c>
    </row>
    <row r="360" spans="1:12" ht="15.5">
      <c r="A360" s="180"/>
      <c r="B360" s="242">
        <f t="shared" si="101"/>
        <v>0</v>
      </c>
      <c r="C360" s="241">
        <f t="shared" si="102"/>
        <v>0</v>
      </c>
      <c r="D360" s="237"/>
      <c r="E360" s="242"/>
      <c r="F360" s="295"/>
      <c r="H360" s="250"/>
      <c r="I360" s="241">
        <f>+H360/$H$295</f>
        <v>0</v>
      </c>
      <c r="J360" s="242"/>
      <c r="K360" s="242"/>
      <c r="L360" s="242"/>
    </row>
    <row r="361" spans="1:12" ht="15.5">
      <c r="A361" s="180"/>
      <c r="B361" s="243">
        <f>SUM(B353:B360)</f>
        <v>6394958.5766414888</v>
      </c>
      <c r="C361" s="240">
        <f>SUM(C353:C360)</f>
        <v>0.55553513841381408</v>
      </c>
      <c r="D361" s="243">
        <f>SUM(D353:D360)</f>
        <v>4613564.9966414887</v>
      </c>
      <c r="E361" s="243">
        <f>SUM(E353:E360)</f>
        <v>1118744.5699999998</v>
      </c>
      <c r="F361" s="243">
        <f>SUM(F353:F360)</f>
        <v>662649.01</v>
      </c>
      <c r="G361" s="32">
        <f>+B361-B350</f>
        <v>310236.86236394942</v>
      </c>
      <c r="H361" s="243">
        <f>SUM(H353:H360)</f>
        <v>310236.86236395012</v>
      </c>
      <c r="I361" s="240">
        <f>SUM(I353:I360)</f>
        <v>1</v>
      </c>
      <c r="J361" s="243">
        <f>SUM(J353:J360)</f>
        <v>399616.71236395009</v>
      </c>
      <c r="K361" s="243">
        <f>SUM(K353:K360)</f>
        <v>-130156.92000000004</v>
      </c>
      <c r="L361" s="243">
        <f>SUM(L353:L360)</f>
        <v>40777.070000000022</v>
      </c>
    </row>
    <row r="362" spans="1:12" ht="14.5" thickBot="1">
      <c r="H362" s="254">
        <f>+A363</f>
        <v>40875</v>
      </c>
      <c r="I362" s="254"/>
      <c r="J362" s="254">
        <f>+A352</f>
        <v>40844</v>
      </c>
    </row>
    <row r="363" spans="1:12" ht="16" thickBot="1">
      <c r="A363" s="253">
        <v>40875</v>
      </c>
      <c r="B363" s="251">
        <v>4.3</v>
      </c>
      <c r="C363" s="238" t="s">
        <v>3</v>
      </c>
      <c r="D363" s="238" t="s">
        <v>4</v>
      </c>
      <c r="E363" s="238" t="s">
        <v>5</v>
      </c>
      <c r="F363" s="238" t="s">
        <v>114</v>
      </c>
      <c r="H363" s="251">
        <f>+B363-B352</f>
        <v>4.0000000000000036E-2</v>
      </c>
      <c r="I363" s="238" t="s">
        <v>3</v>
      </c>
      <c r="J363" s="238" t="s">
        <v>4</v>
      </c>
      <c r="K363" s="238" t="s">
        <v>5</v>
      </c>
      <c r="L363" s="238" t="s">
        <v>114</v>
      </c>
    </row>
    <row r="364" spans="1:12" ht="15.5">
      <c r="A364" s="180" t="s">
        <v>7</v>
      </c>
      <c r="B364" s="250">
        <f>SUM(D364:F364)</f>
        <v>1039591.203488372</v>
      </c>
      <c r="C364" s="241">
        <f t="shared" ref="C364:C370" si="108">+B364/$B$372</f>
        <v>0.16704688356111155</v>
      </c>
      <c r="D364" s="242">
        <v>924701.19348837202</v>
      </c>
      <c r="E364" s="242">
        <v>114890.01000000001</v>
      </c>
      <c r="F364" s="849">
        <v>0</v>
      </c>
      <c r="H364" s="250">
        <f t="shared" ref="H364:H370" si="109">SUM(J364:L364)</f>
        <v>-99949.081628998771</v>
      </c>
      <c r="I364" s="241">
        <f t="shared" ref="I364:I370" si="110">+H364/$H$372</f>
        <v>0.58242435324789077</v>
      </c>
      <c r="J364" s="242">
        <f>+D364-D353</f>
        <v>-98600.131628998788</v>
      </c>
      <c r="K364" s="849">
        <f>+E364-E353</f>
        <v>-1348.9499999999825</v>
      </c>
      <c r="L364" s="242">
        <f t="shared" ref="L364:L370" si="111">+F364-F353</f>
        <v>0</v>
      </c>
    </row>
    <row r="365" spans="1:12" ht="15.5">
      <c r="A365" s="180" t="s">
        <v>8</v>
      </c>
      <c r="B365" s="250">
        <f t="shared" ref="B365:B370" si="112">SUM(D365:F365)</f>
        <v>290967.71581395349</v>
      </c>
      <c r="C365" s="241">
        <f t="shared" si="108"/>
        <v>4.6754195284184841E-2</v>
      </c>
      <c r="D365" s="242">
        <v>82553.055813953499</v>
      </c>
      <c r="E365" s="242">
        <v>208414.66</v>
      </c>
      <c r="F365" s="849">
        <v>0</v>
      </c>
      <c r="H365" s="250">
        <f t="shared" si="109"/>
        <v>-27804.717941915063</v>
      </c>
      <c r="I365" s="241">
        <f t="shared" si="110"/>
        <v>0.16202394860085848</v>
      </c>
      <c r="J365" s="242">
        <f t="shared" ref="J365:J370" si="113">+D365-D354</f>
        <v>-17186.347941915068</v>
      </c>
      <c r="K365" s="849">
        <f t="shared" ref="K365:K370" si="114">+E365-E354</f>
        <v>-10618.369999999995</v>
      </c>
      <c r="L365" s="242">
        <f t="shared" si="111"/>
        <v>0</v>
      </c>
    </row>
    <row r="366" spans="1:12" ht="15.5">
      <c r="A366" s="180" t="s">
        <v>9</v>
      </c>
      <c r="B366" s="250">
        <f t="shared" si="112"/>
        <v>824131.02491799952</v>
      </c>
      <c r="C366" s="241">
        <f t="shared" si="108"/>
        <v>0.13242562932105115</v>
      </c>
      <c r="D366" s="242">
        <v>564209.82091799949</v>
      </c>
      <c r="E366" s="242">
        <v>249229.49</v>
      </c>
      <c r="F366" s="849">
        <v>10691.714</v>
      </c>
      <c r="H366" s="250">
        <f t="shared" si="109"/>
        <v>5545.9404790001809</v>
      </c>
      <c r="I366" s="241">
        <f t="shared" si="110"/>
        <v>-3.2317363441344657E-2</v>
      </c>
      <c r="J366" s="242">
        <f t="shared" si="113"/>
        <v>5470.8664790001931</v>
      </c>
      <c r="K366" s="849">
        <f t="shared" si="114"/>
        <v>85.799999999988358</v>
      </c>
      <c r="L366" s="242">
        <f t="shared" si="111"/>
        <v>-10.726000000000568</v>
      </c>
    </row>
    <row r="367" spans="1:12" ht="15.5">
      <c r="A367" s="180" t="s">
        <v>148</v>
      </c>
      <c r="B367" s="250">
        <f t="shared" si="112"/>
        <v>369769.83</v>
      </c>
      <c r="C367" s="241">
        <f t="shared" si="108"/>
        <v>5.9416525966317406E-2</v>
      </c>
      <c r="D367" s="242">
        <v>0</v>
      </c>
      <c r="E367" s="242">
        <v>85121.93</v>
      </c>
      <c r="F367" s="849">
        <v>284647.90000000002</v>
      </c>
      <c r="H367" s="250">
        <f t="shared" si="109"/>
        <v>-9112.5800000000017</v>
      </c>
      <c r="I367" s="241">
        <f t="shared" si="110"/>
        <v>5.3100923254304357E-2</v>
      </c>
      <c r="J367" s="242">
        <f t="shared" si="113"/>
        <v>0</v>
      </c>
      <c r="K367" s="849">
        <f t="shared" si="114"/>
        <v>-2842.9600000000064</v>
      </c>
      <c r="L367" s="242">
        <f t="shared" si="111"/>
        <v>-6269.6199999999953</v>
      </c>
    </row>
    <row r="368" spans="1:12" ht="15.5">
      <c r="A368" s="180" t="s">
        <v>11</v>
      </c>
      <c r="B368" s="250">
        <f t="shared" si="112"/>
        <v>768802.38</v>
      </c>
      <c r="C368" s="241">
        <f t="shared" si="108"/>
        <v>0.12353513690999783</v>
      </c>
      <c r="D368" s="242">
        <v>0</v>
      </c>
      <c r="E368" s="242">
        <v>434529.6</v>
      </c>
      <c r="F368" s="849">
        <v>334272.78000000003</v>
      </c>
      <c r="H368" s="250">
        <f t="shared" si="109"/>
        <v>-38590.669999999984</v>
      </c>
      <c r="I368" s="241">
        <f t="shared" si="110"/>
        <v>0.22487596333883317</v>
      </c>
      <c r="J368" s="242">
        <f t="shared" si="113"/>
        <v>0</v>
      </c>
      <c r="K368" s="849">
        <f t="shared" si="114"/>
        <v>-11834.400000000023</v>
      </c>
      <c r="L368" s="242">
        <f t="shared" si="111"/>
        <v>-26756.26999999996</v>
      </c>
    </row>
    <row r="369" spans="1:12" ht="15.5">
      <c r="A369" s="180" t="s">
        <v>12</v>
      </c>
      <c r="B369" s="250">
        <f t="shared" si="112"/>
        <v>221081.39534883722</v>
      </c>
      <c r="C369" s="241">
        <f t="shared" si="108"/>
        <v>3.5524500382883781E-2</v>
      </c>
      <c r="D369" s="242">
        <v>221081.39534883722</v>
      </c>
      <c r="E369" s="242">
        <v>0</v>
      </c>
      <c r="F369" s="849">
        <v>0</v>
      </c>
      <c r="H369" s="250">
        <f t="shared" si="109"/>
        <v>-1981.9849328529381</v>
      </c>
      <c r="I369" s="241">
        <f t="shared" si="110"/>
        <v>1.1549443715238869E-2</v>
      </c>
      <c r="J369" s="242">
        <f t="shared" si="113"/>
        <v>-1981.9849328529381</v>
      </c>
      <c r="K369" s="849">
        <f t="shared" si="114"/>
        <v>0</v>
      </c>
      <c r="L369" s="242">
        <f t="shared" si="111"/>
        <v>0</v>
      </c>
    </row>
    <row r="370" spans="1:12" ht="15.5">
      <c r="A370" s="180" t="s">
        <v>160</v>
      </c>
      <c r="B370" s="250">
        <f t="shared" si="112"/>
        <v>2709006.334764678</v>
      </c>
      <c r="C370" s="241">
        <f t="shared" si="108"/>
        <v>0.43529712857445357</v>
      </c>
      <c r="D370" s="242">
        <v>2709006.334764678</v>
      </c>
      <c r="E370" s="242">
        <v>0</v>
      </c>
      <c r="F370" s="849">
        <v>0</v>
      </c>
      <c r="H370" s="250">
        <f t="shared" si="109"/>
        <v>284.40171711752191</v>
      </c>
      <c r="I370" s="241">
        <f t="shared" si="110"/>
        <v>-1.6572687157808113E-3</v>
      </c>
      <c r="J370" s="242">
        <f t="shared" si="113"/>
        <v>284.40171711752191</v>
      </c>
      <c r="K370" s="849">
        <f t="shared" si="114"/>
        <v>0</v>
      </c>
      <c r="L370" s="242">
        <f t="shared" si="111"/>
        <v>0</v>
      </c>
    </row>
    <row r="371" spans="1:12" ht="15.5">
      <c r="A371" s="180"/>
      <c r="B371" s="242">
        <v>0</v>
      </c>
      <c r="C371" s="241">
        <v>0</v>
      </c>
      <c r="D371" s="237"/>
      <c r="E371" s="242"/>
      <c r="F371" s="295"/>
      <c r="H371" s="250"/>
      <c r="I371" s="241">
        <f>+H371/$H$295</f>
        <v>0</v>
      </c>
      <c r="J371" s="242"/>
      <c r="K371" s="242"/>
      <c r="L371" s="242"/>
    </row>
    <row r="372" spans="1:12" ht="15.5">
      <c r="A372" s="180"/>
      <c r="B372" s="243">
        <f>SUM(B364:B371)</f>
        <v>6223349.8843338396</v>
      </c>
      <c r="C372" s="240">
        <f>SUM(C364:C371)</f>
        <v>1</v>
      </c>
      <c r="D372" s="243">
        <f>SUM(D364:D371)</f>
        <v>4501551.8003338408</v>
      </c>
      <c r="E372" s="243">
        <f>SUM(E364:E371)</f>
        <v>1092185.69</v>
      </c>
      <c r="F372" s="243">
        <f>SUM(F364:F371)</f>
        <v>629612.39400000009</v>
      </c>
      <c r="G372" s="32">
        <f>+B372-B361</f>
        <v>-171608.69230764918</v>
      </c>
      <c r="H372" s="243">
        <f>SUM(H364:H371)</f>
        <v>-171608.69230764903</v>
      </c>
      <c r="I372" s="240">
        <f>SUM(I364:I371)</f>
        <v>1.0000000000000002</v>
      </c>
      <c r="J372" s="243">
        <f>SUM(J364:J371)</f>
        <v>-112013.19630764908</v>
      </c>
      <c r="K372" s="243">
        <f>SUM(K364:K371)</f>
        <v>-26558.880000000019</v>
      </c>
      <c r="L372" s="243">
        <f>SUM(L364:L371)</f>
        <v>-33036.615999999958</v>
      </c>
    </row>
    <row r="373" spans="1:12" ht="14.5" thickBot="1">
      <c r="H373" s="254">
        <f>+A374</f>
        <v>40905</v>
      </c>
      <c r="I373" s="254"/>
      <c r="J373" s="254">
        <f>+A363</f>
        <v>40875</v>
      </c>
    </row>
    <row r="374" spans="1:12" ht="16" thickBot="1">
      <c r="A374" s="253">
        <v>40905</v>
      </c>
      <c r="B374" s="251">
        <v>4.3099999999999996</v>
      </c>
      <c r="C374" s="238" t="s">
        <v>3</v>
      </c>
      <c r="D374" s="238" t="s">
        <v>4</v>
      </c>
      <c r="E374" s="238" t="s">
        <v>5</v>
      </c>
      <c r="F374" s="238" t="s">
        <v>114</v>
      </c>
      <c r="H374" s="251">
        <f>+B374-B363</f>
        <v>9.9999999999997868E-3</v>
      </c>
      <c r="I374" s="238" t="s">
        <v>3</v>
      </c>
      <c r="J374" s="238" t="s">
        <v>4</v>
      </c>
      <c r="K374" s="238" t="s">
        <v>5</v>
      </c>
      <c r="L374" s="238" t="s">
        <v>114</v>
      </c>
    </row>
    <row r="375" spans="1:12" ht="15.5">
      <c r="A375" s="180" t="s">
        <v>7</v>
      </c>
      <c r="B375" s="250">
        <f>SUM(D375:F375)</f>
        <v>1011744.647916473</v>
      </c>
      <c r="C375" s="241">
        <f t="shared" ref="C375:C381" si="115">+B375/$B$383</f>
        <v>0.1604249768654136</v>
      </c>
      <c r="D375" s="242">
        <f>892796.747916473</f>
        <v>892796.74791647296</v>
      </c>
      <c r="E375" s="242">
        <v>118947.9</v>
      </c>
      <c r="F375" s="849">
        <v>0</v>
      </c>
      <c r="H375" s="250">
        <f t="shared" ref="H375:H381" si="116">SUM(J375:L375)</f>
        <v>-27846.55557189908</v>
      </c>
      <c r="I375" s="241">
        <f t="shared" ref="I375:I381" si="117">+H375/$H$383</f>
        <v>-0.33428022361630311</v>
      </c>
      <c r="J375" s="242">
        <f>+D375-D364</f>
        <v>-31904.445571899065</v>
      </c>
      <c r="K375" s="849">
        <f>+E375-E364</f>
        <v>4057.8899999999849</v>
      </c>
      <c r="L375" s="242">
        <f t="shared" ref="L375:L381" si="118">+F375-F364</f>
        <v>0</v>
      </c>
    </row>
    <row r="376" spans="1:12" ht="15.5">
      <c r="A376" s="180" t="s">
        <v>8</v>
      </c>
      <c r="B376" s="242">
        <f t="shared" ref="B376:B382" si="119">SUM(D376:F376)</f>
        <v>286780.41675174015</v>
      </c>
      <c r="C376" s="241">
        <f t="shared" si="115"/>
        <v>4.5472681093589325E-2</v>
      </c>
      <c r="D376" s="242">
        <v>79523.396751740132</v>
      </c>
      <c r="E376" s="242">
        <v>207257.02</v>
      </c>
      <c r="F376" s="849">
        <v>0</v>
      </c>
      <c r="H376" s="250">
        <f t="shared" si="116"/>
        <v>-4187.2990622133802</v>
      </c>
      <c r="I376" s="241">
        <f t="shared" si="117"/>
        <v>-5.0265867290155704E-2</v>
      </c>
      <c r="J376" s="242">
        <f t="shared" ref="J376:J381" si="120">+D376-D365</f>
        <v>-3029.6590622133663</v>
      </c>
      <c r="K376" s="849">
        <f t="shared" ref="K376:K381" si="121">+E376-E365</f>
        <v>-1157.640000000014</v>
      </c>
      <c r="L376" s="242">
        <f t="shared" si="118"/>
        <v>0</v>
      </c>
    </row>
    <row r="377" spans="1:12" ht="15.5">
      <c r="A377" s="180" t="s">
        <v>9</v>
      </c>
      <c r="B377" s="242">
        <f t="shared" si="119"/>
        <v>938346.15732196602</v>
      </c>
      <c r="C377" s="241">
        <f t="shared" si="115"/>
        <v>0.14878671302104468</v>
      </c>
      <c r="D377" s="242">
        <f>789240.657321966-113994</f>
        <v>675246.65732196602</v>
      </c>
      <c r="E377" s="242">
        <v>251047.87</v>
      </c>
      <c r="F377" s="849">
        <v>12051.63</v>
      </c>
      <c r="H377" s="250">
        <f t="shared" si="116"/>
        <v>114215.13240396653</v>
      </c>
      <c r="I377" s="241">
        <f t="shared" si="117"/>
        <v>1.3710801647185482</v>
      </c>
      <c r="J377" s="242">
        <f t="shared" si="120"/>
        <v>111036.83640396653</v>
      </c>
      <c r="K377" s="849">
        <f t="shared" si="121"/>
        <v>1818.3800000000047</v>
      </c>
      <c r="L377" s="242">
        <f t="shared" si="118"/>
        <v>1359.9159999999993</v>
      </c>
    </row>
    <row r="378" spans="1:12" ht="15.5">
      <c r="A378" s="180" t="s">
        <v>148</v>
      </c>
      <c r="B378" s="242">
        <f t="shared" si="119"/>
        <v>369136.44</v>
      </c>
      <c r="C378" s="241">
        <f t="shared" si="115"/>
        <v>5.8531275622888276E-2</v>
      </c>
      <c r="D378" s="242">
        <v>0</v>
      </c>
      <c r="E378" s="242">
        <v>84564.2</v>
      </c>
      <c r="F378" s="849">
        <v>284572.24</v>
      </c>
      <c r="H378" s="250">
        <f t="shared" si="116"/>
        <v>-633.39000000002852</v>
      </c>
      <c r="I378" s="241">
        <f t="shared" si="117"/>
        <v>-7.6034448960719423E-3</v>
      </c>
      <c r="J378" s="242">
        <f t="shared" si="120"/>
        <v>0</v>
      </c>
      <c r="K378" s="849">
        <f t="shared" si="121"/>
        <v>-557.72999999999593</v>
      </c>
      <c r="L378" s="242">
        <f t="shared" si="118"/>
        <v>-75.660000000032596</v>
      </c>
    </row>
    <row r="379" spans="1:12" ht="15.5">
      <c r="A379" s="180" t="s">
        <v>11</v>
      </c>
      <c r="B379" s="242">
        <f t="shared" si="119"/>
        <v>771150.69</v>
      </c>
      <c r="C379" s="241">
        <f t="shared" si="115"/>
        <v>0.12227574601730046</v>
      </c>
      <c r="D379" s="242">
        <v>0</v>
      </c>
      <c r="E379" s="242">
        <v>432075.2</v>
      </c>
      <c r="F379" s="849">
        <v>339075.49</v>
      </c>
      <c r="H379" s="250">
        <f t="shared" si="116"/>
        <v>2348.3099999999977</v>
      </c>
      <c r="I379" s="241">
        <f t="shared" si="117"/>
        <v>2.8189970924539193E-2</v>
      </c>
      <c r="J379" s="242">
        <f t="shared" si="120"/>
        <v>0</v>
      </c>
      <c r="K379" s="849">
        <f t="shared" si="121"/>
        <v>-2454.3999999999651</v>
      </c>
      <c r="L379" s="242">
        <f t="shared" si="118"/>
        <v>4802.7099999999627</v>
      </c>
    </row>
    <row r="380" spans="1:12" ht="15.5">
      <c r="A380" s="180" t="s">
        <v>12</v>
      </c>
      <c r="B380" s="242">
        <f t="shared" si="119"/>
        <v>220591.64733178657</v>
      </c>
      <c r="C380" s="241">
        <f t="shared" si="115"/>
        <v>3.4977610203110174E-2</v>
      </c>
      <c r="D380" s="242">
        <v>220591.64733178657</v>
      </c>
      <c r="E380" s="242">
        <v>0</v>
      </c>
      <c r="F380" s="849">
        <v>0</v>
      </c>
      <c r="H380" s="250">
        <f t="shared" si="116"/>
        <v>-489.74801705064601</v>
      </c>
      <c r="I380" s="241">
        <f t="shared" si="117"/>
        <v>-5.8791140696962708E-3</v>
      </c>
      <c r="J380" s="242">
        <f t="shared" si="120"/>
        <v>-489.74801705064601</v>
      </c>
      <c r="K380" s="849">
        <f t="shared" si="121"/>
        <v>0</v>
      </c>
      <c r="L380" s="242">
        <f t="shared" si="118"/>
        <v>0</v>
      </c>
    </row>
    <row r="381" spans="1:12" ht="15.5">
      <c r="A381" s="180" t="s">
        <v>160</v>
      </c>
      <c r="B381" s="242">
        <f t="shared" si="119"/>
        <v>2708902.9152379828</v>
      </c>
      <c r="C381" s="241">
        <f t="shared" si="115"/>
        <v>0.4295309971766535</v>
      </c>
      <c r="D381" s="242">
        <v>2708902.9152379828</v>
      </c>
      <c r="E381" s="242">
        <v>0</v>
      </c>
      <c r="F381" s="849">
        <v>0</v>
      </c>
      <c r="H381" s="250">
        <f t="shared" si="116"/>
        <v>-103.41952669527382</v>
      </c>
      <c r="I381" s="241">
        <f t="shared" si="117"/>
        <v>-1.2414857708604812E-3</v>
      </c>
      <c r="J381" s="242">
        <f t="shared" si="120"/>
        <v>-103.41952669527382</v>
      </c>
      <c r="K381" s="849">
        <f t="shared" si="121"/>
        <v>0</v>
      </c>
      <c r="L381" s="242">
        <f t="shared" si="118"/>
        <v>0</v>
      </c>
    </row>
    <row r="382" spans="1:12" ht="15.5">
      <c r="A382" s="180"/>
      <c r="B382" s="242">
        <f t="shared" si="119"/>
        <v>0</v>
      </c>
      <c r="C382" s="241">
        <f>+B382/$B$12</f>
        <v>0</v>
      </c>
      <c r="D382" s="237"/>
      <c r="E382" s="242"/>
      <c r="F382" s="295"/>
      <c r="H382" s="250"/>
      <c r="I382" s="241">
        <f>+H382/$H$295</f>
        <v>0</v>
      </c>
      <c r="J382" s="242"/>
      <c r="K382" s="242"/>
      <c r="L382" s="242"/>
    </row>
    <row r="383" spans="1:12" ht="15.5">
      <c r="A383" s="180"/>
      <c r="B383" s="243">
        <f>SUM(B375:B382)</f>
        <v>6306652.9145599483</v>
      </c>
      <c r="C383" s="240">
        <f>SUM(C375:C382)</f>
        <v>1</v>
      </c>
      <c r="D383" s="243">
        <f>SUM(D375:D382)</f>
        <v>4577061.3645599484</v>
      </c>
      <c r="E383" s="243">
        <f>SUM(E375:E382)</f>
        <v>1093892.19</v>
      </c>
      <c r="F383" s="243">
        <f>SUM(F375:F382)</f>
        <v>635699.36</v>
      </c>
      <c r="G383" s="32">
        <f>+B383-B372</f>
        <v>83303.030226108618</v>
      </c>
      <c r="H383" s="243">
        <f>SUM(H375:H382)</f>
        <v>83303.030226108123</v>
      </c>
      <c r="I383" s="240">
        <f>SUM(I375:I382)</f>
        <v>0.99999999999999978</v>
      </c>
      <c r="J383" s="243">
        <f>SUM(J375:J382)</f>
        <v>75509.564226108181</v>
      </c>
      <c r="K383" s="243">
        <f>SUM(K375:K382)</f>
        <v>1706.5000000000146</v>
      </c>
      <c r="L383" s="243">
        <f>SUM(L375:L382)</f>
        <v>6086.9659999999294</v>
      </c>
    </row>
    <row r="384" spans="1:12" ht="14.5" thickBot="1">
      <c r="H384" s="254">
        <f>+A385</f>
        <v>40936</v>
      </c>
      <c r="I384" s="254"/>
      <c r="J384" s="254">
        <f>+A374</f>
        <v>40905</v>
      </c>
    </row>
    <row r="385" spans="1:12" ht="16" thickBot="1">
      <c r="A385" s="253">
        <v>40936</v>
      </c>
      <c r="B385" s="251">
        <v>4.3499999999999996</v>
      </c>
      <c r="C385" s="238" t="s">
        <v>3</v>
      </c>
      <c r="D385" s="238" t="s">
        <v>4</v>
      </c>
      <c r="E385" s="238" t="s">
        <v>5</v>
      </c>
      <c r="F385" s="238" t="s">
        <v>114</v>
      </c>
      <c r="H385" s="251">
        <f>+B385-B374</f>
        <v>4.0000000000000036E-2</v>
      </c>
      <c r="I385" s="238" t="s">
        <v>3</v>
      </c>
      <c r="J385" s="238" t="s">
        <v>4</v>
      </c>
      <c r="K385" s="238" t="s">
        <v>5</v>
      </c>
      <c r="L385" s="238" t="s">
        <v>114</v>
      </c>
    </row>
    <row r="386" spans="1:12" ht="15.5">
      <c r="A386" s="180" t="s">
        <v>7</v>
      </c>
      <c r="B386" s="250">
        <f t="shared" ref="B386:B393" si="122">SUM(D386:F386)</f>
        <v>897863.28103448288</v>
      </c>
      <c r="C386" s="241">
        <f t="shared" ref="C386:C392" si="123">+B386/$B$394</f>
        <v>0.13976578090695918</v>
      </c>
      <c r="D386" s="242">
        <v>773896.59103448293</v>
      </c>
      <c r="E386" s="242">
        <v>123966.69</v>
      </c>
      <c r="F386" s="849">
        <v>0</v>
      </c>
      <c r="H386" s="250">
        <f t="shared" ref="H386:H392" si="124">SUM(J386:L386)</f>
        <v>-113881.36688199002</v>
      </c>
      <c r="I386" s="241">
        <f t="shared" ref="I386:I392" si="125">+H386/$H$394</f>
        <v>-0.96999859813661082</v>
      </c>
      <c r="J386" s="242">
        <f>+D386-D375</f>
        <v>-118900.15688199003</v>
      </c>
      <c r="K386" s="849">
        <f>+E386-E375</f>
        <v>5018.7900000000081</v>
      </c>
      <c r="L386" s="242">
        <f t="shared" ref="L386:L392" si="126">+F386-F375</f>
        <v>0</v>
      </c>
    </row>
    <row r="387" spans="1:12" ht="15.5">
      <c r="A387" s="180" t="s">
        <v>8</v>
      </c>
      <c r="B387" s="242">
        <f t="shared" si="122"/>
        <v>312767.37689655175</v>
      </c>
      <c r="C387" s="241">
        <f t="shared" si="123"/>
        <v>4.8686896543761113E-2</v>
      </c>
      <c r="D387" s="242">
        <v>86912.206896551725</v>
      </c>
      <c r="E387" s="242">
        <v>225855.17</v>
      </c>
      <c r="F387" s="849">
        <v>0</v>
      </c>
      <c r="H387" s="250">
        <f t="shared" si="124"/>
        <v>25986.960144811615</v>
      </c>
      <c r="I387" s="241">
        <f t="shared" si="125"/>
        <v>0.22134714045380588</v>
      </c>
      <c r="J387" s="242">
        <f t="shared" ref="J387:J392" si="127">+D387-D376</f>
        <v>7388.8101448115922</v>
      </c>
      <c r="K387" s="849">
        <f t="shared" ref="K387:K392" si="128">+E387-E376</f>
        <v>18598.150000000023</v>
      </c>
      <c r="L387" s="242">
        <f t="shared" si="126"/>
        <v>0</v>
      </c>
    </row>
    <row r="388" spans="1:12" ht="15.5">
      <c r="A388" s="180" t="s">
        <v>9</v>
      </c>
      <c r="B388" s="242">
        <f t="shared" si="122"/>
        <v>1084541.6779448905</v>
      </c>
      <c r="C388" s="241">
        <f t="shared" si="123"/>
        <v>0.16882505137025405</v>
      </c>
      <c r="D388" s="242">
        <v>821572.25794489053</v>
      </c>
      <c r="E388" s="242">
        <v>251610.43</v>
      </c>
      <c r="F388" s="849">
        <v>11358.99</v>
      </c>
      <c r="H388" s="250">
        <f t="shared" si="124"/>
        <v>146195.52062292449</v>
      </c>
      <c r="I388" s="241">
        <f t="shared" si="125"/>
        <v>1.2452383909743487</v>
      </c>
      <c r="J388" s="242">
        <f t="shared" si="127"/>
        <v>146325.60062292451</v>
      </c>
      <c r="K388" s="849">
        <f t="shared" si="128"/>
        <v>562.55999999999767</v>
      </c>
      <c r="L388" s="242">
        <f t="shared" si="126"/>
        <v>-692.63999999999942</v>
      </c>
    </row>
    <row r="389" spans="1:12" ht="15.5">
      <c r="A389" s="180" t="s">
        <v>148</v>
      </c>
      <c r="B389" s="242">
        <f t="shared" si="122"/>
        <v>381949.39</v>
      </c>
      <c r="C389" s="241">
        <f t="shared" si="123"/>
        <v>5.9456106389360726E-2</v>
      </c>
      <c r="D389" s="242">
        <v>0</v>
      </c>
      <c r="E389" s="242">
        <v>89293.6</v>
      </c>
      <c r="F389" s="849">
        <v>292655.78999999998</v>
      </c>
      <c r="H389" s="250">
        <f t="shared" si="124"/>
        <v>12812.949999999997</v>
      </c>
      <c r="I389" s="241">
        <f t="shared" si="125"/>
        <v>0.10913588305340248</v>
      </c>
      <c r="J389" s="242">
        <f t="shared" si="127"/>
        <v>0</v>
      </c>
      <c r="K389" s="849">
        <f t="shared" si="128"/>
        <v>4729.4000000000087</v>
      </c>
      <c r="L389" s="242">
        <f t="shared" si="126"/>
        <v>8083.5499999999884</v>
      </c>
    </row>
    <row r="390" spans="1:12" ht="15.5">
      <c r="A390" s="180" t="s">
        <v>11</v>
      </c>
      <c r="B390" s="242">
        <f t="shared" si="122"/>
        <v>819513.94</v>
      </c>
      <c r="C390" s="241">
        <f t="shared" si="123"/>
        <v>0.12756954004875928</v>
      </c>
      <c r="D390" s="242">
        <v>0</v>
      </c>
      <c r="E390" s="242">
        <v>460998.6</v>
      </c>
      <c r="F390" s="849">
        <v>358515.34</v>
      </c>
      <c r="H390" s="250">
        <f t="shared" si="124"/>
        <v>48363.25</v>
      </c>
      <c r="I390" s="241">
        <f t="shared" si="125"/>
        <v>0.41193995107156967</v>
      </c>
      <c r="J390" s="242">
        <f t="shared" si="127"/>
        <v>0</v>
      </c>
      <c r="K390" s="849">
        <f t="shared" si="128"/>
        <v>28923.399999999965</v>
      </c>
      <c r="L390" s="242">
        <f t="shared" si="126"/>
        <v>19439.850000000035</v>
      </c>
    </row>
    <row r="391" spans="1:12" ht="15.5">
      <c r="A391" s="180" t="s">
        <v>12</v>
      </c>
      <c r="B391" s="242">
        <f t="shared" si="122"/>
        <v>218655.17241379313</v>
      </c>
      <c r="C391" s="241">
        <f t="shared" si="123"/>
        <v>3.403693142072696E-2</v>
      </c>
      <c r="D391" s="242">
        <v>218655.17241379313</v>
      </c>
      <c r="E391" s="242">
        <v>0</v>
      </c>
      <c r="F391" s="849">
        <v>0</v>
      </c>
      <c r="H391" s="250">
        <f t="shared" si="124"/>
        <v>-1936.4749179934443</v>
      </c>
      <c r="I391" s="241">
        <f t="shared" si="125"/>
        <v>-1.649416412192194E-2</v>
      </c>
      <c r="J391" s="242">
        <f t="shared" si="127"/>
        <v>-1936.4749179934443</v>
      </c>
      <c r="K391" s="849">
        <f t="shared" si="128"/>
        <v>0</v>
      </c>
      <c r="L391" s="242">
        <f t="shared" si="126"/>
        <v>0</v>
      </c>
    </row>
    <row r="392" spans="1:12" ht="15.5">
      <c r="A392" s="180" t="s">
        <v>160</v>
      </c>
      <c r="B392" s="242">
        <f t="shared" si="122"/>
        <v>2708765.7169566792</v>
      </c>
      <c r="C392" s="241">
        <f t="shared" si="123"/>
        <v>0.42165969332017861</v>
      </c>
      <c r="D392" s="242">
        <v>2708765.7169566792</v>
      </c>
      <c r="E392" s="242">
        <v>0</v>
      </c>
      <c r="F392" s="849">
        <v>0</v>
      </c>
      <c r="H392" s="250">
        <f t="shared" si="124"/>
        <v>-137.1982813035138</v>
      </c>
      <c r="I392" s="241">
        <f t="shared" si="125"/>
        <v>-1.1686032945939929E-3</v>
      </c>
      <c r="J392" s="242">
        <f t="shared" si="127"/>
        <v>-137.1982813035138</v>
      </c>
      <c r="K392" s="849">
        <f t="shared" si="128"/>
        <v>0</v>
      </c>
      <c r="L392" s="242">
        <f t="shared" si="126"/>
        <v>0</v>
      </c>
    </row>
    <row r="393" spans="1:12" ht="15.5">
      <c r="A393" s="180"/>
      <c r="B393" s="242">
        <f t="shared" si="122"/>
        <v>0</v>
      </c>
      <c r="C393" s="241">
        <f>+B393/$B$12</f>
        <v>0</v>
      </c>
      <c r="D393" s="237"/>
      <c r="E393" s="242"/>
      <c r="F393" s="295"/>
      <c r="H393" s="250"/>
      <c r="I393" s="241">
        <f>+H393/$H$295</f>
        <v>0</v>
      </c>
      <c r="J393" s="242"/>
      <c r="K393" s="242"/>
      <c r="L393" s="242"/>
    </row>
    <row r="394" spans="1:12" ht="15.5">
      <c r="A394" s="180"/>
      <c r="B394" s="243">
        <f>SUM(B386:B393)</f>
        <v>6424056.5552463979</v>
      </c>
      <c r="C394" s="240">
        <f>SUM(C386:C393)</f>
        <v>0.99999999999999989</v>
      </c>
      <c r="D394" s="243">
        <f>SUM(D386:D393)</f>
        <v>4609801.9452463975</v>
      </c>
      <c r="E394" s="243">
        <f>SUM(E386:E393)</f>
        <v>1151724.49</v>
      </c>
      <c r="F394" s="243">
        <f>SUM(F386:F393)</f>
        <v>662530.12</v>
      </c>
      <c r="G394" s="32">
        <f>+B394-B383</f>
        <v>117403.64068644959</v>
      </c>
      <c r="H394" s="243">
        <f>SUM(H386:H393)</f>
        <v>117403.64068644913</v>
      </c>
      <c r="I394" s="240">
        <f>SUM(I386:I393)</f>
        <v>1.0000000000000002</v>
      </c>
      <c r="J394" s="243">
        <f>SUM(J386:J393)</f>
        <v>32740.580686449117</v>
      </c>
      <c r="K394" s="243">
        <f>SUM(K386:K393)</f>
        <v>57832.3</v>
      </c>
      <c r="L394" s="243">
        <f>SUM(L386:L393)</f>
        <v>26830.760000000024</v>
      </c>
    </row>
    <row r="395" spans="1:12" ht="14.5" thickBot="1">
      <c r="H395" s="254">
        <f>+A396</f>
        <v>40967</v>
      </c>
      <c r="I395" s="254"/>
      <c r="J395" s="254">
        <f>+A385</f>
        <v>40936</v>
      </c>
    </row>
    <row r="396" spans="1:12" ht="16" thickBot="1">
      <c r="A396" s="253">
        <v>40967</v>
      </c>
      <c r="B396" s="251">
        <v>4.37</v>
      </c>
      <c r="C396" s="238" t="s">
        <v>3</v>
      </c>
      <c r="D396" s="238" t="s">
        <v>4</v>
      </c>
      <c r="E396" s="238" t="s">
        <v>5</v>
      </c>
      <c r="F396" s="238" t="s">
        <v>114</v>
      </c>
      <c r="H396" s="251">
        <f>+B396-B385</f>
        <v>2.0000000000000462E-2</v>
      </c>
      <c r="I396" s="238" t="s">
        <v>3</v>
      </c>
      <c r="J396" s="238" t="s">
        <v>4</v>
      </c>
      <c r="K396" s="238" t="s">
        <v>5</v>
      </c>
      <c r="L396" s="238" t="s">
        <v>114</v>
      </c>
    </row>
    <row r="397" spans="1:12" ht="15.5">
      <c r="A397" s="180" t="s">
        <v>7</v>
      </c>
      <c r="B397" s="250">
        <f t="shared" ref="B397:B404" si="129">SUM(D397:F397)</f>
        <v>919591.33100686502</v>
      </c>
      <c r="C397" s="241">
        <f t="shared" ref="C397:C403" si="130">+B397/$B$405</f>
        <v>0.14155881147689006</v>
      </c>
      <c r="D397" s="242">
        <v>796938.78100686497</v>
      </c>
      <c r="E397" s="242">
        <v>122652.55</v>
      </c>
      <c r="F397" s="849">
        <v>0</v>
      </c>
      <c r="H397" s="250">
        <f t="shared" ref="H397:H403" si="131">SUM(J397:L397)</f>
        <v>21728.049972382039</v>
      </c>
      <c r="I397" s="241">
        <f t="shared" ref="I397:I403" si="132">+H397/$H$405</f>
        <v>0.3012675300902608</v>
      </c>
      <c r="J397" s="242">
        <f>+D397-D386</f>
        <v>23042.189972382039</v>
      </c>
      <c r="K397" s="849">
        <f>+E397-E386</f>
        <v>-1314.1399999999994</v>
      </c>
      <c r="L397" s="242">
        <f t="shared" ref="L397:L403" si="133">+F397-F386</f>
        <v>0</v>
      </c>
    </row>
    <row r="398" spans="1:12" ht="15.5">
      <c r="A398" s="180" t="s">
        <v>8</v>
      </c>
      <c r="B398" s="242">
        <f t="shared" si="129"/>
        <v>310213.78700228833</v>
      </c>
      <c r="C398" s="241">
        <f t="shared" si="130"/>
        <v>4.7753272036294599E-2</v>
      </c>
      <c r="D398" s="242">
        <v>83153.62700228834</v>
      </c>
      <c r="E398" s="242">
        <v>227060.16</v>
      </c>
      <c r="F398" s="849">
        <v>0</v>
      </c>
      <c r="H398" s="250">
        <f t="shared" si="131"/>
        <v>-2553.5898942633939</v>
      </c>
      <c r="I398" s="241">
        <f t="shared" si="132"/>
        <v>-3.5406477860923449E-2</v>
      </c>
      <c r="J398" s="242">
        <f t="shared" ref="J398:J403" si="134">+D398-D387</f>
        <v>-3758.5798942633846</v>
      </c>
      <c r="K398" s="849">
        <f t="shared" ref="K398:K403" si="135">+E398-E387</f>
        <v>1204.9899999999907</v>
      </c>
      <c r="L398" s="242">
        <f t="shared" si="133"/>
        <v>0</v>
      </c>
    </row>
    <row r="399" spans="1:12" ht="15.5">
      <c r="A399" s="180" t="s">
        <v>9</v>
      </c>
      <c r="B399" s="242">
        <f t="shared" si="129"/>
        <v>1088343.0599317262</v>
      </c>
      <c r="C399" s="241">
        <f t="shared" si="130"/>
        <v>0.16753588778873205</v>
      </c>
      <c r="D399" s="242">
        <v>825305.3199317262</v>
      </c>
      <c r="E399" s="242">
        <v>251674.51</v>
      </c>
      <c r="F399" s="849">
        <v>11363.23</v>
      </c>
      <c r="H399" s="250">
        <f t="shared" si="131"/>
        <v>3801.3819868356895</v>
      </c>
      <c r="I399" s="241">
        <f t="shared" si="132"/>
        <v>5.2707581377954879E-2</v>
      </c>
      <c r="J399" s="242">
        <f t="shared" si="134"/>
        <v>3733.0619868356735</v>
      </c>
      <c r="K399" s="849">
        <f t="shared" si="135"/>
        <v>64.080000000016298</v>
      </c>
      <c r="L399" s="242">
        <f t="shared" si="133"/>
        <v>4.2399999999997817</v>
      </c>
    </row>
    <row r="400" spans="1:12" ht="15.5">
      <c r="A400" s="180" t="s">
        <v>148</v>
      </c>
      <c r="B400" s="242">
        <f t="shared" si="129"/>
        <v>394002.49</v>
      </c>
      <c r="C400" s="241">
        <f t="shared" si="130"/>
        <v>6.0651424521659482E-2</v>
      </c>
      <c r="D400" s="242">
        <v>0</v>
      </c>
      <c r="E400" s="242">
        <v>92610.98</v>
      </c>
      <c r="F400" s="849">
        <v>301391.51</v>
      </c>
      <c r="H400" s="250">
        <f t="shared" si="131"/>
        <v>12053.10000000002</v>
      </c>
      <c r="I400" s="241">
        <f t="shared" si="132"/>
        <v>0.16712073432942498</v>
      </c>
      <c r="J400" s="242">
        <f t="shared" si="134"/>
        <v>0</v>
      </c>
      <c r="K400" s="849">
        <f t="shared" si="135"/>
        <v>3317.3799999999901</v>
      </c>
      <c r="L400" s="242">
        <f t="shared" si="133"/>
        <v>8735.7200000000303</v>
      </c>
    </row>
    <row r="401" spans="1:12" ht="15.5">
      <c r="A401" s="180" t="s">
        <v>11</v>
      </c>
      <c r="B401" s="242">
        <f t="shared" si="129"/>
        <v>856965.25</v>
      </c>
      <c r="C401" s="241">
        <f t="shared" si="130"/>
        <v>0.13191836218613759</v>
      </c>
      <c r="D401" s="242">
        <v>0</v>
      </c>
      <c r="E401" s="242">
        <v>482061.9</v>
      </c>
      <c r="F401" s="849">
        <v>374903.35</v>
      </c>
      <c r="H401" s="250">
        <f t="shared" si="131"/>
        <v>37451.31</v>
      </c>
      <c r="I401" s="241">
        <f t="shared" si="132"/>
        <v>0.5192764043108351</v>
      </c>
      <c r="J401" s="242">
        <f t="shared" si="134"/>
        <v>0</v>
      </c>
      <c r="K401" s="849">
        <f t="shared" si="135"/>
        <v>21063.300000000047</v>
      </c>
      <c r="L401" s="242">
        <f t="shared" si="133"/>
        <v>16388.009999999951</v>
      </c>
    </row>
    <row r="402" spans="1:12" ht="15.5">
      <c r="A402" s="180" t="s">
        <v>12</v>
      </c>
      <c r="B402" s="242">
        <f t="shared" si="129"/>
        <v>217700.22883295195</v>
      </c>
      <c r="C402" s="241">
        <f t="shared" si="130"/>
        <v>3.3512044549286434E-2</v>
      </c>
      <c r="D402" s="242">
        <v>217700.22883295195</v>
      </c>
      <c r="E402" s="242">
        <v>0</v>
      </c>
      <c r="F402" s="849">
        <v>0</v>
      </c>
      <c r="H402" s="250">
        <f t="shared" si="131"/>
        <v>-954.94358084117994</v>
      </c>
      <c r="I402" s="241">
        <f t="shared" si="132"/>
        <v>-1.3240649498747072E-2</v>
      </c>
      <c r="J402" s="242">
        <f t="shared" si="134"/>
        <v>-954.94358084117994</v>
      </c>
      <c r="K402" s="849">
        <f t="shared" si="135"/>
        <v>0</v>
      </c>
      <c r="L402" s="242">
        <f t="shared" si="133"/>
        <v>0</v>
      </c>
    </row>
    <row r="403" spans="1:12" ht="15.5">
      <c r="A403" s="180" t="s">
        <v>160</v>
      </c>
      <c r="B403" s="242">
        <f t="shared" si="129"/>
        <v>2709362.5185647896</v>
      </c>
      <c r="C403" s="241">
        <f t="shared" si="130"/>
        <v>0.41707019744099988</v>
      </c>
      <c r="D403" s="242">
        <v>2709362.5185647896</v>
      </c>
      <c r="E403" s="242">
        <v>0</v>
      </c>
      <c r="F403" s="849">
        <v>0</v>
      </c>
      <c r="H403" s="250">
        <f t="shared" si="131"/>
        <v>596.80160811031237</v>
      </c>
      <c r="I403" s="241">
        <f t="shared" si="132"/>
        <v>8.2748772511948756E-3</v>
      </c>
      <c r="J403" s="242">
        <f t="shared" si="134"/>
        <v>596.80160811031237</v>
      </c>
      <c r="K403" s="849">
        <f t="shared" si="135"/>
        <v>0</v>
      </c>
      <c r="L403" s="242">
        <f t="shared" si="133"/>
        <v>0</v>
      </c>
    </row>
    <row r="404" spans="1:12" ht="15.5">
      <c r="A404" s="180"/>
      <c r="B404" s="242">
        <f t="shared" si="129"/>
        <v>0</v>
      </c>
      <c r="C404" s="241">
        <f>+B404/$B$12</f>
        <v>0</v>
      </c>
      <c r="D404" s="237"/>
      <c r="E404" s="242"/>
      <c r="F404" s="295"/>
      <c r="H404" s="250"/>
      <c r="I404" s="241">
        <f>+H404/$H$295</f>
        <v>0</v>
      </c>
      <c r="J404" s="242"/>
      <c r="K404" s="242"/>
      <c r="L404" s="242"/>
    </row>
    <row r="405" spans="1:12" ht="15.5">
      <c r="A405" s="180"/>
      <c r="B405" s="243">
        <f>SUM(B397:B404)</f>
        <v>6496178.6653386205</v>
      </c>
      <c r="C405" s="240">
        <f>SUM(C397:C404)</f>
        <v>1.0000000000000002</v>
      </c>
      <c r="D405" s="243">
        <f>SUM(D397:D404)</f>
        <v>4632460.4753386211</v>
      </c>
      <c r="E405" s="243">
        <f>SUM(E397:E404)</f>
        <v>1176060.1000000001</v>
      </c>
      <c r="F405" s="243">
        <f>SUM(F397:F404)</f>
        <v>687658.09</v>
      </c>
      <c r="G405" s="32">
        <f>+B405-B394</f>
        <v>72122.110092222691</v>
      </c>
      <c r="H405" s="243">
        <f>SUM(H397:H404)</f>
        <v>72122.110092223476</v>
      </c>
      <c r="I405" s="240">
        <f>SUM(I397:I404)</f>
        <v>1.0000000000000002</v>
      </c>
      <c r="J405" s="243">
        <f>SUM(J397:J404)</f>
        <v>22658.53009222346</v>
      </c>
      <c r="K405" s="243">
        <f>SUM(K397:K404)</f>
        <v>24335.610000000044</v>
      </c>
      <c r="L405" s="243">
        <f>SUM(L397:L404)</f>
        <v>25127.969999999979</v>
      </c>
    </row>
    <row r="406" spans="1:12" ht="14.5" thickBot="1">
      <c r="H406" s="254">
        <f>+A407</f>
        <v>40996</v>
      </c>
      <c r="I406" s="254"/>
      <c r="J406" s="254">
        <f>+A396</f>
        <v>40967</v>
      </c>
    </row>
    <row r="407" spans="1:12" ht="16" thickBot="1">
      <c r="A407" s="253">
        <v>40996</v>
      </c>
      <c r="B407" s="251">
        <v>4.37</v>
      </c>
      <c r="C407" s="238" t="s">
        <v>3</v>
      </c>
      <c r="D407" s="238" t="s">
        <v>4</v>
      </c>
      <c r="E407" s="238" t="s">
        <v>5</v>
      </c>
      <c r="F407" s="238" t="s">
        <v>114</v>
      </c>
      <c r="H407" s="251">
        <f>+B407-B396</f>
        <v>0</v>
      </c>
      <c r="I407" s="238" t="s">
        <v>3</v>
      </c>
      <c r="J407" s="238" t="s">
        <v>4</v>
      </c>
      <c r="K407" s="238" t="s">
        <v>5</v>
      </c>
      <c r="L407" s="238" t="s">
        <v>114</v>
      </c>
    </row>
    <row r="408" spans="1:12" ht="15.5">
      <c r="A408" s="180" t="s">
        <v>7</v>
      </c>
      <c r="B408" s="250">
        <f t="shared" ref="B408:B415" si="136">SUM(D408:F408)</f>
        <v>1128943.2114168566</v>
      </c>
      <c r="C408" s="241">
        <f t="shared" ref="C408:C414" si="137">+B408/$B$416</f>
        <v>0.17248812742053352</v>
      </c>
      <c r="D408" s="242">
        <v>830233.99141685665</v>
      </c>
      <c r="E408" s="242">
        <v>298709.21999999997</v>
      </c>
      <c r="F408" s="849">
        <v>0</v>
      </c>
      <c r="H408" s="250">
        <f t="shared" ref="H408:H414" si="138">SUM(J408:L408)</f>
        <v>209351.88040999166</v>
      </c>
      <c r="I408" s="241">
        <f t="shared" ref="I408:I414" si="139">+H408/$H$416</f>
        <v>4.2838408599478432</v>
      </c>
      <c r="J408" s="242">
        <f>+D408-D397</f>
        <v>33295.210409991676</v>
      </c>
      <c r="K408" s="849">
        <f>+E408-E397</f>
        <v>176056.66999999998</v>
      </c>
      <c r="L408" s="242">
        <f t="shared" ref="L408:L414" si="140">+F408-F397</f>
        <v>0</v>
      </c>
    </row>
    <row r="409" spans="1:12" ht="15.5">
      <c r="A409" s="180" t="s">
        <v>8</v>
      </c>
      <c r="B409" s="242">
        <f t="shared" si="136"/>
        <v>320364.97603644652</v>
      </c>
      <c r="C409" s="241">
        <f t="shared" si="137"/>
        <v>4.8947683327931882E-2</v>
      </c>
      <c r="D409" s="242">
        <v>85953.656036446482</v>
      </c>
      <c r="E409" s="242">
        <v>234411.32</v>
      </c>
      <c r="F409" s="849">
        <v>0</v>
      </c>
      <c r="H409" s="250">
        <f t="shared" si="138"/>
        <v>10151.189034158146</v>
      </c>
      <c r="I409" s="241">
        <f t="shared" si="139"/>
        <v>0.20771763920352015</v>
      </c>
      <c r="J409" s="242">
        <f t="shared" ref="J409:J414" si="141">+D409-D398</f>
        <v>2800.0290341581422</v>
      </c>
      <c r="K409" s="849">
        <f t="shared" ref="K409:K414" si="142">+E409-E398</f>
        <v>7351.1600000000035</v>
      </c>
      <c r="L409" s="242">
        <f t="shared" si="140"/>
        <v>0</v>
      </c>
    </row>
    <row r="410" spans="1:12" ht="15.5">
      <c r="A410" s="180" t="s">
        <v>9</v>
      </c>
      <c r="B410" s="242">
        <f t="shared" si="136"/>
        <v>920732.43451211974</v>
      </c>
      <c r="C410" s="241">
        <f t="shared" si="137"/>
        <v>0.14067617562891102</v>
      </c>
      <c r="D410" s="242">
        <v>832860.08451211965</v>
      </c>
      <c r="E410" s="242">
        <v>72757.039999999994</v>
      </c>
      <c r="F410" s="849">
        <v>15115.31</v>
      </c>
      <c r="H410" s="250">
        <f t="shared" si="138"/>
        <v>-167610.6254196066</v>
      </c>
      <c r="I410" s="241">
        <f t="shared" si="139"/>
        <v>-3.4297148147309153</v>
      </c>
      <c r="J410" s="242">
        <f t="shared" si="141"/>
        <v>7554.7645803934429</v>
      </c>
      <c r="K410" s="849">
        <f t="shared" si="142"/>
        <v>-178917.47000000003</v>
      </c>
      <c r="L410" s="242">
        <f t="shared" si="140"/>
        <v>3752.08</v>
      </c>
    </row>
    <row r="411" spans="1:12" ht="15.5">
      <c r="A411" s="180" t="s">
        <v>148</v>
      </c>
      <c r="B411" s="242">
        <f t="shared" si="136"/>
        <v>392480.13</v>
      </c>
      <c r="C411" s="241">
        <f t="shared" si="137"/>
        <v>5.9965959304989658E-2</v>
      </c>
      <c r="D411" s="242">
        <v>0</v>
      </c>
      <c r="E411" s="242">
        <v>92317.22</v>
      </c>
      <c r="F411" s="849">
        <v>300162.91000000003</v>
      </c>
      <c r="H411" s="250">
        <f t="shared" si="138"/>
        <v>-1522.3599999999715</v>
      </c>
      <c r="I411" s="241">
        <f t="shared" si="139"/>
        <v>-3.1151131572252286E-2</v>
      </c>
      <c r="J411" s="242">
        <f t="shared" si="141"/>
        <v>0</v>
      </c>
      <c r="K411" s="849">
        <f t="shared" si="142"/>
        <v>-293.75999999999476</v>
      </c>
      <c r="L411" s="242">
        <f t="shared" si="140"/>
        <v>-1228.5999999999767</v>
      </c>
    </row>
    <row r="412" spans="1:12" ht="15.5">
      <c r="A412" s="180" t="s">
        <v>11</v>
      </c>
      <c r="B412" s="242">
        <f t="shared" si="136"/>
        <v>855699.52</v>
      </c>
      <c r="C412" s="241">
        <f t="shared" si="137"/>
        <v>0.13073997553358735</v>
      </c>
      <c r="D412" s="242">
        <v>0</v>
      </c>
      <c r="E412" s="242">
        <v>489785.8</v>
      </c>
      <c r="F412" s="849">
        <v>365913.72</v>
      </c>
      <c r="H412" s="250">
        <f t="shared" si="138"/>
        <v>-1265.7300000000396</v>
      </c>
      <c r="I412" s="241">
        <f t="shared" si="139"/>
        <v>-2.5899867156880672E-2</v>
      </c>
      <c r="J412" s="242">
        <f t="shared" si="141"/>
        <v>0</v>
      </c>
      <c r="K412" s="849">
        <f t="shared" si="142"/>
        <v>7723.8999999999651</v>
      </c>
      <c r="L412" s="242">
        <f t="shared" si="140"/>
        <v>-8989.6300000000047</v>
      </c>
    </row>
    <row r="413" spans="1:12" ht="15.5">
      <c r="A413" s="180" t="s">
        <v>12</v>
      </c>
      <c r="B413" s="242">
        <f t="shared" si="136"/>
        <v>216753.98633257404</v>
      </c>
      <c r="C413" s="241">
        <f t="shared" si="137"/>
        <v>3.3117245256755849E-2</v>
      </c>
      <c r="D413" s="242">
        <v>216753.98633257404</v>
      </c>
      <c r="E413" s="242">
        <v>0</v>
      </c>
      <c r="F413" s="849">
        <v>0</v>
      </c>
      <c r="H413" s="250">
        <f t="shared" si="138"/>
        <v>-946.24250037790625</v>
      </c>
      <c r="I413" s="241">
        <f t="shared" si="139"/>
        <v>-1.9362387758828196E-2</v>
      </c>
      <c r="J413" s="242">
        <f t="shared" si="141"/>
        <v>-946.24250037790625</v>
      </c>
      <c r="K413" s="849">
        <f t="shared" si="142"/>
        <v>0</v>
      </c>
      <c r="L413" s="242">
        <f t="shared" si="140"/>
        <v>0</v>
      </c>
    </row>
    <row r="414" spans="1:12" ht="15.5">
      <c r="A414" s="180" t="s">
        <v>160</v>
      </c>
      <c r="B414" s="242">
        <f t="shared" si="136"/>
        <v>2710074.5418692417</v>
      </c>
      <c r="C414" s="241">
        <f t="shared" si="137"/>
        <v>0.41406483352729079</v>
      </c>
      <c r="D414" s="242">
        <v>2710074.5418692417</v>
      </c>
      <c r="E414" s="242">
        <v>0</v>
      </c>
      <c r="F414" s="849">
        <v>0</v>
      </c>
      <c r="H414" s="250">
        <f t="shared" si="138"/>
        <v>712.02330445218831</v>
      </c>
      <c r="I414" s="241">
        <f t="shared" si="139"/>
        <v>1.4569702067513847E-2</v>
      </c>
      <c r="J414" s="242">
        <f t="shared" si="141"/>
        <v>712.02330445218831</v>
      </c>
      <c r="K414" s="849">
        <f t="shared" si="142"/>
        <v>0</v>
      </c>
      <c r="L414" s="242">
        <f t="shared" si="140"/>
        <v>0</v>
      </c>
    </row>
    <row r="415" spans="1:12" ht="15.5">
      <c r="A415" s="180"/>
      <c r="B415" s="242">
        <f t="shared" si="136"/>
        <v>0</v>
      </c>
      <c r="C415" s="241">
        <f>+B415/$B$12</f>
        <v>0</v>
      </c>
      <c r="D415" s="237"/>
      <c r="E415" s="242"/>
      <c r="F415" s="295"/>
      <c r="H415" s="250"/>
      <c r="I415" s="241">
        <f>+H415/$H$295</f>
        <v>0</v>
      </c>
      <c r="J415" s="242"/>
      <c r="K415" s="242"/>
      <c r="L415" s="242"/>
    </row>
    <row r="416" spans="1:12" ht="15.5">
      <c r="A416" s="180"/>
      <c r="B416" s="243">
        <f>SUM(B408:B415)</f>
        <v>6545048.8001672383</v>
      </c>
      <c r="C416" s="240">
        <f>SUM(C408:C415)</f>
        <v>1</v>
      </c>
      <c r="D416" s="243">
        <f>SUM(D408:D415)</f>
        <v>4675876.2601672383</v>
      </c>
      <c r="E416" s="243">
        <f>SUM(E408:E415)</f>
        <v>1187980.6000000001</v>
      </c>
      <c r="F416" s="243">
        <f>SUM(F408:F415)</f>
        <v>681191.94</v>
      </c>
      <c r="G416" s="32">
        <f>+B416-B405</f>
        <v>48870.134828617796</v>
      </c>
      <c r="H416" s="243">
        <f>SUM(H408:H415)</f>
        <v>48870.134828617462</v>
      </c>
      <c r="I416" s="240">
        <f>SUM(I408:I415)</f>
        <v>1.0000000000000007</v>
      </c>
      <c r="J416" s="243">
        <f>SUM(J408:J415)</f>
        <v>43415.784828617543</v>
      </c>
      <c r="K416" s="243">
        <f>SUM(K408:K415)</f>
        <v>11920.499999999927</v>
      </c>
      <c r="L416" s="243">
        <f>SUM(L408:L415)</f>
        <v>-6466.1499999999814</v>
      </c>
    </row>
    <row r="417" spans="1:12" ht="14.5" thickBot="1">
      <c r="H417" s="254">
        <f>+A418</f>
        <v>41027</v>
      </c>
      <c r="I417" s="254"/>
      <c r="J417" s="254">
        <f>+A407</f>
        <v>40996</v>
      </c>
    </row>
    <row r="418" spans="1:12" ht="16" thickBot="1">
      <c r="A418" s="253">
        <v>41027</v>
      </c>
      <c r="B418" s="251">
        <v>4.43</v>
      </c>
      <c r="C418" s="238" t="s">
        <v>3</v>
      </c>
      <c r="D418" s="238" t="s">
        <v>4</v>
      </c>
      <c r="E418" s="238" t="s">
        <v>5</v>
      </c>
      <c r="F418" s="238" t="s">
        <v>114</v>
      </c>
      <c r="H418" s="251">
        <f>+B418-B407</f>
        <v>5.9999999999999609E-2</v>
      </c>
      <c r="I418" s="238" t="s">
        <v>3</v>
      </c>
      <c r="J418" s="238" t="s">
        <v>4</v>
      </c>
      <c r="K418" s="238" t="s">
        <v>5</v>
      </c>
      <c r="L418" s="238" t="s">
        <v>114</v>
      </c>
    </row>
    <row r="419" spans="1:12" ht="15.5">
      <c r="A419" s="180" t="s">
        <v>7</v>
      </c>
      <c r="B419" s="250">
        <f t="shared" ref="B419:B426" si="143">SUM(D419:F419)</f>
        <v>1071346.4184063205</v>
      </c>
      <c r="C419" s="241">
        <f t="shared" ref="C419:C426" si="144">+B419/$B$427</f>
        <v>0.16521711881176121</v>
      </c>
      <c r="D419" s="242">
        <v>790398.74840632058</v>
      </c>
      <c r="E419" s="242">
        <v>280947.67</v>
      </c>
      <c r="F419" s="849">
        <v>0</v>
      </c>
      <c r="H419" s="250">
        <f t="shared" ref="H419:H425" si="145">SUM(J419:L419)</f>
        <v>-57596.793010536057</v>
      </c>
      <c r="I419" s="241">
        <f t="shared" ref="I419:I425" si="146">+H419/$H$427</f>
        <v>0.95086670340868995</v>
      </c>
      <c r="J419" s="242">
        <f>+D419-D408</f>
        <v>-39835.243010536069</v>
      </c>
      <c r="K419" s="849">
        <f>+E419-E408</f>
        <v>-17761.549999999988</v>
      </c>
      <c r="L419" s="242">
        <f t="shared" ref="L419:L425" si="147">+F419-F408</f>
        <v>0</v>
      </c>
    </row>
    <row r="420" spans="1:12" ht="15.5">
      <c r="A420" s="180" t="s">
        <v>8</v>
      </c>
      <c r="B420" s="242">
        <f t="shared" si="143"/>
        <v>299242.57613995485</v>
      </c>
      <c r="C420" s="241">
        <f t="shared" si="144"/>
        <v>4.6147534920774558E-2</v>
      </c>
      <c r="D420" s="242">
        <v>72491.966139954864</v>
      </c>
      <c r="E420" s="242">
        <v>226750.61</v>
      </c>
      <c r="F420" s="849">
        <v>0</v>
      </c>
      <c r="H420" s="250">
        <f t="shared" si="145"/>
        <v>-21122.399896491639</v>
      </c>
      <c r="I420" s="241">
        <f t="shared" si="146"/>
        <v>0.3487101574211437</v>
      </c>
      <c r="J420" s="242">
        <f t="shared" ref="J420:J425" si="148">+D420-D409</f>
        <v>-13461.689896491618</v>
      </c>
      <c r="K420" s="849">
        <f t="shared" ref="K420:K425" si="149">+E420-E409</f>
        <v>-7660.710000000021</v>
      </c>
      <c r="L420" s="242">
        <f t="shared" si="147"/>
        <v>0</v>
      </c>
    </row>
    <row r="421" spans="1:12" ht="15.5">
      <c r="A421" s="180" t="s">
        <v>9</v>
      </c>
      <c r="B421" s="242">
        <f t="shared" si="143"/>
        <v>952852.45999619027</v>
      </c>
      <c r="C421" s="241">
        <f t="shared" si="144"/>
        <v>0.14694363595992657</v>
      </c>
      <c r="D421" s="242">
        <v>623757.04999619024</v>
      </c>
      <c r="E421" s="242">
        <v>314715.90000000002</v>
      </c>
      <c r="F421" s="849">
        <v>14379.51</v>
      </c>
      <c r="H421" s="250">
        <f t="shared" si="145"/>
        <v>32120.025484070637</v>
      </c>
      <c r="I421" s="241">
        <f t="shared" si="146"/>
        <v>-0.53027019646483442</v>
      </c>
      <c r="J421" s="242">
        <f t="shared" si="148"/>
        <v>-209103.03451592941</v>
      </c>
      <c r="K421" s="849">
        <f t="shared" si="149"/>
        <v>241958.86000000004</v>
      </c>
      <c r="L421" s="242">
        <f t="shared" si="147"/>
        <v>-735.79999999999927</v>
      </c>
    </row>
    <row r="422" spans="1:12" ht="15.5">
      <c r="A422" s="180" t="s">
        <v>148</v>
      </c>
      <c r="B422" s="242">
        <f t="shared" si="143"/>
        <v>393014.83999999997</v>
      </c>
      <c r="C422" s="241">
        <f t="shared" si="144"/>
        <v>6.0608574779813948E-2</v>
      </c>
      <c r="D422" s="242">
        <v>0</v>
      </c>
      <c r="E422" s="242">
        <v>91681.11</v>
      </c>
      <c r="F422" s="849">
        <v>301333.73</v>
      </c>
      <c r="H422" s="250">
        <f t="shared" si="145"/>
        <v>534.7099999999482</v>
      </c>
      <c r="I422" s="241">
        <f t="shared" si="146"/>
        <v>-8.827538972293195E-3</v>
      </c>
      <c r="J422" s="242">
        <f t="shared" si="148"/>
        <v>0</v>
      </c>
      <c r="K422" s="849">
        <f t="shared" si="149"/>
        <v>-636.11000000000058</v>
      </c>
      <c r="L422" s="242">
        <f t="shared" si="147"/>
        <v>1170.8199999999488</v>
      </c>
    </row>
    <row r="423" spans="1:12" ht="15.5">
      <c r="A423" s="180" t="s">
        <v>11</v>
      </c>
      <c r="B423" s="242">
        <f t="shared" si="143"/>
        <v>843821.8</v>
      </c>
      <c r="C423" s="241">
        <f t="shared" si="144"/>
        <v>0.13012953064606217</v>
      </c>
      <c r="D423" s="242">
        <v>0</v>
      </c>
      <c r="E423" s="242">
        <v>477821.3</v>
      </c>
      <c r="F423" s="849">
        <v>366000.5</v>
      </c>
      <c r="H423" s="250">
        <f t="shared" si="145"/>
        <v>-11877.719999999972</v>
      </c>
      <c r="I423" s="241">
        <f t="shared" si="146"/>
        <v>0.1960895367619761</v>
      </c>
      <c r="J423" s="242">
        <f t="shared" si="148"/>
        <v>0</v>
      </c>
      <c r="K423" s="849">
        <f t="shared" si="149"/>
        <v>-11964.5</v>
      </c>
      <c r="L423" s="242">
        <f t="shared" si="147"/>
        <v>86.78000000002794</v>
      </c>
    </row>
    <row r="424" spans="1:12" ht="15.5">
      <c r="A424" s="180" t="s">
        <v>12</v>
      </c>
      <c r="B424" s="242">
        <f t="shared" si="143"/>
        <v>214887.13318284426</v>
      </c>
      <c r="C424" s="241">
        <f t="shared" si="144"/>
        <v>3.3138705095034728E-2</v>
      </c>
      <c r="D424" s="242">
        <v>214887.13318284426</v>
      </c>
      <c r="E424" s="242">
        <v>0</v>
      </c>
      <c r="F424" s="849">
        <v>0</v>
      </c>
      <c r="H424" s="250">
        <f t="shared" si="145"/>
        <v>-1866.8531497297809</v>
      </c>
      <c r="I424" s="241">
        <f t="shared" si="146"/>
        <v>3.081991908658813E-2</v>
      </c>
      <c r="J424" s="242">
        <f t="shared" si="148"/>
        <v>-1866.8531497297809</v>
      </c>
      <c r="K424" s="849">
        <f t="shared" si="149"/>
        <v>0</v>
      </c>
      <c r="L424" s="242">
        <f t="shared" si="147"/>
        <v>0</v>
      </c>
    </row>
    <row r="425" spans="1:12" ht="15.5">
      <c r="A425" s="180" t="s">
        <v>160</v>
      </c>
      <c r="B425" s="242">
        <f t="shared" si="143"/>
        <v>2709310.6311410484</v>
      </c>
      <c r="C425" s="241">
        <f t="shared" si="144"/>
        <v>0.41781489978662684</v>
      </c>
      <c r="D425" s="242">
        <v>2709310.6311410484</v>
      </c>
      <c r="E425" s="242">
        <v>0</v>
      </c>
      <c r="F425" s="849">
        <v>0</v>
      </c>
      <c r="H425" s="250">
        <f t="shared" si="145"/>
        <v>-763.91072819335386</v>
      </c>
      <c r="I425" s="241">
        <f t="shared" si="146"/>
        <v>1.26114187587297E-2</v>
      </c>
      <c r="J425" s="242">
        <f t="shared" si="148"/>
        <v>-763.91072819335386</v>
      </c>
      <c r="K425" s="849">
        <f t="shared" si="149"/>
        <v>0</v>
      </c>
      <c r="L425" s="242">
        <f t="shared" si="147"/>
        <v>0</v>
      </c>
    </row>
    <row r="426" spans="1:12" ht="15.5">
      <c r="A426" s="180"/>
      <c r="B426" s="242">
        <f t="shared" si="143"/>
        <v>0</v>
      </c>
      <c r="C426" s="241">
        <f t="shared" si="144"/>
        <v>0</v>
      </c>
      <c r="D426" s="237"/>
      <c r="E426" s="242"/>
      <c r="F426" s="295"/>
      <c r="H426" s="250"/>
      <c r="I426" s="241">
        <f>+H426/$H$295</f>
        <v>0</v>
      </c>
      <c r="J426" s="242"/>
      <c r="K426" s="242"/>
      <c r="L426" s="242"/>
    </row>
    <row r="427" spans="1:12" ht="15.5">
      <c r="A427" s="180"/>
      <c r="B427" s="243">
        <f>SUM(B419:B426)</f>
        <v>6484475.8588663582</v>
      </c>
      <c r="C427" s="240">
        <f>SUM(C419:C426)</f>
        <v>1</v>
      </c>
      <c r="D427" s="243">
        <f>SUM(D419:D426)</f>
        <v>4410845.5288663581</v>
      </c>
      <c r="E427" s="243">
        <f>SUM(E419:E426)</f>
        <v>1391916.5899999999</v>
      </c>
      <c r="F427" s="243">
        <f>SUM(F419:F426)</f>
        <v>681713.74</v>
      </c>
      <c r="G427" s="32">
        <f>+B427-B416</f>
        <v>-60572.941300880164</v>
      </c>
      <c r="H427" s="243">
        <f>SUM(H419:H426)</f>
        <v>-60572.941300880222</v>
      </c>
      <c r="I427" s="240">
        <f>SUM(I419:I426)</f>
        <v>1</v>
      </c>
      <c r="J427" s="243">
        <f>SUM(J419:J426)</f>
        <v>-265030.7313008802</v>
      </c>
      <c r="K427" s="243">
        <f>SUM(K419:K426)</f>
        <v>203935.99000000005</v>
      </c>
      <c r="L427" s="243">
        <f>SUM(L419:L426)</f>
        <v>521.79999999997744</v>
      </c>
    </row>
    <row r="428" spans="1:12" ht="14.5" thickBot="1">
      <c r="H428" s="254">
        <f>+A429</f>
        <v>41057</v>
      </c>
      <c r="I428" s="254"/>
      <c r="J428" s="254">
        <f>+A418</f>
        <v>41027</v>
      </c>
    </row>
    <row r="429" spans="1:12" ht="16" thickBot="1">
      <c r="A429" s="253">
        <v>41057</v>
      </c>
      <c r="B429" s="251">
        <v>4.49</v>
      </c>
      <c r="C429" s="238" t="s">
        <v>3</v>
      </c>
      <c r="D429" s="238" t="s">
        <v>4</v>
      </c>
      <c r="E429" s="238" t="s">
        <v>5</v>
      </c>
      <c r="F429" s="238" t="s">
        <v>114</v>
      </c>
      <c r="H429" s="251">
        <f>+B429-B418</f>
        <v>6.0000000000000497E-2</v>
      </c>
      <c r="I429" s="238" t="s">
        <v>3</v>
      </c>
      <c r="J429" s="238" t="s">
        <v>4</v>
      </c>
      <c r="K429" s="238" t="s">
        <v>5</v>
      </c>
      <c r="L429" s="238" t="s">
        <v>114</v>
      </c>
    </row>
    <row r="430" spans="1:12" ht="15.5">
      <c r="A430" s="180" t="s">
        <v>7</v>
      </c>
      <c r="B430" s="250">
        <f t="shared" ref="B430:B437" si="150">SUM(D430:F430)</f>
        <v>991563.86151447659</v>
      </c>
      <c r="C430" s="241">
        <f t="shared" ref="C430:C436" si="151">+B430/$B$438</f>
        <v>0.15701340869121302</v>
      </c>
      <c r="D430" s="242">
        <v>747062.44151447655</v>
      </c>
      <c r="E430" s="242">
        <v>244501.41999999998</v>
      </c>
      <c r="F430" s="849">
        <v>0</v>
      </c>
      <c r="H430" s="250">
        <f t="shared" ref="H430:H436" si="152">SUM(J430:L430)</f>
        <v>-79782.556891844026</v>
      </c>
      <c r="I430" s="241">
        <f t="shared" ref="I430:I436" si="153">+H430/$H$438</f>
        <v>0.47118885963604479</v>
      </c>
      <c r="J430" s="242">
        <f>+D430-D419</f>
        <v>-43336.306891844026</v>
      </c>
      <c r="K430" s="849">
        <f>+E430-E419</f>
        <v>-36446.25</v>
      </c>
      <c r="L430" s="242">
        <f t="shared" ref="L430:L436" si="154">+F430-F419</f>
        <v>0</v>
      </c>
    </row>
    <row r="431" spans="1:12" ht="15.5">
      <c r="A431" s="180" t="s">
        <v>8</v>
      </c>
      <c r="B431" s="250">
        <f t="shared" si="150"/>
        <v>69659.064587973277</v>
      </c>
      <c r="C431" s="241">
        <f t="shared" si="151"/>
        <v>1.103046167948646E-2</v>
      </c>
      <c r="D431" s="242">
        <v>69659.064587973277</v>
      </c>
      <c r="E431" s="242"/>
      <c r="F431" s="849">
        <v>0</v>
      </c>
      <c r="H431" s="250">
        <f t="shared" si="152"/>
        <v>-229583.51155198156</v>
      </c>
      <c r="I431" s="241">
        <f t="shared" si="153"/>
        <v>1.3559003021934435</v>
      </c>
      <c r="J431" s="242">
        <f t="shared" ref="J431:J436" si="155">+D431-D420</f>
        <v>-2832.9015519815875</v>
      </c>
      <c r="K431" s="849">
        <f t="shared" ref="K431:K436" si="156">+E431-E420</f>
        <v>-226750.61</v>
      </c>
      <c r="L431" s="242">
        <f t="shared" si="154"/>
        <v>0</v>
      </c>
    </row>
    <row r="432" spans="1:12" ht="15.5">
      <c r="A432" s="180" t="s">
        <v>9</v>
      </c>
      <c r="B432" s="250">
        <f t="shared" si="150"/>
        <v>1040126.5340315159</v>
      </c>
      <c r="C432" s="241">
        <f t="shared" si="151"/>
        <v>0.16470327219169328</v>
      </c>
      <c r="D432" s="242">
        <v>709499.98403151589</v>
      </c>
      <c r="E432" s="242">
        <v>316266.92000000004</v>
      </c>
      <c r="F432" s="849">
        <v>14359.63</v>
      </c>
      <c r="H432" s="250">
        <f t="shared" si="152"/>
        <v>87274.07403532567</v>
      </c>
      <c r="I432" s="241">
        <f t="shared" si="153"/>
        <v>-0.51543310997470315</v>
      </c>
      <c r="J432" s="242">
        <f t="shared" si="155"/>
        <v>85742.934035325656</v>
      </c>
      <c r="K432" s="849">
        <f t="shared" si="156"/>
        <v>1551.0200000000186</v>
      </c>
      <c r="L432" s="242">
        <f t="shared" si="154"/>
        <v>-19.880000000001019</v>
      </c>
    </row>
    <row r="433" spans="1:12" ht="15.5">
      <c r="A433" s="180" t="s">
        <v>148</v>
      </c>
      <c r="B433" s="250">
        <f t="shared" si="150"/>
        <v>381725.57999999996</v>
      </c>
      <c r="C433" s="241">
        <f t="shared" si="151"/>
        <v>6.0445965032334209E-2</v>
      </c>
      <c r="D433" s="242">
        <v>0</v>
      </c>
      <c r="E433" s="242">
        <v>84819.41</v>
      </c>
      <c r="F433" s="849">
        <v>296906.17</v>
      </c>
      <c r="H433" s="250">
        <f t="shared" si="152"/>
        <v>-11289.259999999995</v>
      </c>
      <c r="I433" s="241">
        <f t="shared" si="153"/>
        <v>6.6673390184096737E-2</v>
      </c>
      <c r="J433" s="242">
        <f t="shared" si="155"/>
        <v>0</v>
      </c>
      <c r="K433" s="849">
        <f t="shared" si="156"/>
        <v>-6861.6999999999971</v>
      </c>
      <c r="L433" s="242">
        <f t="shared" si="154"/>
        <v>-4427.5599999999977</v>
      </c>
    </row>
    <row r="434" spans="1:12" ht="15.5">
      <c r="A434" s="180" t="s">
        <v>11</v>
      </c>
      <c r="B434" s="250">
        <f t="shared" si="150"/>
        <v>981999.99</v>
      </c>
      <c r="C434" s="241">
        <f t="shared" si="151"/>
        <v>0.15549897666614992</v>
      </c>
      <c r="D434" s="242">
        <v>0</v>
      </c>
      <c r="E434" s="242">
        <v>647515.42000000004</v>
      </c>
      <c r="F434" s="849">
        <v>334484.57</v>
      </c>
      <c r="H434" s="250">
        <f t="shared" si="152"/>
        <v>138178.19000000006</v>
      </c>
      <c r="I434" s="241">
        <f t="shared" si="153"/>
        <v>-0.81606840278302228</v>
      </c>
      <c r="J434" s="242">
        <f t="shared" si="155"/>
        <v>0</v>
      </c>
      <c r="K434" s="849">
        <f t="shared" si="156"/>
        <v>169694.12000000005</v>
      </c>
      <c r="L434" s="242">
        <f t="shared" si="154"/>
        <v>-31515.929999999993</v>
      </c>
    </row>
    <row r="435" spans="1:12" ht="15.5">
      <c r="A435" s="180" t="s">
        <v>12</v>
      </c>
      <c r="B435" s="250">
        <f t="shared" si="150"/>
        <v>140768.3741648107</v>
      </c>
      <c r="C435" s="241">
        <f t="shared" si="151"/>
        <v>2.2290568587058499E-2</v>
      </c>
      <c r="D435" s="242">
        <v>140768.3741648107</v>
      </c>
      <c r="E435" s="242">
        <v>0</v>
      </c>
      <c r="F435" s="849">
        <v>0</v>
      </c>
      <c r="H435" s="250">
        <f t="shared" si="152"/>
        <v>-74118.759018033568</v>
      </c>
      <c r="I435" s="241">
        <f t="shared" si="153"/>
        <v>0.43773896074414026</v>
      </c>
      <c r="J435" s="242">
        <f t="shared" si="155"/>
        <v>-74118.759018033568</v>
      </c>
      <c r="K435" s="849">
        <f t="shared" si="156"/>
        <v>0</v>
      </c>
      <c r="L435" s="242">
        <f t="shared" si="154"/>
        <v>0</v>
      </c>
    </row>
    <row r="436" spans="1:12" ht="15.5">
      <c r="A436" s="180" t="s">
        <v>160</v>
      </c>
      <c r="B436" s="250">
        <f t="shared" si="150"/>
        <v>2709310.6311410484</v>
      </c>
      <c r="C436" s="241">
        <f t="shared" si="151"/>
        <v>0.42901734715206447</v>
      </c>
      <c r="D436" s="242">
        <v>2709310.6311410484</v>
      </c>
      <c r="E436" s="242">
        <v>0</v>
      </c>
      <c r="F436" s="849">
        <v>0</v>
      </c>
      <c r="H436" s="250">
        <f t="shared" si="152"/>
        <v>0</v>
      </c>
      <c r="I436" s="241">
        <f t="shared" si="153"/>
        <v>0</v>
      </c>
      <c r="J436" s="242">
        <f t="shared" si="155"/>
        <v>0</v>
      </c>
      <c r="K436" s="849">
        <f t="shared" si="156"/>
        <v>0</v>
      </c>
      <c r="L436" s="242">
        <f t="shared" si="154"/>
        <v>0</v>
      </c>
    </row>
    <row r="437" spans="1:12" ht="15.5">
      <c r="A437" s="180"/>
      <c r="B437" s="242">
        <f t="shared" si="150"/>
        <v>0</v>
      </c>
      <c r="C437" s="241">
        <f>+B437/$B$12</f>
        <v>0</v>
      </c>
      <c r="D437" s="237"/>
      <c r="E437" s="242"/>
      <c r="F437" s="295"/>
      <c r="H437" s="250"/>
      <c r="I437" s="241">
        <f>+H437/$H$295</f>
        <v>0</v>
      </c>
      <c r="J437" s="242"/>
      <c r="K437" s="242"/>
      <c r="L437" s="242"/>
    </row>
    <row r="438" spans="1:12" ht="15.5">
      <c r="A438" s="180"/>
      <c r="B438" s="243">
        <f>SUM(B430:B437)</f>
        <v>6315154.0354398256</v>
      </c>
      <c r="C438" s="240">
        <f>SUM(C430:C437)</f>
        <v>0.99999999999999978</v>
      </c>
      <c r="D438" s="243">
        <f>SUM(D430:D437)</f>
        <v>4376300.4954398246</v>
      </c>
      <c r="E438" s="243">
        <f>SUM(E430:E437)</f>
        <v>1293103.1700000002</v>
      </c>
      <c r="F438" s="243">
        <f>SUM(F430:F437)</f>
        <v>645750.37</v>
      </c>
      <c r="G438" s="32">
        <f>+B438-B427</f>
        <v>-169321.82342653256</v>
      </c>
      <c r="H438" s="243">
        <f>SUM(H430:H437)</f>
        <v>-169321.82342653343</v>
      </c>
      <c r="I438" s="240">
        <f>SUM(I430:I437)</f>
        <v>0.99999999999999978</v>
      </c>
      <c r="J438" s="243">
        <f>SUM(J430:J437)</f>
        <v>-34545.033426533526</v>
      </c>
      <c r="K438" s="243">
        <f>SUM(K430:K437)</f>
        <v>-98813.419999999925</v>
      </c>
      <c r="L438" s="243">
        <f>SUM(L430:L437)</f>
        <v>-35963.369999999995</v>
      </c>
    </row>
    <row r="439" spans="1:12" ht="14.5" thickBot="1">
      <c r="H439" s="254">
        <f>+A440</f>
        <v>41088</v>
      </c>
      <c r="I439" s="254"/>
      <c r="J439" s="254">
        <f>+A429</f>
        <v>41057</v>
      </c>
    </row>
    <row r="440" spans="1:12" ht="16" thickBot="1">
      <c r="A440" s="253">
        <v>41088</v>
      </c>
      <c r="B440" s="251">
        <v>4.53</v>
      </c>
      <c r="C440" s="238" t="s">
        <v>3</v>
      </c>
      <c r="D440" s="238" t="s">
        <v>4</v>
      </c>
      <c r="E440" s="238" t="s">
        <v>5</v>
      </c>
      <c r="F440" s="238" t="s">
        <v>114</v>
      </c>
      <c r="H440" s="251">
        <f>+B440-B429</f>
        <v>4.0000000000000036E-2</v>
      </c>
      <c r="I440" s="238" t="s">
        <v>3</v>
      </c>
      <c r="J440" s="238" t="s">
        <v>4</v>
      </c>
      <c r="K440" s="238" t="s">
        <v>5</v>
      </c>
      <c r="L440" s="238" t="s">
        <v>114</v>
      </c>
    </row>
    <row r="441" spans="1:12" ht="15.5">
      <c r="A441" s="180" t="s">
        <v>7</v>
      </c>
      <c r="B441" s="250">
        <f t="shared" ref="B441:B448" si="157">SUM(D441:F441)</f>
        <v>1052599.5741501104</v>
      </c>
      <c r="C441" s="241">
        <f t="shared" ref="C441:C447" si="158">+B441/$B$449</f>
        <v>0.16406564131160353</v>
      </c>
      <c r="D441" s="242">
        <v>805069.74415011029</v>
      </c>
      <c r="E441" s="242">
        <v>247529.83000000002</v>
      </c>
      <c r="F441" s="849">
        <v>0</v>
      </c>
      <c r="H441" s="250">
        <f t="shared" ref="H441:H447" si="159">SUM(J441:L441)</f>
        <v>61035.712635633769</v>
      </c>
      <c r="I441" s="241">
        <f t="shared" ref="I441:I447" si="160">+H441/$H$449</f>
        <v>0.60690899808099441</v>
      </c>
      <c r="J441" s="242">
        <f>+D441-D430</f>
        <v>58007.302635633736</v>
      </c>
      <c r="K441" s="849">
        <f>+E441-E430</f>
        <v>3028.4100000000326</v>
      </c>
      <c r="L441" s="242">
        <f t="shared" ref="L441:L447" si="161">+F441-F430</f>
        <v>0</v>
      </c>
    </row>
    <row r="442" spans="1:12" ht="15.5">
      <c r="A442" s="180" t="s">
        <v>8</v>
      </c>
      <c r="B442" s="242">
        <f t="shared" si="157"/>
        <v>69711.56291390727</v>
      </c>
      <c r="C442" s="241">
        <f t="shared" si="158"/>
        <v>1.0865739030475167E-2</v>
      </c>
      <c r="D442" s="242">
        <v>69711.56291390727</v>
      </c>
      <c r="E442" s="242"/>
      <c r="F442" s="849">
        <v>0</v>
      </c>
      <c r="H442" s="250">
        <f t="shared" si="159"/>
        <v>52.498325933993328</v>
      </c>
      <c r="I442" s="241">
        <f t="shared" si="160"/>
        <v>5.220174389334143E-4</v>
      </c>
      <c r="J442" s="242">
        <f t="shared" ref="J442:J447" si="162">+D442-D431</f>
        <v>52.498325933993328</v>
      </c>
      <c r="K442" s="849">
        <f t="shared" ref="K442:K447" si="163">+E442-E431</f>
        <v>0</v>
      </c>
      <c r="L442" s="242">
        <f t="shared" si="161"/>
        <v>0</v>
      </c>
    </row>
    <row r="443" spans="1:12" ht="15.5">
      <c r="A443" s="180" t="s">
        <v>9</v>
      </c>
      <c r="B443" s="242">
        <f t="shared" si="157"/>
        <v>1050664.623186005</v>
      </c>
      <c r="C443" s="241">
        <f t="shared" si="158"/>
        <v>0.1637640461194444</v>
      </c>
      <c r="D443" s="242">
        <v>715510.16318600508</v>
      </c>
      <c r="E443" s="242">
        <v>319667.93</v>
      </c>
      <c r="F443" s="849">
        <v>15486.529999999999</v>
      </c>
      <c r="H443" s="250">
        <f t="shared" si="159"/>
        <v>10538.08915448914</v>
      </c>
      <c r="I443" s="241">
        <f t="shared" si="160"/>
        <v>0.10478555675460882</v>
      </c>
      <c r="J443" s="242">
        <f t="shared" si="162"/>
        <v>6010.1791544891894</v>
      </c>
      <c r="K443" s="849">
        <f t="shared" si="163"/>
        <v>3401.0099999999511</v>
      </c>
      <c r="L443" s="242">
        <f t="shared" si="161"/>
        <v>1126.8999999999996</v>
      </c>
    </row>
    <row r="444" spans="1:12" ht="15.5">
      <c r="A444" s="180" t="s">
        <v>148</v>
      </c>
      <c r="B444" s="242">
        <f t="shared" si="157"/>
        <v>385640.59</v>
      </c>
      <c r="C444" s="241">
        <f t="shared" si="158"/>
        <v>6.0108679756232006E-2</v>
      </c>
      <c r="D444" s="242">
        <v>0</v>
      </c>
      <c r="E444" s="242">
        <v>89285.02</v>
      </c>
      <c r="F444" s="849">
        <v>296355.57</v>
      </c>
      <c r="H444" s="250">
        <f t="shared" si="159"/>
        <v>3915.0100000000239</v>
      </c>
      <c r="I444" s="241">
        <f t="shared" si="160"/>
        <v>3.8928926917941871E-2</v>
      </c>
      <c r="J444" s="242">
        <f t="shared" si="162"/>
        <v>0</v>
      </c>
      <c r="K444" s="849">
        <f t="shared" si="163"/>
        <v>4465.6100000000006</v>
      </c>
      <c r="L444" s="242">
        <f t="shared" si="161"/>
        <v>-550.59999999997672</v>
      </c>
    </row>
    <row r="445" spans="1:12" ht="15.5">
      <c r="A445" s="180" t="s">
        <v>11</v>
      </c>
      <c r="B445" s="242">
        <f t="shared" si="157"/>
        <v>1007501.4099999999</v>
      </c>
      <c r="C445" s="241">
        <f t="shared" si="158"/>
        <v>0.15703632132613995</v>
      </c>
      <c r="D445" s="242">
        <v>0</v>
      </c>
      <c r="E445" s="242">
        <v>670188.75</v>
      </c>
      <c r="F445" s="849">
        <v>337312.66</v>
      </c>
      <c r="H445" s="250">
        <f t="shared" si="159"/>
        <v>25501.419999999925</v>
      </c>
      <c r="I445" s="241">
        <f t="shared" si="160"/>
        <v>0.25357353250278603</v>
      </c>
      <c r="J445" s="242">
        <f t="shared" si="162"/>
        <v>0</v>
      </c>
      <c r="K445" s="849">
        <f t="shared" si="163"/>
        <v>22673.329999999958</v>
      </c>
      <c r="L445" s="242">
        <f t="shared" si="161"/>
        <v>2828.0899999999674</v>
      </c>
    </row>
    <row r="446" spans="1:12" ht="15.5">
      <c r="A446" s="180" t="s">
        <v>12</v>
      </c>
      <c r="B446" s="242">
        <f t="shared" si="157"/>
        <v>139613.68653421634</v>
      </c>
      <c r="C446" s="241">
        <f t="shared" si="158"/>
        <v>2.176118020531026E-2</v>
      </c>
      <c r="D446" s="242">
        <v>139613.68653421634</v>
      </c>
      <c r="E446" s="242">
        <v>0</v>
      </c>
      <c r="F446" s="849">
        <v>0</v>
      </c>
      <c r="H446" s="250">
        <f t="shared" si="159"/>
        <v>-1154.6876305943588</v>
      </c>
      <c r="I446" s="241">
        <f t="shared" si="160"/>
        <v>-1.1481643823249234E-2</v>
      </c>
      <c r="J446" s="242">
        <f t="shared" si="162"/>
        <v>-1154.6876305943588</v>
      </c>
      <c r="K446" s="849">
        <f t="shared" si="163"/>
        <v>0</v>
      </c>
      <c r="L446" s="242">
        <f t="shared" si="161"/>
        <v>0</v>
      </c>
    </row>
    <row r="447" spans="1:12" ht="15.5">
      <c r="A447" s="180" t="s">
        <v>160</v>
      </c>
      <c r="B447" s="242">
        <f t="shared" si="157"/>
        <v>2709990.7345038508</v>
      </c>
      <c r="C447" s="241">
        <f t="shared" si="158"/>
        <v>0.42239839225079473</v>
      </c>
      <c r="D447" s="242">
        <v>2709990.7345038508</v>
      </c>
      <c r="E447" s="242">
        <v>0</v>
      </c>
      <c r="F447" s="849">
        <v>0</v>
      </c>
      <c r="H447" s="250">
        <f t="shared" si="159"/>
        <v>680.10336280241609</v>
      </c>
      <c r="I447" s="241">
        <f t="shared" si="160"/>
        <v>6.7626121279847568E-3</v>
      </c>
      <c r="J447" s="242">
        <f t="shared" si="162"/>
        <v>680.10336280241609</v>
      </c>
      <c r="K447" s="849">
        <f t="shared" si="163"/>
        <v>0</v>
      </c>
      <c r="L447" s="242">
        <f t="shared" si="161"/>
        <v>0</v>
      </c>
    </row>
    <row r="448" spans="1:12" ht="15.5">
      <c r="A448" s="180"/>
      <c r="B448" s="242">
        <f t="shared" si="157"/>
        <v>0</v>
      </c>
      <c r="C448" s="241">
        <f>+B448/$B$12</f>
        <v>0</v>
      </c>
      <c r="D448" s="237"/>
      <c r="E448" s="242"/>
      <c r="F448" s="295"/>
      <c r="H448" s="250"/>
      <c r="I448" s="241">
        <f>+H448/$H$295</f>
        <v>0</v>
      </c>
      <c r="J448" s="242"/>
      <c r="K448" s="242"/>
      <c r="L448" s="242"/>
    </row>
    <row r="449" spans="1:12" ht="15.5">
      <c r="A449" s="180"/>
      <c r="B449" s="243">
        <f>SUM(B441:B448)</f>
        <v>6415722.1812880896</v>
      </c>
      <c r="C449" s="240">
        <f>SUM(C441:C448)</f>
        <v>1</v>
      </c>
      <c r="D449" s="243">
        <f>SUM(D441:D448)</f>
        <v>4439895.8912880896</v>
      </c>
      <c r="E449" s="243">
        <f>SUM(E441:E448)</f>
        <v>1326671.53</v>
      </c>
      <c r="F449" s="243">
        <f>SUM(F441:F448)</f>
        <v>649154.76</v>
      </c>
      <c r="G449" s="32">
        <f>+B449-B438</f>
        <v>100568.14584826399</v>
      </c>
      <c r="H449" s="243">
        <f>SUM(H441:H448)</f>
        <v>100568.1458482649</v>
      </c>
      <c r="I449" s="240">
        <f>SUM(I441:I448)</f>
        <v>1</v>
      </c>
      <c r="J449" s="243">
        <f>SUM(J441:J448)</f>
        <v>63595.395848264976</v>
      </c>
      <c r="K449" s="243">
        <f>SUM(K441:K448)</f>
        <v>33568.359999999942</v>
      </c>
      <c r="L449" s="243">
        <f>SUM(L441:L448)</f>
        <v>3404.3899999999903</v>
      </c>
    </row>
    <row r="450" spans="1:12" ht="14.5" thickBot="1">
      <c r="H450" s="254">
        <f>+A451</f>
        <v>41118</v>
      </c>
      <c r="I450" s="254"/>
      <c r="J450" s="254">
        <f>+A440</f>
        <v>41088</v>
      </c>
    </row>
    <row r="451" spans="1:12" ht="16" thickBot="1">
      <c r="A451" s="253">
        <v>41118</v>
      </c>
      <c r="B451" s="251">
        <v>4.59</v>
      </c>
      <c r="C451" s="238" t="s">
        <v>3</v>
      </c>
      <c r="D451" s="238" t="s">
        <v>4</v>
      </c>
      <c r="E451" s="238" t="s">
        <v>5</v>
      </c>
      <c r="F451" s="238" t="s">
        <v>114</v>
      </c>
      <c r="H451" s="251">
        <f>+B451-B440</f>
        <v>5.9999999999999609E-2</v>
      </c>
      <c r="I451" s="238" t="s">
        <v>3</v>
      </c>
      <c r="J451" s="238" t="s">
        <v>4</v>
      </c>
      <c r="K451" s="238" t="s">
        <v>5</v>
      </c>
      <c r="L451" s="238" t="s">
        <v>114</v>
      </c>
    </row>
    <row r="452" spans="1:12" ht="15.5">
      <c r="A452" s="180" t="s">
        <v>7</v>
      </c>
      <c r="B452" s="250">
        <f t="shared" ref="B452:B458" si="164">SUM(D452:F452)</f>
        <v>1174347.767254902</v>
      </c>
      <c r="C452" s="241">
        <f t="shared" ref="C452:C458" si="165">+B452/$B$460</f>
        <v>0.17962097951354364</v>
      </c>
      <c r="D452" s="242">
        <v>910807.63725490205</v>
      </c>
      <c r="E452" s="242">
        <v>263540.13</v>
      </c>
      <c r="F452" s="849">
        <v>0</v>
      </c>
      <c r="H452" s="250">
        <f t="shared" ref="H452:H458" si="166">SUM(J452:L452)</f>
        <v>121748.19310479175</v>
      </c>
      <c r="I452" s="241">
        <f t="shared" ref="I452:I458" si="167">+H452/$H$460</f>
        <v>0.99631266335896185</v>
      </c>
      <c r="J452" s="242">
        <f>+D452-D441</f>
        <v>105737.89310479176</v>
      </c>
      <c r="K452" s="849">
        <f>+E452-E441</f>
        <v>16010.299999999988</v>
      </c>
      <c r="L452" s="242">
        <f t="shared" ref="L452:L458" si="168">+F452-F441</f>
        <v>0</v>
      </c>
    </row>
    <row r="453" spans="1:12" ht="15.5">
      <c r="A453" s="180" t="s">
        <v>8</v>
      </c>
      <c r="B453" s="250">
        <f t="shared" si="164"/>
        <v>70080.856209150326</v>
      </c>
      <c r="C453" s="241">
        <f t="shared" si="165"/>
        <v>1.0719134815456298E-2</v>
      </c>
      <c r="D453" s="242">
        <v>70080.856209150326</v>
      </c>
      <c r="E453" s="242"/>
      <c r="F453" s="849">
        <v>0</v>
      </c>
      <c r="H453" s="250">
        <f t="shared" si="166"/>
        <v>369.29329524305649</v>
      </c>
      <c r="I453" s="241">
        <f t="shared" si="167"/>
        <v>3.0220702021222529E-3</v>
      </c>
      <c r="J453" s="242">
        <f t="shared" ref="J453:J458" si="169">+D453-D442</f>
        <v>369.29329524305649</v>
      </c>
      <c r="K453" s="849">
        <f t="shared" ref="K453:K458" si="170">+E453-E442</f>
        <v>0</v>
      </c>
      <c r="L453" s="242">
        <f t="shared" si="168"/>
        <v>0</v>
      </c>
    </row>
    <row r="454" spans="1:12" ht="15.5">
      <c r="A454" s="180" t="s">
        <v>9</v>
      </c>
      <c r="B454" s="250">
        <f t="shared" si="164"/>
        <v>1017547.856773301</v>
      </c>
      <c r="C454" s="241">
        <f t="shared" si="165"/>
        <v>0.1556378338954639</v>
      </c>
      <c r="D454" s="242">
        <v>682366.64477330109</v>
      </c>
      <c r="E454" s="242">
        <v>320380.13199999998</v>
      </c>
      <c r="F454" s="849">
        <v>14801.08</v>
      </c>
      <c r="H454" s="250">
        <f t="shared" si="166"/>
        <v>-33116.766412704004</v>
      </c>
      <c r="I454" s="241">
        <f t="shared" si="167"/>
        <v>-0.27100733822043999</v>
      </c>
      <c r="J454" s="242">
        <f t="shared" si="169"/>
        <v>-33143.518412703997</v>
      </c>
      <c r="K454" s="849">
        <f t="shared" si="170"/>
        <v>712.20199999999022</v>
      </c>
      <c r="L454" s="242">
        <f t="shared" si="168"/>
        <v>-685.44999999999891</v>
      </c>
    </row>
    <row r="455" spans="1:12" ht="15.5">
      <c r="A455" s="180" t="s">
        <v>148</v>
      </c>
      <c r="B455" s="250">
        <f t="shared" si="164"/>
        <v>393314.45900000003</v>
      </c>
      <c r="C455" s="241">
        <f t="shared" si="165"/>
        <v>6.0158949803738052E-2</v>
      </c>
      <c r="D455" s="242">
        <v>0</v>
      </c>
      <c r="E455" s="242">
        <v>91517.57</v>
      </c>
      <c r="F455" s="849">
        <v>301796.88900000002</v>
      </c>
      <c r="H455" s="250">
        <f t="shared" si="166"/>
        <v>7673.8690000000206</v>
      </c>
      <c r="I455" s="241">
        <f t="shared" si="167"/>
        <v>6.2798245022635008E-2</v>
      </c>
      <c r="J455" s="242">
        <f t="shared" si="169"/>
        <v>0</v>
      </c>
      <c r="K455" s="849">
        <f t="shared" si="170"/>
        <v>2232.5500000000029</v>
      </c>
      <c r="L455" s="242">
        <f t="shared" si="168"/>
        <v>5441.3190000000177</v>
      </c>
    </row>
    <row r="456" spans="1:12" ht="15.5">
      <c r="A456" s="180" t="s">
        <v>11</v>
      </c>
      <c r="B456" s="250">
        <f t="shared" si="164"/>
        <v>1034836.72</v>
      </c>
      <c r="C456" s="241">
        <f t="shared" si="165"/>
        <v>0.15828223160630087</v>
      </c>
      <c r="D456" s="242">
        <v>0</v>
      </c>
      <c r="E456" s="242">
        <v>683173.05</v>
      </c>
      <c r="F456" s="849">
        <v>351663.67</v>
      </c>
      <c r="H456" s="250">
        <f t="shared" si="166"/>
        <v>27335.310000000056</v>
      </c>
      <c r="I456" s="241">
        <f t="shared" si="167"/>
        <v>0.22369543904771944</v>
      </c>
      <c r="J456" s="242">
        <f t="shared" si="169"/>
        <v>0</v>
      </c>
      <c r="K456" s="849">
        <f t="shared" si="170"/>
        <v>12984.300000000047</v>
      </c>
      <c r="L456" s="242">
        <f t="shared" si="168"/>
        <v>14351.010000000009</v>
      </c>
    </row>
    <row r="457" spans="1:12" ht="15.5">
      <c r="A457" s="180" t="s">
        <v>12</v>
      </c>
      <c r="B457" s="250">
        <f t="shared" si="164"/>
        <v>137919.3899782135</v>
      </c>
      <c r="C457" s="241">
        <f t="shared" si="165"/>
        <v>2.1095297843249435E-2</v>
      </c>
      <c r="D457" s="242">
        <v>137919.3899782135</v>
      </c>
      <c r="E457" s="242">
        <v>0</v>
      </c>
      <c r="F457" s="849">
        <v>0</v>
      </c>
      <c r="H457" s="250">
        <f t="shared" si="166"/>
        <v>-1694.2965560028388</v>
      </c>
      <c r="I457" s="241">
        <f t="shared" si="167"/>
        <v>-1.3865085560474465E-2</v>
      </c>
      <c r="J457" s="242">
        <f t="shared" si="169"/>
        <v>-1694.2965560028388</v>
      </c>
      <c r="K457" s="849">
        <f t="shared" si="170"/>
        <v>0</v>
      </c>
      <c r="L457" s="242">
        <f t="shared" si="168"/>
        <v>0</v>
      </c>
    </row>
    <row r="458" spans="1:12" ht="15.5">
      <c r="A458" s="180" t="s">
        <v>160</v>
      </c>
      <c r="B458" s="250">
        <f t="shared" si="164"/>
        <v>2709873.9132205318</v>
      </c>
      <c r="C458" s="241">
        <f t="shared" si="165"/>
        <v>0.41448557252224782</v>
      </c>
      <c r="D458" s="242">
        <v>2709873.9132205318</v>
      </c>
      <c r="E458" s="242">
        <v>0</v>
      </c>
      <c r="F458" s="849">
        <v>0</v>
      </c>
      <c r="H458" s="250">
        <f t="shared" si="166"/>
        <v>-116.82128331903368</v>
      </c>
      <c r="I458" s="241">
        <f t="shared" si="167"/>
        <v>-9.559938505240734E-4</v>
      </c>
      <c r="J458" s="242">
        <f t="shared" si="169"/>
        <v>-116.82128331903368</v>
      </c>
      <c r="K458" s="849">
        <f t="shared" si="170"/>
        <v>0</v>
      </c>
      <c r="L458" s="242">
        <f t="shared" si="168"/>
        <v>0</v>
      </c>
    </row>
    <row r="459" spans="1:12" ht="15.5">
      <c r="A459" s="180"/>
      <c r="B459" s="242">
        <v>0</v>
      </c>
      <c r="C459" s="241">
        <v>0</v>
      </c>
      <c r="D459" s="237"/>
      <c r="E459" s="242"/>
      <c r="F459" s="295"/>
      <c r="H459" s="250"/>
      <c r="I459" s="241">
        <f>+H459/$H$295</f>
        <v>0</v>
      </c>
      <c r="J459" s="242"/>
      <c r="K459" s="242"/>
      <c r="L459" s="242"/>
    </row>
    <row r="460" spans="1:12" ht="15.5">
      <c r="A460" s="180"/>
      <c r="B460" s="243">
        <f>SUM(B452:B459)</f>
        <v>6537920.9624360986</v>
      </c>
      <c r="C460" s="240">
        <f>SUM(C452:C459)</f>
        <v>1</v>
      </c>
      <c r="D460" s="243">
        <f>SUM(D452:D459)</f>
        <v>4511048.4414360989</v>
      </c>
      <c r="E460" s="243">
        <f>SUM(E452:E459)</f>
        <v>1358610.882</v>
      </c>
      <c r="F460" s="243">
        <f>SUM(F452:F459)</f>
        <v>668261.63899999997</v>
      </c>
      <c r="G460" s="32">
        <f>+B460-B449</f>
        <v>122198.781148009</v>
      </c>
      <c r="H460" s="243">
        <f>SUM(H452:H459)</f>
        <v>122198.781148009</v>
      </c>
      <c r="I460" s="240">
        <f>SUM(I452:I459)</f>
        <v>1</v>
      </c>
      <c r="J460" s="243">
        <f>SUM(J452:J459)</f>
        <v>71152.550148008944</v>
      </c>
      <c r="K460" s="243">
        <f>SUM(K452:K459)</f>
        <v>31939.352000000028</v>
      </c>
      <c r="L460" s="243">
        <f>SUM(L452:L459)</f>
        <v>19106.87900000003</v>
      </c>
    </row>
    <row r="461" spans="1:12" ht="14.5" thickBot="1">
      <c r="H461" s="254">
        <f>+A462</f>
        <v>41149</v>
      </c>
      <c r="I461" s="254"/>
      <c r="J461" s="254">
        <f>+A451</f>
        <v>41118</v>
      </c>
    </row>
    <row r="462" spans="1:12" ht="16" thickBot="1">
      <c r="A462" s="253">
        <v>41149</v>
      </c>
      <c r="B462" s="251">
        <v>4.6399999999999997</v>
      </c>
      <c r="C462" s="238" t="s">
        <v>3</v>
      </c>
      <c r="D462" s="238" t="s">
        <v>4</v>
      </c>
      <c r="E462" s="238" t="s">
        <v>5</v>
      </c>
      <c r="F462" s="238" t="s">
        <v>114</v>
      </c>
      <c r="H462" s="251">
        <f>+B462-B451</f>
        <v>4.9999999999999822E-2</v>
      </c>
      <c r="I462" s="238" t="s">
        <v>3</v>
      </c>
      <c r="J462" s="238" t="s">
        <v>4</v>
      </c>
      <c r="K462" s="238" t="s">
        <v>5</v>
      </c>
      <c r="L462" s="238" t="s">
        <v>114</v>
      </c>
    </row>
    <row r="463" spans="1:12" ht="15.5">
      <c r="A463" s="180" t="s">
        <v>7</v>
      </c>
      <c r="B463" s="250">
        <f t="shared" ref="B463:B470" si="171">SUM(D463:F463)</f>
        <v>1209854.2255603448</v>
      </c>
      <c r="C463" s="241">
        <f t="shared" ref="C463:C469" si="172">+B463/$B$471</f>
        <v>0.18430036015071746</v>
      </c>
      <c r="D463" s="242">
        <v>938684.18556034472</v>
      </c>
      <c r="E463" s="242">
        <v>271170.04000000004</v>
      </c>
      <c r="F463" s="849">
        <v>0</v>
      </c>
      <c r="H463" s="250">
        <f t="shared" ref="H463:H469" si="173">SUM(J463:L463)</f>
        <v>35506.458305442706</v>
      </c>
      <c r="I463" s="241">
        <f t="shared" ref="I463:I469" si="174">+H463/$H$471</f>
        <v>1.3319363004059519</v>
      </c>
      <c r="J463" s="242">
        <f>+D463-D452</f>
        <v>27876.548305442673</v>
      </c>
      <c r="K463" s="849">
        <f>+E463-E452</f>
        <v>7629.9100000000326</v>
      </c>
      <c r="L463" s="242">
        <f t="shared" ref="L463:L469" si="175">+F463-F452</f>
        <v>0</v>
      </c>
    </row>
    <row r="464" spans="1:12" ht="15.5">
      <c r="A464" s="180" t="s">
        <v>8</v>
      </c>
      <c r="B464" s="242">
        <f t="shared" si="171"/>
        <v>66991.905172413797</v>
      </c>
      <c r="C464" s="241">
        <f t="shared" si="172"/>
        <v>1.0205057757880064E-2</v>
      </c>
      <c r="D464" s="242">
        <v>66991.905172413797</v>
      </c>
      <c r="E464" s="242"/>
      <c r="F464" s="849">
        <v>0</v>
      </c>
      <c r="H464" s="250">
        <f t="shared" si="173"/>
        <v>-3088.9510367365292</v>
      </c>
      <c r="I464" s="241">
        <f t="shared" si="174"/>
        <v>-0.11587430040509877</v>
      </c>
      <c r="J464" s="242">
        <f t="shared" ref="J464:J469" si="176">+D464-D453</f>
        <v>-3088.9510367365292</v>
      </c>
      <c r="K464" s="849">
        <f t="shared" ref="K464:K469" si="177">+E464-E453</f>
        <v>0</v>
      </c>
      <c r="L464" s="242">
        <f t="shared" si="175"/>
        <v>0</v>
      </c>
    </row>
    <row r="465" spans="1:12" ht="15.5">
      <c r="A465" s="180" t="s">
        <v>9</v>
      </c>
      <c r="B465" s="242">
        <f t="shared" si="171"/>
        <v>997247.48106471426</v>
      </c>
      <c r="C465" s="241">
        <f t="shared" si="172"/>
        <v>0.1519134008351285</v>
      </c>
      <c r="D465" s="242">
        <v>661981.91106471419</v>
      </c>
      <c r="E465" s="242">
        <v>320460.17000000004</v>
      </c>
      <c r="F465" s="849">
        <v>14805.4</v>
      </c>
      <c r="H465" s="250">
        <f t="shared" si="173"/>
        <v>-20300.375708586835</v>
      </c>
      <c r="I465" s="241">
        <f t="shared" si="174"/>
        <v>-0.76151800569760808</v>
      </c>
      <c r="J465" s="242">
        <f t="shared" si="176"/>
        <v>-20384.733708586893</v>
      </c>
      <c r="K465" s="849">
        <f t="shared" si="177"/>
        <v>80.038000000058673</v>
      </c>
      <c r="L465" s="242">
        <f t="shared" si="175"/>
        <v>4.319999999999709</v>
      </c>
    </row>
    <row r="466" spans="1:12" ht="15.5">
      <c r="A466" s="180" t="s">
        <v>148</v>
      </c>
      <c r="B466" s="242">
        <f t="shared" si="171"/>
        <v>395299.09000000008</v>
      </c>
      <c r="C466" s="241">
        <f t="shared" si="172"/>
        <v>6.0216977479670017E-2</v>
      </c>
      <c r="D466" s="242">
        <v>0</v>
      </c>
      <c r="E466" s="242">
        <v>91929.85</v>
      </c>
      <c r="F466" s="849">
        <v>303369.24000000005</v>
      </c>
      <c r="H466" s="250">
        <f t="shared" si="173"/>
        <v>1984.6310000000231</v>
      </c>
      <c r="I466" s="241">
        <f t="shared" si="174"/>
        <v>7.4448486218232426E-2</v>
      </c>
      <c r="J466" s="242">
        <f t="shared" si="176"/>
        <v>0</v>
      </c>
      <c r="K466" s="849">
        <f t="shared" si="177"/>
        <v>412.27999999999884</v>
      </c>
      <c r="L466" s="242">
        <f t="shared" si="175"/>
        <v>1572.3510000000242</v>
      </c>
    </row>
    <row r="467" spans="1:12" ht="15.5">
      <c r="A467" s="180" t="s">
        <v>11</v>
      </c>
      <c r="B467" s="242">
        <f t="shared" si="171"/>
        <v>1049331.47</v>
      </c>
      <c r="C467" s="241">
        <f t="shared" si="172"/>
        <v>0.15984749546906121</v>
      </c>
      <c r="D467" s="242">
        <v>0</v>
      </c>
      <c r="E467" s="242">
        <v>691133.62</v>
      </c>
      <c r="F467" s="849">
        <v>358197.85000000003</v>
      </c>
      <c r="H467" s="250">
        <f t="shared" si="173"/>
        <v>14494.75</v>
      </c>
      <c r="I467" s="241">
        <f t="shared" si="174"/>
        <v>0.54373442499472791</v>
      </c>
      <c r="J467" s="242">
        <f t="shared" si="176"/>
        <v>0</v>
      </c>
      <c r="K467" s="849">
        <f t="shared" si="177"/>
        <v>7960.5699999999488</v>
      </c>
      <c r="L467" s="242">
        <f t="shared" si="175"/>
        <v>6534.1800000000512</v>
      </c>
    </row>
    <row r="468" spans="1:12" ht="15.5">
      <c r="A468" s="180" t="s">
        <v>12</v>
      </c>
      <c r="B468" s="242">
        <f t="shared" si="171"/>
        <v>136540.94827586209</v>
      </c>
      <c r="C468" s="241">
        <f t="shared" si="172"/>
        <v>2.0799651239724264E-2</v>
      </c>
      <c r="D468" s="242">
        <v>136540.94827586209</v>
      </c>
      <c r="E468" s="242">
        <v>0</v>
      </c>
      <c r="F468" s="849">
        <v>0</v>
      </c>
      <c r="H468" s="250">
        <f t="shared" si="173"/>
        <v>-1378.4417023514106</v>
      </c>
      <c r="I468" s="241">
        <f t="shared" si="174"/>
        <v>-5.1708805354821447E-2</v>
      </c>
      <c r="J468" s="242">
        <f t="shared" si="176"/>
        <v>-1378.4417023514106</v>
      </c>
      <c r="K468" s="849">
        <f t="shared" si="177"/>
        <v>0</v>
      </c>
      <c r="L468" s="242">
        <f t="shared" si="175"/>
        <v>0</v>
      </c>
    </row>
    <row r="469" spans="1:12" ht="15.5">
      <c r="A469" s="180" t="s">
        <v>160</v>
      </c>
      <c r="B469" s="242">
        <f t="shared" si="171"/>
        <v>2709313.6174340048</v>
      </c>
      <c r="C469" s="241">
        <f t="shared" si="172"/>
        <v>0.41271705706781853</v>
      </c>
      <c r="D469" s="242">
        <v>2709313.6174340048</v>
      </c>
      <c r="E469" s="242">
        <v>0</v>
      </c>
      <c r="F469" s="849">
        <v>0</v>
      </c>
      <c r="H469" s="250">
        <f t="shared" si="173"/>
        <v>-560.29578652698547</v>
      </c>
      <c r="I469" s="241">
        <f t="shared" si="174"/>
        <v>-2.1018100161383897E-2</v>
      </c>
      <c r="J469" s="242">
        <f t="shared" si="176"/>
        <v>-560.29578652698547</v>
      </c>
      <c r="K469" s="849">
        <f t="shared" si="177"/>
        <v>0</v>
      </c>
      <c r="L469" s="242">
        <f t="shared" si="175"/>
        <v>0</v>
      </c>
    </row>
    <row r="470" spans="1:12" ht="15.5">
      <c r="A470" s="180"/>
      <c r="B470" s="242">
        <f t="shared" si="171"/>
        <v>0</v>
      </c>
      <c r="C470" s="241">
        <f>+B470/$B$12</f>
        <v>0</v>
      </c>
      <c r="D470" s="237"/>
      <c r="E470" s="242"/>
      <c r="F470" s="295"/>
      <c r="H470" s="250"/>
      <c r="I470" s="241">
        <f>+H470/$H$295</f>
        <v>0</v>
      </c>
      <c r="J470" s="242"/>
      <c r="K470" s="242"/>
      <c r="L470" s="242"/>
    </row>
    <row r="471" spans="1:12" ht="15.5">
      <c r="A471" s="180"/>
      <c r="B471" s="243">
        <f>SUM(B463:B470)</f>
        <v>6564578.7375073396</v>
      </c>
      <c r="C471" s="240">
        <f>SUM(C463:C470)</f>
        <v>1</v>
      </c>
      <c r="D471" s="243">
        <f>SUM(D463:D470)</f>
        <v>4513512.5675073396</v>
      </c>
      <c r="E471" s="243">
        <f>SUM(E463:E470)</f>
        <v>1374693.6800000002</v>
      </c>
      <c r="F471" s="243">
        <f>SUM(F463:F470)</f>
        <v>676372.49000000011</v>
      </c>
      <c r="G471" s="32">
        <f>+B471-B460</f>
        <v>26657.775071240962</v>
      </c>
      <c r="H471" s="243">
        <f>SUM(H463:H470)</f>
        <v>26657.775071240969</v>
      </c>
      <c r="I471" s="240">
        <f>SUM(I463:I470)</f>
        <v>1.0000000000000002</v>
      </c>
      <c r="J471" s="243">
        <f>SUM(J463:J470)</f>
        <v>2464.1260712408548</v>
      </c>
      <c r="K471" s="243">
        <f>SUM(K463:K470)</f>
        <v>16082.798000000039</v>
      </c>
      <c r="L471" s="243">
        <f>SUM(L463:L470)</f>
        <v>8110.8510000000751</v>
      </c>
    </row>
    <row r="472" spans="1:12" ht="14.5" thickBot="1">
      <c r="H472" s="254">
        <f>+A473</f>
        <v>41180</v>
      </c>
      <c r="I472" s="254"/>
      <c r="J472" s="254">
        <f>+A462</f>
        <v>41149</v>
      </c>
    </row>
    <row r="473" spans="1:12" ht="16" thickBot="1">
      <c r="A473" s="253">
        <v>41180</v>
      </c>
      <c r="B473" s="251">
        <v>4.71</v>
      </c>
      <c r="C473" s="238" t="s">
        <v>3</v>
      </c>
      <c r="D473" s="238" t="s">
        <v>4</v>
      </c>
      <c r="E473" s="238" t="s">
        <v>5</v>
      </c>
      <c r="F473" s="238" t="s">
        <v>114</v>
      </c>
      <c r="H473" s="251">
        <f>+B473-B462</f>
        <v>7.0000000000000284E-2</v>
      </c>
      <c r="I473" s="238" t="s">
        <v>3</v>
      </c>
      <c r="J473" s="238" t="s">
        <v>4</v>
      </c>
      <c r="K473" s="238" t="s">
        <v>5</v>
      </c>
      <c r="L473" s="238" t="s">
        <v>114</v>
      </c>
    </row>
    <row r="474" spans="1:12" ht="15.5">
      <c r="A474" s="180" t="s">
        <v>7</v>
      </c>
      <c r="B474" s="250">
        <f t="shared" ref="B474:B481" si="178">SUM(D474:F474)</f>
        <v>1252930.40522293</v>
      </c>
      <c r="C474" s="241">
        <f t="shared" ref="C474:C480" si="179">+B474/$B$482</f>
        <v>0.18913426448833986</v>
      </c>
      <c r="D474" s="242">
        <v>960120.22522292996</v>
      </c>
      <c r="E474" s="242">
        <v>292810.18</v>
      </c>
      <c r="F474" s="849">
        <v>0</v>
      </c>
      <c r="H474" s="250">
        <f t="shared" ref="H474:H480" si="180">SUM(J474:L474)</f>
        <v>43076.1796625852</v>
      </c>
      <c r="I474" s="241">
        <f t="shared" ref="I474:I480" si="181">+H474/$H$482</f>
        <v>0.71821618511748087</v>
      </c>
      <c r="J474" s="242">
        <f>+D474-D463</f>
        <v>21436.039662585245</v>
      </c>
      <c r="K474" s="849">
        <f>+E474-E463</f>
        <v>21640.139999999956</v>
      </c>
      <c r="L474" s="242">
        <f t="shared" ref="L474:L480" si="182">+F474-F463</f>
        <v>0</v>
      </c>
    </row>
    <row r="475" spans="1:12" ht="15.5">
      <c r="A475" s="180" t="s">
        <v>8</v>
      </c>
      <c r="B475" s="242">
        <f t="shared" si="178"/>
        <v>66306.171974522294</v>
      </c>
      <c r="C475" s="241">
        <f t="shared" si="179"/>
        <v>1.000915056028775E-2</v>
      </c>
      <c r="D475" s="242">
        <v>66306.171974522294</v>
      </c>
      <c r="E475" s="242"/>
      <c r="F475" s="849">
        <v>0</v>
      </c>
      <c r="H475" s="250">
        <f t="shared" si="180"/>
        <v>-685.73319789150264</v>
      </c>
      <c r="I475" s="241">
        <f t="shared" si="181"/>
        <v>-1.1433341704297464E-2</v>
      </c>
      <c r="J475" s="242">
        <f t="shared" ref="J475:J480" si="183">+D475-D464</f>
        <v>-685.73319789150264</v>
      </c>
      <c r="K475" s="849">
        <f t="shared" ref="K475:K480" si="184">+E475-E464</f>
        <v>0</v>
      </c>
      <c r="L475" s="242">
        <f t="shared" si="182"/>
        <v>0</v>
      </c>
    </row>
    <row r="476" spans="1:12" ht="15.5">
      <c r="A476" s="180" t="s">
        <v>9</v>
      </c>
      <c r="B476" s="242">
        <f t="shared" si="178"/>
        <v>995271.21067199437</v>
      </c>
      <c r="C476" s="241">
        <f t="shared" si="179"/>
        <v>0.15023970015587121</v>
      </c>
      <c r="D476" s="242">
        <v>658517.13167199434</v>
      </c>
      <c r="E476" s="242">
        <v>321941.76899999997</v>
      </c>
      <c r="F476" s="849">
        <v>14812.31</v>
      </c>
      <c r="H476" s="250">
        <f t="shared" si="180"/>
        <v>-1976.2703927199218</v>
      </c>
      <c r="I476" s="241">
        <f t="shared" si="181"/>
        <v>-3.2950679315992618E-2</v>
      </c>
      <c r="J476" s="242">
        <f t="shared" si="183"/>
        <v>-3464.7793927198509</v>
      </c>
      <c r="K476" s="849">
        <f t="shared" si="184"/>
        <v>1481.5989999999292</v>
      </c>
      <c r="L476" s="242">
        <f t="shared" si="182"/>
        <v>6.9099999999998545</v>
      </c>
    </row>
    <row r="477" spans="1:12" ht="15.5">
      <c r="A477" s="180" t="s">
        <v>148</v>
      </c>
      <c r="B477" s="242">
        <f t="shared" si="178"/>
        <v>399934.64</v>
      </c>
      <c r="C477" s="241">
        <f t="shared" si="179"/>
        <v>6.0371544711895118E-2</v>
      </c>
      <c r="D477" s="242">
        <v>0</v>
      </c>
      <c r="E477" s="242">
        <v>94559.94</v>
      </c>
      <c r="F477" s="849">
        <v>305374.7</v>
      </c>
      <c r="H477" s="250">
        <f t="shared" si="180"/>
        <v>4635.5499999999593</v>
      </c>
      <c r="I477" s="241">
        <f t="shared" si="181"/>
        <v>7.7289282916912713E-2</v>
      </c>
      <c r="J477" s="242">
        <f t="shared" si="183"/>
        <v>0</v>
      </c>
      <c r="K477" s="849">
        <f t="shared" si="184"/>
        <v>2630.0899999999965</v>
      </c>
      <c r="L477" s="242">
        <f t="shared" si="182"/>
        <v>2005.4599999999627</v>
      </c>
    </row>
    <row r="478" spans="1:12" ht="15.5">
      <c r="A478" s="180" t="s">
        <v>11</v>
      </c>
      <c r="B478" s="242">
        <f t="shared" si="178"/>
        <v>1066349.47</v>
      </c>
      <c r="C478" s="241">
        <f t="shared" si="179"/>
        <v>0.16096921413611648</v>
      </c>
      <c r="D478" s="242">
        <v>0</v>
      </c>
      <c r="E478" s="242">
        <v>696550.59</v>
      </c>
      <c r="F478" s="849">
        <v>369798.88</v>
      </c>
      <c r="H478" s="250">
        <f t="shared" si="180"/>
        <v>17017.999999999942</v>
      </c>
      <c r="I478" s="241">
        <f t="shared" si="181"/>
        <v>0.28374389590879778</v>
      </c>
      <c r="J478" s="242">
        <f t="shared" si="183"/>
        <v>0</v>
      </c>
      <c r="K478" s="849">
        <f t="shared" si="184"/>
        <v>5416.9699999999721</v>
      </c>
      <c r="L478" s="242">
        <f t="shared" si="182"/>
        <v>11601.02999999997</v>
      </c>
    </row>
    <row r="479" spans="1:12" ht="15.5">
      <c r="A479" s="180" t="s">
        <v>12</v>
      </c>
      <c r="B479" s="242">
        <f t="shared" si="178"/>
        <v>134660.29723991509</v>
      </c>
      <c r="C479" s="241">
        <f t="shared" si="179"/>
        <v>2.0327446894164058E-2</v>
      </c>
      <c r="D479" s="242">
        <v>134660.29723991509</v>
      </c>
      <c r="E479" s="242">
        <v>0</v>
      </c>
      <c r="F479" s="849">
        <v>0</v>
      </c>
      <c r="H479" s="250">
        <f t="shared" si="180"/>
        <v>-1880.6510359469976</v>
      </c>
      <c r="I479" s="241">
        <f t="shared" si="181"/>
        <v>-3.1356402149754346E-2</v>
      </c>
      <c r="J479" s="242">
        <f t="shared" si="183"/>
        <v>-1880.6510359469976</v>
      </c>
      <c r="K479" s="849">
        <f t="shared" si="184"/>
        <v>0</v>
      </c>
      <c r="L479" s="242">
        <f t="shared" si="182"/>
        <v>0</v>
      </c>
    </row>
    <row r="480" spans="1:12" ht="15.5">
      <c r="A480" s="180" t="s">
        <v>160</v>
      </c>
      <c r="B480" s="242">
        <f t="shared" si="178"/>
        <v>2709103.163024453</v>
      </c>
      <c r="C480" s="241">
        <f t="shared" si="179"/>
        <v>0.40894867905332544</v>
      </c>
      <c r="D480" s="242">
        <v>2709103.163024453</v>
      </c>
      <c r="E480" s="242">
        <v>0</v>
      </c>
      <c r="F480" s="849">
        <v>0</v>
      </c>
      <c r="H480" s="250">
        <f t="shared" si="180"/>
        <v>-210.45440955180675</v>
      </c>
      <c r="I480" s="241">
        <f t="shared" si="181"/>
        <v>-3.5089407731469947E-3</v>
      </c>
      <c r="J480" s="242">
        <f t="shared" si="183"/>
        <v>-210.45440955180675</v>
      </c>
      <c r="K480" s="849">
        <f t="shared" si="184"/>
        <v>0</v>
      </c>
      <c r="L480" s="242">
        <f t="shared" si="182"/>
        <v>0</v>
      </c>
    </row>
    <row r="481" spans="1:12" ht="15.5">
      <c r="A481" s="180"/>
      <c r="B481" s="242">
        <f t="shared" si="178"/>
        <v>0</v>
      </c>
      <c r="C481" s="241">
        <f>+B481/$B$12</f>
        <v>0</v>
      </c>
      <c r="D481" s="237"/>
      <c r="E481" s="242"/>
      <c r="F481" s="295"/>
      <c r="H481" s="250"/>
      <c r="I481" s="241">
        <f>+H481/$H$295</f>
        <v>0</v>
      </c>
      <c r="J481" s="242"/>
      <c r="K481" s="242"/>
      <c r="L481" s="242"/>
    </row>
    <row r="482" spans="1:12" ht="15.5">
      <c r="A482" s="180"/>
      <c r="B482" s="243">
        <f>SUM(B474:B481)</f>
        <v>6624555.3581338152</v>
      </c>
      <c r="C482" s="240">
        <f>SUM(C474:C481)</f>
        <v>1</v>
      </c>
      <c r="D482" s="243">
        <f>SUM(D474:D481)</f>
        <v>4528706.9891338143</v>
      </c>
      <c r="E482" s="243">
        <f>SUM(E474:E481)</f>
        <v>1405862.4789999998</v>
      </c>
      <c r="F482" s="243">
        <f>SUM(F474:F481)</f>
        <v>689985.89</v>
      </c>
      <c r="G482" s="32">
        <f>+B482-B471</f>
        <v>59976.620626475662</v>
      </c>
      <c r="H482" s="243">
        <f>SUM(H474:H481)</f>
        <v>59976.620626474876</v>
      </c>
      <c r="I482" s="240">
        <f>SUM(I474:I481)</f>
        <v>1</v>
      </c>
      <c r="J482" s="243">
        <f>SUM(J474:J481)</f>
        <v>15194.421626475087</v>
      </c>
      <c r="K482" s="243">
        <f>SUM(K474:K481)</f>
        <v>31168.798999999854</v>
      </c>
      <c r="L482" s="243">
        <f>SUM(L474:L481)</f>
        <v>13613.399999999932</v>
      </c>
    </row>
    <row r="483" spans="1:12" ht="14.5" thickBot="1">
      <c r="H483" s="254">
        <f>+A484</f>
        <v>41210</v>
      </c>
      <c r="I483" s="254"/>
      <c r="J483" s="254">
        <f>+A473</f>
        <v>41180</v>
      </c>
    </row>
    <row r="484" spans="1:12" ht="16" thickBot="1">
      <c r="A484" s="253">
        <v>41210</v>
      </c>
      <c r="B484" s="251">
        <v>4.7699999999999996</v>
      </c>
      <c r="C484" s="238" t="s">
        <v>3</v>
      </c>
      <c r="D484" s="238" t="s">
        <v>4</v>
      </c>
      <c r="E484" s="238" t="s">
        <v>5</v>
      </c>
      <c r="F484" s="238" t="s">
        <v>114</v>
      </c>
      <c r="H484" s="251">
        <f>+B484-B473</f>
        <v>5.9999999999999609E-2</v>
      </c>
      <c r="I484" s="238" t="s">
        <v>3</v>
      </c>
      <c r="J484" s="238" t="s">
        <v>4</v>
      </c>
      <c r="K484" s="238" t="s">
        <v>5</v>
      </c>
      <c r="L484" s="238" t="s">
        <v>114</v>
      </c>
    </row>
    <row r="485" spans="1:12" ht="15.5">
      <c r="A485" s="180" t="s">
        <v>7</v>
      </c>
      <c r="B485" s="250">
        <f t="shared" ref="B485:B492" si="185">SUM(D485:F485)</f>
        <v>1035987.8747903565</v>
      </c>
      <c r="C485" s="241">
        <f t="shared" ref="C485:C491" si="186">+B485/$B$493</f>
        <v>0.16137323981061652</v>
      </c>
      <c r="D485" s="242">
        <v>158694.07479035642</v>
      </c>
      <c r="E485" s="242">
        <v>877293.8</v>
      </c>
      <c r="F485" s="849">
        <v>0</v>
      </c>
      <c r="H485" s="250">
        <f t="shared" ref="H485:H491" si="187">SUM(J485:L485)</f>
        <v>-216942.5304325734</v>
      </c>
      <c r="I485" s="241">
        <f t="shared" ref="I485:I492" si="188">+H485/$H$493</f>
        <v>1.0596473219614375</v>
      </c>
      <c r="J485" s="242">
        <f>+D485-D474</f>
        <v>-801426.15043257351</v>
      </c>
      <c r="K485" s="849">
        <f>+E485-E474</f>
        <v>584483.62000000011</v>
      </c>
      <c r="L485" s="242">
        <f t="shared" ref="L485:L491" si="189">+F485-F474</f>
        <v>0</v>
      </c>
    </row>
    <row r="486" spans="1:12" ht="15.5">
      <c r="A486" s="180" t="s">
        <v>8</v>
      </c>
      <c r="B486" s="242">
        <f t="shared" si="185"/>
        <v>63347.84905660378</v>
      </c>
      <c r="C486" s="241">
        <f t="shared" si="186"/>
        <v>9.8675359876839539E-3</v>
      </c>
      <c r="D486" s="242">
        <v>63347.84905660378</v>
      </c>
      <c r="E486" s="242"/>
      <c r="F486" s="849">
        <v>0</v>
      </c>
      <c r="H486" s="250">
        <f t="shared" si="187"/>
        <v>-2958.3229179185146</v>
      </c>
      <c r="I486" s="241">
        <f t="shared" si="188"/>
        <v>1.4449812820099845E-2</v>
      </c>
      <c r="J486" s="242">
        <f t="shared" ref="J486:J491" si="190">+D486-D475</f>
        <v>-2958.3229179185146</v>
      </c>
      <c r="K486" s="849">
        <f t="shared" ref="K486:K491" si="191">+E486-E475</f>
        <v>0</v>
      </c>
      <c r="L486" s="242">
        <f t="shared" si="189"/>
        <v>0</v>
      </c>
    </row>
    <row r="487" spans="1:12" ht="15.5">
      <c r="A487" s="180" t="s">
        <v>9</v>
      </c>
      <c r="B487" s="242">
        <f t="shared" si="185"/>
        <v>1022948.2529897763</v>
      </c>
      <c r="C487" s="241">
        <f t="shared" si="186"/>
        <v>0.15934209054036994</v>
      </c>
      <c r="D487" s="242">
        <v>667471.14298977633</v>
      </c>
      <c r="E487" s="242">
        <v>340198.65</v>
      </c>
      <c r="F487" s="849">
        <v>15278.46</v>
      </c>
      <c r="H487" s="250">
        <f t="shared" si="187"/>
        <v>27677.042317782041</v>
      </c>
      <c r="I487" s="241">
        <f t="shared" si="188"/>
        <v>-0.13518743288083085</v>
      </c>
      <c r="J487" s="242">
        <f t="shared" si="190"/>
        <v>8954.0113177819876</v>
      </c>
      <c r="K487" s="849">
        <f t="shared" si="191"/>
        <v>18256.881000000052</v>
      </c>
      <c r="L487" s="242">
        <f t="shared" si="189"/>
        <v>466.14999999999964</v>
      </c>
    </row>
    <row r="488" spans="1:12" ht="15.5">
      <c r="A488" s="180" t="s">
        <v>148</v>
      </c>
      <c r="B488" s="242">
        <f t="shared" si="185"/>
        <v>404077.31000000006</v>
      </c>
      <c r="C488" s="241">
        <f t="shared" si="186"/>
        <v>6.2942111809806897E-2</v>
      </c>
      <c r="D488" s="242">
        <v>0</v>
      </c>
      <c r="E488" s="242">
        <v>94737.279999999999</v>
      </c>
      <c r="F488" s="849">
        <v>309340.03000000003</v>
      </c>
      <c r="H488" s="250">
        <f t="shared" si="187"/>
        <v>4142.6700000000128</v>
      </c>
      <c r="I488" s="241">
        <f t="shared" si="188"/>
        <v>-2.0234709913805306E-2</v>
      </c>
      <c r="J488" s="242">
        <f t="shared" si="190"/>
        <v>0</v>
      </c>
      <c r="K488" s="849">
        <f t="shared" si="191"/>
        <v>177.33999999999651</v>
      </c>
      <c r="L488" s="242">
        <f t="shared" si="189"/>
        <v>3965.3300000000163</v>
      </c>
    </row>
    <row r="489" spans="1:12" ht="15.5">
      <c r="A489" s="180" t="s">
        <v>11</v>
      </c>
      <c r="B489" s="242">
        <f t="shared" si="185"/>
        <v>1050372.0900000001</v>
      </c>
      <c r="C489" s="241">
        <f t="shared" si="186"/>
        <v>0.16361383303279403</v>
      </c>
      <c r="D489" s="242">
        <v>0</v>
      </c>
      <c r="E489" s="242">
        <v>682127.15</v>
      </c>
      <c r="F489" s="849">
        <v>368244.94</v>
      </c>
      <c r="H489" s="250">
        <f t="shared" si="187"/>
        <v>-15977.379999999946</v>
      </c>
      <c r="I489" s="241">
        <f t="shared" si="188"/>
        <v>7.8040888963550686E-2</v>
      </c>
      <c r="J489" s="242">
        <f t="shared" si="190"/>
        <v>0</v>
      </c>
      <c r="K489" s="849">
        <f t="shared" si="191"/>
        <v>-14423.439999999944</v>
      </c>
      <c r="L489" s="242">
        <f t="shared" si="189"/>
        <v>-1553.9400000000023</v>
      </c>
    </row>
    <row r="490" spans="1:12" ht="15.5">
      <c r="A490" s="180" t="s">
        <v>12</v>
      </c>
      <c r="B490" s="242">
        <f t="shared" si="185"/>
        <v>133092.24318658281</v>
      </c>
      <c r="C490" s="241">
        <f t="shared" si="186"/>
        <v>2.0731445800972848E-2</v>
      </c>
      <c r="D490" s="242">
        <v>133092.24318658281</v>
      </c>
      <c r="E490" s="242">
        <v>0</v>
      </c>
      <c r="F490" s="849">
        <v>0</v>
      </c>
      <c r="H490" s="250">
        <f t="shared" si="187"/>
        <v>-1568.0540533322783</v>
      </c>
      <c r="I490" s="241">
        <f t="shared" si="188"/>
        <v>7.6590988175126544E-3</v>
      </c>
      <c r="J490" s="242">
        <f t="shared" si="190"/>
        <v>-1568.0540533322783</v>
      </c>
      <c r="K490" s="849">
        <f t="shared" si="191"/>
        <v>0</v>
      </c>
      <c r="L490" s="242">
        <f t="shared" si="189"/>
        <v>0</v>
      </c>
    </row>
    <row r="491" spans="1:12" ht="15.5">
      <c r="A491" s="180" t="s">
        <v>160</v>
      </c>
      <c r="B491" s="242">
        <f t="shared" si="185"/>
        <v>2709998.8564894227</v>
      </c>
      <c r="C491" s="241">
        <f t="shared" si="186"/>
        <v>0.42212974301775585</v>
      </c>
      <c r="D491" s="242">
        <v>2709998.8564894227</v>
      </c>
      <c r="E491" s="242">
        <v>0</v>
      </c>
      <c r="F491" s="849">
        <v>0</v>
      </c>
      <c r="H491" s="250">
        <f t="shared" si="187"/>
        <v>895.69346496975049</v>
      </c>
      <c r="I491" s="241">
        <f t="shared" si="188"/>
        <v>-4.3749797679646166E-3</v>
      </c>
      <c r="J491" s="242">
        <f t="shared" si="190"/>
        <v>895.69346496975049</v>
      </c>
      <c r="K491" s="849">
        <f t="shared" si="191"/>
        <v>0</v>
      </c>
      <c r="L491" s="242">
        <f t="shared" si="189"/>
        <v>0</v>
      </c>
    </row>
    <row r="492" spans="1:12" ht="15.5">
      <c r="A492" s="180"/>
      <c r="B492" s="242">
        <f t="shared" si="185"/>
        <v>0</v>
      </c>
      <c r="C492" s="241">
        <f>+B492/$B$12</f>
        <v>0</v>
      </c>
      <c r="D492" s="237"/>
      <c r="E492" s="242"/>
      <c r="F492" s="295"/>
      <c r="H492" s="250"/>
      <c r="I492" s="241">
        <f t="shared" si="188"/>
        <v>0</v>
      </c>
      <c r="J492" s="242"/>
      <c r="K492" s="242"/>
      <c r="L492" s="242"/>
    </row>
    <row r="493" spans="1:12" ht="15.5">
      <c r="A493" s="180"/>
      <c r="B493" s="243">
        <f>SUM(B485:B492)</f>
        <v>6419824.4765127422</v>
      </c>
      <c r="C493" s="240">
        <f>SUM(C485:C492)</f>
        <v>1</v>
      </c>
      <c r="D493" s="243">
        <f>SUM(D485:D492)</f>
        <v>3732604.1665127422</v>
      </c>
      <c r="E493" s="243">
        <f>SUM(E485:E492)</f>
        <v>1994356.8800000004</v>
      </c>
      <c r="F493" s="243">
        <f>SUM(F485:F492)</f>
        <v>692863.43</v>
      </c>
      <c r="G493" s="32">
        <f>+B493-B482</f>
        <v>-204730.881621073</v>
      </c>
      <c r="H493" s="243">
        <f>SUM(H485:H492)</f>
        <v>-204730.88162107233</v>
      </c>
      <c r="I493" s="240">
        <f>SUM(I485:I492)</f>
        <v>0.99999999999999978</v>
      </c>
      <c r="J493" s="243">
        <f>SUM(J485:J492)</f>
        <v>-796102.82262107264</v>
      </c>
      <c r="K493" s="243">
        <f>SUM(K485:K492)</f>
        <v>588494.40100000019</v>
      </c>
      <c r="L493" s="243">
        <f>SUM(L485:L492)</f>
        <v>2877.5400000000136</v>
      </c>
    </row>
    <row r="494" spans="1:12" ht="14.5" thickBot="1">
      <c r="H494" s="254">
        <f>+A495</f>
        <v>41241</v>
      </c>
      <c r="I494" s="254"/>
      <c r="J494" s="254">
        <f>+A484</f>
        <v>41210</v>
      </c>
    </row>
    <row r="495" spans="1:12" ht="16" thickBot="1">
      <c r="A495" s="253">
        <v>41241</v>
      </c>
      <c r="B495" s="251">
        <v>4.8499999999999996</v>
      </c>
      <c r="C495" s="238" t="s">
        <v>3</v>
      </c>
      <c r="D495" s="238" t="s">
        <v>4</v>
      </c>
      <c r="E495" s="238" t="s">
        <v>5</v>
      </c>
      <c r="F495" s="238" t="s">
        <v>114</v>
      </c>
      <c r="H495" s="251">
        <f>+B495-B484</f>
        <v>8.0000000000000071E-2</v>
      </c>
      <c r="I495" s="238" t="s">
        <v>3</v>
      </c>
      <c r="J495" s="238" t="s">
        <v>4</v>
      </c>
      <c r="K495" s="238" t="s">
        <v>5</v>
      </c>
      <c r="L495" s="238" t="s">
        <v>114</v>
      </c>
    </row>
    <row r="496" spans="1:12" ht="15.5">
      <c r="A496" s="180" t="s">
        <v>7</v>
      </c>
      <c r="B496" s="250">
        <f t="shared" ref="B496:B503" si="192">SUM(D496:F496)</f>
        <v>1008079.2477319587</v>
      </c>
      <c r="C496" s="241">
        <f t="shared" ref="C496:C502" si="193">+B496/$B$504</f>
        <v>0.15749658135920233</v>
      </c>
      <c r="D496" s="242">
        <v>173591.65773195878</v>
      </c>
      <c r="E496" s="242">
        <v>834487.59</v>
      </c>
      <c r="F496" s="849">
        <v>0</v>
      </c>
      <c r="H496" s="250">
        <f t="shared" ref="H496:H502" si="194">SUM(J496:L496)</f>
        <v>-27908.627058397717</v>
      </c>
      <c r="I496" s="241">
        <f t="shared" ref="I496:I502" si="195">+H496/$H$504</f>
        <v>1.4549090401625793</v>
      </c>
      <c r="J496" s="242">
        <f>+D496-D485</f>
        <v>14897.582941602363</v>
      </c>
      <c r="K496" s="849">
        <f>+E496-E485</f>
        <v>-42806.210000000079</v>
      </c>
      <c r="L496" s="242">
        <f t="shared" ref="L496:L502" si="196">+F496-F485</f>
        <v>0</v>
      </c>
    </row>
    <row r="497" spans="1:12" ht="15.5">
      <c r="A497" s="180" t="s">
        <v>8</v>
      </c>
      <c r="B497" s="242">
        <f t="shared" si="192"/>
        <v>64680.400000000009</v>
      </c>
      <c r="C497" s="241">
        <f t="shared" si="193"/>
        <v>1.0105298669588711E-2</v>
      </c>
      <c r="D497" s="242">
        <v>64680.400000000009</v>
      </c>
      <c r="E497" s="242"/>
      <c r="F497" s="849">
        <v>0</v>
      </c>
      <c r="H497" s="250">
        <f t="shared" si="194"/>
        <v>1332.5509433962288</v>
      </c>
      <c r="I497" s="241">
        <f t="shared" si="195"/>
        <v>-6.9467423458975885E-2</v>
      </c>
      <c r="J497" s="242">
        <f t="shared" ref="J497:J502" si="197">+D497-D486</f>
        <v>1332.5509433962288</v>
      </c>
      <c r="K497" s="849">
        <f t="shared" ref="K497:K502" si="198">+E497-E486</f>
        <v>0</v>
      </c>
      <c r="L497" s="242">
        <f t="shared" si="196"/>
        <v>0</v>
      </c>
    </row>
    <row r="498" spans="1:12" ht="15.5">
      <c r="A498" s="180" t="s">
        <v>9</v>
      </c>
      <c r="B498" s="242">
        <f t="shared" si="192"/>
        <v>1033304.7827485383</v>
      </c>
      <c r="C498" s="241">
        <f t="shared" si="193"/>
        <v>0.1614376758088765</v>
      </c>
      <c r="D498" s="242">
        <v>667432.0327485383</v>
      </c>
      <c r="E498" s="242">
        <v>350596.66000000003</v>
      </c>
      <c r="F498" s="849">
        <v>15276.09</v>
      </c>
      <c r="H498" s="250">
        <f t="shared" si="194"/>
        <v>10356.529758761983</v>
      </c>
      <c r="I498" s="241">
        <f t="shared" si="195"/>
        <v>-0.53989788674329198</v>
      </c>
      <c r="J498" s="242">
        <f t="shared" si="197"/>
        <v>-39.110241238027811</v>
      </c>
      <c r="K498" s="849">
        <f t="shared" si="198"/>
        <v>10398.010000000009</v>
      </c>
      <c r="L498" s="242">
        <f t="shared" si="196"/>
        <v>-2.3699999999989814</v>
      </c>
    </row>
    <row r="499" spans="1:12" ht="15.5">
      <c r="A499" s="180" t="s">
        <v>148</v>
      </c>
      <c r="B499" s="242">
        <f t="shared" si="192"/>
        <v>406420.63</v>
      </c>
      <c r="C499" s="241">
        <f t="shared" si="193"/>
        <v>6.3496853013160173E-2</v>
      </c>
      <c r="D499" s="242">
        <v>0</v>
      </c>
      <c r="E499" s="242">
        <v>95905.4</v>
      </c>
      <c r="F499" s="849">
        <v>310515.23</v>
      </c>
      <c r="H499" s="250">
        <f t="shared" si="194"/>
        <v>2343.3199999999488</v>
      </c>
      <c r="I499" s="241">
        <f t="shared" si="195"/>
        <v>-0.12215998461192078</v>
      </c>
      <c r="J499" s="242">
        <f t="shared" si="197"/>
        <v>0</v>
      </c>
      <c r="K499" s="849">
        <f t="shared" si="198"/>
        <v>1168.1199999999953</v>
      </c>
      <c r="L499" s="242">
        <f t="shared" si="196"/>
        <v>1175.1999999999534</v>
      </c>
    </row>
    <row r="500" spans="1:12" ht="15.5">
      <c r="A500" s="180" t="s">
        <v>11</v>
      </c>
      <c r="B500" s="242">
        <f t="shared" si="192"/>
        <v>1047708.5900000001</v>
      </c>
      <c r="C500" s="241">
        <f t="shared" si="193"/>
        <v>0.16368804492000147</v>
      </c>
      <c r="D500" s="242">
        <v>0</v>
      </c>
      <c r="E500" s="242">
        <v>677863.9</v>
      </c>
      <c r="F500" s="849">
        <v>369844.69</v>
      </c>
      <c r="H500" s="250">
        <f t="shared" si="194"/>
        <v>-2663.5</v>
      </c>
      <c r="I500" s="241">
        <f t="shared" si="195"/>
        <v>0.13885133870485383</v>
      </c>
      <c r="J500" s="242">
        <f t="shared" si="197"/>
        <v>0</v>
      </c>
      <c r="K500" s="849">
        <f t="shared" si="198"/>
        <v>-4263.25</v>
      </c>
      <c r="L500" s="242">
        <f t="shared" si="196"/>
        <v>1599.75</v>
      </c>
    </row>
    <row r="501" spans="1:12" ht="15.5">
      <c r="A501" s="180" t="s">
        <v>12</v>
      </c>
      <c r="B501" s="242">
        <f t="shared" si="192"/>
        <v>131061.8556701031</v>
      </c>
      <c r="C501" s="241">
        <f t="shared" si="193"/>
        <v>2.0476360624500162E-2</v>
      </c>
      <c r="D501" s="242">
        <v>131061.8556701031</v>
      </c>
      <c r="E501" s="242">
        <v>0</v>
      </c>
      <c r="F501" s="849">
        <v>0</v>
      </c>
      <c r="H501" s="250">
        <f t="shared" si="194"/>
        <v>-2030.3875164797064</v>
      </c>
      <c r="I501" s="241">
        <f t="shared" si="195"/>
        <v>0.10584645194399502</v>
      </c>
      <c r="J501" s="242">
        <f t="shared" si="197"/>
        <v>-2030.3875164797064</v>
      </c>
      <c r="K501" s="849">
        <f t="shared" si="198"/>
        <v>0</v>
      </c>
      <c r="L501" s="242">
        <f t="shared" si="196"/>
        <v>0</v>
      </c>
    </row>
    <row r="502" spans="1:12" ht="15.5">
      <c r="A502" s="180" t="s">
        <v>160</v>
      </c>
      <c r="B502" s="242">
        <f t="shared" si="192"/>
        <v>2709386.584186798</v>
      </c>
      <c r="C502" s="241">
        <f t="shared" si="193"/>
        <v>0.42329918560467078</v>
      </c>
      <c r="D502" s="242">
        <v>2709386.584186798</v>
      </c>
      <c r="E502" s="242">
        <v>0</v>
      </c>
      <c r="F502" s="849">
        <v>0</v>
      </c>
      <c r="H502" s="250">
        <f t="shared" si="194"/>
        <v>-612.27230262476951</v>
      </c>
      <c r="I502" s="241">
        <f t="shared" si="195"/>
        <v>3.1918464002760522E-2</v>
      </c>
      <c r="J502" s="242">
        <f t="shared" si="197"/>
        <v>-612.27230262476951</v>
      </c>
      <c r="K502" s="849">
        <f t="shared" si="198"/>
        <v>0</v>
      </c>
      <c r="L502" s="242">
        <f t="shared" si="196"/>
        <v>0</v>
      </c>
    </row>
    <row r="503" spans="1:12" ht="15.5">
      <c r="A503" s="180"/>
      <c r="B503" s="242">
        <f t="shared" si="192"/>
        <v>0</v>
      </c>
      <c r="C503" s="241">
        <f>+B503/$B$12</f>
        <v>0</v>
      </c>
      <c r="D503" s="237"/>
      <c r="E503" s="242"/>
      <c r="F503" s="295"/>
      <c r="H503" s="250"/>
      <c r="I503" s="241">
        <f>+H503/$H$295</f>
        <v>0</v>
      </c>
      <c r="J503" s="242"/>
      <c r="K503" s="242"/>
      <c r="L503" s="242"/>
    </row>
    <row r="504" spans="1:12" ht="15.5">
      <c r="A504" s="180"/>
      <c r="B504" s="243">
        <f>SUM(B496:B503)</f>
        <v>6400642.0903373975</v>
      </c>
      <c r="C504" s="240">
        <f>SUM(C496:C503)</f>
        <v>1.0000000000000002</v>
      </c>
      <c r="D504" s="243">
        <f>SUM(D496:D503)</f>
        <v>3746152.5303373979</v>
      </c>
      <c r="E504" s="243">
        <f>SUM(E496:E503)</f>
        <v>1958853.5499999998</v>
      </c>
      <c r="F504" s="243">
        <f>SUM(F496:F503)</f>
        <v>695636.01</v>
      </c>
      <c r="G504" s="32">
        <f>+B504-B493</f>
        <v>-19182.386175344698</v>
      </c>
      <c r="H504" s="243">
        <f>SUM(H496:H503)</f>
        <v>-19182.386175344032</v>
      </c>
      <c r="I504" s="240">
        <f>SUM(I496:I503)</f>
        <v>1</v>
      </c>
      <c r="J504" s="243">
        <f>SUM(J496:J503)</f>
        <v>13548.363824656088</v>
      </c>
      <c r="K504" s="243">
        <f>SUM(K496:K503)</f>
        <v>-35503.330000000075</v>
      </c>
      <c r="L504" s="243">
        <f>SUM(L496:L503)</f>
        <v>2772.5799999999545</v>
      </c>
    </row>
    <row r="505" spans="1:12" ht="14.5" thickBot="1">
      <c r="H505" s="254">
        <f>+A506</f>
        <v>41271</v>
      </c>
      <c r="I505" s="254"/>
      <c r="J505" s="254">
        <f>+A495</f>
        <v>41241</v>
      </c>
    </row>
    <row r="506" spans="1:12" ht="16" thickBot="1">
      <c r="A506" s="253">
        <v>41271</v>
      </c>
      <c r="B506" s="251">
        <v>4.91</v>
      </c>
      <c r="C506" s="238" t="s">
        <v>3</v>
      </c>
      <c r="D506" s="238" t="s">
        <v>4</v>
      </c>
      <c r="E506" s="238" t="s">
        <v>5</v>
      </c>
      <c r="F506" s="238" t="s">
        <v>114</v>
      </c>
      <c r="H506" s="251">
        <f>+B506-B495</f>
        <v>6.0000000000000497E-2</v>
      </c>
      <c r="I506" s="238" t="s">
        <v>3</v>
      </c>
      <c r="J506" s="238" t="s">
        <v>4</v>
      </c>
      <c r="K506" s="238" t="s">
        <v>5</v>
      </c>
      <c r="L506" s="238" t="s">
        <v>114</v>
      </c>
    </row>
    <row r="507" spans="1:12" ht="15.5">
      <c r="A507" s="180" t="s">
        <v>7</v>
      </c>
      <c r="B507" s="250">
        <f t="shared" ref="B507:B514" si="199">SUM(D507:F507)</f>
        <v>1097755.5175763748</v>
      </c>
      <c r="C507" s="241">
        <f t="shared" ref="C507:C513" si="200">+B507/$B$515</f>
        <v>0.16734211978935307</v>
      </c>
      <c r="D507" s="242">
        <v>132837.99757637474</v>
      </c>
      <c r="E507" s="242">
        <v>964917.52</v>
      </c>
      <c r="F507" s="849">
        <v>0</v>
      </c>
      <c r="H507" s="250">
        <f t="shared" ref="H507:H513" si="201">SUM(J507:L507)</f>
        <v>89676.269844416005</v>
      </c>
      <c r="I507" s="241">
        <f t="shared" ref="I507:I513" si="202">+H507/$H$515</f>
        <v>0.56292048956538798</v>
      </c>
      <c r="J507" s="242">
        <f>+D507-D496</f>
        <v>-40753.660155584046</v>
      </c>
      <c r="K507" s="849">
        <f>+E507-E496</f>
        <v>130429.93000000005</v>
      </c>
      <c r="L507" s="242">
        <f t="shared" ref="L507:L513" si="203">+F507-F496</f>
        <v>0</v>
      </c>
    </row>
    <row r="508" spans="1:12" ht="15.5">
      <c r="A508" s="180" t="s">
        <v>8</v>
      </c>
      <c r="B508" s="242">
        <f t="shared" si="199"/>
        <v>73966.725050916488</v>
      </c>
      <c r="C508" s="241">
        <f t="shared" si="200"/>
        <v>1.1275505671084403E-2</v>
      </c>
      <c r="D508" s="242">
        <v>73966.725050916488</v>
      </c>
      <c r="E508" s="242"/>
      <c r="F508" s="849">
        <v>0</v>
      </c>
      <c r="H508" s="250">
        <f t="shared" si="201"/>
        <v>9286.3250509164791</v>
      </c>
      <c r="I508" s="241">
        <f t="shared" si="202"/>
        <v>5.8292596837431196E-2</v>
      </c>
      <c r="J508" s="242">
        <f t="shared" ref="J508:J513" si="204">+D508-D497</f>
        <v>9286.3250509164791</v>
      </c>
      <c r="K508" s="849">
        <f t="shared" ref="K508:K513" si="205">+E508-E497</f>
        <v>0</v>
      </c>
      <c r="L508" s="242">
        <f t="shared" si="203"/>
        <v>0</v>
      </c>
    </row>
    <row r="509" spans="1:12" ht="15.5">
      <c r="A509" s="180" t="s">
        <v>9</v>
      </c>
      <c r="B509" s="242">
        <f t="shared" si="199"/>
        <v>1064733.1920313702</v>
      </c>
      <c r="C509" s="241">
        <f t="shared" si="200"/>
        <v>0.16230818840062677</v>
      </c>
      <c r="D509" s="242">
        <v>756730.59203137015</v>
      </c>
      <c r="E509" s="242">
        <v>290976.61</v>
      </c>
      <c r="F509" s="849">
        <v>17025.990000000002</v>
      </c>
      <c r="H509" s="250">
        <f t="shared" si="201"/>
        <v>31428.409282831803</v>
      </c>
      <c r="I509" s="241">
        <f t="shared" si="202"/>
        <v>0.19728402586824026</v>
      </c>
      <c r="J509" s="242">
        <f t="shared" si="204"/>
        <v>89298.559282831848</v>
      </c>
      <c r="K509" s="849">
        <f t="shared" si="205"/>
        <v>-59620.050000000047</v>
      </c>
      <c r="L509" s="242">
        <f t="shared" si="203"/>
        <v>1749.9000000000015</v>
      </c>
    </row>
    <row r="510" spans="1:12" ht="15.5">
      <c r="A510" s="180" t="s">
        <v>148</v>
      </c>
      <c r="B510" s="242">
        <f t="shared" si="199"/>
        <v>409652.62</v>
      </c>
      <c r="C510" s="241">
        <f t="shared" si="200"/>
        <v>6.2447545660632861E-2</v>
      </c>
      <c r="D510" s="242">
        <v>0</v>
      </c>
      <c r="E510" s="242">
        <v>97874.04</v>
      </c>
      <c r="F510" s="849">
        <v>311778.58</v>
      </c>
      <c r="H510" s="250">
        <f t="shared" si="201"/>
        <v>3231.9900000000343</v>
      </c>
      <c r="I510" s="241">
        <f t="shared" si="202"/>
        <v>2.0288013721210169E-2</v>
      </c>
      <c r="J510" s="242">
        <f t="shared" si="204"/>
        <v>0</v>
      </c>
      <c r="K510" s="849">
        <f t="shared" si="205"/>
        <v>1968.6399999999994</v>
      </c>
      <c r="L510" s="242">
        <f t="shared" si="203"/>
        <v>1263.3500000000349</v>
      </c>
    </row>
    <row r="511" spans="1:12" ht="15.5">
      <c r="A511" s="180" t="s">
        <v>11</v>
      </c>
      <c r="B511" s="242">
        <f t="shared" si="199"/>
        <v>1069506.99</v>
      </c>
      <c r="C511" s="241">
        <f t="shared" si="200"/>
        <v>0.16303590733141415</v>
      </c>
      <c r="D511" s="242">
        <v>0</v>
      </c>
      <c r="E511" s="242">
        <v>690811.52</v>
      </c>
      <c r="F511" s="849">
        <v>378695.47</v>
      </c>
      <c r="H511" s="250">
        <f t="shared" si="201"/>
        <v>21798.399999999965</v>
      </c>
      <c r="I511" s="241">
        <f t="shared" si="202"/>
        <v>0.13683403670816505</v>
      </c>
      <c r="J511" s="242">
        <f t="shared" si="204"/>
        <v>0</v>
      </c>
      <c r="K511" s="849">
        <f t="shared" si="205"/>
        <v>12947.619999999995</v>
      </c>
      <c r="L511" s="242">
        <f t="shared" si="203"/>
        <v>8850.7799999999697</v>
      </c>
    </row>
    <row r="512" spans="1:12" ht="15.5">
      <c r="A512" s="180" t="s">
        <v>12</v>
      </c>
      <c r="B512" s="242">
        <f t="shared" si="199"/>
        <v>134338.08553971487</v>
      </c>
      <c r="C512" s="241">
        <f t="shared" si="200"/>
        <v>2.0478530640676354E-2</v>
      </c>
      <c r="D512" s="242">
        <v>134338.08553971487</v>
      </c>
      <c r="E512" s="242">
        <v>0</v>
      </c>
      <c r="F512" s="849">
        <v>0</v>
      </c>
      <c r="H512" s="250">
        <f t="shared" si="201"/>
        <v>3276.229869611765</v>
      </c>
      <c r="I512" s="241">
        <f t="shared" si="202"/>
        <v>2.0565718504240851E-2</v>
      </c>
      <c r="J512" s="242">
        <f t="shared" si="204"/>
        <v>3276.229869611765</v>
      </c>
      <c r="K512" s="849">
        <f t="shared" si="205"/>
        <v>0</v>
      </c>
      <c r="L512" s="242">
        <f t="shared" si="203"/>
        <v>0</v>
      </c>
    </row>
    <row r="513" spans="1:12" ht="15.5">
      <c r="A513" s="180" t="s">
        <v>160</v>
      </c>
      <c r="B513" s="242">
        <f t="shared" si="199"/>
        <v>2709994.3531860081</v>
      </c>
      <c r="C513" s="241">
        <f t="shared" si="200"/>
        <v>0.41311220250621233</v>
      </c>
      <c r="D513" s="242">
        <v>2709994.3531860081</v>
      </c>
      <c r="E513" s="242">
        <v>0</v>
      </c>
      <c r="F513" s="849">
        <v>0</v>
      </c>
      <c r="H513" s="250">
        <f t="shared" si="201"/>
        <v>607.76899921009317</v>
      </c>
      <c r="I513" s="241">
        <f t="shared" si="202"/>
        <v>3.8151187953243703E-3</v>
      </c>
      <c r="J513" s="242">
        <f t="shared" si="204"/>
        <v>607.76899921009317</v>
      </c>
      <c r="K513" s="849">
        <f t="shared" si="205"/>
        <v>0</v>
      </c>
      <c r="L513" s="242">
        <f t="shared" si="203"/>
        <v>0</v>
      </c>
    </row>
    <row r="514" spans="1:12" ht="15.5">
      <c r="A514" s="180"/>
      <c r="B514" s="242">
        <f t="shared" si="199"/>
        <v>0</v>
      </c>
      <c r="C514" s="241">
        <f>+B514/$B$12</f>
        <v>0</v>
      </c>
      <c r="D514" s="237"/>
      <c r="E514" s="242"/>
      <c r="F514" s="295"/>
      <c r="H514" s="250"/>
      <c r="I514" s="241">
        <f>+H514/$H$295</f>
        <v>0</v>
      </c>
      <c r="J514" s="242"/>
      <c r="K514" s="242"/>
      <c r="L514" s="242"/>
    </row>
    <row r="515" spans="1:12" ht="15.5">
      <c r="A515" s="180"/>
      <c r="B515" s="243">
        <f>SUM(B507:B514)</f>
        <v>6559947.4833843848</v>
      </c>
      <c r="C515" s="240">
        <f>SUM(C507:C514)</f>
        <v>1</v>
      </c>
      <c r="D515" s="243">
        <f>SUM(D507:D514)</f>
        <v>3807867.7533843843</v>
      </c>
      <c r="E515" s="243">
        <f>SUM(E507:E514)</f>
        <v>2044579.69</v>
      </c>
      <c r="F515" s="243">
        <f>SUM(F507:F514)</f>
        <v>707500.04</v>
      </c>
      <c r="G515" s="32">
        <f>+B515-B504</f>
        <v>159305.39304698724</v>
      </c>
      <c r="H515" s="243">
        <f>SUM(H507:H514)</f>
        <v>159305.39304698617</v>
      </c>
      <c r="I515" s="240">
        <f>SUM(I507:I514)</f>
        <v>0.99999999999999978</v>
      </c>
      <c r="J515" s="243">
        <f>SUM(J507:J514)</f>
        <v>61715.223046986139</v>
      </c>
      <c r="K515" s="243">
        <f>SUM(K507:K514)</f>
        <v>85726.14</v>
      </c>
      <c r="L515" s="243">
        <f>SUM(L507:L514)</f>
        <v>11864.030000000006</v>
      </c>
    </row>
    <row r="516" spans="1:12" ht="14.5" thickBot="1">
      <c r="H516" s="254">
        <f>+A517</f>
        <v>41302</v>
      </c>
      <c r="I516" s="254"/>
      <c r="J516" s="254">
        <f>+A506</f>
        <v>41271</v>
      </c>
    </row>
    <row r="517" spans="1:12" ht="16" thickBot="1">
      <c r="A517" s="253">
        <v>41302</v>
      </c>
      <c r="B517" s="251">
        <v>4.99</v>
      </c>
      <c r="C517" s="238" t="s">
        <v>3</v>
      </c>
      <c r="D517" s="238" t="s">
        <v>4</v>
      </c>
      <c r="E517" s="238" t="s">
        <v>5</v>
      </c>
      <c r="F517" s="238" t="s">
        <v>114</v>
      </c>
      <c r="H517" s="251">
        <f>+B517-B506</f>
        <v>8.0000000000000071E-2</v>
      </c>
      <c r="I517" s="238" t="s">
        <v>3</v>
      </c>
      <c r="J517" s="238" t="s">
        <v>4</v>
      </c>
      <c r="K517" s="238" t="s">
        <v>5</v>
      </c>
      <c r="L517" s="238" t="s">
        <v>114</v>
      </c>
    </row>
    <row r="518" spans="1:12" ht="15.5">
      <c r="A518" s="180" t="s">
        <v>7</v>
      </c>
      <c r="B518" s="250">
        <f t="shared" ref="B518:B524" si="206">SUM(D518:F518)</f>
        <v>1050857.5844609218</v>
      </c>
      <c r="C518" s="241">
        <f t="shared" ref="C518:C524" si="207">+B518/$B$526</f>
        <v>0.15905636065293838</v>
      </c>
      <c r="D518" s="242">
        <v>130802.15046092184</v>
      </c>
      <c r="E518" s="242">
        <v>920055.43400000001</v>
      </c>
      <c r="F518" s="849">
        <v>0</v>
      </c>
      <c r="H518" s="250">
        <f t="shared" ref="H518:H524" si="208">SUM(J518:L518)</f>
        <v>-46897.933115452906</v>
      </c>
      <c r="I518" s="241">
        <f t="shared" ref="I518:I524" si="209">+H518/$H$526</f>
        <v>-1.0004295591685219</v>
      </c>
      <c r="J518" s="242">
        <f>+D518-D507</f>
        <v>-2035.8471154528961</v>
      </c>
      <c r="K518" s="849">
        <f>+E518-E507</f>
        <v>-44862.08600000001</v>
      </c>
      <c r="L518" s="242">
        <f t="shared" ref="L518:L524" si="210">+F518-F507</f>
        <v>0</v>
      </c>
    </row>
    <row r="519" spans="1:12" ht="15.5">
      <c r="A519" s="180" t="s">
        <v>8</v>
      </c>
      <c r="B519" s="242">
        <f t="shared" si="206"/>
        <v>91461.004008016025</v>
      </c>
      <c r="C519" s="241">
        <f t="shared" si="207"/>
        <v>1.3843411946863877E-2</v>
      </c>
      <c r="D519" s="242">
        <v>91461.004008016025</v>
      </c>
      <c r="E519" s="242"/>
      <c r="F519" s="849">
        <v>0</v>
      </c>
      <c r="H519" s="250">
        <f t="shared" si="208"/>
        <v>17494.278957099537</v>
      </c>
      <c r="I519" s="241">
        <f t="shared" si="209"/>
        <v>0.3731890218261108</v>
      </c>
      <c r="J519" s="242">
        <f t="shared" ref="J519:J524" si="211">+D519-D508</f>
        <v>17494.278957099537</v>
      </c>
      <c r="K519" s="849">
        <f t="shared" ref="K519:K524" si="212">+E519-E508</f>
        <v>0</v>
      </c>
      <c r="L519" s="242">
        <f t="shared" si="210"/>
        <v>0</v>
      </c>
    </row>
    <row r="520" spans="1:12" ht="15.5">
      <c r="A520" s="180" t="s">
        <v>9</v>
      </c>
      <c r="B520" s="242">
        <f t="shared" si="206"/>
        <v>1089421.4119515801</v>
      </c>
      <c r="C520" s="241">
        <f t="shared" si="207"/>
        <v>0.16489332861530831</v>
      </c>
      <c r="D520" s="242">
        <v>780963.09195158025</v>
      </c>
      <c r="E520" s="242">
        <v>292204.15000000002</v>
      </c>
      <c r="F520" s="849">
        <v>16254.17</v>
      </c>
      <c r="H520" s="250">
        <f t="shared" si="208"/>
        <v>24688.21992021014</v>
      </c>
      <c r="I520" s="241">
        <f t="shared" si="209"/>
        <v>0.5266506076211932</v>
      </c>
      <c r="J520" s="242">
        <f t="shared" si="211"/>
        <v>24232.499920210103</v>
      </c>
      <c r="K520" s="849">
        <f t="shared" si="212"/>
        <v>1227.5400000000373</v>
      </c>
      <c r="L520" s="242">
        <f t="shared" si="210"/>
        <v>-771.82000000000153</v>
      </c>
    </row>
    <row r="521" spans="1:12" ht="15.5">
      <c r="A521" s="180" t="s">
        <v>148</v>
      </c>
      <c r="B521" s="242">
        <f t="shared" si="206"/>
        <v>416982.48</v>
      </c>
      <c r="C521" s="241">
        <f t="shared" si="207"/>
        <v>6.3113895456024124E-2</v>
      </c>
      <c r="D521" s="242">
        <v>0</v>
      </c>
      <c r="E521" s="242">
        <v>100175.88</v>
      </c>
      <c r="F521" s="849">
        <v>316806.59999999998</v>
      </c>
      <c r="H521" s="250">
        <f t="shared" si="208"/>
        <v>7329.8599999999715</v>
      </c>
      <c r="I521" s="241">
        <f t="shared" si="209"/>
        <v>0.15636101894969698</v>
      </c>
      <c r="J521" s="242">
        <f t="shared" si="211"/>
        <v>0</v>
      </c>
      <c r="K521" s="849">
        <f t="shared" si="212"/>
        <v>2301.8400000000111</v>
      </c>
      <c r="L521" s="242">
        <f t="shared" si="210"/>
        <v>5028.0199999999604</v>
      </c>
    </row>
    <row r="522" spans="1:12" ht="15.5">
      <c r="A522" s="180" t="s">
        <v>11</v>
      </c>
      <c r="B522" s="242">
        <f t="shared" si="206"/>
        <v>1116176.23</v>
      </c>
      <c r="C522" s="241">
        <f t="shared" si="207"/>
        <v>0.16894290112793023</v>
      </c>
      <c r="D522" s="242">
        <v>0</v>
      </c>
      <c r="E522" s="242">
        <v>720087.21</v>
      </c>
      <c r="F522" s="849">
        <v>396089.02</v>
      </c>
      <c r="H522" s="250">
        <f t="shared" si="208"/>
        <v>46669.239999999991</v>
      </c>
      <c r="I522" s="241">
        <f t="shared" si="209"/>
        <v>0.99555106373218361</v>
      </c>
      <c r="J522" s="242">
        <f t="shared" si="211"/>
        <v>0</v>
      </c>
      <c r="K522" s="849">
        <f t="shared" si="212"/>
        <v>29275.689999999944</v>
      </c>
      <c r="L522" s="242">
        <f t="shared" si="210"/>
        <v>17393.550000000047</v>
      </c>
    </row>
    <row r="523" spans="1:12" ht="15.5">
      <c r="A523" s="180" t="s">
        <v>12</v>
      </c>
      <c r="B523" s="242">
        <f t="shared" si="206"/>
        <v>132344.6893787575</v>
      </c>
      <c r="C523" s="241">
        <f t="shared" si="207"/>
        <v>2.0031510411686573E-2</v>
      </c>
      <c r="D523" s="242">
        <v>132344.6893787575</v>
      </c>
      <c r="E523" s="242">
        <v>0</v>
      </c>
      <c r="F523" s="849">
        <v>0</v>
      </c>
      <c r="H523" s="250">
        <f t="shared" si="208"/>
        <v>-1993.3961609573744</v>
      </c>
      <c r="I523" s="241">
        <f t="shared" si="209"/>
        <v>-4.2523248042624341E-2</v>
      </c>
      <c r="J523" s="242">
        <f t="shared" si="211"/>
        <v>-1993.3961609573744</v>
      </c>
      <c r="K523" s="849">
        <f t="shared" si="212"/>
        <v>0</v>
      </c>
      <c r="L523" s="242">
        <f t="shared" si="210"/>
        <v>0</v>
      </c>
    </row>
    <row r="524" spans="1:12" ht="15.5">
      <c r="A524" s="180" t="s">
        <v>160</v>
      </c>
      <c r="B524" s="242">
        <f t="shared" si="206"/>
        <v>2709581.8799133487</v>
      </c>
      <c r="C524" s="241">
        <f t="shared" si="207"/>
        <v>0.41011859178924837</v>
      </c>
      <c r="D524" s="242">
        <v>2709581.8799133487</v>
      </c>
      <c r="E524" s="242">
        <v>0</v>
      </c>
      <c r="F524" s="849">
        <v>0</v>
      </c>
      <c r="H524" s="250">
        <f t="shared" si="208"/>
        <v>-412.47327265935019</v>
      </c>
      <c r="I524" s="241">
        <f t="shared" si="209"/>
        <v>-8.7989049180383309E-3</v>
      </c>
      <c r="J524" s="242">
        <f t="shared" si="211"/>
        <v>-412.47327265935019</v>
      </c>
      <c r="K524" s="849">
        <f t="shared" si="212"/>
        <v>0</v>
      </c>
      <c r="L524" s="242">
        <f t="shared" si="210"/>
        <v>0</v>
      </c>
    </row>
    <row r="525" spans="1:12" ht="15.5">
      <c r="A525" s="180"/>
      <c r="B525" s="242">
        <v>0</v>
      </c>
      <c r="C525" s="241">
        <v>0</v>
      </c>
      <c r="D525" s="237"/>
      <c r="E525" s="242"/>
      <c r="F525" s="295"/>
      <c r="H525" s="250"/>
      <c r="I525" s="241">
        <f>+H525/$H$295</f>
        <v>0</v>
      </c>
      <c r="J525" s="242"/>
      <c r="K525" s="242"/>
      <c r="L525" s="242"/>
    </row>
    <row r="526" spans="1:12" ht="15.5">
      <c r="A526" s="180"/>
      <c r="B526" s="243">
        <f>SUM(B518:B525)</f>
        <v>6606825.2797126248</v>
      </c>
      <c r="C526" s="240">
        <f>SUM(C518:C525)</f>
        <v>0.99999999999999989</v>
      </c>
      <c r="D526" s="243">
        <f>SUM(D518:D525)</f>
        <v>3845152.8157126242</v>
      </c>
      <c r="E526" s="243">
        <f>SUM(E518:E525)</f>
        <v>2032522.6740000001</v>
      </c>
      <c r="F526" s="243">
        <f>SUM(F518:F525)</f>
        <v>729149.79</v>
      </c>
      <c r="G526" s="32">
        <f>+B526-B515</f>
        <v>46877.796328240074</v>
      </c>
      <c r="H526" s="243">
        <f>SUM(H518:H525)</f>
        <v>46877.796328240009</v>
      </c>
      <c r="I526" s="240">
        <f>SUM(I518:I525)</f>
        <v>1</v>
      </c>
      <c r="J526" s="243">
        <f>SUM(J518:J525)</f>
        <v>37285.062328240019</v>
      </c>
      <c r="K526" s="243">
        <f>SUM(K518:K525)</f>
        <v>-12057.016000000018</v>
      </c>
      <c r="L526" s="243">
        <f>SUM(L518:L525)</f>
        <v>21649.750000000007</v>
      </c>
    </row>
    <row r="527" spans="1:12" ht="14.5" thickBot="1">
      <c r="H527" s="254">
        <f>+A528</f>
        <v>41333</v>
      </c>
      <c r="I527" s="254"/>
      <c r="J527" s="254">
        <f>+A517</f>
        <v>41302</v>
      </c>
    </row>
    <row r="528" spans="1:12" ht="16" thickBot="1">
      <c r="A528" s="253">
        <v>41333</v>
      </c>
      <c r="B528" s="251">
        <v>5.03</v>
      </c>
      <c r="C528" s="238" t="s">
        <v>3</v>
      </c>
      <c r="D528" s="238" t="s">
        <v>4</v>
      </c>
      <c r="E528" s="238" t="s">
        <v>5</v>
      </c>
      <c r="F528" s="238" t="s">
        <v>114</v>
      </c>
      <c r="H528" s="251">
        <f>+B528-B517</f>
        <v>4.0000000000000036E-2</v>
      </c>
      <c r="I528" s="238" t="s">
        <v>3</v>
      </c>
      <c r="J528" s="238" t="s">
        <v>4</v>
      </c>
      <c r="K528" s="238" t="s">
        <v>5</v>
      </c>
      <c r="L528" s="238" t="s">
        <v>114</v>
      </c>
    </row>
    <row r="529" spans="1:12" ht="15.5">
      <c r="A529" s="180" t="s">
        <v>7</v>
      </c>
      <c r="B529" s="250">
        <f t="shared" ref="B529:B535" si="213">SUM(D529:F529)</f>
        <v>1109956.5288667993</v>
      </c>
      <c r="C529" s="241">
        <f t="shared" ref="C529:C535" si="214">+B529/$B$537</f>
        <v>0.16678987656448052</v>
      </c>
      <c r="D529" s="242">
        <v>128610.2688667992</v>
      </c>
      <c r="E529" s="242">
        <v>981346.26</v>
      </c>
      <c r="F529" s="849">
        <v>0</v>
      </c>
      <c r="H529" s="250">
        <f t="shared" ref="H529:H535" si="215">SUM(J529:L529)</f>
        <v>59098.944405877366</v>
      </c>
      <c r="I529" s="241">
        <f t="shared" ref="I529:I536" si="216">+H529/$H$537</f>
        <v>1.2313753712864264</v>
      </c>
      <c r="J529" s="242">
        <f>+D529-D518</f>
        <v>-2191.8815941226349</v>
      </c>
      <c r="K529" s="849">
        <f>+E529-E518</f>
        <v>61290.826000000001</v>
      </c>
      <c r="L529" s="242">
        <f t="shared" ref="L529:L535" si="217">+F529-F518</f>
        <v>0</v>
      </c>
    </row>
    <row r="530" spans="1:12" ht="15.5">
      <c r="A530" s="180" t="s">
        <v>8</v>
      </c>
      <c r="B530" s="242">
        <f t="shared" si="213"/>
        <v>81158.894632206764</v>
      </c>
      <c r="C530" s="241">
        <f t="shared" si="214"/>
        <v>1.2195506459730818E-2</v>
      </c>
      <c r="D530" s="242">
        <v>81158.894632206764</v>
      </c>
      <c r="E530" s="242"/>
      <c r="F530" s="849">
        <v>0</v>
      </c>
      <c r="H530" s="250">
        <f t="shared" si="215"/>
        <v>-10302.109375809261</v>
      </c>
      <c r="I530" s="241">
        <f t="shared" si="216"/>
        <v>-0.21465296690492003</v>
      </c>
      <c r="J530" s="242">
        <f t="shared" ref="J530:J535" si="218">+D530-D519</f>
        <v>-10302.109375809261</v>
      </c>
      <c r="K530" s="849">
        <f t="shared" ref="K530:K535" si="219">+E530-E519</f>
        <v>0</v>
      </c>
      <c r="L530" s="242">
        <f t="shared" si="217"/>
        <v>0</v>
      </c>
    </row>
    <row r="531" spans="1:12" ht="15.5">
      <c r="A531" s="180" t="s">
        <v>9</v>
      </c>
      <c r="B531" s="242">
        <f t="shared" si="213"/>
        <v>1101032.2401581141</v>
      </c>
      <c r="C531" s="241">
        <f t="shared" si="214"/>
        <v>0.16544885016080049</v>
      </c>
      <c r="D531" s="242">
        <v>791990.54015811428</v>
      </c>
      <c r="E531" s="242">
        <v>292782.01</v>
      </c>
      <c r="F531" s="849">
        <v>16259.69</v>
      </c>
      <c r="H531" s="250">
        <f t="shared" si="215"/>
        <v>11610.828206534014</v>
      </c>
      <c r="I531" s="241">
        <f t="shared" si="216"/>
        <v>0.24192120582684848</v>
      </c>
      <c r="J531" s="242">
        <f t="shared" si="218"/>
        <v>11027.448206534027</v>
      </c>
      <c r="K531" s="849">
        <f t="shared" si="219"/>
        <v>577.85999999998603</v>
      </c>
      <c r="L531" s="242">
        <f t="shared" si="217"/>
        <v>5.5200000000004366</v>
      </c>
    </row>
    <row r="532" spans="1:12" ht="15.5">
      <c r="A532" s="180" t="s">
        <v>148</v>
      </c>
      <c r="B532" s="242">
        <f t="shared" si="213"/>
        <v>417575.67999999993</v>
      </c>
      <c r="C532" s="241">
        <f t="shared" si="214"/>
        <v>6.2747859318990559E-2</v>
      </c>
      <c r="D532" s="242">
        <v>0</v>
      </c>
      <c r="E532" s="242">
        <v>100042.72</v>
      </c>
      <c r="F532" s="849">
        <v>317532.95999999996</v>
      </c>
      <c r="H532" s="250">
        <f t="shared" si="215"/>
        <v>593.19999999998254</v>
      </c>
      <c r="I532" s="241">
        <f t="shared" si="216"/>
        <v>1.2359812473646203E-2</v>
      </c>
      <c r="J532" s="242">
        <f t="shared" si="218"/>
        <v>0</v>
      </c>
      <c r="K532" s="849">
        <f t="shared" si="219"/>
        <v>-133.16000000000349</v>
      </c>
      <c r="L532" s="242">
        <f t="shared" si="217"/>
        <v>726.35999999998603</v>
      </c>
    </row>
    <row r="533" spans="1:12" ht="15.5">
      <c r="A533" s="180" t="s">
        <v>11</v>
      </c>
      <c r="B533" s="242">
        <f t="shared" si="213"/>
        <v>1104133.3500000001</v>
      </c>
      <c r="C533" s="241">
        <f t="shared" si="214"/>
        <v>0.16591484474192983</v>
      </c>
      <c r="D533" s="242">
        <v>0</v>
      </c>
      <c r="E533" s="242">
        <v>708065.5</v>
      </c>
      <c r="F533" s="849">
        <v>396067.85000000003</v>
      </c>
      <c r="H533" s="250">
        <f t="shared" si="215"/>
        <v>-12042.879999999946</v>
      </c>
      <c r="I533" s="241">
        <f t="shared" si="216"/>
        <v>-0.25092336217570488</v>
      </c>
      <c r="J533" s="242">
        <f t="shared" si="218"/>
        <v>0</v>
      </c>
      <c r="K533" s="849">
        <f t="shared" si="219"/>
        <v>-12021.709999999963</v>
      </c>
      <c r="L533" s="242">
        <f t="shared" si="217"/>
        <v>-21.169999999983702</v>
      </c>
    </row>
    <row r="534" spans="1:12" ht="15.5">
      <c r="A534" s="180" t="s">
        <v>12</v>
      </c>
      <c r="B534" s="242">
        <f t="shared" si="213"/>
        <v>131371.7693836978</v>
      </c>
      <c r="C534" s="241">
        <f t="shared" si="214"/>
        <v>1.9740846267136875E-2</v>
      </c>
      <c r="D534" s="242">
        <v>131371.7693836978</v>
      </c>
      <c r="E534" s="242">
        <v>0</v>
      </c>
      <c r="F534" s="849">
        <v>0</v>
      </c>
      <c r="H534" s="250">
        <f t="shared" si="215"/>
        <v>-972.91999505969579</v>
      </c>
      <c r="I534" s="241">
        <f t="shared" si="216"/>
        <v>-2.0271592533376577E-2</v>
      </c>
      <c r="J534" s="242">
        <f t="shared" si="218"/>
        <v>-972.91999505969579</v>
      </c>
      <c r="K534" s="849">
        <f t="shared" si="219"/>
        <v>0</v>
      </c>
      <c r="L534" s="242">
        <f t="shared" si="217"/>
        <v>0</v>
      </c>
    </row>
    <row r="535" spans="1:12" ht="15.5">
      <c r="A535" s="180" t="s">
        <v>160</v>
      </c>
      <c r="B535" s="242">
        <f t="shared" si="213"/>
        <v>2709591.072350427</v>
      </c>
      <c r="C535" s="241">
        <f t="shared" si="214"/>
        <v>0.40716221648693091</v>
      </c>
      <c r="D535" s="242">
        <v>2709591.072350427</v>
      </c>
      <c r="E535" s="242">
        <v>0</v>
      </c>
      <c r="F535" s="849">
        <v>0</v>
      </c>
      <c r="H535" s="250">
        <f t="shared" si="215"/>
        <v>9.1924370783381164</v>
      </c>
      <c r="I535" s="241">
        <f t="shared" si="216"/>
        <v>1.9153202708033489E-4</v>
      </c>
      <c r="J535" s="242">
        <f t="shared" si="218"/>
        <v>9.1924370783381164</v>
      </c>
      <c r="K535" s="849">
        <f t="shared" si="219"/>
        <v>0</v>
      </c>
      <c r="L535" s="242">
        <f t="shared" si="217"/>
        <v>0</v>
      </c>
    </row>
    <row r="536" spans="1:12" ht="15.5">
      <c r="A536" s="180"/>
      <c r="B536" s="242">
        <v>0</v>
      </c>
      <c r="C536" s="241">
        <v>0</v>
      </c>
      <c r="D536" s="237"/>
      <c r="E536" s="242"/>
      <c r="F536" s="295"/>
      <c r="H536" s="250"/>
      <c r="I536" s="241">
        <f t="shared" si="216"/>
        <v>0</v>
      </c>
      <c r="J536" s="242"/>
      <c r="K536" s="242"/>
      <c r="L536" s="242"/>
    </row>
    <row r="537" spans="1:12" ht="15.5">
      <c r="A537" s="180"/>
      <c r="B537" s="243">
        <f>SUM(B529:B536)</f>
        <v>6654819.535391245</v>
      </c>
      <c r="C537" s="240">
        <f>SUM(C529:C536)</f>
        <v>1</v>
      </c>
      <c r="D537" s="243">
        <f>SUM(D529:D536)</f>
        <v>3842722.5453912448</v>
      </c>
      <c r="E537" s="243">
        <f>SUM(E529:E536)</f>
        <v>2082236.49</v>
      </c>
      <c r="F537" s="243">
        <f>SUM(F529:F536)</f>
        <v>729860.5</v>
      </c>
      <c r="G537" s="32">
        <f>+B537-B526</f>
        <v>47994.255678620189</v>
      </c>
      <c r="H537" s="243">
        <f>SUM(H529:H536)</f>
        <v>47994.255678620801</v>
      </c>
      <c r="I537" s="240">
        <f>SUM(I529:I536)</f>
        <v>0.99999999999999978</v>
      </c>
      <c r="J537" s="243">
        <f>SUM(J529:J536)</f>
        <v>-2430.2703213792265</v>
      </c>
      <c r="K537" s="243">
        <f>SUM(K529:K536)</f>
        <v>49713.816000000021</v>
      </c>
      <c r="L537" s="243">
        <f>SUM(L529:L536)</f>
        <v>710.71000000000276</v>
      </c>
    </row>
    <row r="538" spans="1:12" ht="14.5" thickBot="1">
      <c r="H538" s="254">
        <f>+A539</f>
        <v>41361</v>
      </c>
      <c r="I538" s="254"/>
      <c r="J538" s="254">
        <f>+A528</f>
        <v>41333</v>
      </c>
    </row>
    <row r="539" spans="1:12" ht="16" thickBot="1">
      <c r="A539" s="253">
        <v>41361</v>
      </c>
      <c r="B539" s="251">
        <v>5.12</v>
      </c>
      <c r="C539" s="238" t="s">
        <v>3</v>
      </c>
      <c r="D539" s="238" t="s">
        <v>4</v>
      </c>
      <c r="E539" s="238" t="s">
        <v>5</v>
      </c>
      <c r="F539" s="238" t="s">
        <v>114</v>
      </c>
      <c r="H539" s="251">
        <f>+B539-B528</f>
        <v>8.9999999999999858E-2</v>
      </c>
      <c r="I539" s="238" t="s">
        <v>3</v>
      </c>
      <c r="J539" s="238" t="s">
        <v>4</v>
      </c>
      <c r="K539" s="238" t="s">
        <v>5</v>
      </c>
      <c r="L539" s="238" t="s">
        <v>114</v>
      </c>
    </row>
    <row r="540" spans="1:12" ht="15.5">
      <c r="A540" s="180" t="s">
        <v>7</v>
      </c>
      <c r="B540" s="250">
        <f t="shared" ref="B540:B546" si="220">SUM(D540:F540)</f>
        <v>1042137.7681835936</v>
      </c>
      <c r="C540" s="241">
        <f t="shared" ref="C540:C546" si="221">+B540/$B$548</f>
        <v>0.15762111244583071</v>
      </c>
      <c r="D540" s="242">
        <v>127524.32818359375</v>
      </c>
      <c r="E540" s="242">
        <v>914613.44</v>
      </c>
      <c r="F540" s="849">
        <v>0</v>
      </c>
      <c r="H540" s="250">
        <f t="shared" ref="H540:H546" si="222">SUM(J540:L540)</f>
        <v>-67818.760683205517</v>
      </c>
      <c r="I540" s="241">
        <f t="shared" ref="I540:I546" si="223">+H540/$H$548</f>
        <v>1.5714808291204012</v>
      </c>
      <c r="J540" s="242">
        <f>+D540-D529</f>
        <v>-1085.9406832054519</v>
      </c>
      <c r="K540" s="849">
        <f>+E540-E529</f>
        <v>-66732.820000000065</v>
      </c>
      <c r="L540" s="242">
        <f t="shared" ref="L540:L546" si="224">+F540-F529</f>
        <v>0</v>
      </c>
    </row>
    <row r="541" spans="1:12" ht="15.5">
      <c r="A541" s="180" t="s">
        <v>8</v>
      </c>
      <c r="B541" s="242">
        <f t="shared" si="220"/>
        <v>89629.542968749985</v>
      </c>
      <c r="C541" s="241">
        <f t="shared" si="221"/>
        <v>1.3556277012558009E-2</v>
      </c>
      <c r="D541" s="242">
        <v>89629.542968749985</v>
      </c>
      <c r="E541" s="242"/>
      <c r="F541" s="849">
        <v>0</v>
      </c>
      <c r="H541" s="250">
        <f t="shared" si="222"/>
        <v>8470.6483365432214</v>
      </c>
      <c r="I541" s="241">
        <f t="shared" si="223"/>
        <v>-0.19627992810542036</v>
      </c>
      <c r="J541" s="242">
        <f t="shared" ref="J541:J546" si="225">+D541-D530</f>
        <v>8470.6483365432214</v>
      </c>
      <c r="K541" s="849">
        <f t="shared" ref="K541:K546" si="226">+E541-E530</f>
        <v>0</v>
      </c>
      <c r="L541" s="242">
        <f t="shared" si="224"/>
        <v>0</v>
      </c>
    </row>
    <row r="542" spans="1:12" ht="15.5">
      <c r="A542" s="180" t="s">
        <v>9</v>
      </c>
      <c r="B542" s="242">
        <f t="shared" si="220"/>
        <v>1102050.290959225</v>
      </c>
      <c r="C542" s="241">
        <f t="shared" si="221"/>
        <v>0.16668275360081047</v>
      </c>
      <c r="D542" s="242">
        <v>790859.93095922517</v>
      </c>
      <c r="E542" s="242">
        <v>293907.71999999997</v>
      </c>
      <c r="F542" s="849">
        <v>17282.64</v>
      </c>
      <c r="H542" s="250">
        <f t="shared" si="222"/>
        <v>1018.0508011108486</v>
      </c>
      <c r="I542" s="241">
        <f t="shared" si="223"/>
        <v>-2.3590040586108019E-2</v>
      </c>
      <c r="J542" s="242">
        <f t="shared" si="225"/>
        <v>-1130.609198889113</v>
      </c>
      <c r="K542" s="849">
        <f t="shared" si="226"/>
        <v>1125.7099999999627</v>
      </c>
      <c r="L542" s="242">
        <f t="shared" si="224"/>
        <v>1022.9499999999989</v>
      </c>
    </row>
    <row r="543" spans="1:12" ht="15.5">
      <c r="A543" s="180" t="s">
        <v>148</v>
      </c>
      <c r="B543" s="242">
        <f t="shared" si="220"/>
        <v>416958.23</v>
      </c>
      <c r="C543" s="241">
        <f t="shared" si="221"/>
        <v>6.3064042070555104E-2</v>
      </c>
      <c r="D543" s="242">
        <v>0</v>
      </c>
      <c r="E543" s="242">
        <v>101071.48</v>
      </c>
      <c r="F543" s="849">
        <v>315886.75</v>
      </c>
      <c r="H543" s="250">
        <f t="shared" si="222"/>
        <v>-617.44999999996799</v>
      </c>
      <c r="I543" s="241">
        <f t="shared" si="223"/>
        <v>1.4307410341407594E-2</v>
      </c>
      <c r="J543" s="242">
        <f t="shared" si="225"/>
        <v>0</v>
      </c>
      <c r="K543" s="849">
        <f t="shared" si="226"/>
        <v>1028.7599999999948</v>
      </c>
      <c r="L543" s="242">
        <f t="shared" si="224"/>
        <v>-1646.2099999999627</v>
      </c>
    </row>
    <row r="544" spans="1:12" ht="15.5">
      <c r="A544" s="180" t="s">
        <v>11</v>
      </c>
      <c r="B544" s="242">
        <f t="shared" si="220"/>
        <v>1121997.81</v>
      </c>
      <c r="C544" s="241">
        <f t="shared" si="221"/>
        <v>0.16969977326724237</v>
      </c>
      <c r="D544" s="242">
        <v>0</v>
      </c>
      <c r="E544" s="242">
        <v>728309.05999999994</v>
      </c>
      <c r="F544" s="849">
        <v>393688.75</v>
      </c>
      <c r="H544" s="250">
        <f t="shared" si="222"/>
        <v>17864.459999999905</v>
      </c>
      <c r="I544" s="241">
        <f t="shared" si="223"/>
        <v>-0.41395118592221913</v>
      </c>
      <c r="J544" s="242">
        <f t="shared" si="225"/>
        <v>0</v>
      </c>
      <c r="K544" s="849">
        <f t="shared" si="226"/>
        <v>20243.559999999939</v>
      </c>
      <c r="L544" s="242">
        <f t="shared" si="224"/>
        <v>-2379.1000000000349</v>
      </c>
    </row>
    <row r="545" spans="1:12" ht="15.5">
      <c r="A545" s="180" t="s">
        <v>12</v>
      </c>
      <c r="B545" s="242">
        <f t="shared" si="220"/>
        <v>129238.28125</v>
      </c>
      <c r="C545" s="241">
        <f t="shared" si="221"/>
        <v>1.9547014111884139E-2</v>
      </c>
      <c r="D545" s="242">
        <v>129238.28125</v>
      </c>
      <c r="E545" s="242">
        <v>0</v>
      </c>
      <c r="F545" s="849">
        <v>0</v>
      </c>
      <c r="H545" s="250">
        <f t="shared" si="222"/>
        <v>-2133.4881336977996</v>
      </c>
      <c r="I545" s="241">
        <f t="shared" si="223"/>
        <v>4.9436699631289771E-2</v>
      </c>
      <c r="J545" s="242">
        <f t="shared" si="225"/>
        <v>-2133.4881336977996</v>
      </c>
      <c r="K545" s="849">
        <f t="shared" si="226"/>
        <v>0</v>
      </c>
      <c r="L545" s="242">
        <f t="shared" si="224"/>
        <v>0</v>
      </c>
    </row>
    <row r="546" spans="1:12" ht="15.5">
      <c r="A546" s="180" t="s">
        <v>160</v>
      </c>
      <c r="B546" s="242">
        <f t="shared" si="220"/>
        <v>2709651.6540144803</v>
      </c>
      <c r="C546" s="241">
        <f t="shared" si="221"/>
        <v>0.40982902749111921</v>
      </c>
      <c r="D546" s="242">
        <v>2709651.6540144803</v>
      </c>
      <c r="E546" s="242">
        <v>0</v>
      </c>
      <c r="F546" s="849">
        <v>0</v>
      </c>
      <c r="H546" s="250">
        <f t="shared" si="222"/>
        <v>60.581664053257555</v>
      </c>
      <c r="I546" s="241">
        <f t="shared" si="223"/>
        <v>-1.4037844793510451E-3</v>
      </c>
      <c r="J546" s="242">
        <f t="shared" si="225"/>
        <v>60.581664053257555</v>
      </c>
      <c r="K546" s="849">
        <f t="shared" si="226"/>
        <v>0</v>
      </c>
      <c r="L546" s="242">
        <f t="shared" si="224"/>
        <v>0</v>
      </c>
    </row>
    <row r="547" spans="1:12" ht="15.5">
      <c r="A547" s="180"/>
      <c r="B547" s="242">
        <v>0</v>
      </c>
      <c r="C547" s="241">
        <v>0</v>
      </c>
      <c r="D547" s="237"/>
      <c r="E547" s="242"/>
      <c r="F547" s="295"/>
      <c r="H547" s="250"/>
      <c r="I547" s="241">
        <f>+H547/$H$537</f>
        <v>0</v>
      </c>
      <c r="J547" s="242"/>
      <c r="K547" s="242"/>
      <c r="L547" s="242"/>
    </row>
    <row r="548" spans="1:12" ht="15.5">
      <c r="A548" s="180"/>
      <c r="B548" s="243">
        <f>SUM(B540:B547)</f>
        <v>6611663.577376049</v>
      </c>
      <c r="C548" s="240">
        <f>SUM(C540:C547)</f>
        <v>1</v>
      </c>
      <c r="D548" s="243">
        <f>SUM(D540:D547)</f>
        <v>3846903.7373760492</v>
      </c>
      <c r="E548" s="243">
        <f>SUM(E540:E547)</f>
        <v>2037901.6999999997</v>
      </c>
      <c r="F548" s="243">
        <f>SUM(F540:F547)</f>
        <v>726858.14</v>
      </c>
      <c r="G548" s="32">
        <f>+B548-B537</f>
        <v>-43155.958015196025</v>
      </c>
      <c r="H548" s="243">
        <f>SUM(H540:H547)</f>
        <v>-43155.958015196054</v>
      </c>
      <c r="I548" s="240">
        <f>SUM(I540:I547)</f>
        <v>1</v>
      </c>
      <c r="J548" s="243">
        <f>SUM(J540:J547)</f>
        <v>4181.1919848041143</v>
      </c>
      <c r="K548" s="243">
        <f>SUM(K540:K547)</f>
        <v>-44334.790000000168</v>
      </c>
      <c r="L548" s="243">
        <f>SUM(L540:L547)</f>
        <v>-3002.3599999999988</v>
      </c>
    </row>
    <row r="549" spans="1:12" ht="14.5" thickBot="1">
      <c r="H549" s="254">
        <f>+A550</f>
        <v>41392</v>
      </c>
      <c r="I549" s="254"/>
      <c r="J549" s="254">
        <f>+A539</f>
        <v>41361</v>
      </c>
    </row>
    <row r="550" spans="1:12" ht="16" thickBot="1">
      <c r="A550" s="253">
        <v>41392</v>
      </c>
      <c r="B550" s="251">
        <v>5.12</v>
      </c>
      <c r="C550" s="238" t="s">
        <v>3</v>
      </c>
      <c r="D550" s="238" t="s">
        <v>4</v>
      </c>
      <c r="E550" s="238" t="s">
        <v>5</v>
      </c>
      <c r="F550" s="238" t="s">
        <v>114</v>
      </c>
      <c r="H550" s="251">
        <f>+B550-B539</f>
        <v>0</v>
      </c>
      <c r="I550" s="238" t="s">
        <v>3</v>
      </c>
      <c r="J550" s="238" t="s">
        <v>4</v>
      </c>
      <c r="K550" s="238" t="s">
        <v>5</v>
      </c>
      <c r="L550" s="238" t="s">
        <v>114</v>
      </c>
    </row>
    <row r="551" spans="1:12" ht="15.5">
      <c r="A551" s="180" t="s">
        <v>7</v>
      </c>
      <c r="B551" s="250">
        <f t="shared" ref="B551:B557" si="227">SUM(D551:F551)</f>
        <v>1058331.7030019304</v>
      </c>
      <c r="C551" s="241">
        <f t="shared" ref="C551:C557" si="228">+B551/$B$559</f>
        <v>0.15752050917356281</v>
      </c>
      <c r="D551" s="242">
        <v>120341.7130019305</v>
      </c>
      <c r="E551" s="242">
        <v>937989.99</v>
      </c>
      <c r="F551" s="849">
        <v>0</v>
      </c>
      <c r="H551" s="250">
        <f t="shared" ref="H551:H557" si="229">SUM(J551:L551)</f>
        <v>16193.934818336798</v>
      </c>
      <c r="I551" s="241">
        <f t="shared" ref="I551:I557" si="230">+H551/$H$559</f>
        <v>0.15130572806441567</v>
      </c>
      <c r="J551" s="242">
        <f>+D551-D540</f>
        <v>-7182.6151816632482</v>
      </c>
      <c r="K551" s="849">
        <f>+E551-E540</f>
        <v>23376.550000000047</v>
      </c>
      <c r="L551" s="242">
        <f t="shared" ref="L551:L557" si="231">+F551-F540</f>
        <v>0</v>
      </c>
    </row>
    <row r="552" spans="1:12" ht="15.5">
      <c r="A552" s="180" t="s">
        <v>8</v>
      </c>
      <c r="B552" s="242">
        <f t="shared" si="227"/>
        <v>98645.359073359083</v>
      </c>
      <c r="C552" s="241">
        <f t="shared" si="228"/>
        <v>1.4682227835346357E-2</v>
      </c>
      <c r="D552" s="242">
        <v>98645.359073359083</v>
      </c>
      <c r="E552" s="242"/>
      <c r="F552" s="849">
        <v>0</v>
      </c>
      <c r="H552" s="250">
        <f t="shared" si="229"/>
        <v>9015.8161046090972</v>
      </c>
      <c r="I552" s="241">
        <f t="shared" si="230"/>
        <v>8.4237996206956961E-2</v>
      </c>
      <c r="J552" s="242">
        <f t="shared" ref="J552:J557" si="232">+D552-D541</f>
        <v>9015.8161046090972</v>
      </c>
      <c r="K552" s="849">
        <f t="shared" ref="K552:K557" si="233">+E552-E541</f>
        <v>0</v>
      </c>
      <c r="L552" s="242">
        <f t="shared" si="231"/>
        <v>0</v>
      </c>
    </row>
    <row r="553" spans="1:12" ht="15.5">
      <c r="A553" s="180" t="s">
        <v>9</v>
      </c>
      <c r="B553" s="242">
        <f t="shared" si="227"/>
        <v>1133458.1364052172</v>
      </c>
      <c r="C553" s="241">
        <f t="shared" si="228"/>
        <v>0.16870221525731027</v>
      </c>
      <c r="D553" s="242">
        <v>793321.31640521716</v>
      </c>
      <c r="E553" s="242">
        <v>328196.51</v>
      </c>
      <c r="F553" s="849">
        <v>11940.31</v>
      </c>
      <c r="H553" s="250">
        <f t="shared" si="229"/>
        <v>31407.845445992032</v>
      </c>
      <c r="I553" s="241">
        <f t="shared" si="230"/>
        <v>0.29345473941018002</v>
      </c>
      <c r="J553" s="242">
        <f t="shared" si="232"/>
        <v>2461.3854459919967</v>
      </c>
      <c r="K553" s="849">
        <f t="shared" si="233"/>
        <v>34288.790000000037</v>
      </c>
      <c r="L553" s="242">
        <f t="shared" si="231"/>
        <v>-5342.33</v>
      </c>
    </row>
    <row r="554" spans="1:12" ht="15.5">
      <c r="A554" s="180" t="s">
        <v>148</v>
      </c>
      <c r="B554" s="242">
        <f t="shared" si="227"/>
        <v>281378.46000000002</v>
      </c>
      <c r="C554" s="241">
        <f t="shared" si="228"/>
        <v>4.1879949512947864E-2</v>
      </c>
      <c r="D554" s="242">
        <v>0</v>
      </c>
      <c r="E554" s="242">
        <v>103035.67</v>
      </c>
      <c r="F554" s="849">
        <v>178342.79</v>
      </c>
      <c r="H554" s="250">
        <f t="shared" si="229"/>
        <v>-135579.76999999999</v>
      </c>
      <c r="I554" s="241">
        <f t="shared" si="230"/>
        <v>-1.2667703088089195</v>
      </c>
      <c r="J554" s="242">
        <f t="shared" si="232"/>
        <v>0</v>
      </c>
      <c r="K554" s="849">
        <f t="shared" si="233"/>
        <v>1964.1900000000023</v>
      </c>
      <c r="L554" s="242">
        <f t="shared" si="231"/>
        <v>-137543.96</v>
      </c>
    </row>
    <row r="555" spans="1:12" ht="15.5">
      <c r="A555" s="180" t="s">
        <v>11</v>
      </c>
      <c r="B555" s="242">
        <f t="shared" si="227"/>
        <v>1309995.5299999998</v>
      </c>
      <c r="C555" s="241">
        <f t="shared" si="228"/>
        <v>0.19497777711409525</v>
      </c>
      <c r="D555" s="242">
        <v>0</v>
      </c>
      <c r="E555" s="242">
        <v>758658.37</v>
      </c>
      <c r="F555" s="849">
        <v>551337.15999999992</v>
      </c>
      <c r="H555" s="250">
        <f t="shared" si="229"/>
        <v>187997.71999999997</v>
      </c>
      <c r="I555" s="241">
        <f t="shared" si="230"/>
        <v>1.7565299736072186</v>
      </c>
      <c r="J555" s="242">
        <f t="shared" si="232"/>
        <v>0</v>
      </c>
      <c r="K555" s="849">
        <f t="shared" si="233"/>
        <v>30349.310000000056</v>
      </c>
      <c r="L555" s="242">
        <f t="shared" si="231"/>
        <v>157648.40999999992</v>
      </c>
    </row>
    <row r="556" spans="1:12" ht="15.5">
      <c r="A556" s="180" t="s">
        <v>12</v>
      </c>
      <c r="B556" s="242">
        <f t="shared" si="227"/>
        <v>127857.14285714287</v>
      </c>
      <c r="C556" s="241">
        <f t="shared" si="228"/>
        <v>1.9030066081557578E-2</v>
      </c>
      <c r="D556" s="242">
        <v>127857.14285714287</v>
      </c>
      <c r="E556" s="242">
        <v>0</v>
      </c>
      <c r="F556" s="849">
        <v>0</v>
      </c>
      <c r="H556" s="250">
        <f t="shared" si="229"/>
        <v>-1381.1383928571304</v>
      </c>
      <c r="I556" s="241">
        <f t="shared" si="230"/>
        <v>-1.2904470249709686E-2</v>
      </c>
      <c r="J556" s="242">
        <f t="shared" si="232"/>
        <v>-1381.1383928571304</v>
      </c>
      <c r="K556" s="849">
        <f t="shared" si="233"/>
        <v>0</v>
      </c>
      <c r="L556" s="242">
        <f t="shared" si="231"/>
        <v>0</v>
      </c>
    </row>
    <row r="557" spans="1:12" ht="15.5">
      <c r="A557" s="180" t="s">
        <v>160</v>
      </c>
      <c r="B557" s="242">
        <f t="shared" si="227"/>
        <v>2709025.1492480026</v>
      </c>
      <c r="C557" s="241">
        <f t="shared" si="228"/>
        <v>0.40320725502517996</v>
      </c>
      <c r="D557" s="242">
        <v>2709025.1492480026</v>
      </c>
      <c r="E557" s="242">
        <v>0</v>
      </c>
      <c r="F557" s="849">
        <v>0</v>
      </c>
      <c r="H557" s="250">
        <f t="shared" si="229"/>
        <v>-626.50476647773758</v>
      </c>
      <c r="I557" s="241">
        <f t="shared" si="230"/>
        <v>-5.8536582301420316E-3</v>
      </c>
      <c r="J557" s="242">
        <f t="shared" si="232"/>
        <v>-626.50476647773758</v>
      </c>
      <c r="K557" s="849">
        <f t="shared" si="233"/>
        <v>0</v>
      </c>
      <c r="L557" s="242">
        <f t="shared" si="231"/>
        <v>0</v>
      </c>
    </row>
    <row r="558" spans="1:12" ht="15.5">
      <c r="A558" s="180"/>
      <c r="B558" s="242">
        <v>0</v>
      </c>
      <c r="C558" s="241">
        <v>0</v>
      </c>
      <c r="D558" s="237"/>
      <c r="E558" s="242"/>
      <c r="F558" s="295"/>
      <c r="H558" s="250"/>
      <c r="I558" s="241">
        <f>+H558/$H$537</f>
        <v>0</v>
      </c>
      <c r="J558" s="242"/>
      <c r="K558" s="242"/>
      <c r="L558" s="242"/>
    </row>
    <row r="559" spans="1:12" ht="15.5">
      <c r="A559" s="180"/>
      <c r="B559" s="243">
        <f>SUM(B551:B558)</f>
        <v>6718691.4805856515</v>
      </c>
      <c r="C559" s="240">
        <f>SUM(C551:C558)</f>
        <v>1</v>
      </c>
      <c r="D559" s="243">
        <f>SUM(D551:D558)</f>
        <v>3849190.6805856521</v>
      </c>
      <c r="E559" s="243">
        <f>SUM(E551:E558)</f>
        <v>2127880.54</v>
      </c>
      <c r="F559" s="243">
        <f>SUM(F551:F558)</f>
        <v>741620.25999999989</v>
      </c>
      <c r="G559" s="32">
        <f>+B559-B548</f>
        <v>107027.90320960246</v>
      </c>
      <c r="H559" s="243">
        <f>SUM(H551:H558)</f>
        <v>107027.90320960304</v>
      </c>
      <c r="I559" s="240">
        <f>SUM(I551:I558)</f>
        <v>1</v>
      </c>
      <c r="J559" s="243">
        <f>SUM(J551:J558)</f>
        <v>2286.9432096029777</v>
      </c>
      <c r="K559" s="243">
        <f>SUM(K551:K558)</f>
        <v>89978.840000000142</v>
      </c>
      <c r="L559" s="243">
        <f>SUM(L551:L558)</f>
        <v>14762.119999999937</v>
      </c>
    </row>
    <row r="560" spans="1:12" ht="14.5" thickBot="1">
      <c r="H560" s="254">
        <f>+A561</f>
        <v>41422</v>
      </c>
      <c r="I560" s="254"/>
      <c r="J560" s="254">
        <f>+A550</f>
        <v>41392</v>
      </c>
    </row>
    <row r="561" spans="1:12" ht="16" thickBot="1">
      <c r="A561" s="253">
        <v>41422</v>
      </c>
      <c r="B561" s="251">
        <v>5.29</v>
      </c>
      <c r="C561" s="238" t="s">
        <v>3</v>
      </c>
      <c r="D561" s="238" t="s">
        <v>4</v>
      </c>
      <c r="E561" s="238" t="s">
        <v>5</v>
      </c>
      <c r="F561" s="238" t="s">
        <v>114</v>
      </c>
      <c r="H561" s="251">
        <f>+B561-B550</f>
        <v>0.16999999999999993</v>
      </c>
      <c r="I561" s="238" t="s">
        <v>3</v>
      </c>
      <c r="J561" s="238" t="s">
        <v>4</v>
      </c>
      <c r="K561" s="238" t="s">
        <v>5</v>
      </c>
      <c r="L561" s="238" t="s">
        <v>114</v>
      </c>
    </row>
    <row r="562" spans="1:12" ht="15.5">
      <c r="A562" s="180" t="s">
        <v>7</v>
      </c>
      <c r="B562" s="250">
        <f t="shared" ref="B562:B569" si="234">SUM(D562:F562)</f>
        <v>1053095.2430245746</v>
      </c>
      <c r="C562" s="241">
        <f t="shared" ref="C562:C568" si="235">+B562/$B$570</f>
        <v>0.15660513347361771</v>
      </c>
      <c r="D562" s="242">
        <v>121595.74302457467</v>
      </c>
      <c r="E562" s="242">
        <v>931499.5</v>
      </c>
      <c r="F562" s="849">
        <v>0</v>
      </c>
      <c r="H562" s="250">
        <f t="shared" ref="H562:H568" si="236">SUM(J562:L562)</f>
        <v>-5236.4599773558293</v>
      </c>
      <c r="I562" s="241">
        <f t="shared" ref="I562:I568" si="237">+H562/$H$570</f>
        <v>-0.89754425635814072</v>
      </c>
      <c r="J562" s="242">
        <f>+D562-D551</f>
        <v>1254.0300226441614</v>
      </c>
      <c r="K562" s="849">
        <f>+E562-E551</f>
        <v>-6490.4899999999907</v>
      </c>
      <c r="L562" s="242">
        <f t="shared" ref="L562:L568" si="238">+F562-F551</f>
        <v>0</v>
      </c>
    </row>
    <row r="563" spans="1:12" ht="15.5">
      <c r="A563" s="180" t="s">
        <v>8</v>
      </c>
      <c r="B563" s="242">
        <f t="shared" si="234"/>
        <v>86710.485822306247</v>
      </c>
      <c r="C563" s="241">
        <f t="shared" si="235"/>
        <v>1.2894661993499883E-2</v>
      </c>
      <c r="D563" s="242">
        <v>86710.485822306247</v>
      </c>
      <c r="E563" s="242"/>
      <c r="F563" s="849">
        <v>0</v>
      </c>
      <c r="H563" s="250">
        <f t="shared" si="236"/>
        <v>-11934.873251052835</v>
      </c>
      <c r="I563" s="241">
        <f t="shared" si="237"/>
        <v>-2.0456715000529782</v>
      </c>
      <c r="J563" s="242">
        <f t="shared" ref="J563:J568" si="239">+D563-D552</f>
        <v>-11934.873251052835</v>
      </c>
      <c r="K563" s="849">
        <f t="shared" ref="K563:K568" si="240">+E563-E552</f>
        <v>0</v>
      </c>
      <c r="L563" s="242">
        <f t="shared" si="238"/>
        <v>0</v>
      </c>
    </row>
    <row r="564" spans="1:12" ht="15.5">
      <c r="A564" s="180" t="s">
        <v>9</v>
      </c>
      <c r="B564" s="242">
        <f t="shared" si="234"/>
        <v>1136579.0717580789</v>
      </c>
      <c r="C564" s="241">
        <f t="shared" si="235"/>
        <v>0.16901996131402225</v>
      </c>
      <c r="D564" s="242">
        <v>795689.75175807881</v>
      </c>
      <c r="E564" s="242">
        <v>329168.15000000002</v>
      </c>
      <c r="F564" s="849">
        <v>11721.17</v>
      </c>
      <c r="H564" s="250">
        <f t="shared" si="236"/>
        <v>3120.935352861663</v>
      </c>
      <c r="I564" s="241">
        <f t="shared" si="237"/>
        <v>0.53493726917407247</v>
      </c>
      <c r="J564" s="242">
        <f t="shared" si="239"/>
        <v>2368.4353528616484</v>
      </c>
      <c r="K564" s="849">
        <f t="shared" si="240"/>
        <v>971.64000000001397</v>
      </c>
      <c r="L564" s="242">
        <f t="shared" si="238"/>
        <v>-219.13999999999942</v>
      </c>
    </row>
    <row r="565" spans="1:12" ht="15.5">
      <c r="A565" s="180" t="s">
        <v>148</v>
      </c>
      <c r="B565" s="242">
        <f t="shared" si="234"/>
        <v>281595.78000000003</v>
      </c>
      <c r="C565" s="241">
        <f t="shared" si="235"/>
        <v>4.1875931929813502E-2</v>
      </c>
      <c r="D565" s="242">
        <v>0</v>
      </c>
      <c r="E565" s="242">
        <v>102603.03</v>
      </c>
      <c r="F565" s="849">
        <v>178992.75</v>
      </c>
      <c r="H565" s="250">
        <f t="shared" si="236"/>
        <v>217.31999999999243</v>
      </c>
      <c r="I565" s="241">
        <f t="shared" si="237"/>
        <v>3.7249271193749822E-2</v>
      </c>
      <c r="J565" s="242">
        <f t="shared" si="239"/>
        <v>0</v>
      </c>
      <c r="K565" s="849">
        <f t="shared" si="240"/>
        <v>-432.63999999999942</v>
      </c>
      <c r="L565" s="242">
        <f t="shared" si="238"/>
        <v>649.95999999999185</v>
      </c>
    </row>
    <row r="566" spans="1:12" ht="15.5">
      <c r="A566" s="180" t="s">
        <v>11</v>
      </c>
      <c r="B566" s="242">
        <f t="shared" si="234"/>
        <v>1328445.33</v>
      </c>
      <c r="C566" s="241">
        <f t="shared" si="235"/>
        <v>0.1975522723087634</v>
      </c>
      <c r="D566" s="242">
        <v>0</v>
      </c>
      <c r="E566" s="242">
        <v>765419.53</v>
      </c>
      <c r="F566" s="849">
        <v>563025.80000000005</v>
      </c>
      <c r="H566" s="250">
        <f t="shared" si="236"/>
        <v>18449.800000000163</v>
      </c>
      <c r="I566" s="241">
        <f t="shared" si="237"/>
        <v>3.1623486272339201</v>
      </c>
      <c r="J566" s="242">
        <f t="shared" si="239"/>
        <v>0</v>
      </c>
      <c r="K566" s="849">
        <f t="shared" si="240"/>
        <v>6761.1600000000326</v>
      </c>
      <c r="L566" s="242">
        <f t="shared" si="238"/>
        <v>11688.64000000013</v>
      </c>
    </row>
    <row r="567" spans="1:12" ht="15.5">
      <c r="A567" s="180" t="s">
        <v>12</v>
      </c>
      <c r="B567" s="242">
        <f t="shared" si="234"/>
        <v>128241.96597353497</v>
      </c>
      <c r="C567" s="241">
        <f t="shared" si="235"/>
        <v>1.9070782373419123E-2</v>
      </c>
      <c r="D567" s="242">
        <v>128241.96597353497</v>
      </c>
      <c r="E567" s="242">
        <v>0</v>
      </c>
      <c r="F567" s="849">
        <v>0</v>
      </c>
      <c r="H567" s="250">
        <f t="shared" si="236"/>
        <v>384.82311639210093</v>
      </c>
      <c r="I567" s="241">
        <f t="shared" si="237"/>
        <v>6.5959785680626826E-2</v>
      </c>
      <c r="J567" s="242">
        <f t="shared" si="239"/>
        <v>384.82311639210093</v>
      </c>
      <c r="K567" s="849">
        <f t="shared" si="240"/>
        <v>0</v>
      </c>
      <c r="L567" s="242">
        <f t="shared" si="238"/>
        <v>0</v>
      </c>
    </row>
    <row r="568" spans="1:12" ht="15.5">
      <c r="A568" s="180" t="s">
        <v>160</v>
      </c>
      <c r="B568" s="242">
        <f t="shared" si="234"/>
        <v>2709857.8121147365</v>
      </c>
      <c r="C568" s="241">
        <f t="shared" si="235"/>
        <v>0.40298125660686407</v>
      </c>
      <c r="D568" s="242">
        <v>2709857.8121147365</v>
      </c>
      <c r="E568" s="242">
        <v>0</v>
      </c>
      <c r="F568" s="849">
        <v>0</v>
      </c>
      <c r="H568" s="250">
        <f t="shared" si="236"/>
        <v>832.66286673396826</v>
      </c>
      <c r="I568" s="241">
        <f t="shared" si="237"/>
        <v>0.14272080312874946</v>
      </c>
      <c r="J568" s="242">
        <f t="shared" si="239"/>
        <v>832.66286673396826</v>
      </c>
      <c r="K568" s="849">
        <f t="shared" si="240"/>
        <v>0</v>
      </c>
      <c r="L568" s="242">
        <f t="shared" si="238"/>
        <v>0</v>
      </c>
    </row>
    <row r="569" spans="1:12" ht="15.5">
      <c r="A569" s="180"/>
      <c r="B569" s="242">
        <f t="shared" si="234"/>
        <v>0</v>
      </c>
      <c r="C569" s="241">
        <f>+B569/$B$12</f>
        <v>0</v>
      </c>
      <c r="D569" s="237"/>
      <c r="E569" s="242"/>
      <c r="F569" s="295"/>
      <c r="H569" s="250"/>
      <c r="I569" s="241">
        <f>+H569/$H$537</f>
        <v>0</v>
      </c>
      <c r="J569" s="242"/>
      <c r="K569" s="242"/>
      <c r="L569" s="242"/>
    </row>
    <row r="570" spans="1:12" ht="15.5">
      <c r="A570" s="180"/>
      <c r="B570" s="243">
        <f>SUM(B562:B569)</f>
        <v>6724525.6886932319</v>
      </c>
      <c r="C570" s="240">
        <f>SUM(C562:C569)</f>
        <v>1</v>
      </c>
      <c r="D570" s="243">
        <f>SUM(D562:D569)</f>
        <v>3842095.7586932313</v>
      </c>
      <c r="E570" s="243">
        <f>SUM(E562:E569)</f>
        <v>2128690.21</v>
      </c>
      <c r="F570" s="243">
        <f>SUM(F562:F569)</f>
        <v>753739.72000000009</v>
      </c>
      <c r="G570" s="32">
        <f>+B570-B559</f>
        <v>5834.2081075804308</v>
      </c>
      <c r="H570" s="243">
        <f>SUM(H562:H569)</f>
        <v>5834.208107579223</v>
      </c>
      <c r="I570" s="240">
        <f>SUM(I562:I569)</f>
        <v>0.99999999999999978</v>
      </c>
      <c r="J570" s="243">
        <f>SUM(J562:J569)</f>
        <v>-7094.9218924209563</v>
      </c>
      <c r="K570" s="243">
        <f>SUM(K562:K569)</f>
        <v>809.67000000005646</v>
      </c>
      <c r="L570" s="243">
        <f>SUM(L562:L569)</f>
        <v>12119.460000000123</v>
      </c>
    </row>
    <row r="571" spans="1:12" ht="14.5" thickBot="1">
      <c r="H571" s="254">
        <f>+A572</f>
        <v>41453</v>
      </c>
      <c r="I571" s="254"/>
      <c r="J571" s="254">
        <f>+A561</f>
        <v>41422</v>
      </c>
    </row>
    <row r="572" spans="1:12" ht="16" thickBot="1">
      <c r="A572" s="253">
        <v>41453</v>
      </c>
      <c r="B572" s="251">
        <v>5.38</v>
      </c>
      <c r="C572" s="238" t="s">
        <v>3</v>
      </c>
      <c r="D572" s="238" t="s">
        <v>4</v>
      </c>
      <c r="E572" s="238" t="s">
        <v>5</v>
      </c>
      <c r="F572" s="238" t="s">
        <v>114</v>
      </c>
      <c r="H572" s="251">
        <f>+B572-B561</f>
        <v>8.9999999999999858E-2</v>
      </c>
      <c r="I572" s="238" t="s">
        <v>3</v>
      </c>
      <c r="J572" s="238" t="s">
        <v>4</v>
      </c>
      <c r="K572" s="238" t="s">
        <v>5</v>
      </c>
      <c r="L572" s="238" t="s">
        <v>114</v>
      </c>
    </row>
    <row r="573" spans="1:12" ht="15.5">
      <c r="A573" s="180" t="s">
        <v>7</v>
      </c>
      <c r="B573" s="250">
        <f t="shared" ref="B573:B580" si="241">SUM(D573:F573)</f>
        <v>1042981.7113754647</v>
      </c>
      <c r="C573" s="241">
        <f t="shared" ref="C573:C579" si="242">+B573/$B$581</f>
        <v>0.15742300554008551</v>
      </c>
      <c r="D573" s="242">
        <v>141819.27137546468</v>
      </c>
      <c r="E573" s="242">
        <v>901162.44000000006</v>
      </c>
      <c r="F573" s="849">
        <v>0</v>
      </c>
      <c r="H573" s="250">
        <f t="shared" ref="H573:H579" si="243">SUM(J573:L573)</f>
        <v>-10113.531649109922</v>
      </c>
      <c r="I573" s="241">
        <f t="shared" ref="I573:I579" si="244">+H573/$H$581</f>
        <v>0.1019707010082038</v>
      </c>
      <c r="J573" s="242">
        <f>+D573-D562</f>
        <v>20223.528350890017</v>
      </c>
      <c r="K573" s="849">
        <f>+E573-E562</f>
        <v>-30337.059999999939</v>
      </c>
      <c r="L573" s="242">
        <f t="shared" ref="L573:L579" si="245">+F573-F562</f>
        <v>0</v>
      </c>
    </row>
    <row r="574" spans="1:12" ht="15.5">
      <c r="A574" s="180" t="s">
        <v>8</v>
      </c>
      <c r="B574" s="242">
        <f t="shared" si="241"/>
        <v>71554.788104089224</v>
      </c>
      <c r="C574" s="241">
        <f t="shared" si="242"/>
        <v>1.0800160425895142E-2</v>
      </c>
      <c r="D574" s="242">
        <v>71554.788104089224</v>
      </c>
      <c r="E574" s="242"/>
      <c r="F574" s="849">
        <v>0</v>
      </c>
      <c r="H574" s="250">
        <f t="shared" si="243"/>
        <v>-15155.697718217023</v>
      </c>
      <c r="I574" s="241">
        <f t="shared" si="244"/>
        <v>0.15280884800820654</v>
      </c>
      <c r="J574" s="242">
        <f t="shared" ref="J574:J579" si="246">+D574-D563</f>
        <v>-15155.697718217023</v>
      </c>
      <c r="K574" s="849">
        <f t="shared" ref="K574:K579" si="247">+E574-E563</f>
        <v>0</v>
      </c>
      <c r="L574" s="242">
        <f t="shared" si="245"/>
        <v>0</v>
      </c>
    </row>
    <row r="575" spans="1:12" ht="15.5">
      <c r="A575" s="180" t="s">
        <v>9</v>
      </c>
      <c r="B575" s="242">
        <f t="shared" si="241"/>
        <v>1123982.2652575476</v>
      </c>
      <c r="C575" s="241">
        <f t="shared" si="242"/>
        <v>0.16964886770377857</v>
      </c>
      <c r="D575" s="242">
        <v>780691.72525754769</v>
      </c>
      <c r="E575" s="242">
        <v>331435.57</v>
      </c>
      <c r="F575" s="849">
        <v>11854.97</v>
      </c>
      <c r="H575" s="250">
        <f t="shared" si="243"/>
        <v>-12596.80650053114</v>
      </c>
      <c r="I575" s="241">
        <f t="shared" si="244"/>
        <v>0.12700856969552335</v>
      </c>
      <c r="J575" s="242">
        <f t="shared" si="246"/>
        <v>-14998.026500531123</v>
      </c>
      <c r="K575" s="849">
        <f t="shared" si="247"/>
        <v>2267.4199999999837</v>
      </c>
      <c r="L575" s="242">
        <f t="shared" si="245"/>
        <v>133.79999999999927</v>
      </c>
    </row>
    <row r="576" spans="1:12" ht="15.5">
      <c r="A576" s="180" t="s">
        <v>148</v>
      </c>
      <c r="B576" s="242">
        <f t="shared" si="241"/>
        <v>275696.58999999997</v>
      </c>
      <c r="C576" s="241">
        <f t="shared" si="242"/>
        <v>4.1612413086051403E-2</v>
      </c>
      <c r="D576" s="242">
        <v>0</v>
      </c>
      <c r="E576" s="242">
        <v>100082.62</v>
      </c>
      <c r="F576" s="849">
        <v>175613.97</v>
      </c>
      <c r="H576" s="250">
        <f t="shared" si="243"/>
        <v>-5899.1900000000023</v>
      </c>
      <c r="I576" s="241">
        <f t="shared" si="244"/>
        <v>5.9479177062102442E-2</v>
      </c>
      <c r="J576" s="242">
        <f t="shared" si="246"/>
        <v>0</v>
      </c>
      <c r="K576" s="849">
        <f t="shared" si="247"/>
        <v>-2520.4100000000035</v>
      </c>
      <c r="L576" s="242">
        <f t="shared" si="245"/>
        <v>-3378.7799999999988</v>
      </c>
    </row>
    <row r="577" spans="1:12" ht="15.5">
      <c r="A577" s="180" t="s">
        <v>11</v>
      </c>
      <c r="B577" s="242">
        <f t="shared" si="241"/>
        <v>1275828.8500000001</v>
      </c>
      <c r="C577" s="241">
        <f t="shared" si="242"/>
        <v>0.19256791363760403</v>
      </c>
      <c r="D577" s="242">
        <v>0</v>
      </c>
      <c r="E577" s="242">
        <v>744315.01</v>
      </c>
      <c r="F577" s="849">
        <v>531513.84</v>
      </c>
      <c r="H577" s="250">
        <f t="shared" si="243"/>
        <v>-52616.480000000098</v>
      </c>
      <c r="I577" s="241">
        <f t="shared" si="244"/>
        <v>0.53051095664058567</v>
      </c>
      <c r="J577" s="242">
        <f t="shared" si="246"/>
        <v>0</v>
      </c>
      <c r="K577" s="849">
        <f t="shared" si="247"/>
        <v>-21104.520000000019</v>
      </c>
      <c r="L577" s="242">
        <f t="shared" si="245"/>
        <v>-31511.960000000079</v>
      </c>
    </row>
    <row r="578" spans="1:12" ht="15.5">
      <c r="A578" s="180" t="s">
        <v>12</v>
      </c>
      <c r="B578" s="242">
        <f t="shared" si="241"/>
        <v>126263.94052044609</v>
      </c>
      <c r="C578" s="241">
        <f t="shared" si="242"/>
        <v>1.9057715769387744E-2</v>
      </c>
      <c r="D578" s="242">
        <v>126263.94052044609</v>
      </c>
      <c r="E578" s="242">
        <v>0</v>
      </c>
      <c r="F578" s="849">
        <v>0</v>
      </c>
      <c r="H578" s="250">
        <f t="shared" si="243"/>
        <v>-1978.0254530888778</v>
      </c>
      <c r="I578" s="241">
        <f t="shared" si="244"/>
        <v>1.9943640763836853E-2</v>
      </c>
      <c r="J578" s="242">
        <f t="shared" si="246"/>
        <v>-1978.0254530888778</v>
      </c>
      <c r="K578" s="849">
        <f t="shared" si="247"/>
        <v>0</v>
      </c>
      <c r="L578" s="242">
        <f t="shared" si="245"/>
        <v>0</v>
      </c>
    </row>
    <row r="579" spans="1:12" ht="15.5">
      <c r="A579" s="180" t="s">
        <v>160</v>
      </c>
      <c r="B579" s="242">
        <f t="shared" si="241"/>
        <v>2709036.7831867542</v>
      </c>
      <c r="C579" s="241">
        <f t="shared" si="242"/>
        <v>0.40888992383719763</v>
      </c>
      <c r="D579" s="242">
        <v>2709036.7831867542</v>
      </c>
      <c r="E579" s="242">
        <v>0</v>
      </c>
      <c r="F579" s="849">
        <v>0</v>
      </c>
      <c r="H579" s="250">
        <f t="shared" si="243"/>
        <v>-821.02892798231915</v>
      </c>
      <c r="I579" s="241">
        <f t="shared" si="244"/>
        <v>8.2781068215413475E-3</v>
      </c>
      <c r="J579" s="242">
        <f t="shared" si="246"/>
        <v>-821.02892798231915</v>
      </c>
      <c r="K579" s="849">
        <f t="shared" si="247"/>
        <v>0</v>
      </c>
      <c r="L579" s="242">
        <f t="shared" si="245"/>
        <v>0</v>
      </c>
    </row>
    <row r="580" spans="1:12" ht="15.5">
      <c r="A580" s="180"/>
      <c r="B580" s="242">
        <f t="shared" si="241"/>
        <v>0</v>
      </c>
      <c r="C580" s="241">
        <f>+B580/$B$12</f>
        <v>0</v>
      </c>
      <c r="D580" s="237"/>
      <c r="E580" s="242"/>
      <c r="F580" s="295"/>
      <c r="H580" s="250"/>
      <c r="I580" s="241">
        <f>+H580/$H$537</f>
        <v>0</v>
      </c>
      <c r="J580" s="242"/>
      <c r="K580" s="242"/>
      <c r="L580" s="242"/>
    </row>
    <row r="581" spans="1:12" ht="15.5">
      <c r="A581" s="180"/>
      <c r="B581" s="243">
        <f>SUM(B573:B580)</f>
        <v>6625344.9284443017</v>
      </c>
      <c r="C581" s="240">
        <f>SUM(C573:C580)</f>
        <v>1</v>
      </c>
      <c r="D581" s="243">
        <f>SUM(D573:D580)</f>
        <v>3829366.5084443018</v>
      </c>
      <c r="E581" s="243">
        <f>SUM(E573:E580)</f>
        <v>2076995.64</v>
      </c>
      <c r="F581" s="243">
        <f>SUM(F573:F580)</f>
        <v>718982.78</v>
      </c>
      <c r="G581" s="32">
        <f>+B581-B570</f>
        <v>-99180.760248930193</v>
      </c>
      <c r="H581" s="243">
        <f>SUM(H573:H580)</f>
        <v>-99180.760248929379</v>
      </c>
      <c r="I581" s="240">
        <f>SUM(I573:I580)</f>
        <v>0.99999999999999989</v>
      </c>
      <c r="J581" s="243">
        <f>SUM(J573:J580)</f>
        <v>-12729.250248929326</v>
      </c>
      <c r="K581" s="243">
        <f>SUM(K573:K580)</f>
        <v>-51694.569999999978</v>
      </c>
      <c r="L581" s="243">
        <f>SUM(L573:L580)</f>
        <v>-34756.940000000075</v>
      </c>
    </row>
    <row r="582" spans="1:12" ht="14.5" thickBot="1">
      <c r="H582" s="254">
        <f>+A583</f>
        <v>41483</v>
      </c>
      <c r="I582" s="254"/>
      <c r="J582" s="254">
        <f>+A572</f>
        <v>41453</v>
      </c>
    </row>
    <row r="583" spans="1:12" ht="16" thickBot="1">
      <c r="A583" s="253">
        <v>41483</v>
      </c>
      <c r="B583" s="251">
        <v>5.51</v>
      </c>
      <c r="C583" s="238" t="s">
        <v>3</v>
      </c>
      <c r="D583" s="238" t="s">
        <v>4</v>
      </c>
      <c r="E583" s="238" t="s">
        <v>5</v>
      </c>
      <c r="F583" s="238" t="s">
        <v>114</v>
      </c>
      <c r="H583" s="251">
        <f>+B583-B572</f>
        <v>0.12999999999999989</v>
      </c>
      <c r="I583" s="238" t="s">
        <v>3</v>
      </c>
      <c r="J583" s="238" t="s">
        <v>4</v>
      </c>
      <c r="K583" s="238" t="s">
        <v>5</v>
      </c>
      <c r="L583" s="238" t="s">
        <v>114</v>
      </c>
    </row>
    <row r="584" spans="1:12" ht="15.5">
      <c r="A584" s="180" t="s">
        <v>7</v>
      </c>
      <c r="B584" s="250">
        <f t="shared" ref="B584:B591" si="248">SUM(D584:F584)</f>
        <v>1149036.5408965517</v>
      </c>
      <c r="C584" s="241">
        <f t="shared" ref="C584:C590" si="249">+B584/$B$592</f>
        <v>0.16960249333102984</v>
      </c>
      <c r="D584" s="242">
        <v>152055.35089655174</v>
      </c>
      <c r="E584" s="242">
        <v>996981.19</v>
      </c>
      <c r="F584" s="849">
        <v>0</v>
      </c>
      <c r="H584" s="250">
        <f t="shared" ref="H584:H590" si="250">SUM(J584:L584)</f>
        <v>106054.82952108694</v>
      </c>
      <c r="I584" s="241">
        <f t="shared" ref="I584:I590" si="251">+H584/$H$592</f>
        <v>0.70923044838970106</v>
      </c>
      <c r="J584" s="242">
        <f>+D584-D573</f>
        <v>10236.079521087056</v>
      </c>
      <c r="K584" s="849">
        <f>+E584-E573</f>
        <v>95818.749999999884</v>
      </c>
      <c r="L584" s="242">
        <f t="shared" ref="L584:L590" si="252">+F584-F573</f>
        <v>0</v>
      </c>
    </row>
    <row r="585" spans="1:12" ht="15.5">
      <c r="A585" s="180" t="s">
        <v>8</v>
      </c>
      <c r="B585" s="242">
        <f t="shared" si="248"/>
        <v>77891.352087114341</v>
      </c>
      <c r="C585" s="241">
        <f t="shared" si="249"/>
        <v>1.149708216641394E-2</v>
      </c>
      <c r="D585" s="242">
        <v>77891.352087114341</v>
      </c>
      <c r="E585" s="242"/>
      <c r="F585" s="849">
        <v>0</v>
      </c>
      <c r="H585" s="250">
        <f t="shared" si="250"/>
        <v>6336.5639830251166</v>
      </c>
      <c r="I585" s="241">
        <f t="shared" si="251"/>
        <v>4.2375101022979554E-2</v>
      </c>
      <c r="J585" s="242">
        <f t="shared" ref="J585:J590" si="253">+D585-D574</f>
        <v>6336.5639830251166</v>
      </c>
      <c r="K585" s="849">
        <f t="shared" ref="K585:K590" si="254">+E585-E574</f>
        <v>0</v>
      </c>
      <c r="L585" s="242">
        <f t="shared" si="252"/>
        <v>0</v>
      </c>
    </row>
    <row r="586" spans="1:12" ht="15.5">
      <c r="A586" s="180" t="s">
        <v>9</v>
      </c>
      <c r="B586" s="242">
        <f t="shared" si="248"/>
        <v>1119973.9332854762</v>
      </c>
      <c r="C586" s="241">
        <f t="shared" si="249"/>
        <v>0.16531273357309056</v>
      </c>
      <c r="D586" s="242">
        <v>774751.43328547617</v>
      </c>
      <c r="E586" s="242">
        <v>333764.54000000004</v>
      </c>
      <c r="F586" s="849">
        <v>11457.96</v>
      </c>
      <c r="H586" s="250">
        <f t="shared" si="250"/>
        <v>-4008.3319720714844</v>
      </c>
      <c r="I586" s="241">
        <f t="shared" si="251"/>
        <v>-2.6805295852008245E-2</v>
      </c>
      <c r="J586" s="242">
        <f t="shared" si="253"/>
        <v>-5940.2919720715145</v>
      </c>
      <c r="K586" s="849">
        <f t="shared" si="254"/>
        <v>2328.9700000000303</v>
      </c>
      <c r="L586" s="242">
        <f t="shared" si="252"/>
        <v>-397.01000000000022</v>
      </c>
    </row>
    <row r="587" spans="1:12" ht="15.5">
      <c r="A587" s="180" t="s">
        <v>148</v>
      </c>
      <c r="B587" s="242">
        <f t="shared" si="248"/>
        <v>279445.26</v>
      </c>
      <c r="C587" s="241">
        <f t="shared" si="249"/>
        <v>4.1247263388645233E-2</v>
      </c>
      <c r="D587" s="242">
        <v>0</v>
      </c>
      <c r="E587" s="242">
        <v>102985.54</v>
      </c>
      <c r="F587" s="849">
        <v>176459.72</v>
      </c>
      <c r="H587" s="250">
        <f t="shared" si="250"/>
        <v>3748.6699999999983</v>
      </c>
      <c r="I587" s="241">
        <f t="shared" si="251"/>
        <v>2.506883389441868E-2</v>
      </c>
      <c r="J587" s="242">
        <f t="shared" si="253"/>
        <v>0</v>
      </c>
      <c r="K587" s="849">
        <f t="shared" si="254"/>
        <v>2902.9199999999983</v>
      </c>
      <c r="L587" s="242">
        <f t="shared" si="252"/>
        <v>845.75</v>
      </c>
    </row>
    <row r="588" spans="1:12" ht="15.5">
      <c r="A588" s="180" t="s">
        <v>11</v>
      </c>
      <c r="B588" s="242">
        <f t="shared" si="248"/>
        <v>1315317.9700000002</v>
      </c>
      <c r="C588" s="241">
        <f t="shared" si="249"/>
        <v>0.19414631240625865</v>
      </c>
      <c r="D588" s="242">
        <v>0</v>
      </c>
      <c r="E588" s="242">
        <v>769632.56</v>
      </c>
      <c r="F588" s="849">
        <v>545685.41</v>
      </c>
      <c r="H588" s="250">
        <f t="shared" si="250"/>
        <v>39489.120000000112</v>
      </c>
      <c r="I588" s="241">
        <f t="shared" si="251"/>
        <v>0.26407931077335961</v>
      </c>
      <c r="J588" s="242">
        <f t="shared" si="253"/>
        <v>0</v>
      </c>
      <c r="K588" s="849">
        <f t="shared" si="254"/>
        <v>25317.550000000047</v>
      </c>
      <c r="L588" s="242">
        <f t="shared" si="252"/>
        <v>14171.570000000065</v>
      </c>
    </row>
    <row r="589" spans="1:12" ht="15.5">
      <c r="A589" s="180" t="s">
        <v>12</v>
      </c>
      <c r="B589" s="242">
        <f t="shared" si="248"/>
        <v>123520.87114337568</v>
      </c>
      <c r="C589" s="241">
        <f t="shared" si="249"/>
        <v>1.8232185817164067E-2</v>
      </c>
      <c r="D589" s="242">
        <v>123520.87114337568</v>
      </c>
      <c r="E589" s="242">
        <v>0</v>
      </c>
      <c r="F589" s="849">
        <v>0</v>
      </c>
      <c r="H589" s="250">
        <f t="shared" si="250"/>
        <v>-2743.0693770704092</v>
      </c>
      <c r="I589" s="241">
        <f t="shared" si="251"/>
        <v>-1.834398615366107E-2</v>
      </c>
      <c r="J589" s="242">
        <f t="shared" si="253"/>
        <v>-2743.0693770704092</v>
      </c>
      <c r="K589" s="849">
        <f t="shared" si="254"/>
        <v>0</v>
      </c>
      <c r="L589" s="242">
        <f t="shared" si="252"/>
        <v>0</v>
      </c>
    </row>
    <row r="590" spans="1:12" ht="15.5">
      <c r="A590" s="180" t="s">
        <v>160</v>
      </c>
      <c r="B590" s="242">
        <f t="shared" si="248"/>
        <v>2709694.0777644357</v>
      </c>
      <c r="C590" s="241">
        <f t="shared" si="249"/>
        <v>0.39996192931739766</v>
      </c>
      <c r="D590" s="242">
        <v>2709694.0777644357</v>
      </c>
      <c r="E590" s="242">
        <v>0</v>
      </c>
      <c r="F590" s="849">
        <v>0</v>
      </c>
      <c r="H590" s="250">
        <f t="shared" si="250"/>
        <v>657.29457768145949</v>
      </c>
      <c r="I590" s="241">
        <f t="shared" si="251"/>
        <v>4.3955879252104329E-3</v>
      </c>
      <c r="J590" s="242">
        <f t="shared" si="253"/>
        <v>657.29457768145949</v>
      </c>
      <c r="K590" s="849">
        <f t="shared" si="254"/>
        <v>0</v>
      </c>
      <c r="L590" s="242">
        <f t="shared" si="252"/>
        <v>0</v>
      </c>
    </row>
    <row r="591" spans="1:12" ht="15.5">
      <c r="A591" s="180"/>
      <c r="B591" s="242">
        <f t="shared" si="248"/>
        <v>0</v>
      </c>
      <c r="C591" s="241">
        <f>+B591/$B$12</f>
        <v>0</v>
      </c>
      <c r="D591" s="237"/>
      <c r="E591" s="242"/>
      <c r="F591" s="295"/>
      <c r="H591" s="250"/>
      <c r="I591" s="241">
        <f>+H591/$H$537</f>
        <v>0</v>
      </c>
      <c r="J591" s="242"/>
      <c r="K591" s="242"/>
      <c r="L591" s="242"/>
    </row>
    <row r="592" spans="1:12" ht="15.5">
      <c r="A592" s="180"/>
      <c r="B592" s="243">
        <f>SUM(B584:B591)</f>
        <v>6774880.005176954</v>
      </c>
      <c r="C592" s="240">
        <f>SUM(C584:C591)</f>
        <v>1</v>
      </c>
      <c r="D592" s="243">
        <f>SUM(D584:D591)</f>
        <v>3837913.0851769536</v>
      </c>
      <c r="E592" s="243">
        <f>SUM(E584:E591)</f>
        <v>2203363.83</v>
      </c>
      <c r="F592" s="243">
        <f>SUM(F584:F591)</f>
        <v>733603.09000000008</v>
      </c>
      <c r="G592" s="32">
        <f>+B592-B581</f>
        <v>149535.07673265226</v>
      </c>
      <c r="H592" s="243">
        <f>SUM(H584:H591)</f>
        <v>149535.07673265174</v>
      </c>
      <c r="I592" s="240">
        <f>SUM(I584:I591)</f>
        <v>1</v>
      </c>
      <c r="J592" s="243">
        <f>SUM(J584:J591)</f>
        <v>8546.5767326517089</v>
      </c>
      <c r="K592" s="243">
        <f>SUM(K584:K591)</f>
        <v>126368.18999999996</v>
      </c>
      <c r="L592" s="243">
        <f>SUM(L584:L591)</f>
        <v>14620.310000000065</v>
      </c>
    </row>
    <row r="593" spans="1:12" ht="14.5" thickBot="1">
      <c r="H593" s="254">
        <f>+A594</f>
        <v>41514</v>
      </c>
      <c r="I593" s="254"/>
      <c r="J593" s="254">
        <f>+A583</f>
        <v>41483</v>
      </c>
    </row>
    <row r="594" spans="1:12" ht="16" thickBot="1">
      <c r="A594" s="253">
        <v>41514</v>
      </c>
      <c r="B594" s="251">
        <v>5.67</v>
      </c>
      <c r="C594" s="238" t="s">
        <v>3</v>
      </c>
      <c r="D594" s="238" t="s">
        <v>4</v>
      </c>
      <c r="E594" s="238" t="s">
        <v>5</v>
      </c>
      <c r="F594" s="238" t="s">
        <v>114</v>
      </c>
      <c r="H594" s="251">
        <f>+B594-B583</f>
        <v>0.16000000000000014</v>
      </c>
      <c r="I594" s="238" t="s">
        <v>3</v>
      </c>
      <c r="J594" s="238" t="s">
        <v>4</v>
      </c>
      <c r="K594" s="238" t="s">
        <v>5</v>
      </c>
      <c r="L594" s="238" t="s">
        <v>114</v>
      </c>
    </row>
    <row r="595" spans="1:12" ht="15.5">
      <c r="A595" s="180" t="s">
        <v>7</v>
      </c>
      <c r="B595" s="250">
        <f t="shared" ref="B595:B602" si="255">SUM(D595:F595)</f>
        <v>1117818.309781305</v>
      </c>
      <c r="C595" s="241">
        <f t="shared" ref="C595:C601" si="256">+B595/$B$603</f>
        <v>0.16590864651921994</v>
      </c>
      <c r="D595" s="242">
        <v>148312.89978130511</v>
      </c>
      <c r="E595" s="242">
        <v>969505.41</v>
      </c>
      <c r="F595" s="849">
        <v>0</v>
      </c>
      <c r="H595" s="250">
        <f t="shared" ref="H595:H601" si="257">SUM(J595:L595)</f>
        <v>-31218.231115246541</v>
      </c>
      <c r="I595" s="241">
        <f t="shared" ref="I595:I601" si="258">+H595/$H$603</f>
        <v>0.8363458280390127</v>
      </c>
      <c r="J595" s="242">
        <f>+D595-D584</f>
        <v>-3742.4511152466293</v>
      </c>
      <c r="K595" s="849">
        <f>+E595-E584</f>
        <v>-27475.779999999912</v>
      </c>
      <c r="L595" s="242">
        <f t="shared" ref="L595:L601" si="259">+F595-F584</f>
        <v>0</v>
      </c>
    </row>
    <row r="596" spans="1:12" ht="15.5">
      <c r="A596" s="180" t="s">
        <v>8</v>
      </c>
      <c r="B596" s="242">
        <f t="shared" si="255"/>
        <v>92772.444444444453</v>
      </c>
      <c r="C596" s="241">
        <f t="shared" si="256"/>
        <v>1.3769456590014719E-2</v>
      </c>
      <c r="D596" s="242">
        <v>92772.444444444453</v>
      </c>
      <c r="E596" s="242"/>
      <c r="F596" s="849">
        <v>0</v>
      </c>
      <c r="H596" s="250">
        <f t="shared" si="257"/>
        <v>14881.092357330112</v>
      </c>
      <c r="I596" s="241">
        <f t="shared" si="258"/>
        <v>-0.39866895288753096</v>
      </c>
      <c r="J596" s="242">
        <f t="shared" ref="J596:J601" si="260">+D596-D585</f>
        <v>14881.092357330112</v>
      </c>
      <c r="K596" s="849">
        <f t="shared" ref="K596:K601" si="261">+E596-E585</f>
        <v>0</v>
      </c>
      <c r="L596" s="242">
        <f t="shared" si="259"/>
        <v>0</v>
      </c>
    </row>
    <row r="597" spans="1:12" ht="15.5">
      <c r="A597" s="180" t="s">
        <v>9</v>
      </c>
      <c r="B597" s="242">
        <f t="shared" si="255"/>
        <v>1122319.3470942548</v>
      </c>
      <c r="C597" s="241">
        <f t="shared" si="256"/>
        <v>0.16657669874379846</v>
      </c>
      <c r="D597" s="242">
        <v>777036.56709425477</v>
      </c>
      <c r="E597" s="242">
        <v>333843.82</v>
      </c>
      <c r="F597" s="849">
        <v>11438.96</v>
      </c>
      <c r="H597" s="250">
        <f t="shared" si="257"/>
        <v>2345.4138087785686</v>
      </c>
      <c r="I597" s="241">
        <f t="shared" si="258"/>
        <v>-6.2834343392346795E-2</v>
      </c>
      <c r="J597" s="242">
        <f t="shared" si="260"/>
        <v>2285.1338087785989</v>
      </c>
      <c r="K597" s="849">
        <f t="shared" si="261"/>
        <v>79.279999999969732</v>
      </c>
      <c r="L597" s="242">
        <f t="shared" si="259"/>
        <v>-19</v>
      </c>
    </row>
    <row r="598" spans="1:12" ht="15.5">
      <c r="A598" s="180" t="s">
        <v>148</v>
      </c>
      <c r="B598" s="242">
        <f t="shared" si="255"/>
        <v>277776.74</v>
      </c>
      <c r="C598" s="241">
        <f t="shared" si="256"/>
        <v>4.1228133914658856E-2</v>
      </c>
      <c r="D598" s="242">
        <v>0</v>
      </c>
      <c r="E598" s="242">
        <v>101227.04</v>
      </c>
      <c r="F598" s="849">
        <v>176549.7</v>
      </c>
      <c r="H598" s="250">
        <f t="shared" si="257"/>
        <v>-1668.5199999999895</v>
      </c>
      <c r="I598" s="241">
        <f t="shared" si="258"/>
        <v>4.4700154081379777E-2</v>
      </c>
      <c r="J598" s="242">
        <f t="shared" si="260"/>
        <v>0</v>
      </c>
      <c r="K598" s="849">
        <f t="shared" si="261"/>
        <v>-1758.5</v>
      </c>
      <c r="L598" s="242">
        <f t="shared" si="259"/>
        <v>89.980000000010477</v>
      </c>
    </row>
    <row r="599" spans="1:12" ht="15.5">
      <c r="A599" s="180" t="s">
        <v>11</v>
      </c>
      <c r="B599" s="242">
        <f t="shared" si="255"/>
        <v>1297170.33</v>
      </c>
      <c r="C599" s="241">
        <f t="shared" si="256"/>
        <v>0.1925284027574167</v>
      </c>
      <c r="D599" s="242">
        <v>0</v>
      </c>
      <c r="E599" s="242">
        <v>756024.73</v>
      </c>
      <c r="F599" s="849">
        <v>541145.59999999998</v>
      </c>
      <c r="H599" s="250">
        <f t="shared" si="257"/>
        <v>-18147.64000000013</v>
      </c>
      <c r="I599" s="241">
        <f t="shared" si="258"/>
        <v>0.48618074953457063</v>
      </c>
      <c r="J599" s="242">
        <f t="shared" si="260"/>
        <v>0</v>
      </c>
      <c r="K599" s="849">
        <f t="shared" si="261"/>
        <v>-13607.830000000075</v>
      </c>
      <c r="L599" s="242">
        <f t="shared" si="259"/>
        <v>-4539.8100000000559</v>
      </c>
    </row>
    <row r="600" spans="1:12" ht="15.5">
      <c r="A600" s="180" t="s">
        <v>12</v>
      </c>
      <c r="B600" s="242">
        <f t="shared" si="255"/>
        <v>120317.46031746033</v>
      </c>
      <c r="C600" s="241">
        <f t="shared" si="256"/>
        <v>1.7857738434974461E-2</v>
      </c>
      <c r="D600" s="242">
        <v>120317.46031746033</v>
      </c>
      <c r="E600" s="242">
        <v>0</v>
      </c>
      <c r="F600" s="849">
        <v>0</v>
      </c>
      <c r="H600" s="250">
        <f t="shared" si="257"/>
        <v>-3203.4108259153581</v>
      </c>
      <c r="I600" s="241">
        <f t="shared" si="258"/>
        <v>8.5820342282008882E-2</v>
      </c>
      <c r="J600" s="242">
        <f t="shared" si="260"/>
        <v>-3203.4108259153581</v>
      </c>
      <c r="K600" s="849">
        <f t="shared" si="261"/>
        <v>0</v>
      </c>
      <c r="L600" s="242">
        <f t="shared" si="259"/>
        <v>0</v>
      </c>
    </row>
    <row r="601" spans="1:12" ht="15.5">
      <c r="A601" s="180" t="s">
        <v>160</v>
      </c>
      <c r="B601" s="242">
        <f t="shared" si="255"/>
        <v>2709378.432854624</v>
      </c>
      <c r="C601" s="241">
        <f t="shared" si="256"/>
        <v>0.40213092303991682</v>
      </c>
      <c r="D601" s="242">
        <v>2709378.432854624</v>
      </c>
      <c r="E601" s="242">
        <v>0</v>
      </c>
      <c r="F601" s="849">
        <v>0</v>
      </c>
      <c r="H601" s="250">
        <f t="shared" si="257"/>
        <v>-315.64490981167182</v>
      </c>
      <c r="I601" s="241">
        <f t="shared" si="258"/>
        <v>8.4562223429057136E-3</v>
      </c>
      <c r="J601" s="242">
        <f t="shared" si="260"/>
        <v>-315.64490981167182</v>
      </c>
      <c r="K601" s="849">
        <f t="shared" si="261"/>
        <v>0</v>
      </c>
      <c r="L601" s="242">
        <f t="shared" si="259"/>
        <v>0</v>
      </c>
    </row>
    <row r="602" spans="1:12" ht="15.5">
      <c r="A602" s="180"/>
      <c r="B602" s="242">
        <f t="shared" si="255"/>
        <v>0</v>
      </c>
      <c r="C602" s="241">
        <v>0</v>
      </c>
      <c r="D602" s="237"/>
      <c r="E602" s="242"/>
      <c r="F602" s="295"/>
      <c r="H602" s="250"/>
      <c r="I602" s="241">
        <f>+H602/$H$537</f>
        <v>0</v>
      </c>
      <c r="J602" s="242"/>
      <c r="K602" s="242"/>
      <c r="L602" s="242"/>
    </row>
    <row r="603" spans="1:12" ht="15.5">
      <c r="A603" s="180"/>
      <c r="B603" s="243">
        <f>SUM(B595:B602)</f>
        <v>6737553.0644920887</v>
      </c>
      <c r="C603" s="240">
        <f>SUM(C595:C602)</f>
        <v>1</v>
      </c>
      <c r="D603" s="243">
        <f>SUM(D595:D602)</f>
        <v>3847817.804492089</v>
      </c>
      <c r="E603" s="243">
        <f>SUM(E595:E602)</f>
        <v>2160601</v>
      </c>
      <c r="F603" s="243">
        <f>SUM(F595:F602)</f>
        <v>729134.26</v>
      </c>
      <c r="G603" s="32">
        <f>+B603-B592</f>
        <v>-37326.940684865229</v>
      </c>
      <c r="H603" s="243">
        <f>SUM(H595:H602)</f>
        <v>-37326.940684865011</v>
      </c>
      <c r="I603" s="240">
        <f>SUM(I595:I602)</f>
        <v>0.99999999999999989</v>
      </c>
      <c r="J603" s="243">
        <f>SUM(J595:J602)</f>
        <v>9904.7193151350511</v>
      </c>
      <c r="K603" s="243">
        <f>SUM(K595:K602)</f>
        <v>-42762.830000000016</v>
      </c>
      <c r="L603" s="243">
        <f>SUM(L595:L602)</f>
        <v>-4468.8300000000454</v>
      </c>
    </row>
    <row r="604" spans="1:12" ht="14.5" thickBot="1">
      <c r="H604" s="254">
        <f>+A605</f>
        <v>41545</v>
      </c>
      <c r="I604" s="254"/>
      <c r="J604" s="254">
        <f>+A594</f>
        <v>41514</v>
      </c>
    </row>
    <row r="605" spans="1:12" ht="16" thickBot="1">
      <c r="A605" s="253">
        <v>41545</v>
      </c>
      <c r="B605" s="251">
        <v>5.8</v>
      </c>
      <c r="C605" s="238" t="s">
        <v>3</v>
      </c>
      <c r="D605" s="238" t="s">
        <v>4</v>
      </c>
      <c r="E605" s="238" t="s">
        <v>5</v>
      </c>
      <c r="F605" s="238" t="s">
        <v>114</v>
      </c>
      <c r="H605" s="251">
        <f>+B605-B594</f>
        <v>0.12999999999999989</v>
      </c>
      <c r="I605" s="238" t="s">
        <v>3</v>
      </c>
      <c r="J605" s="238" t="s">
        <v>4</v>
      </c>
      <c r="K605" s="238" t="s">
        <v>5</v>
      </c>
      <c r="L605" s="238" t="s">
        <v>114</v>
      </c>
    </row>
    <row r="606" spans="1:12" ht="15.5">
      <c r="A606" s="180" t="s">
        <v>7</v>
      </c>
      <c r="B606" s="250">
        <f t="shared" ref="B606:B613" si="262">SUM(D606:F606)</f>
        <v>1179204.1974827587</v>
      </c>
      <c r="C606" s="241">
        <f t="shared" ref="C606:C612" si="263">+B606/$B$614</f>
        <v>0.17169011446936167</v>
      </c>
      <c r="D606" s="242">
        <v>159223.13748275861</v>
      </c>
      <c r="E606" s="242">
        <v>1019981.06</v>
      </c>
      <c r="F606" s="849">
        <v>0</v>
      </c>
      <c r="H606" s="250">
        <f t="shared" ref="H606:H612" si="264">SUM(J606:L606)</f>
        <v>61385.887701453525</v>
      </c>
      <c r="I606" s="241">
        <f t="shared" ref="I606:I612" si="265">+H606/$H$614</f>
        <v>0.46981580684121277</v>
      </c>
      <c r="J606" s="242">
        <f>+D606-D595</f>
        <v>10910.237701453501</v>
      </c>
      <c r="K606" s="849">
        <f>+E606-E595</f>
        <v>50475.650000000023</v>
      </c>
      <c r="L606" s="242">
        <f t="shared" ref="L606:L612" si="266">+F606-F595</f>
        <v>0</v>
      </c>
    </row>
    <row r="607" spans="1:12" ht="15.5">
      <c r="A607" s="180" t="s">
        <v>8</v>
      </c>
      <c r="B607" s="242">
        <f t="shared" si="262"/>
        <v>107544.56034482761</v>
      </c>
      <c r="C607" s="241">
        <f t="shared" si="263"/>
        <v>1.5658304062669007E-2</v>
      </c>
      <c r="D607" s="242">
        <v>107544.56034482761</v>
      </c>
      <c r="E607" s="242"/>
      <c r="F607" s="849">
        <v>0</v>
      </c>
      <c r="H607" s="250">
        <f t="shared" si="264"/>
        <v>14772.115900383156</v>
      </c>
      <c r="I607" s="241">
        <f t="shared" si="265"/>
        <v>0.11305812802192462</v>
      </c>
      <c r="J607" s="242">
        <f t="shared" ref="J607:J612" si="267">+D607-D596</f>
        <v>14772.115900383156</v>
      </c>
      <c r="K607" s="849">
        <f t="shared" ref="K607:K612" si="268">+E607-E596</f>
        <v>0</v>
      </c>
      <c r="L607" s="242">
        <f t="shared" si="266"/>
        <v>0</v>
      </c>
    </row>
    <row r="608" spans="1:12" ht="15.5">
      <c r="A608" s="180" t="s">
        <v>9</v>
      </c>
      <c r="B608" s="242">
        <f t="shared" si="262"/>
        <v>1141343.6579631555</v>
      </c>
      <c r="C608" s="241">
        <f t="shared" si="263"/>
        <v>0.16617768466469462</v>
      </c>
      <c r="D608" s="242">
        <v>785784.18796315556</v>
      </c>
      <c r="E608" s="242">
        <v>343893.36</v>
      </c>
      <c r="F608" s="849">
        <v>11666.11</v>
      </c>
      <c r="H608" s="250">
        <f t="shared" si="264"/>
        <v>19024.310868900771</v>
      </c>
      <c r="I608" s="241">
        <f t="shared" si="265"/>
        <v>0.14560222707765832</v>
      </c>
      <c r="J608" s="242">
        <f t="shared" si="267"/>
        <v>8747.6208689007908</v>
      </c>
      <c r="K608" s="849">
        <f t="shared" si="268"/>
        <v>10049.539999999979</v>
      </c>
      <c r="L608" s="242">
        <f t="shared" si="266"/>
        <v>227.15000000000146</v>
      </c>
    </row>
    <row r="609" spans="1:12" ht="15.5">
      <c r="A609" s="180" t="s">
        <v>148</v>
      </c>
      <c r="B609" s="242">
        <f t="shared" si="262"/>
        <v>274072.53999999998</v>
      </c>
      <c r="C609" s="241">
        <f t="shared" si="263"/>
        <v>3.9904493103024852E-2</v>
      </c>
      <c r="D609" s="242">
        <v>0</v>
      </c>
      <c r="E609" s="242">
        <v>96470.23</v>
      </c>
      <c r="F609" s="849">
        <v>177602.31</v>
      </c>
      <c r="H609" s="250">
        <f t="shared" si="264"/>
        <v>-3704.2000000000116</v>
      </c>
      <c r="I609" s="241">
        <f t="shared" si="265"/>
        <v>-2.8350029247194847E-2</v>
      </c>
      <c r="J609" s="242">
        <f t="shared" si="267"/>
        <v>0</v>
      </c>
      <c r="K609" s="849">
        <f t="shared" si="268"/>
        <v>-4756.8099999999977</v>
      </c>
      <c r="L609" s="242">
        <f t="shared" si="266"/>
        <v>1052.609999999986</v>
      </c>
    </row>
    <row r="610" spans="1:12" ht="15.5">
      <c r="A610" s="180" t="s">
        <v>11</v>
      </c>
      <c r="B610" s="242">
        <f t="shared" si="262"/>
        <v>1338254.8600000001</v>
      </c>
      <c r="C610" s="241">
        <f t="shared" si="263"/>
        <v>0.19484761892220032</v>
      </c>
      <c r="D610" s="242">
        <v>0</v>
      </c>
      <c r="E610" s="242">
        <v>779220.35000000009</v>
      </c>
      <c r="F610" s="849">
        <v>559034.51</v>
      </c>
      <c r="H610" s="250">
        <f t="shared" si="264"/>
        <v>41084.530000000144</v>
      </c>
      <c r="I610" s="241">
        <f t="shared" si="265"/>
        <v>0.31443972439588969</v>
      </c>
      <c r="J610" s="242">
        <f t="shared" si="267"/>
        <v>0</v>
      </c>
      <c r="K610" s="849">
        <f t="shared" si="268"/>
        <v>23195.620000000112</v>
      </c>
      <c r="L610" s="242">
        <f t="shared" si="266"/>
        <v>17888.910000000033</v>
      </c>
    </row>
    <row r="611" spans="1:12" ht="15.5">
      <c r="A611" s="180" t="s">
        <v>12</v>
      </c>
      <c r="B611" s="242">
        <f t="shared" si="262"/>
        <v>117844.8275862069</v>
      </c>
      <c r="C611" s="241">
        <f t="shared" si="263"/>
        <v>1.7158005357417225E-2</v>
      </c>
      <c r="D611" s="242">
        <v>117844.8275862069</v>
      </c>
      <c r="E611" s="242">
        <v>0</v>
      </c>
      <c r="F611" s="849">
        <v>0</v>
      </c>
      <c r="H611" s="250">
        <f t="shared" si="264"/>
        <v>-2472.6327312534268</v>
      </c>
      <c r="I611" s="241">
        <f t="shared" si="265"/>
        <v>-1.8924250917500593E-2</v>
      </c>
      <c r="J611" s="242">
        <f t="shared" si="267"/>
        <v>-2472.6327312534268</v>
      </c>
      <c r="K611" s="849">
        <f t="shared" si="268"/>
        <v>0</v>
      </c>
      <c r="L611" s="242">
        <f t="shared" si="266"/>
        <v>0</v>
      </c>
    </row>
    <row r="612" spans="1:12" ht="15.5">
      <c r="A612" s="180" t="s">
        <v>160</v>
      </c>
      <c r="B612" s="242">
        <f t="shared" si="262"/>
        <v>2709947.8983136169</v>
      </c>
      <c r="C612" s="241">
        <f t="shared" si="263"/>
        <v>0.39456377942063231</v>
      </c>
      <c r="D612" s="242">
        <v>2709947.8983136169</v>
      </c>
      <c r="E612" s="242">
        <v>0</v>
      </c>
      <c r="F612" s="849">
        <v>0</v>
      </c>
      <c r="H612" s="250">
        <f t="shared" si="264"/>
        <v>569.46545899286866</v>
      </c>
      <c r="I612" s="241">
        <f t="shared" si="265"/>
        <v>4.3583938280101001E-3</v>
      </c>
      <c r="J612" s="242">
        <f t="shared" si="267"/>
        <v>569.46545899286866</v>
      </c>
      <c r="K612" s="849">
        <f t="shared" si="268"/>
        <v>0</v>
      </c>
      <c r="L612" s="242">
        <f t="shared" si="266"/>
        <v>0</v>
      </c>
    </row>
    <row r="613" spans="1:12" ht="15.5">
      <c r="A613" s="180"/>
      <c r="B613" s="242">
        <f t="shared" si="262"/>
        <v>0</v>
      </c>
      <c r="C613" s="241">
        <v>0</v>
      </c>
      <c r="D613" s="237"/>
      <c r="E613" s="242"/>
      <c r="F613" s="295"/>
      <c r="H613" s="250"/>
      <c r="I613" s="241">
        <f>+H613/$H$537</f>
        <v>0</v>
      </c>
      <c r="J613" s="242"/>
      <c r="K613" s="242"/>
      <c r="L613" s="242"/>
    </row>
    <row r="614" spans="1:12" ht="15.5">
      <c r="A614" s="180"/>
      <c r="B614" s="243">
        <f>SUM(B606:B613)</f>
        <v>6868212.5416905656</v>
      </c>
      <c r="C614" s="240">
        <f>SUM(C606:C613)</f>
        <v>1</v>
      </c>
      <c r="D614" s="243">
        <f>SUM(D606:D613)</f>
        <v>3880344.6116905655</v>
      </c>
      <c r="E614" s="243">
        <f>SUM(E606:E613)</f>
        <v>2239565</v>
      </c>
      <c r="F614" s="243">
        <f>SUM(F606:F613)</f>
        <v>748302.92999999993</v>
      </c>
      <c r="G614" s="32">
        <f>+B614-B603</f>
        <v>130659.4771984769</v>
      </c>
      <c r="H614" s="243">
        <f>SUM(H606:H613)</f>
        <v>130659.47719847702</v>
      </c>
      <c r="I614" s="240">
        <f>SUM(I606:I613)</f>
        <v>1.0000000000000002</v>
      </c>
      <c r="J614" s="243">
        <f>SUM(J606:J613)</f>
        <v>32526.80719847689</v>
      </c>
      <c r="K614" s="243">
        <f>SUM(K606:K613)</f>
        <v>78964.000000000116</v>
      </c>
      <c r="L614" s="243">
        <f>SUM(L606:L613)</f>
        <v>19168.67000000002</v>
      </c>
    </row>
    <row r="615" spans="1:12" ht="14.5" thickBot="1">
      <c r="H615" s="254">
        <f>+A616</f>
        <v>41575</v>
      </c>
      <c r="I615" s="254"/>
      <c r="J615" s="254">
        <f>+A605</f>
        <v>41545</v>
      </c>
    </row>
    <row r="616" spans="1:12" ht="16" thickBot="1">
      <c r="A616" s="253">
        <v>41575</v>
      </c>
      <c r="B616" s="251">
        <v>5.92</v>
      </c>
      <c r="C616" s="238" t="s">
        <v>3</v>
      </c>
      <c r="D616" s="238" t="s">
        <v>4</v>
      </c>
      <c r="E616" s="238" t="s">
        <v>5</v>
      </c>
      <c r="F616" s="238" t="s">
        <v>114</v>
      </c>
      <c r="H616" s="251">
        <f>+B616-B605</f>
        <v>0.12000000000000011</v>
      </c>
      <c r="I616" s="238" t="s">
        <v>3</v>
      </c>
      <c r="J616" s="238" t="s">
        <v>4</v>
      </c>
      <c r="K616" s="238" t="s">
        <v>5</v>
      </c>
      <c r="L616" s="238" t="s">
        <v>114</v>
      </c>
    </row>
    <row r="617" spans="1:12" ht="15.5">
      <c r="A617" s="180" t="s">
        <v>7</v>
      </c>
      <c r="B617" s="250">
        <f t="shared" ref="B617:B623" si="269">SUM(D617:F617)</f>
        <v>1200189.9269594594</v>
      </c>
      <c r="C617" s="241">
        <f t="shared" ref="C617:C623" si="270">+B617/$B$625</f>
        <v>0.17172703781970203</v>
      </c>
      <c r="D617" s="242">
        <v>164871.19695945946</v>
      </c>
      <c r="E617" s="242">
        <v>1035318.73</v>
      </c>
      <c r="F617" s="849">
        <v>0</v>
      </c>
      <c r="H617" s="250">
        <f t="shared" ref="H617:H623" si="271">SUM(J617:L617)</f>
        <v>20985.72947670077</v>
      </c>
      <c r="I617" s="241">
        <f t="shared" ref="I617:I623" si="272">+H617/$H$625</f>
        <v>0.17382761933487148</v>
      </c>
      <c r="J617" s="242">
        <f>+D617-D606</f>
        <v>5648.0594767008442</v>
      </c>
      <c r="K617" s="849">
        <f>+E617-E606</f>
        <v>15337.669999999925</v>
      </c>
      <c r="L617" s="242">
        <f t="shared" ref="L617:L623" si="273">+F617-F606</f>
        <v>0</v>
      </c>
    </row>
    <row r="618" spans="1:12" ht="15.5">
      <c r="A618" s="180" t="s">
        <v>8</v>
      </c>
      <c r="B618" s="242">
        <f t="shared" si="269"/>
        <v>117797.62668918919</v>
      </c>
      <c r="C618" s="241">
        <f t="shared" si="270"/>
        <v>1.6854863583777469E-2</v>
      </c>
      <c r="D618" s="242">
        <v>117797.62668918919</v>
      </c>
      <c r="E618" s="242"/>
      <c r="F618" s="849">
        <v>0</v>
      </c>
      <c r="H618" s="250">
        <f t="shared" si="271"/>
        <v>10253.066344361578</v>
      </c>
      <c r="I618" s="241">
        <f t="shared" si="272"/>
        <v>8.4927527322870178E-2</v>
      </c>
      <c r="J618" s="242">
        <f t="shared" ref="J618:J623" si="274">+D618-D607</f>
        <v>10253.066344361578</v>
      </c>
      <c r="K618" s="849">
        <f t="shared" ref="K618:K623" si="275">+E618-E607</f>
        <v>0</v>
      </c>
      <c r="L618" s="242">
        <f t="shared" si="273"/>
        <v>0</v>
      </c>
    </row>
    <row r="619" spans="1:12" ht="15.5">
      <c r="A619" s="180" t="s">
        <v>9</v>
      </c>
      <c r="B619" s="242">
        <f t="shared" si="269"/>
        <v>1118964.5418045172</v>
      </c>
      <c r="C619" s="241">
        <f t="shared" si="270"/>
        <v>0.16010504827029814</v>
      </c>
      <c r="D619" s="242">
        <v>792982.381804517</v>
      </c>
      <c r="E619" s="242">
        <v>313467.35000000003</v>
      </c>
      <c r="F619" s="849">
        <v>12514.81</v>
      </c>
      <c r="H619" s="250">
        <f t="shared" si="271"/>
        <v>-22379.116158638513</v>
      </c>
      <c r="I619" s="241">
        <f t="shared" si="272"/>
        <v>-0.18536922859858873</v>
      </c>
      <c r="J619" s="242">
        <f t="shared" si="274"/>
        <v>7198.1938413614407</v>
      </c>
      <c r="K619" s="849">
        <f t="shared" si="275"/>
        <v>-30426.009999999951</v>
      </c>
      <c r="L619" s="242">
        <f t="shared" si="273"/>
        <v>848.69999999999891</v>
      </c>
    </row>
    <row r="620" spans="1:12" ht="15.5">
      <c r="A620" s="180" t="s">
        <v>148</v>
      </c>
      <c r="B620" s="242">
        <f t="shared" si="269"/>
        <v>278513.70999999996</v>
      </c>
      <c r="C620" s="241">
        <f t="shared" si="270"/>
        <v>3.9850638083293199E-2</v>
      </c>
      <c r="D620" s="242">
        <v>0</v>
      </c>
      <c r="E620" s="242">
        <v>99206.65</v>
      </c>
      <c r="F620" s="849">
        <v>179307.06</v>
      </c>
      <c r="H620" s="250">
        <f t="shared" si="271"/>
        <v>4441.1699999999983</v>
      </c>
      <c r="I620" s="241">
        <f t="shared" si="272"/>
        <v>3.6786808341285213E-2</v>
      </c>
      <c r="J620" s="242">
        <f t="shared" si="274"/>
        <v>0</v>
      </c>
      <c r="K620" s="849">
        <f t="shared" si="275"/>
        <v>2736.4199999999983</v>
      </c>
      <c r="L620" s="242">
        <f t="shared" si="273"/>
        <v>1704.75</v>
      </c>
    </row>
    <row r="621" spans="1:12" ht="15.5">
      <c r="A621" s="180" t="s">
        <v>11</v>
      </c>
      <c r="B621" s="242">
        <f t="shared" si="269"/>
        <v>1448380.12</v>
      </c>
      <c r="C621" s="241">
        <f t="shared" si="270"/>
        <v>0.20723888949365107</v>
      </c>
      <c r="D621" s="242">
        <v>0</v>
      </c>
      <c r="E621" s="242">
        <v>875047.41</v>
      </c>
      <c r="F621" s="849">
        <v>573332.71</v>
      </c>
      <c r="H621" s="250">
        <f t="shared" si="271"/>
        <v>110125.25999999989</v>
      </c>
      <c r="I621" s="241">
        <f t="shared" si="272"/>
        <v>0.91218233779706714</v>
      </c>
      <c r="J621" s="242">
        <f t="shared" si="274"/>
        <v>0</v>
      </c>
      <c r="K621" s="849">
        <f t="shared" si="275"/>
        <v>95827.059999999939</v>
      </c>
      <c r="L621" s="242">
        <f t="shared" si="273"/>
        <v>14298.199999999953</v>
      </c>
    </row>
    <row r="622" spans="1:12" ht="15.5">
      <c r="A622" s="180" t="s">
        <v>12</v>
      </c>
      <c r="B622" s="242">
        <f t="shared" si="269"/>
        <v>115658.78378378379</v>
      </c>
      <c r="C622" s="241">
        <f t="shared" si="270"/>
        <v>1.6548831056544502E-2</v>
      </c>
      <c r="D622" s="242">
        <v>115658.78378378379</v>
      </c>
      <c r="E622" s="242">
        <v>0</v>
      </c>
      <c r="F622" s="849">
        <v>0</v>
      </c>
      <c r="H622" s="250">
        <f t="shared" si="271"/>
        <v>-2186.0438024231116</v>
      </c>
      <c r="I622" s="241">
        <f t="shared" si="272"/>
        <v>-1.8107294786147209E-2</v>
      </c>
      <c r="J622" s="242">
        <f t="shared" si="274"/>
        <v>-2186.0438024231116</v>
      </c>
      <c r="K622" s="849">
        <f t="shared" si="275"/>
        <v>0</v>
      </c>
      <c r="L622" s="242">
        <f t="shared" si="273"/>
        <v>0</v>
      </c>
    </row>
    <row r="623" spans="1:12" ht="15.5">
      <c r="A623" s="180" t="s">
        <v>160</v>
      </c>
      <c r="B623" s="242">
        <f t="shared" si="269"/>
        <v>2709435.0768178888</v>
      </c>
      <c r="C623" s="241">
        <f t="shared" si="270"/>
        <v>0.38767469169273355</v>
      </c>
      <c r="D623" s="242">
        <v>2709435.0768178888</v>
      </c>
      <c r="E623" s="242">
        <v>0</v>
      </c>
      <c r="F623" s="849">
        <v>0</v>
      </c>
      <c r="H623" s="250">
        <f t="shared" si="271"/>
        <v>-512.82149572810158</v>
      </c>
      <c r="I623" s="241">
        <f t="shared" si="272"/>
        <v>-4.247769411358019E-3</v>
      </c>
      <c r="J623" s="242">
        <f t="shared" si="274"/>
        <v>-512.82149572810158</v>
      </c>
      <c r="K623" s="849">
        <f t="shared" si="275"/>
        <v>0</v>
      </c>
      <c r="L623" s="242">
        <f t="shared" si="273"/>
        <v>0</v>
      </c>
    </row>
    <row r="624" spans="1:12" ht="15.5">
      <c r="A624" s="180"/>
      <c r="B624" s="242">
        <v>0</v>
      </c>
      <c r="C624" s="241">
        <v>0</v>
      </c>
      <c r="D624" s="237"/>
      <c r="E624" s="242"/>
      <c r="F624" s="295"/>
      <c r="H624" s="250"/>
      <c r="I624" s="241">
        <f>+H624/$H$537</f>
        <v>0</v>
      </c>
      <c r="J624" s="242"/>
      <c r="K624" s="242"/>
      <c r="L624" s="242"/>
    </row>
    <row r="625" spans="1:12" ht="15.5">
      <c r="A625" s="180"/>
      <c r="B625" s="243">
        <f>SUM(B617:B624)</f>
        <v>6988939.7860548384</v>
      </c>
      <c r="C625" s="240">
        <f>SUM(C617:C624)</f>
        <v>1</v>
      </c>
      <c r="D625" s="243">
        <f>SUM(D617:D624)</f>
        <v>3900745.0660548382</v>
      </c>
      <c r="E625" s="243">
        <f>SUM(E617:E624)</f>
        <v>2323040.14</v>
      </c>
      <c r="F625" s="243">
        <f>SUM(F617:F624)</f>
        <v>765154.58</v>
      </c>
      <c r="G625" s="32">
        <f>+B625-B614</f>
        <v>120727.2443642728</v>
      </c>
      <c r="H625" s="243">
        <f>SUM(H617:H624)</f>
        <v>120727.24436427251</v>
      </c>
      <c r="I625" s="240">
        <f>SUM(I617:I624)</f>
        <v>1</v>
      </c>
      <c r="J625" s="243">
        <f>SUM(J617:J624)</f>
        <v>20400.454364272649</v>
      </c>
      <c r="K625" s="243">
        <f>SUM(K617:K624)</f>
        <v>83475.139999999912</v>
      </c>
      <c r="L625" s="243">
        <f>SUM(L617:L624)</f>
        <v>16851.649999999951</v>
      </c>
    </row>
    <row r="626" spans="1:12" ht="14.5" thickBot="1">
      <c r="H626" s="254">
        <f>+A627</f>
        <v>41606</v>
      </c>
      <c r="I626" s="254"/>
      <c r="J626" s="254">
        <f>+A616</f>
        <v>41575</v>
      </c>
    </row>
    <row r="627" spans="1:12" ht="16" thickBot="1">
      <c r="A627" s="253">
        <v>41606</v>
      </c>
      <c r="B627" s="251">
        <v>6.13</v>
      </c>
      <c r="C627" s="238" t="s">
        <v>3</v>
      </c>
      <c r="D627" s="238" t="s">
        <v>4</v>
      </c>
      <c r="E627" s="238" t="s">
        <v>5</v>
      </c>
      <c r="F627" s="238" t="s">
        <v>114</v>
      </c>
      <c r="H627" s="251">
        <f>+B627-B616</f>
        <v>0.20999999999999996</v>
      </c>
      <c r="I627" s="238" t="s">
        <v>3</v>
      </c>
      <c r="J627" s="238" t="s">
        <v>4</v>
      </c>
      <c r="K627" s="238" t="s">
        <v>5</v>
      </c>
      <c r="L627" s="238" t="s">
        <v>114</v>
      </c>
    </row>
    <row r="628" spans="1:12" ht="15.5">
      <c r="A628" s="180" t="s">
        <v>7</v>
      </c>
      <c r="B628" s="250">
        <f t="shared" ref="B628:B635" si="276">SUM(D628:F628)</f>
        <v>1205704.9366557912</v>
      </c>
      <c r="C628" s="241">
        <f t="shared" ref="C628:C634" si="277">+B628/$B$636</f>
        <v>0.17096762505493335</v>
      </c>
      <c r="D628" s="242">
        <v>157328.64665579118</v>
      </c>
      <c r="E628" s="242">
        <v>1048376.29</v>
      </c>
      <c r="F628" s="849">
        <v>0</v>
      </c>
      <c r="H628" s="250">
        <f t="shared" ref="H628:H634" si="278">SUM(J628:L628)</f>
        <v>5515.0096963317774</v>
      </c>
      <c r="I628" s="241">
        <f t="shared" ref="I628:I634" si="279">+H628/$H$636</f>
        <v>8.7122950235548655E-2</v>
      </c>
      <c r="J628" s="242">
        <f>+D628-D617</f>
        <v>-7542.5503036682785</v>
      </c>
      <c r="K628" s="849">
        <f>+E628-E617</f>
        <v>13057.560000000056</v>
      </c>
      <c r="L628" s="242">
        <f t="shared" ref="L628:L634" si="280">+F628-F617</f>
        <v>0</v>
      </c>
    </row>
    <row r="629" spans="1:12" ht="15.5">
      <c r="A629" s="180" t="s">
        <v>8</v>
      </c>
      <c r="B629" s="242">
        <f t="shared" si="276"/>
        <v>124109.07504078302</v>
      </c>
      <c r="C629" s="241">
        <f t="shared" si="277"/>
        <v>1.7598529426561309E-2</v>
      </c>
      <c r="D629" s="242">
        <v>124109.07504078302</v>
      </c>
      <c r="E629" s="242"/>
      <c r="F629" s="849">
        <v>0</v>
      </c>
      <c r="H629" s="250">
        <f t="shared" si="278"/>
        <v>6311.4483515938336</v>
      </c>
      <c r="I629" s="241">
        <f t="shared" si="279"/>
        <v>9.970462989682212E-2</v>
      </c>
      <c r="J629" s="242">
        <f t="shared" ref="J629:J634" si="281">+D629-D618</f>
        <v>6311.4483515938336</v>
      </c>
      <c r="K629" s="849">
        <f t="shared" ref="K629:K634" si="282">+E629-E618</f>
        <v>0</v>
      </c>
      <c r="L629" s="242">
        <f t="shared" si="280"/>
        <v>0</v>
      </c>
    </row>
    <row r="630" spans="1:12" ht="15.5">
      <c r="A630" s="180" t="s">
        <v>9</v>
      </c>
      <c r="B630" s="242">
        <f t="shared" si="276"/>
        <v>1034469.5611480776</v>
      </c>
      <c r="C630" s="241">
        <f t="shared" si="277"/>
        <v>0.14668663840064944</v>
      </c>
      <c r="D630" s="242">
        <v>755096.23114807752</v>
      </c>
      <c r="E630" s="242">
        <v>268493.22000000003</v>
      </c>
      <c r="F630" s="849">
        <v>10880.11</v>
      </c>
      <c r="H630" s="250">
        <f t="shared" si="278"/>
        <v>-84494.980656439482</v>
      </c>
      <c r="I630" s="241">
        <f t="shared" si="279"/>
        <v>-1.3348030919657274</v>
      </c>
      <c r="J630" s="242">
        <f t="shared" si="281"/>
        <v>-37886.15065643948</v>
      </c>
      <c r="K630" s="849">
        <f t="shared" si="282"/>
        <v>-44974.130000000005</v>
      </c>
      <c r="L630" s="242">
        <f t="shared" si="280"/>
        <v>-1634.6999999999989</v>
      </c>
    </row>
    <row r="631" spans="1:12" ht="15.5">
      <c r="A631" s="180" t="s">
        <v>148</v>
      </c>
      <c r="B631" s="242">
        <f t="shared" si="276"/>
        <v>279965.21000000002</v>
      </c>
      <c r="C631" s="241">
        <f t="shared" si="277"/>
        <v>3.9698756799044561E-2</v>
      </c>
      <c r="D631" s="242">
        <v>0</v>
      </c>
      <c r="E631" s="242">
        <v>98888.83</v>
      </c>
      <c r="F631" s="849">
        <v>181076.38</v>
      </c>
      <c r="H631" s="250">
        <f t="shared" si="278"/>
        <v>1451.5000000000146</v>
      </c>
      <c r="I631" s="241">
        <f t="shared" si="279"/>
        <v>2.2929961909407402E-2</v>
      </c>
      <c r="J631" s="242">
        <f t="shared" si="281"/>
        <v>0</v>
      </c>
      <c r="K631" s="849">
        <f t="shared" si="282"/>
        <v>-317.81999999999243</v>
      </c>
      <c r="L631" s="242">
        <f t="shared" si="280"/>
        <v>1769.320000000007</v>
      </c>
    </row>
    <row r="632" spans="1:12" ht="15.5">
      <c r="A632" s="180" t="s">
        <v>11</v>
      </c>
      <c r="B632" s="242">
        <f t="shared" si="276"/>
        <v>1564289.62</v>
      </c>
      <c r="C632" s="241">
        <f t="shared" si="277"/>
        <v>0.22181453612629165</v>
      </c>
      <c r="D632" s="242">
        <v>0</v>
      </c>
      <c r="E632" s="242">
        <v>990629.86</v>
      </c>
      <c r="F632" s="849">
        <v>573659.76</v>
      </c>
      <c r="H632" s="250">
        <f t="shared" si="278"/>
        <v>115909.5</v>
      </c>
      <c r="I632" s="241">
        <f t="shared" si="279"/>
        <v>1.8310715948594081</v>
      </c>
      <c r="J632" s="242">
        <f t="shared" si="281"/>
        <v>0</v>
      </c>
      <c r="K632" s="849">
        <f t="shared" si="282"/>
        <v>115582.44999999995</v>
      </c>
      <c r="L632" s="242">
        <f t="shared" si="280"/>
        <v>327.05000000004657</v>
      </c>
    </row>
    <row r="633" spans="1:12" ht="15.5">
      <c r="A633" s="180" t="s">
        <v>12</v>
      </c>
      <c r="B633" s="242">
        <f t="shared" si="276"/>
        <v>134551.38662316476</v>
      </c>
      <c r="C633" s="241">
        <f t="shared" si="277"/>
        <v>1.907923764716064E-2</v>
      </c>
      <c r="D633" s="242">
        <v>134551.38662316476</v>
      </c>
      <c r="E633" s="242">
        <v>0</v>
      </c>
      <c r="F633" s="849">
        <v>0</v>
      </c>
      <c r="H633" s="250">
        <f t="shared" si="278"/>
        <v>18892.602839380968</v>
      </c>
      <c r="I633" s="241">
        <f t="shared" si="279"/>
        <v>0.29845447018709159</v>
      </c>
      <c r="J633" s="242">
        <f t="shared" si="281"/>
        <v>18892.602839380968</v>
      </c>
      <c r="K633" s="849">
        <f t="shared" si="282"/>
        <v>0</v>
      </c>
      <c r="L633" s="242">
        <f t="shared" si="280"/>
        <v>0</v>
      </c>
    </row>
    <row r="634" spans="1:12" ht="15.5">
      <c r="A634" s="180" t="s">
        <v>160</v>
      </c>
      <c r="B634" s="242">
        <f t="shared" si="276"/>
        <v>2709151.4536820948</v>
      </c>
      <c r="C634" s="241">
        <f t="shared" si="277"/>
        <v>0.38415467654535901</v>
      </c>
      <c r="D634" s="242">
        <v>2709151.4536820948</v>
      </c>
      <c r="E634" s="242">
        <v>0</v>
      </c>
      <c r="F634" s="849">
        <v>0</v>
      </c>
      <c r="H634" s="250">
        <f t="shared" si="278"/>
        <v>-283.62313579395413</v>
      </c>
      <c r="I634" s="241">
        <f t="shared" si="279"/>
        <v>-4.4805151225504559E-3</v>
      </c>
      <c r="J634" s="242">
        <f t="shared" si="281"/>
        <v>-283.62313579395413</v>
      </c>
      <c r="K634" s="849">
        <f t="shared" si="282"/>
        <v>0</v>
      </c>
      <c r="L634" s="242">
        <f t="shared" si="280"/>
        <v>0</v>
      </c>
    </row>
    <row r="635" spans="1:12" ht="15.5">
      <c r="A635" s="180"/>
      <c r="B635" s="242">
        <f t="shared" si="276"/>
        <v>0</v>
      </c>
      <c r="C635" s="241">
        <f>+B635/$B$12</f>
        <v>0</v>
      </c>
      <c r="D635" s="237"/>
      <c r="E635" s="242"/>
      <c r="F635" s="295"/>
      <c r="H635" s="250"/>
      <c r="I635" s="241">
        <f>+H635/$H$537</f>
        <v>0</v>
      </c>
      <c r="J635" s="242"/>
      <c r="K635" s="242"/>
      <c r="L635" s="242"/>
    </row>
    <row r="636" spans="1:12" ht="15.5">
      <c r="A636" s="180"/>
      <c r="B636" s="243">
        <f>SUM(B628:B635)</f>
        <v>7052241.243149912</v>
      </c>
      <c r="C636" s="240">
        <f>SUM(C628:C635)</f>
        <v>1</v>
      </c>
      <c r="D636" s="243">
        <f>SUM(D628:D635)</f>
        <v>3880236.7931499113</v>
      </c>
      <c r="E636" s="243">
        <f>SUM(E628:E635)</f>
        <v>2406388.2000000002</v>
      </c>
      <c r="F636" s="243">
        <f>SUM(F628:F635)</f>
        <v>765616.25</v>
      </c>
      <c r="G636" s="32">
        <f>+B636-B625</f>
        <v>63301.457095073536</v>
      </c>
      <c r="H636" s="243">
        <f>SUM(H628:H635)</f>
        <v>63301.457095073158</v>
      </c>
      <c r="I636" s="240">
        <f>SUM(I628:I635)</f>
        <v>1</v>
      </c>
      <c r="J636" s="243">
        <f>SUM(J628:J635)</f>
        <v>-20508.272904926911</v>
      </c>
      <c r="K636" s="243">
        <f>SUM(K628:K635)</f>
        <v>83348.060000000012</v>
      </c>
      <c r="L636" s="243">
        <f>SUM(L628:L635)</f>
        <v>461.67000000005464</v>
      </c>
    </row>
    <row r="637" spans="1:12" ht="14.5" thickBot="1">
      <c r="H637" s="254">
        <f>+A638</f>
        <v>41636</v>
      </c>
      <c r="I637" s="254"/>
      <c r="J637" s="254">
        <f>+A627</f>
        <v>41606</v>
      </c>
    </row>
    <row r="638" spans="1:12" ht="16" thickBot="1">
      <c r="A638" s="253">
        <v>41636</v>
      </c>
      <c r="B638" s="251">
        <v>6.53</v>
      </c>
      <c r="C638" s="238" t="s">
        <v>3</v>
      </c>
      <c r="D638" s="238" t="s">
        <v>4</v>
      </c>
      <c r="E638" s="238" t="s">
        <v>5</v>
      </c>
      <c r="F638" s="238" t="s">
        <v>114</v>
      </c>
      <c r="H638" s="251">
        <f>+B638-B627</f>
        <v>0.40000000000000036</v>
      </c>
      <c r="I638" s="238" t="s">
        <v>3</v>
      </c>
      <c r="J638" s="238" t="s">
        <v>4</v>
      </c>
      <c r="K638" s="238" t="s">
        <v>5</v>
      </c>
      <c r="L638" s="238" t="s">
        <v>114</v>
      </c>
    </row>
    <row r="639" spans="1:12" ht="15.5">
      <c r="A639" s="180" t="s">
        <v>7</v>
      </c>
      <c r="B639" s="250">
        <f t="shared" ref="B639:B646" si="283">SUM(D639:F639)</f>
        <v>1279523.566875957</v>
      </c>
      <c r="C639" s="241">
        <f t="shared" ref="C639:C645" si="284">+B639/$B$647</f>
        <v>0.18157607148419208</v>
      </c>
      <c r="D639" s="242">
        <v>147607.17687595714</v>
      </c>
      <c r="E639" s="242">
        <v>1131916.3899999999</v>
      </c>
      <c r="F639" s="849">
        <v>0</v>
      </c>
      <c r="H639" s="250">
        <f t="shared" ref="H639:H645" si="285">SUM(J639:L639)</f>
        <v>73818.630220165825</v>
      </c>
      <c r="I639" s="241">
        <f t="shared" ref="I639:I645" si="286">+H639/$H$647</f>
        <v>-13.475206917151796</v>
      </c>
      <c r="J639" s="242">
        <f>+D639-D628</f>
        <v>-9721.4697798340349</v>
      </c>
      <c r="K639" s="849">
        <f>+E639-E628</f>
        <v>83540.09999999986</v>
      </c>
      <c r="L639" s="242">
        <f t="shared" ref="L639:L645" si="287">+F639-F628</f>
        <v>0</v>
      </c>
    </row>
    <row r="640" spans="1:12" ht="15.5">
      <c r="A640" s="180" t="s">
        <v>8</v>
      </c>
      <c r="B640" s="250">
        <f t="shared" si="283"/>
        <v>103400.8698315467</v>
      </c>
      <c r="C640" s="241">
        <f t="shared" si="284"/>
        <v>1.4673527098763248E-2</v>
      </c>
      <c r="D640" s="242">
        <v>103400.8698315467</v>
      </c>
      <c r="E640" s="242"/>
      <c r="F640" s="849">
        <v>0</v>
      </c>
      <c r="H640" s="250">
        <f t="shared" si="285"/>
        <v>-20708.205209236316</v>
      </c>
      <c r="I640" s="241">
        <f t="shared" si="286"/>
        <v>3.780175129842354</v>
      </c>
      <c r="J640" s="242">
        <f t="shared" ref="J640:J645" si="288">+D640-D629</f>
        <v>-20708.205209236316</v>
      </c>
      <c r="K640" s="849">
        <f t="shared" ref="K640:K645" si="289">+E640-E629</f>
        <v>0</v>
      </c>
      <c r="L640" s="242">
        <f t="shared" si="287"/>
        <v>0</v>
      </c>
    </row>
    <row r="641" spans="1:12" ht="15.5">
      <c r="A641" s="180" t="s">
        <v>9</v>
      </c>
      <c r="B641" s="250">
        <f t="shared" si="283"/>
        <v>928053.93197120784</v>
      </c>
      <c r="C641" s="241">
        <f t="shared" si="284"/>
        <v>0.13169932266603257</v>
      </c>
      <c r="D641" s="242">
        <v>674320.0119712078</v>
      </c>
      <c r="E641" s="242">
        <v>192563.03</v>
      </c>
      <c r="F641" s="849">
        <v>61170.89</v>
      </c>
      <c r="H641" s="250">
        <f t="shared" si="285"/>
        <v>-106415.62917686976</v>
      </c>
      <c r="I641" s="241">
        <f t="shared" si="286"/>
        <v>19.4256194960589</v>
      </c>
      <c r="J641" s="242">
        <f t="shared" si="288"/>
        <v>-80776.219176869723</v>
      </c>
      <c r="K641" s="849">
        <f t="shared" si="289"/>
        <v>-75930.190000000031</v>
      </c>
      <c r="L641" s="242">
        <f t="shared" si="287"/>
        <v>50290.78</v>
      </c>
    </row>
    <row r="642" spans="1:12" ht="15.5">
      <c r="A642" s="180" t="s">
        <v>148</v>
      </c>
      <c r="B642" s="250">
        <f t="shared" si="283"/>
        <v>283144.77</v>
      </c>
      <c r="C642" s="241">
        <f t="shared" si="284"/>
        <v>4.0180826933435672E-2</v>
      </c>
      <c r="D642" s="242">
        <v>0</v>
      </c>
      <c r="E642" s="242">
        <v>100318.73</v>
      </c>
      <c r="F642" s="849">
        <v>182826.04</v>
      </c>
      <c r="H642" s="250">
        <f t="shared" si="285"/>
        <v>3179.5599999999977</v>
      </c>
      <c r="I642" s="241">
        <f t="shared" si="286"/>
        <v>-0.58041213685098492</v>
      </c>
      <c r="J642" s="242">
        <f t="shared" si="288"/>
        <v>0</v>
      </c>
      <c r="K642" s="849">
        <f t="shared" si="289"/>
        <v>1429.8999999999942</v>
      </c>
      <c r="L642" s="242">
        <f t="shared" si="287"/>
        <v>1749.6600000000035</v>
      </c>
    </row>
    <row r="643" spans="1:12" ht="15.5">
      <c r="A643" s="180" t="s">
        <v>11</v>
      </c>
      <c r="B643" s="250">
        <f t="shared" si="283"/>
        <v>1582584.06</v>
      </c>
      <c r="C643" s="241">
        <f t="shared" si="284"/>
        <v>0.22458312128623803</v>
      </c>
      <c r="D643" s="242">
        <v>0</v>
      </c>
      <c r="E643" s="242">
        <v>1003653.83</v>
      </c>
      <c r="F643" s="849">
        <v>578930.23</v>
      </c>
      <c r="H643" s="250">
        <f t="shared" si="285"/>
        <v>18294.439999999944</v>
      </c>
      <c r="I643" s="241">
        <f t="shared" si="286"/>
        <v>-3.3395548481211574</v>
      </c>
      <c r="J643" s="242">
        <f t="shared" si="288"/>
        <v>0</v>
      </c>
      <c r="K643" s="849">
        <f t="shared" si="289"/>
        <v>13023.969999999972</v>
      </c>
      <c r="L643" s="242">
        <f t="shared" si="287"/>
        <v>5270.4699999999721</v>
      </c>
    </row>
    <row r="644" spans="1:12" ht="15.5">
      <c r="A644" s="180" t="s">
        <v>12</v>
      </c>
      <c r="B644" s="250">
        <f t="shared" si="283"/>
        <v>134338</v>
      </c>
      <c r="C644" s="241">
        <f t="shared" si="284"/>
        <v>1.9063788211888498E-2</v>
      </c>
      <c r="D644" s="242">
        <v>134338</v>
      </c>
      <c r="E644" s="242">
        <v>0</v>
      </c>
      <c r="F644" s="849">
        <v>0</v>
      </c>
      <c r="H644" s="250">
        <f t="shared" si="285"/>
        <v>-213.38662316475529</v>
      </c>
      <c r="I644" s="241">
        <f t="shared" si="286"/>
        <v>3.8952617949172708E-2</v>
      </c>
      <c r="J644" s="242">
        <f t="shared" si="288"/>
        <v>-213.38662316475529</v>
      </c>
      <c r="K644" s="849">
        <f t="shared" si="289"/>
        <v>0</v>
      </c>
      <c r="L644" s="242">
        <f t="shared" si="287"/>
        <v>0</v>
      </c>
    </row>
    <row r="645" spans="1:12" ht="15.5">
      <c r="A645" s="180" t="s">
        <v>160</v>
      </c>
      <c r="B645" s="250">
        <f t="shared" si="283"/>
        <v>2735717.9371089889</v>
      </c>
      <c r="C645" s="241">
        <f t="shared" si="284"/>
        <v>0.38822334231944994</v>
      </c>
      <c r="D645" s="242">
        <v>2735717.9371089889</v>
      </c>
      <c r="E645" s="242">
        <v>0</v>
      </c>
      <c r="F645" s="849">
        <v>0</v>
      </c>
      <c r="H645" s="250">
        <f t="shared" si="285"/>
        <v>26566.483426894061</v>
      </c>
      <c r="I645" s="241">
        <f t="shared" si="286"/>
        <v>-4.8495733417264875</v>
      </c>
      <c r="J645" s="242">
        <f t="shared" si="288"/>
        <v>26566.483426894061</v>
      </c>
      <c r="K645" s="849">
        <f t="shared" si="289"/>
        <v>0</v>
      </c>
      <c r="L645" s="242">
        <f t="shared" si="287"/>
        <v>0</v>
      </c>
    </row>
    <row r="646" spans="1:12" ht="15.5">
      <c r="A646" s="180"/>
      <c r="B646" s="242">
        <f t="shared" si="283"/>
        <v>0</v>
      </c>
      <c r="C646" s="241">
        <f>+B646/$B$12</f>
        <v>0</v>
      </c>
      <c r="D646" s="237"/>
      <c r="E646" s="242"/>
      <c r="F646" s="295"/>
      <c r="H646" s="250"/>
      <c r="I646" s="241">
        <f>+H646/$H$537</f>
        <v>0</v>
      </c>
      <c r="J646" s="242"/>
      <c r="K646" s="242"/>
      <c r="L646" s="242"/>
    </row>
    <row r="647" spans="1:12" ht="15.5">
      <c r="A647" s="180"/>
      <c r="B647" s="243">
        <f>SUM(B639:B646)</f>
        <v>7046763.1357877003</v>
      </c>
      <c r="C647" s="240">
        <f>SUM(C639:C646)</f>
        <v>1</v>
      </c>
      <c r="D647" s="243">
        <f>SUM(D639:D646)</f>
        <v>3795383.9957877006</v>
      </c>
      <c r="E647" s="243">
        <f>SUM(E639:E646)</f>
        <v>2428451.98</v>
      </c>
      <c r="F647" s="243">
        <f>SUM(F639:F646)</f>
        <v>822927.15999999992</v>
      </c>
      <c r="G647" s="32">
        <f>+B647-B636</f>
        <v>-5478.1073622116819</v>
      </c>
      <c r="H647" s="243">
        <f>SUM(H639:H646)</f>
        <v>-5478.107362210998</v>
      </c>
      <c r="I647" s="240">
        <f>SUM(I639:I646)</f>
        <v>1.0000000000000009</v>
      </c>
      <c r="J647" s="243">
        <f>SUM(J639:J646)</f>
        <v>-84852.797362210767</v>
      </c>
      <c r="K647" s="243">
        <f>SUM(K639:K646)</f>
        <v>22063.779999999795</v>
      </c>
      <c r="L647" s="243">
        <f>SUM(L639:L646)</f>
        <v>57310.909999999974</v>
      </c>
    </row>
    <row r="648" spans="1:12" ht="14.5" thickBot="1">
      <c r="H648" s="254">
        <f>+A649</f>
        <v>41667</v>
      </c>
      <c r="I648" s="254"/>
      <c r="J648" s="254">
        <f>+A638</f>
        <v>41636</v>
      </c>
    </row>
    <row r="649" spans="1:12" ht="16" thickBot="1">
      <c r="A649" s="253">
        <v>41667</v>
      </c>
      <c r="B649" s="251">
        <v>8</v>
      </c>
      <c r="C649" s="238" t="s">
        <v>3</v>
      </c>
      <c r="D649" s="238" t="s">
        <v>4</v>
      </c>
      <c r="E649" s="238" t="s">
        <v>5</v>
      </c>
      <c r="F649" s="238" t="s">
        <v>114</v>
      </c>
      <c r="H649" s="251">
        <f>+B649-B638</f>
        <v>1.4699999999999998</v>
      </c>
      <c r="I649" s="238" t="s">
        <v>3</v>
      </c>
      <c r="J649" s="238" t="s">
        <v>4</v>
      </c>
      <c r="K649" s="238" t="s">
        <v>5</v>
      </c>
      <c r="L649" s="238" t="s">
        <v>114</v>
      </c>
    </row>
    <row r="650" spans="1:12" ht="15.5">
      <c r="A650" s="180" t="s">
        <v>7</v>
      </c>
      <c r="B650" s="250">
        <f t="shared" ref="B650:B656" si="290">SUM(D650:F650)</f>
        <v>1144015.8149999999</v>
      </c>
      <c r="C650" s="241">
        <f t="shared" ref="C650:C656" si="291">+B650/$B$658</f>
        <v>0.16775589673219948</v>
      </c>
      <c r="D650" s="242">
        <v>148000.66499999998</v>
      </c>
      <c r="E650" s="242">
        <v>996015.15</v>
      </c>
      <c r="F650" s="849">
        <v>0</v>
      </c>
      <c r="H650" s="250">
        <f t="shared" ref="H650:H656" si="292">SUM(J650:L650)</f>
        <v>-135507.75187595704</v>
      </c>
      <c r="I650" s="241">
        <f t="shared" ref="I650:I656" si="293">+H650/$H$658</f>
        <v>0.59632930272915441</v>
      </c>
      <c r="J650" s="242">
        <f>+D650-D639</f>
        <v>393.48812404283672</v>
      </c>
      <c r="K650" s="849">
        <f>+E650-E639</f>
        <v>-135901.23999999987</v>
      </c>
      <c r="L650" s="242">
        <f t="shared" ref="L650:L656" si="294">+F650-F639</f>
        <v>0</v>
      </c>
    </row>
    <row r="651" spans="1:12" ht="15.5">
      <c r="A651" s="180" t="s">
        <v>8</v>
      </c>
      <c r="B651" s="250">
        <f t="shared" si="290"/>
        <v>94041.398749999993</v>
      </c>
      <c r="C651" s="241">
        <f t="shared" si="291"/>
        <v>1.3790018433667013E-2</v>
      </c>
      <c r="D651" s="242">
        <v>94041.398749999993</v>
      </c>
      <c r="E651" s="242"/>
      <c r="F651" s="849">
        <v>0</v>
      </c>
      <c r="H651" s="250">
        <f t="shared" si="292"/>
        <v>-9359.4710815467115</v>
      </c>
      <c r="I651" s="241">
        <f t="shared" si="293"/>
        <v>4.118824780652805E-2</v>
      </c>
      <c r="J651" s="242">
        <f t="shared" ref="J651:J656" si="295">+D651-D640</f>
        <v>-9359.4710815467115</v>
      </c>
      <c r="K651" s="849">
        <f t="shared" ref="K651:K656" si="296">+E651-E640</f>
        <v>0</v>
      </c>
      <c r="L651" s="242">
        <f t="shared" si="294"/>
        <v>0</v>
      </c>
    </row>
    <row r="652" spans="1:12" ht="15.5">
      <c r="A652" s="180" t="s">
        <v>9</v>
      </c>
      <c r="B652" s="250">
        <f t="shared" si="290"/>
        <v>831601.57812692982</v>
      </c>
      <c r="C652" s="241">
        <f t="shared" si="291"/>
        <v>0.12194417824774158</v>
      </c>
      <c r="D652" s="242">
        <v>633255.64812692988</v>
      </c>
      <c r="E652" s="242">
        <v>197935.97</v>
      </c>
      <c r="F652" s="849">
        <v>409.96</v>
      </c>
      <c r="H652" s="250">
        <f t="shared" si="292"/>
        <v>-96452.35384427791</v>
      </c>
      <c r="I652" s="241">
        <f t="shared" si="293"/>
        <v>0.42445811489216473</v>
      </c>
      <c r="J652" s="242">
        <f t="shared" si="295"/>
        <v>-41064.363844277919</v>
      </c>
      <c r="K652" s="849">
        <f t="shared" si="296"/>
        <v>5372.9400000000023</v>
      </c>
      <c r="L652" s="242">
        <f t="shared" si="294"/>
        <v>-60760.93</v>
      </c>
    </row>
    <row r="653" spans="1:12" ht="15.5">
      <c r="A653" s="180" t="s">
        <v>148</v>
      </c>
      <c r="B653" s="250">
        <f t="shared" si="290"/>
        <v>284698.99</v>
      </c>
      <c r="C653" s="241">
        <f t="shared" si="291"/>
        <v>4.1747617244435986E-2</v>
      </c>
      <c r="D653" s="242">
        <v>0</v>
      </c>
      <c r="E653" s="242">
        <v>98348.41</v>
      </c>
      <c r="F653" s="849">
        <v>186350.58</v>
      </c>
      <c r="H653" s="250">
        <f t="shared" si="292"/>
        <v>1554.2199999999866</v>
      </c>
      <c r="I653" s="241">
        <f t="shared" si="293"/>
        <v>-6.8396598427528342E-3</v>
      </c>
      <c r="J653" s="242">
        <f t="shared" si="295"/>
        <v>0</v>
      </c>
      <c r="K653" s="849">
        <f t="shared" si="296"/>
        <v>-1970.3199999999924</v>
      </c>
      <c r="L653" s="242">
        <f t="shared" si="294"/>
        <v>3524.539999999979</v>
      </c>
    </row>
    <row r="654" spans="1:12" ht="15.5">
      <c r="A654" s="180" t="s">
        <v>11</v>
      </c>
      <c r="B654" s="250">
        <f t="shared" si="290"/>
        <v>1595112.97</v>
      </c>
      <c r="C654" s="241">
        <f t="shared" si="291"/>
        <v>0.23390376528274831</v>
      </c>
      <c r="D654" s="242">
        <v>0</v>
      </c>
      <c r="E654" s="242">
        <v>969373.77</v>
      </c>
      <c r="F654" s="849">
        <v>625739.19999999995</v>
      </c>
      <c r="H654" s="250">
        <f t="shared" si="292"/>
        <v>12528.910000000033</v>
      </c>
      <c r="I654" s="241">
        <f t="shared" si="293"/>
        <v>-5.5136005585094371E-2</v>
      </c>
      <c r="J654" s="242">
        <f t="shared" si="295"/>
        <v>0</v>
      </c>
      <c r="K654" s="849">
        <f t="shared" si="296"/>
        <v>-34280.059999999939</v>
      </c>
      <c r="L654" s="242">
        <f t="shared" si="294"/>
        <v>46808.969999999972</v>
      </c>
    </row>
    <row r="655" spans="1:12" ht="15.5">
      <c r="A655" s="180" t="s">
        <v>12</v>
      </c>
      <c r="B655" s="250">
        <f t="shared" si="290"/>
        <v>134338</v>
      </c>
      <c r="C655" s="241">
        <f t="shared" si="291"/>
        <v>1.9699021079713146E-2</v>
      </c>
      <c r="D655" s="242">
        <v>134338</v>
      </c>
      <c r="E655" s="242">
        <v>0</v>
      </c>
      <c r="F655" s="849">
        <v>0</v>
      </c>
      <c r="H655" s="250">
        <f t="shared" si="292"/>
        <v>0</v>
      </c>
      <c r="I655" s="241">
        <f t="shared" si="293"/>
        <v>0</v>
      </c>
      <c r="J655" s="242">
        <f t="shared" si="295"/>
        <v>0</v>
      </c>
      <c r="K655" s="849">
        <f t="shared" si="296"/>
        <v>0</v>
      </c>
      <c r="L655" s="242">
        <f t="shared" si="294"/>
        <v>0</v>
      </c>
    </row>
    <row r="656" spans="1:12" ht="15.5">
      <c r="A656" s="180" t="s">
        <v>13</v>
      </c>
      <c r="B656" s="250">
        <f t="shared" si="290"/>
        <v>2735717.9371089889</v>
      </c>
      <c r="C656" s="241">
        <f t="shared" si="291"/>
        <v>0.40115950297949449</v>
      </c>
      <c r="D656" s="242">
        <v>2735717.9371089889</v>
      </c>
      <c r="E656" s="242">
        <v>0</v>
      </c>
      <c r="F656" s="849">
        <v>0</v>
      </c>
      <c r="H656" s="250">
        <f t="shared" si="292"/>
        <v>0</v>
      </c>
      <c r="I656" s="241">
        <f t="shared" si="293"/>
        <v>0</v>
      </c>
      <c r="J656" s="242">
        <f t="shared" si="295"/>
        <v>0</v>
      </c>
      <c r="K656" s="849">
        <f t="shared" si="296"/>
        <v>0</v>
      </c>
      <c r="L656" s="242">
        <f t="shared" si="294"/>
        <v>0</v>
      </c>
    </row>
    <row r="657" spans="1:12" ht="15.5">
      <c r="A657" s="180"/>
      <c r="B657" s="242">
        <v>0</v>
      </c>
      <c r="C657" s="241">
        <v>0</v>
      </c>
      <c r="D657" s="237"/>
      <c r="E657" s="242"/>
      <c r="F657" s="295"/>
      <c r="H657" s="250"/>
      <c r="I657" s="241">
        <f>+H657/$H$537</f>
        <v>0</v>
      </c>
      <c r="J657" s="242"/>
      <c r="K657" s="242"/>
      <c r="L657" s="242"/>
    </row>
    <row r="658" spans="1:12" ht="15.5">
      <c r="A658" s="180"/>
      <c r="B658" s="243">
        <f>SUM(B650:B657)</f>
        <v>6819526.6889859186</v>
      </c>
      <c r="C658" s="240">
        <f>SUM(C650:C657)</f>
        <v>1</v>
      </c>
      <c r="D658" s="243">
        <f>SUM(D650:D657)</f>
        <v>3745353.6489859186</v>
      </c>
      <c r="E658" s="243">
        <f>SUM(E650:E657)</f>
        <v>2261673.2999999998</v>
      </c>
      <c r="F658" s="243">
        <f>SUM(F650:F657)</f>
        <v>812499.74</v>
      </c>
      <c r="G658" s="32">
        <f>+B658-B647</f>
        <v>-227236.44680178165</v>
      </c>
      <c r="H658" s="243">
        <f>SUM(H650:H657)</f>
        <v>-227236.44680178165</v>
      </c>
      <c r="I658" s="240">
        <f>SUM(I650:I657)</f>
        <v>0.99999999999999989</v>
      </c>
      <c r="J658" s="243">
        <f>SUM(J650:J657)</f>
        <v>-50030.346801781794</v>
      </c>
      <c r="K658" s="243">
        <f>SUM(K650:K657)</f>
        <v>-166778.67999999982</v>
      </c>
      <c r="L658" s="243">
        <f>SUM(L650:L657)</f>
        <v>-10427.420000000049</v>
      </c>
    </row>
    <row r="659" spans="1:12" ht="14.5" thickBot="1">
      <c r="H659" s="254">
        <f>+A660</f>
        <v>41698</v>
      </c>
      <c r="I659" s="254"/>
      <c r="J659" s="254">
        <f>+A649</f>
        <v>41667</v>
      </c>
    </row>
    <row r="660" spans="1:12" ht="16" thickBot="1">
      <c r="A660" s="253">
        <v>41698</v>
      </c>
      <c r="B660" s="251">
        <v>8</v>
      </c>
      <c r="C660" s="238" t="s">
        <v>3</v>
      </c>
      <c r="D660" s="238" t="s">
        <v>4</v>
      </c>
      <c r="E660" s="238" t="s">
        <v>5</v>
      </c>
      <c r="F660" s="238" t="s">
        <v>114</v>
      </c>
      <c r="H660" s="251">
        <f>+B660-B649</f>
        <v>0</v>
      </c>
      <c r="I660" s="238" t="s">
        <v>3</v>
      </c>
      <c r="J660" s="238" t="s">
        <v>4</v>
      </c>
      <c r="K660" s="238" t="s">
        <v>5</v>
      </c>
      <c r="L660" s="238" t="s">
        <v>114</v>
      </c>
    </row>
    <row r="661" spans="1:12" ht="15.5">
      <c r="A661" s="180" t="s">
        <v>7</v>
      </c>
      <c r="B661" s="250">
        <f t="shared" ref="B661:B667" si="297">SUM(D661:F661)</f>
        <v>1249716.1853749999</v>
      </c>
      <c r="C661" s="241">
        <f t="shared" ref="C661:C667" si="298">+B661/$B$669</f>
        <v>0.17870048005617739</v>
      </c>
      <c r="D661" s="242">
        <v>158040.70537499999</v>
      </c>
      <c r="E661" s="242">
        <v>1091675.48</v>
      </c>
      <c r="F661" s="849">
        <v>0</v>
      </c>
      <c r="H661" s="250">
        <f>SUM(J661:L661)</f>
        <v>105700.37037499997</v>
      </c>
      <c r="I661" s="241">
        <f t="shared" ref="I661:I667" si="299">+H661/$H$669</f>
        <v>0.6080677197318427</v>
      </c>
      <c r="J661" s="242">
        <f>+D661-D650</f>
        <v>10040.040375000011</v>
      </c>
      <c r="K661" s="849">
        <f>+E661-E650</f>
        <v>95660.329999999958</v>
      </c>
      <c r="L661" s="242">
        <f t="shared" ref="L661:L667" si="300">+F661-F650</f>
        <v>0</v>
      </c>
    </row>
    <row r="662" spans="1:12" ht="15.5">
      <c r="A662" s="180" t="s">
        <v>8</v>
      </c>
      <c r="B662" s="250">
        <f t="shared" si="297"/>
        <v>90233.556250000009</v>
      </c>
      <c r="C662" s="241">
        <f t="shared" si="298"/>
        <v>1.2902753447345773E-2</v>
      </c>
      <c r="D662" s="242">
        <v>90233.556250000009</v>
      </c>
      <c r="E662" s="242"/>
      <c r="F662" s="849">
        <v>0</v>
      </c>
      <c r="H662" s="250">
        <f t="shared" ref="H662:H667" si="301">SUM(J662:L662)</f>
        <v>-3807.8424999999843</v>
      </c>
      <c r="I662" s="241">
        <f t="shared" si="299"/>
        <v>-2.1905562845791402E-2</v>
      </c>
      <c r="J662" s="242">
        <f t="shared" ref="J662:J667" si="302">+D662-D651</f>
        <v>-3807.8424999999843</v>
      </c>
      <c r="K662" s="849">
        <f t="shared" ref="K662:K667" si="303">+E662-E651</f>
        <v>0</v>
      </c>
      <c r="L662" s="242">
        <f t="shared" si="300"/>
        <v>0</v>
      </c>
    </row>
    <row r="663" spans="1:12" ht="15.5">
      <c r="A663" s="180" t="s">
        <v>9</v>
      </c>
      <c r="B663" s="250">
        <f t="shared" si="297"/>
        <v>837466.63225623639</v>
      </c>
      <c r="C663" s="241">
        <f t="shared" si="298"/>
        <v>0.11975174120859508</v>
      </c>
      <c r="D663" s="242">
        <v>639077.17225623643</v>
      </c>
      <c r="E663" s="242">
        <v>197979.5</v>
      </c>
      <c r="F663" s="849">
        <v>409.96</v>
      </c>
      <c r="H663" s="250">
        <f t="shared" si="301"/>
        <v>5865.0541293065471</v>
      </c>
      <c r="I663" s="241">
        <f t="shared" si="299"/>
        <v>3.374018537360552E-2</v>
      </c>
      <c r="J663" s="242">
        <f t="shared" si="302"/>
        <v>5821.5241293065483</v>
      </c>
      <c r="K663" s="849">
        <f t="shared" si="303"/>
        <v>43.529999999998836</v>
      </c>
      <c r="L663" s="242">
        <f t="shared" si="300"/>
        <v>0</v>
      </c>
    </row>
    <row r="664" spans="1:12" ht="15.5">
      <c r="A664" s="180" t="s">
        <v>148</v>
      </c>
      <c r="B664" s="250">
        <f t="shared" si="297"/>
        <v>288796.58</v>
      </c>
      <c r="C664" s="241">
        <f t="shared" si="298"/>
        <v>4.1295846279766561E-2</v>
      </c>
      <c r="D664" s="242">
        <v>0</v>
      </c>
      <c r="E664" s="242">
        <v>101528.32000000001</v>
      </c>
      <c r="F664" s="849">
        <v>187268.26</v>
      </c>
      <c r="H664" s="250">
        <f t="shared" si="301"/>
        <v>4097.5900000000256</v>
      </c>
      <c r="I664" s="241">
        <f t="shared" si="299"/>
        <v>2.3572407540828521E-2</v>
      </c>
      <c r="J664" s="242">
        <f t="shared" si="302"/>
        <v>0</v>
      </c>
      <c r="K664" s="849">
        <f t="shared" si="303"/>
        <v>3179.9100000000035</v>
      </c>
      <c r="L664" s="242">
        <f t="shared" si="300"/>
        <v>917.68000000002212</v>
      </c>
    </row>
    <row r="665" spans="1:12" ht="15.5">
      <c r="A665" s="180" t="s">
        <v>11</v>
      </c>
      <c r="B665" s="250">
        <f t="shared" si="297"/>
        <v>1657087.73</v>
      </c>
      <c r="C665" s="241">
        <f t="shared" si="298"/>
        <v>0.23695169856293766</v>
      </c>
      <c r="D665" s="242">
        <v>0</v>
      </c>
      <c r="E665" s="242">
        <v>1012200.52</v>
      </c>
      <c r="F665" s="849">
        <v>644887.21</v>
      </c>
      <c r="H665" s="250">
        <f t="shared" si="301"/>
        <v>61974.760000000009</v>
      </c>
      <c r="I665" s="241">
        <f t="shared" si="299"/>
        <v>0.35652525019951459</v>
      </c>
      <c r="J665" s="242">
        <f t="shared" si="302"/>
        <v>0</v>
      </c>
      <c r="K665" s="849">
        <f t="shared" si="303"/>
        <v>42826.75</v>
      </c>
      <c r="L665" s="242">
        <f t="shared" si="300"/>
        <v>19148.010000000009</v>
      </c>
    </row>
    <row r="666" spans="1:12" ht="15.5">
      <c r="A666" s="180" t="s">
        <v>12</v>
      </c>
      <c r="B666" s="250">
        <f t="shared" si="297"/>
        <v>134338</v>
      </c>
      <c r="C666" s="241">
        <f t="shared" si="298"/>
        <v>1.9209373592759579E-2</v>
      </c>
      <c r="D666" s="242">
        <v>134338</v>
      </c>
      <c r="E666" s="242">
        <v>0</v>
      </c>
      <c r="F666" s="849">
        <v>0</v>
      </c>
      <c r="H666" s="250">
        <f t="shared" si="301"/>
        <v>0</v>
      </c>
      <c r="I666" s="241">
        <f t="shared" si="299"/>
        <v>0</v>
      </c>
      <c r="J666" s="242">
        <f t="shared" si="302"/>
        <v>0</v>
      </c>
      <c r="K666" s="849">
        <f t="shared" si="303"/>
        <v>0</v>
      </c>
      <c r="L666" s="242">
        <f t="shared" si="300"/>
        <v>0</v>
      </c>
    </row>
    <row r="667" spans="1:12" ht="15.5">
      <c r="A667" s="180" t="s">
        <v>13</v>
      </c>
      <c r="B667" s="250">
        <f t="shared" si="297"/>
        <v>2735717.9371089889</v>
      </c>
      <c r="C667" s="241">
        <f t="shared" si="298"/>
        <v>0.39118810685241795</v>
      </c>
      <c r="D667" s="242">
        <v>2735717.9371089889</v>
      </c>
      <c r="E667" s="242">
        <v>0</v>
      </c>
      <c r="F667" s="849">
        <v>0</v>
      </c>
      <c r="H667" s="250">
        <f t="shared" si="301"/>
        <v>0</v>
      </c>
      <c r="I667" s="241">
        <f t="shared" si="299"/>
        <v>0</v>
      </c>
      <c r="J667" s="242">
        <f t="shared" si="302"/>
        <v>0</v>
      </c>
      <c r="K667" s="849">
        <f t="shared" si="303"/>
        <v>0</v>
      </c>
      <c r="L667" s="242">
        <f t="shared" si="300"/>
        <v>0</v>
      </c>
    </row>
    <row r="668" spans="1:12" ht="15.5">
      <c r="A668" s="180"/>
      <c r="B668" s="242">
        <v>0</v>
      </c>
      <c r="C668" s="241">
        <v>0</v>
      </c>
      <c r="D668" s="237"/>
      <c r="E668" s="242"/>
      <c r="F668" s="295"/>
      <c r="H668" s="250"/>
      <c r="I668" s="241">
        <f>+H668/$H$537</f>
        <v>0</v>
      </c>
      <c r="J668" s="242"/>
      <c r="K668" s="242"/>
      <c r="L668" s="242"/>
    </row>
    <row r="669" spans="1:12" ht="15.5">
      <c r="A669" s="180"/>
      <c r="B669" s="243">
        <f>SUM(B661:B668)</f>
        <v>6993356.6209902251</v>
      </c>
      <c r="C669" s="240">
        <f>SUM(C661:C668)</f>
        <v>1</v>
      </c>
      <c r="D669" s="243">
        <f>SUM(D661:D668)</f>
        <v>3757407.3709902251</v>
      </c>
      <c r="E669" s="243">
        <f>SUM(E661:E668)</f>
        <v>2403383.8200000003</v>
      </c>
      <c r="F669" s="243">
        <f>SUM(F661:F668)</f>
        <v>832565.42999999993</v>
      </c>
      <c r="G669" s="32">
        <f>+B669-B658</f>
        <v>173829.93200430647</v>
      </c>
      <c r="H669" s="243">
        <f>SUM(H661:H668)</f>
        <v>173829.93200430658</v>
      </c>
      <c r="I669" s="240">
        <f>SUM(I661:I668)</f>
        <v>1</v>
      </c>
      <c r="J669" s="243">
        <f>SUM(J661:J668)</f>
        <v>12053.722004306575</v>
      </c>
      <c r="K669" s="243">
        <f>SUM(K661:K668)</f>
        <v>141710.51999999996</v>
      </c>
      <c r="L669" s="243">
        <f>SUM(L661:L668)</f>
        <v>20065.690000000031</v>
      </c>
    </row>
    <row r="670" spans="1:12" ht="14.5" thickBot="1">
      <c r="H670" s="254">
        <f>+A671</f>
        <v>41726</v>
      </c>
      <c r="I670" s="254"/>
      <c r="J670" s="254">
        <f>+A660</f>
        <v>41698</v>
      </c>
    </row>
    <row r="671" spans="1:12" ht="16" thickBot="1">
      <c r="A671" s="253">
        <v>41726</v>
      </c>
      <c r="B671" s="251">
        <v>8</v>
      </c>
      <c r="C671" s="238" t="s">
        <v>3</v>
      </c>
      <c r="D671" s="238" t="s">
        <v>4</v>
      </c>
      <c r="E671" s="238" t="s">
        <v>5</v>
      </c>
      <c r="F671" s="238" t="s">
        <v>114</v>
      </c>
      <c r="H671" s="251">
        <f>+B671-B660</f>
        <v>0</v>
      </c>
      <c r="I671" s="238" t="s">
        <v>3</v>
      </c>
      <c r="J671" s="238" t="s">
        <v>4</v>
      </c>
      <c r="K671" s="238" t="s">
        <v>5</v>
      </c>
      <c r="L671" s="238" t="s">
        <v>114</v>
      </c>
    </row>
    <row r="672" spans="1:12" ht="15.5">
      <c r="A672" s="180" t="s">
        <v>7</v>
      </c>
      <c r="B672" s="250">
        <f t="shared" ref="B672:B678" si="304">SUM(D672:F672)</f>
        <v>1231713.1712499999</v>
      </c>
      <c r="C672" s="241">
        <f t="shared" ref="C672:C678" si="305">+B672/$B$680</f>
        <v>0.17592932055913768</v>
      </c>
      <c r="D672" s="242">
        <v>123339.19125</v>
      </c>
      <c r="E672" s="242">
        <v>1108373.98</v>
      </c>
      <c r="F672" s="849">
        <v>0</v>
      </c>
      <c r="H672" s="250">
        <f>SUM(J672:L672)</f>
        <v>-18003.014124999987</v>
      </c>
      <c r="I672" s="241">
        <f t="shared" ref="I672:I678" si="306">+H672/$H$680</f>
        <v>-2.300628544656961</v>
      </c>
      <c r="J672" s="242">
        <f>+D672-D661</f>
        <v>-34701.514124999987</v>
      </c>
      <c r="K672" s="849">
        <f>+E672-E661</f>
        <v>16698.5</v>
      </c>
      <c r="L672" s="242">
        <f t="shared" ref="L672:L678" si="307">+F672-F661</f>
        <v>0</v>
      </c>
    </row>
    <row r="673" spans="1:12" ht="15.5">
      <c r="A673" s="180" t="s">
        <v>8</v>
      </c>
      <c r="B673" s="250">
        <f t="shared" si="304"/>
        <v>98665.847500000003</v>
      </c>
      <c r="C673" s="241">
        <f t="shared" si="305"/>
        <v>1.4092741653034828E-2</v>
      </c>
      <c r="D673" s="242">
        <v>98665.847500000003</v>
      </c>
      <c r="E673" s="242"/>
      <c r="F673" s="849">
        <v>0</v>
      </c>
      <c r="H673" s="250">
        <f t="shared" ref="H673:H678" si="308">SUM(J673:L673)</f>
        <v>8432.2912499999948</v>
      </c>
      <c r="I673" s="241">
        <f t="shared" si="306"/>
        <v>1.0775734447528866</v>
      </c>
      <c r="J673" s="242">
        <f t="shared" ref="J673:J678" si="309">+D673-D662</f>
        <v>8432.2912499999948</v>
      </c>
      <c r="K673" s="849">
        <f t="shared" ref="K673:K678" si="310">+E673-E662</f>
        <v>0</v>
      </c>
      <c r="L673" s="242">
        <f t="shared" si="307"/>
        <v>0</v>
      </c>
    </row>
    <row r="674" spans="1:12" ht="15.5">
      <c r="A674" s="180" t="s">
        <v>9</v>
      </c>
      <c r="B674" s="250">
        <f t="shared" si="304"/>
        <v>847094.75408788573</v>
      </c>
      <c r="C674" s="241">
        <f t="shared" si="305"/>
        <v>0.12099310782286284</v>
      </c>
      <c r="D674" s="242">
        <v>646187.57408788579</v>
      </c>
      <c r="E674" s="242">
        <v>200497.22</v>
      </c>
      <c r="F674" s="849">
        <v>409.96</v>
      </c>
      <c r="H674" s="250">
        <f t="shared" si="308"/>
        <v>9628.1218316493614</v>
      </c>
      <c r="I674" s="241">
        <f t="shared" si="306"/>
        <v>1.2303901870835976</v>
      </c>
      <c r="J674" s="242">
        <f t="shared" si="309"/>
        <v>7110.4018316493602</v>
      </c>
      <c r="K674" s="849">
        <f t="shared" si="310"/>
        <v>2517.7200000000012</v>
      </c>
      <c r="L674" s="242">
        <f t="shared" si="307"/>
        <v>0</v>
      </c>
    </row>
    <row r="675" spans="1:12" ht="15.5">
      <c r="A675" s="180" t="s">
        <v>148</v>
      </c>
      <c r="B675" s="250">
        <f t="shared" si="304"/>
        <v>288745.09999999998</v>
      </c>
      <c r="C675" s="241">
        <f t="shared" si="305"/>
        <v>4.1242336644193994E-2</v>
      </c>
      <c r="D675" s="242">
        <v>0</v>
      </c>
      <c r="E675" s="242">
        <v>101548.56</v>
      </c>
      <c r="F675" s="849">
        <v>187196.54</v>
      </c>
      <c r="H675" s="250">
        <f t="shared" si="308"/>
        <v>-51.480000000010477</v>
      </c>
      <c r="I675" s="241">
        <f t="shared" si="306"/>
        <v>-6.5786960259336313E-3</v>
      </c>
      <c r="J675" s="242">
        <f t="shared" si="309"/>
        <v>0</v>
      </c>
      <c r="K675" s="849">
        <f t="shared" si="310"/>
        <v>20.239999999990687</v>
      </c>
      <c r="L675" s="242">
        <f t="shared" si="307"/>
        <v>-71.720000000001164</v>
      </c>
    </row>
    <row r="676" spans="1:12" ht="15.5">
      <c r="A676" s="180" t="s">
        <v>11</v>
      </c>
      <c r="B676" s="250">
        <f t="shared" si="304"/>
        <v>1664907.0699999998</v>
      </c>
      <c r="C676" s="241">
        <f t="shared" si="305"/>
        <v>0.23780371636519079</v>
      </c>
      <c r="D676" s="242">
        <v>0</v>
      </c>
      <c r="E676" s="242">
        <v>1019185.1399999999</v>
      </c>
      <c r="F676" s="849">
        <v>645721.93000000005</v>
      </c>
      <c r="H676" s="250">
        <f t="shared" si="308"/>
        <v>7819.3399999999674</v>
      </c>
      <c r="I676" s="241">
        <f t="shared" si="306"/>
        <v>0.99924360884641017</v>
      </c>
      <c r="J676" s="242">
        <f t="shared" si="309"/>
        <v>0</v>
      </c>
      <c r="K676" s="849">
        <f t="shared" si="310"/>
        <v>6984.6199999998789</v>
      </c>
      <c r="L676" s="242">
        <f t="shared" si="307"/>
        <v>834.72000000008848</v>
      </c>
    </row>
    <row r="677" spans="1:12" ht="15.5">
      <c r="A677" s="180" t="s">
        <v>12</v>
      </c>
      <c r="B677" s="250">
        <f t="shared" si="304"/>
        <v>134338</v>
      </c>
      <c r="C677" s="241">
        <f t="shared" si="305"/>
        <v>1.918790317171697E-2</v>
      </c>
      <c r="D677" s="242">
        <v>134338</v>
      </c>
      <c r="E677" s="242">
        <v>0</v>
      </c>
      <c r="F677" s="849">
        <v>0</v>
      </c>
      <c r="H677" s="250">
        <f t="shared" si="308"/>
        <v>0</v>
      </c>
      <c r="I677" s="241">
        <f t="shared" si="306"/>
        <v>0</v>
      </c>
      <c r="J677" s="242">
        <f t="shared" si="309"/>
        <v>0</v>
      </c>
      <c r="K677" s="849">
        <f t="shared" si="310"/>
        <v>0</v>
      </c>
      <c r="L677" s="242">
        <f t="shared" si="307"/>
        <v>0</v>
      </c>
    </row>
    <row r="678" spans="1:12" ht="15.5">
      <c r="A678" s="180" t="s">
        <v>13</v>
      </c>
      <c r="B678" s="250">
        <f t="shared" si="304"/>
        <v>2735717.9371089889</v>
      </c>
      <c r="C678" s="241">
        <f t="shared" si="305"/>
        <v>0.39075087378386286</v>
      </c>
      <c r="D678" s="242">
        <v>2735717.9371089889</v>
      </c>
      <c r="E678" s="242">
        <v>0</v>
      </c>
      <c r="F678" s="849">
        <v>0</v>
      </c>
      <c r="H678" s="250">
        <f t="shared" si="308"/>
        <v>0</v>
      </c>
      <c r="I678" s="241">
        <f t="shared" si="306"/>
        <v>0</v>
      </c>
      <c r="J678" s="242">
        <f t="shared" si="309"/>
        <v>0</v>
      </c>
      <c r="K678" s="849">
        <f t="shared" si="310"/>
        <v>0</v>
      </c>
      <c r="L678" s="242">
        <f t="shared" si="307"/>
        <v>0</v>
      </c>
    </row>
    <row r="679" spans="1:12" ht="15.5">
      <c r="A679" s="180"/>
      <c r="B679" s="242">
        <v>0</v>
      </c>
      <c r="C679" s="241">
        <v>0</v>
      </c>
      <c r="D679" s="237"/>
      <c r="E679" s="242"/>
      <c r="F679" s="295"/>
      <c r="H679" s="250"/>
      <c r="I679" s="241">
        <f>+H679/$H$537</f>
        <v>0</v>
      </c>
      <c r="J679" s="242"/>
      <c r="K679" s="242"/>
      <c r="L679" s="242"/>
    </row>
    <row r="680" spans="1:12" ht="15.5">
      <c r="A680" s="180"/>
      <c r="B680" s="243">
        <f>SUM(B672:B679)</f>
        <v>7001181.8799468745</v>
      </c>
      <c r="C680" s="240">
        <f>SUM(C672:C679)</f>
        <v>1</v>
      </c>
      <c r="D680" s="243">
        <f>SUM(D672:D679)</f>
        <v>3738248.5499468744</v>
      </c>
      <c r="E680" s="243">
        <f>SUM(E672:E679)</f>
        <v>2429604.9</v>
      </c>
      <c r="F680" s="243">
        <f>SUM(F672:F679)</f>
        <v>833328.43</v>
      </c>
      <c r="G680" s="32">
        <f>+B680-B669</f>
        <v>7825.2589566493407</v>
      </c>
      <c r="H680" s="243">
        <f>SUM(H672:H679)</f>
        <v>7825.2589566493261</v>
      </c>
      <c r="I680" s="240">
        <f>SUM(I672:I679)</f>
        <v>0.99999999999999978</v>
      </c>
      <c r="J680" s="243">
        <f>SUM(J672:J679)</f>
        <v>-19158.821043350632</v>
      </c>
      <c r="K680" s="243">
        <f>SUM(K672:K679)</f>
        <v>26221.079999999871</v>
      </c>
      <c r="L680" s="243">
        <f>SUM(L672:L679)</f>
        <v>763.00000000008731</v>
      </c>
    </row>
    <row r="681" spans="1:12" ht="14.5" thickBot="1">
      <c r="H681" s="254">
        <f>+A682</f>
        <v>41757</v>
      </c>
      <c r="I681" s="254"/>
      <c r="J681" s="254">
        <f>+A671</f>
        <v>41726</v>
      </c>
    </row>
    <row r="682" spans="1:12" ht="16" thickBot="1">
      <c r="A682" s="253">
        <v>41757</v>
      </c>
      <c r="B682" s="251">
        <v>8.02</v>
      </c>
      <c r="C682" s="238" t="s">
        <v>3</v>
      </c>
      <c r="D682" s="238" t="s">
        <v>4</v>
      </c>
      <c r="E682" s="238" t="s">
        <v>5</v>
      </c>
      <c r="F682" s="238" t="s">
        <v>114</v>
      </c>
      <c r="H682" s="251">
        <f>+B682-B671</f>
        <v>1.9999999999999574E-2</v>
      </c>
      <c r="I682" s="238" t="s">
        <v>3</v>
      </c>
      <c r="J682" s="238" t="s">
        <v>4</v>
      </c>
      <c r="K682" s="238" t="s">
        <v>5</v>
      </c>
      <c r="L682" s="238" t="s">
        <v>114</v>
      </c>
    </row>
    <row r="683" spans="1:12" ht="15.5">
      <c r="A683" s="180" t="s">
        <v>7</v>
      </c>
      <c r="B683" s="250">
        <f t="shared" ref="B683:B690" si="311">SUM(D683:F683)</f>
        <v>1248838.8990773067</v>
      </c>
      <c r="C683" s="241">
        <f t="shared" ref="C683:C689" si="312">+B683/$B$691</f>
        <v>0.17624705085124456</v>
      </c>
      <c r="D683" s="242">
        <v>126352.61907730674</v>
      </c>
      <c r="E683" s="242">
        <v>1122486.28</v>
      </c>
      <c r="F683" s="849">
        <v>0</v>
      </c>
      <c r="H683" s="250">
        <f>SUM(J683:L683)</f>
        <v>17125.727827306779</v>
      </c>
      <c r="I683" s="241">
        <f t="shared" ref="I683:I689" si="313">+H683/$H$691</f>
        <v>0.20255757036799854</v>
      </c>
      <c r="J683" s="242">
        <f>+D683-D672</f>
        <v>3013.4278273067321</v>
      </c>
      <c r="K683" s="849">
        <f>+E683-E672</f>
        <v>14112.300000000047</v>
      </c>
      <c r="L683" s="242">
        <f t="shared" ref="L683:L689" si="314">+F683-F672</f>
        <v>0</v>
      </c>
    </row>
    <row r="684" spans="1:12" ht="15.5">
      <c r="A684" s="180" t="s">
        <v>8</v>
      </c>
      <c r="B684" s="242">
        <f t="shared" si="311"/>
        <v>109278.13715710722</v>
      </c>
      <c r="C684" s="241">
        <f t="shared" si="312"/>
        <v>1.5422284980623195E-2</v>
      </c>
      <c r="D684" s="242">
        <v>109278.13715710722</v>
      </c>
      <c r="E684" s="242"/>
      <c r="F684" s="849">
        <v>0</v>
      </c>
      <c r="H684" s="250">
        <f t="shared" ref="H684:H689" si="315">SUM(J684:L684)</f>
        <v>10612.28965710722</v>
      </c>
      <c r="I684" s="241">
        <f t="shared" si="313"/>
        <v>0.12551873010369619</v>
      </c>
      <c r="J684" s="242">
        <f t="shared" ref="J684:J689" si="316">+D684-D673</f>
        <v>10612.28965710722</v>
      </c>
      <c r="K684" s="849">
        <f t="shared" ref="K684:K689" si="317">+E684-E673</f>
        <v>0</v>
      </c>
      <c r="L684" s="242">
        <f t="shared" si="314"/>
        <v>0</v>
      </c>
    </row>
    <row r="685" spans="1:12" ht="15.5">
      <c r="A685" s="180" t="s">
        <v>9</v>
      </c>
      <c r="B685" s="242">
        <f t="shared" si="311"/>
        <v>895808.02303339692</v>
      </c>
      <c r="C685" s="241">
        <f t="shared" si="312"/>
        <v>0.12642425080222178</v>
      </c>
      <c r="D685" s="242">
        <v>660684.17303339695</v>
      </c>
      <c r="E685" s="242">
        <v>234602.52000000002</v>
      </c>
      <c r="F685" s="849">
        <v>521.32999999999993</v>
      </c>
      <c r="H685" s="250">
        <f t="shared" si="315"/>
        <v>48713.268945511176</v>
      </c>
      <c r="I685" s="241">
        <f t="shared" si="313"/>
        <v>0.5761647914637773</v>
      </c>
      <c r="J685" s="242">
        <f t="shared" si="316"/>
        <v>14496.598945511156</v>
      </c>
      <c r="K685" s="849">
        <f t="shared" si="317"/>
        <v>34105.300000000017</v>
      </c>
      <c r="L685" s="242">
        <f t="shared" si="314"/>
        <v>111.36999999999995</v>
      </c>
    </row>
    <row r="686" spans="1:12" ht="15.5">
      <c r="A686" s="180" t="s">
        <v>148</v>
      </c>
      <c r="B686" s="242">
        <f t="shared" si="311"/>
        <v>288485.64</v>
      </c>
      <c r="C686" s="241">
        <f t="shared" si="312"/>
        <v>4.0713612700965685E-2</v>
      </c>
      <c r="D686" s="242">
        <v>0</v>
      </c>
      <c r="E686" s="242">
        <v>101446.17</v>
      </c>
      <c r="F686" s="849">
        <v>187039.47000000003</v>
      </c>
      <c r="H686" s="250">
        <f t="shared" si="315"/>
        <v>-259.4599999999773</v>
      </c>
      <c r="I686" s="241">
        <f t="shared" si="313"/>
        <v>-3.0688089719537069E-3</v>
      </c>
      <c r="J686" s="242">
        <f t="shared" si="316"/>
        <v>0</v>
      </c>
      <c r="K686" s="849">
        <f t="shared" si="317"/>
        <v>-102.38999999999942</v>
      </c>
      <c r="L686" s="242">
        <f t="shared" si="314"/>
        <v>-157.06999999997788</v>
      </c>
    </row>
    <row r="687" spans="1:12" ht="15.5">
      <c r="A687" s="180" t="s">
        <v>11</v>
      </c>
      <c r="B687" s="242">
        <f t="shared" si="311"/>
        <v>1673307.94</v>
      </c>
      <c r="C687" s="241">
        <f t="shared" si="312"/>
        <v>0.23615182855760417</v>
      </c>
      <c r="D687" s="242">
        <v>0</v>
      </c>
      <c r="E687" s="242">
        <v>1027247.83</v>
      </c>
      <c r="F687" s="849">
        <v>646060.11</v>
      </c>
      <c r="H687" s="250">
        <f t="shared" si="315"/>
        <v>8400.8699999999953</v>
      </c>
      <c r="I687" s="241">
        <f t="shared" si="313"/>
        <v>9.9362773561315718E-2</v>
      </c>
      <c r="J687" s="242">
        <f t="shared" si="316"/>
        <v>0</v>
      </c>
      <c r="K687" s="849">
        <f t="shared" si="317"/>
        <v>8062.6900000000605</v>
      </c>
      <c r="L687" s="242">
        <f t="shared" si="314"/>
        <v>338.17999999993481</v>
      </c>
    </row>
    <row r="688" spans="1:12" ht="15.5">
      <c r="A688" s="180" t="s">
        <v>12</v>
      </c>
      <c r="B688" s="242">
        <f t="shared" si="311"/>
        <v>134338</v>
      </c>
      <c r="C688" s="241">
        <f t="shared" si="312"/>
        <v>1.895895165881507E-2</v>
      </c>
      <c r="D688" s="242">
        <v>134338</v>
      </c>
      <c r="E688" s="242">
        <v>0</v>
      </c>
      <c r="F688" s="849">
        <v>0</v>
      </c>
      <c r="H688" s="250">
        <f t="shared" si="315"/>
        <v>0</v>
      </c>
      <c r="I688" s="241">
        <f t="shared" si="313"/>
        <v>0</v>
      </c>
      <c r="J688" s="242">
        <f t="shared" si="316"/>
        <v>0</v>
      </c>
      <c r="K688" s="849">
        <f t="shared" si="317"/>
        <v>0</v>
      </c>
      <c r="L688" s="242">
        <f t="shared" si="314"/>
        <v>0</v>
      </c>
    </row>
    <row r="689" spans="1:12" ht="15.5">
      <c r="A689" s="180" t="s">
        <v>13</v>
      </c>
      <c r="B689" s="242">
        <f t="shared" si="311"/>
        <v>2735672.6994395209</v>
      </c>
      <c r="C689" s="241">
        <f t="shared" si="312"/>
        <v>0.38608202044852541</v>
      </c>
      <c r="D689" s="242">
        <v>2735672.6994395209</v>
      </c>
      <c r="E689" s="242">
        <v>0</v>
      </c>
      <c r="F689" s="849">
        <v>0</v>
      </c>
      <c r="H689" s="250">
        <f t="shared" si="315"/>
        <v>-45.237669467926025</v>
      </c>
      <c r="I689" s="241">
        <f t="shared" si="313"/>
        <v>-5.3505652483411628E-4</v>
      </c>
      <c r="J689" s="242">
        <f t="shared" si="316"/>
        <v>-45.237669467926025</v>
      </c>
      <c r="K689" s="849">
        <f t="shared" si="317"/>
        <v>0</v>
      </c>
      <c r="L689" s="242">
        <f t="shared" si="314"/>
        <v>0</v>
      </c>
    </row>
    <row r="690" spans="1:12" ht="15.5">
      <c r="A690" s="180"/>
      <c r="B690" s="242">
        <f t="shared" si="311"/>
        <v>0</v>
      </c>
      <c r="C690" s="241">
        <f>+B690/$B$12</f>
        <v>0</v>
      </c>
      <c r="D690" s="237"/>
      <c r="E690" s="242"/>
      <c r="F690" s="295"/>
      <c r="H690" s="250"/>
      <c r="I690" s="241">
        <f>+H690/$H$537</f>
        <v>0</v>
      </c>
      <c r="J690" s="242"/>
      <c r="K690" s="242"/>
      <c r="L690" s="242"/>
    </row>
    <row r="691" spans="1:12" ht="15.5">
      <c r="A691" s="180"/>
      <c r="B691" s="243">
        <f>SUM(B683:B690)</f>
        <v>7085729.3387073325</v>
      </c>
      <c r="C691" s="240">
        <f>SUM(C683:C690)</f>
        <v>1</v>
      </c>
      <c r="D691" s="243">
        <f>SUM(D683:D690)</f>
        <v>3766325.6287073316</v>
      </c>
      <c r="E691" s="243">
        <f>SUM(E683:E690)</f>
        <v>2485782.7999999998</v>
      </c>
      <c r="F691" s="243">
        <f>SUM(F683:F690)</f>
        <v>833620.91</v>
      </c>
      <c r="G691" s="32">
        <f>+B691-B680</f>
        <v>84547.458760458045</v>
      </c>
      <c r="H691" s="243">
        <f>SUM(H683:H690)</f>
        <v>84547.458760457273</v>
      </c>
      <c r="I691" s="240">
        <f>SUM(I683:I690)</f>
        <v>0.99999999999999978</v>
      </c>
      <c r="J691" s="243">
        <f>SUM(J683:J690)</f>
        <v>28077.078760457181</v>
      </c>
      <c r="K691" s="243">
        <f>SUM(K683:K690)</f>
        <v>56177.900000000125</v>
      </c>
      <c r="L691" s="243">
        <f>SUM(L683:L690)</f>
        <v>292.47999999995687</v>
      </c>
    </row>
    <row r="692" spans="1:12" ht="14.5" thickBot="1">
      <c r="H692" s="254">
        <f>+A693</f>
        <v>41787</v>
      </c>
      <c r="I692" s="254"/>
      <c r="J692" s="254">
        <f>+A682</f>
        <v>41757</v>
      </c>
    </row>
    <row r="693" spans="1:12" ht="16" thickBot="1">
      <c r="A693" s="253">
        <v>41787</v>
      </c>
      <c r="B693" s="251">
        <v>8.14</v>
      </c>
      <c r="C693" s="238" t="s">
        <v>3</v>
      </c>
      <c r="D693" s="238" t="s">
        <v>4</v>
      </c>
      <c r="E693" s="238" t="s">
        <v>5</v>
      </c>
      <c r="F693" s="238" t="s">
        <v>114</v>
      </c>
      <c r="H693" s="251">
        <f>+B693-B682</f>
        <v>0.12000000000000099</v>
      </c>
      <c r="I693" s="238" t="s">
        <v>3</v>
      </c>
      <c r="J693" s="238" t="s">
        <v>4</v>
      </c>
      <c r="K693" s="238" t="s">
        <v>5</v>
      </c>
      <c r="L693" s="238" t="s">
        <v>114</v>
      </c>
    </row>
    <row r="694" spans="1:12" ht="15.5">
      <c r="A694" s="180" t="s">
        <v>7</v>
      </c>
      <c r="B694" s="250">
        <f t="shared" ref="B694:B701" si="318">SUM(D694:F694)</f>
        <v>1405620.2323341526</v>
      </c>
      <c r="C694" s="241">
        <f t="shared" ref="C694:C700" si="319">+B694/$B$702</f>
        <v>0.19572969678655464</v>
      </c>
      <c r="D694" s="242">
        <v>145019.02233415231</v>
      </c>
      <c r="E694" s="242">
        <v>1260601.2100000002</v>
      </c>
      <c r="F694" s="849">
        <v>0</v>
      </c>
      <c r="H694" s="250">
        <f>SUM(J694:L694)</f>
        <v>156781.33325684574</v>
      </c>
      <c r="I694" s="241">
        <f t="shared" ref="I694:I700" si="320">+H694/$H$702</f>
        <v>1.6381495314139249</v>
      </c>
      <c r="J694" s="242">
        <f>+D694-D683</f>
        <v>18666.403256845573</v>
      </c>
      <c r="K694" s="849">
        <f>+E694-E683</f>
        <v>138114.93000000017</v>
      </c>
      <c r="L694" s="242">
        <f t="shared" ref="L694:L700" si="321">+F694-F683</f>
        <v>0</v>
      </c>
    </row>
    <row r="695" spans="1:12" ht="15.5">
      <c r="A695" s="180" t="s">
        <v>8</v>
      </c>
      <c r="B695" s="242">
        <f t="shared" si="318"/>
        <v>124242.60442260442</v>
      </c>
      <c r="C695" s="241">
        <f t="shared" si="319"/>
        <v>1.7300524517369922E-2</v>
      </c>
      <c r="D695" s="242">
        <v>124242.60442260442</v>
      </c>
      <c r="E695" s="242"/>
      <c r="F695" s="849">
        <v>0</v>
      </c>
      <c r="H695" s="250">
        <f t="shared" ref="H695:H700" si="322">SUM(J695:L695)</f>
        <v>14964.467265497195</v>
      </c>
      <c r="I695" s="241">
        <f t="shared" si="320"/>
        <v>0.15635812331480389</v>
      </c>
      <c r="J695" s="242">
        <f t="shared" ref="J695:J700" si="323">+D695-D684</f>
        <v>14964.467265497195</v>
      </c>
      <c r="K695" s="849">
        <f t="shared" ref="K695:K700" si="324">+E695-E684</f>
        <v>0</v>
      </c>
      <c r="L695" s="242">
        <f t="shared" si="321"/>
        <v>0</v>
      </c>
    </row>
    <row r="696" spans="1:12" ht="15.5">
      <c r="A696" s="180" t="s">
        <v>9</v>
      </c>
      <c r="B696" s="242">
        <f t="shared" si="318"/>
        <v>820733.99955648545</v>
      </c>
      <c r="C696" s="241">
        <f t="shared" si="319"/>
        <v>0.11428550413567067</v>
      </c>
      <c r="D696" s="242">
        <v>675100.84955648542</v>
      </c>
      <c r="E696" s="242">
        <v>120129.48</v>
      </c>
      <c r="F696" s="849">
        <v>25503.67</v>
      </c>
      <c r="H696" s="250">
        <f t="shared" si="322"/>
        <v>-75074.023476911549</v>
      </c>
      <c r="I696" s="241">
        <f t="shared" si="320"/>
        <v>-0.78442040149375192</v>
      </c>
      <c r="J696" s="242">
        <f t="shared" si="323"/>
        <v>14416.676523088478</v>
      </c>
      <c r="K696" s="849">
        <f t="shared" si="324"/>
        <v>-114473.04000000002</v>
      </c>
      <c r="L696" s="242">
        <f t="shared" si="321"/>
        <v>24982.339999999997</v>
      </c>
    </row>
    <row r="697" spans="1:12" ht="15.5">
      <c r="A697" s="180" t="s">
        <v>162</v>
      </c>
      <c r="B697" s="242">
        <f t="shared" si="318"/>
        <v>341366.56</v>
      </c>
      <c r="C697" s="241">
        <f t="shared" si="319"/>
        <v>4.7534584196270595E-2</v>
      </c>
      <c r="D697" s="242">
        <v>0</v>
      </c>
      <c r="E697" s="242">
        <v>103320.69</v>
      </c>
      <c r="F697" s="849">
        <v>238045.87</v>
      </c>
      <c r="H697" s="250">
        <f t="shared" si="322"/>
        <v>52880.919999999969</v>
      </c>
      <c r="I697" s="241">
        <f t="shared" si="320"/>
        <v>0.55253296115821049</v>
      </c>
      <c r="J697" s="242">
        <f t="shared" si="323"/>
        <v>0</v>
      </c>
      <c r="K697" s="849">
        <f t="shared" si="324"/>
        <v>1874.5200000000041</v>
      </c>
      <c r="L697" s="242">
        <f t="shared" si="321"/>
        <v>51006.399999999965</v>
      </c>
    </row>
    <row r="698" spans="1:12" ht="15.5">
      <c r="A698" s="180" t="s">
        <v>11</v>
      </c>
      <c r="B698" s="242">
        <f t="shared" si="318"/>
        <v>1620881.3900000001</v>
      </c>
      <c r="C698" s="241">
        <f t="shared" si="319"/>
        <v>0.22570436572675168</v>
      </c>
      <c r="D698" s="242">
        <v>0</v>
      </c>
      <c r="E698" s="242">
        <v>1041382.09</v>
      </c>
      <c r="F698" s="849">
        <v>579499.30000000005</v>
      </c>
      <c r="H698" s="250">
        <f t="shared" si="322"/>
        <v>-52426.54999999993</v>
      </c>
      <c r="I698" s="241">
        <f t="shared" si="320"/>
        <v>-0.5477854189149689</v>
      </c>
      <c r="J698" s="242">
        <f t="shared" si="323"/>
        <v>0</v>
      </c>
      <c r="K698" s="849">
        <f t="shared" si="324"/>
        <v>14134.260000000009</v>
      </c>
      <c r="L698" s="242">
        <f t="shared" si="321"/>
        <v>-66560.809999999939</v>
      </c>
    </row>
    <row r="699" spans="1:12" ht="15.5">
      <c r="A699" s="180" t="s">
        <v>12</v>
      </c>
      <c r="B699" s="242">
        <f t="shared" si="318"/>
        <v>134338</v>
      </c>
      <c r="C699" s="241">
        <f t="shared" si="319"/>
        <v>1.8706287375537308E-2</v>
      </c>
      <c r="D699" s="242">
        <v>134338</v>
      </c>
      <c r="E699" s="242">
        <v>0</v>
      </c>
      <c r="F699" s="849">
        <v>0</v>
      </c>
      <c r="H699" s="250">
        <f t="shared" si="322"/>
        <v>0</v>
      </c>
      <c r="I699" s="241">
        <f t="shared" si="320"/>
        <v>0</v>
      </c>
      <c r="J699" s="242">
        <f t="shared" si="323"/>
        <v>0</v>
      </c>
      <c r="K699" s="849">
        <f t="shared" si="324"/>
        <v>0</v>
      </c>
      <c r="L699" s="242">
        <f t="shared" si="321"/>
        <v>0</v>
      </c>
    </row>
    <row r="700" spans="1:12" ht="15.5">
      <c r="A700" s="180" t="s">
        <v>13</v>
      </c>
      <c r="B700" s="242">
        <f t="shared" si="318"/>
        <v>2734252.9151224811</v>
      </c>
      <c r="C700" s="241">
        <f t="shared" si="319"/>
        <v>0.3807390372618451</v>
      </c>
      <c r="D700" s="242">
        <v>2734252.9151224811</v>
      </c>
      <c r="E700" s="242">
        <v>0</v>
      </c>
      <c r="F700" s="849">
        <v>0</v>
      </c>
      <c r="H700" s="250">
        <f t="shared" si="322"/>
        <v>-1419.7843170398846</v>
      </c>
      <c r="I700" s="241">
        <f t="shared" si="320"/>
        <v>-1.4834795478218523E-2</v>
      </c>
      <c r="J700" s="242">
        <f t="shared" si="323"/>
        <v>-1419.7843170398846</v>
      </c>
      <c r="K700" s="849">
        <f t="shared" si="324"/>
        <v>0</v>
      </c>
      <c r="L700" s="242">
        <f t="shared" si="321"/>
        <v>0</v>
      </c>
    </row>
    <row r="701" spans="1:12" ht="15.5">
      <c r="A701" s="180"/>
      <c r="B701" s="242">
        <f t="shared" si="318"/>
        <v>0</v>
      </c>
      <c r="C701" s="241">
        <f>+B701/$B$12</f>
        <v>0</v>
      </c>
      <c r="D701" s="237"/>
      <c r="E701" s="242"/>
      <c r="F701" s="295"/>
      <c r="H701" s="250"/>
      <c r="I701" s="241">
        <f>+H701/$H$537</f>
        <v>0</v>
      </c>
      <c r="J701" s="242"/>
      <c r="K701" s="242"/>
      <c r="L701" s="242"/>
    </row>
    <row r="702" spans="1:12" ht="15.5">
      <c r="A702" s="180"/>
      <c r="B702" s="243">
        <f>SUM(B694:B701)</f>
        <v>7181435.7014357243</v>
      </c>
      <c r="C702" s="240">
        <f>SUM(C694:C701)</f>
        <v>0.99999999999999989</v>
      </c>
      <c r="D702" s="243">
        <f>SUM(D694:D701)</f>
        <v>3812953.3914357233</v>
      </c>
      <c r="E702" s="243">
        <f>SUM(E694:E701)</f>
        <v>2525433.4700000002</v>
      </c>
      <c r="F702" s="243">
        <f>SUM(F694:F701)</f>
        <v>843048.84000000008</v>
      </c>
      <c r="G702" s="32">
        <f>+B702-B691</f>
        <v>95706.362728391774</v>
      </c>
      <c r="H702" s="243">
        <f>SUM(H694:H701)</f>
        <v>95706.362728391541</v>
      </c>
      <c r="I702" s="240">
        <f>SUM(I694:I701)</f>
        <v>1.0000000000000002</v>
      </c>
      <c r="J702" s="243">
        <f>SUM(J694:J701)</f>
        <v>46627.762728391361</v>
      </c>
      <c r="K702" s="243">
        <f>SUM(K694:K701)</f>
        <v>39650.670000000158</v>
      </c>
      <c r="L702" s="243">
        <f>SUM(L694:L701)</f>
        <v>9427.9300000000221</v>
      </c>
    </row>
    <row r="703" spans="1:12" ht="14.5" thickBot="1">
      <c r="H703" s="254">
        <f>+A704</f>
        <v>41818</v>
      </c>
      <c r="I703" s="254"/>
      <c r="J703" s="254">
        <f>+A693</f>
        <v>41787</v>
      </c>
    </row>
    <row r="704" spans="1:12" ht="16" thickBot="1">
      <c r="A704" s="253">
        <v>41818</v>
      </c>
      <c r="B704" s="251">
        <v>8.14</v>
      </c>
      <c r="C704" s="238" t="s">
        <v>3</v>
      </c>
      <c r="D704" s="238" t="s">
        <v>4</v>
      </c>
      <c r="E704" s="238" t="s">
        <v>5</v>
      </c>
      <c r="F704" s="238" t="s">
        <v>114</v>
      </c>
      <c r="H704" s="251">
        <f>+B704-B693</f>
        <v>0</v>
      </c>
      <c r="I704" s="238" t="s">
        <v>3</v>
      </c>
      <c r="J704" s="238" t="s">
        <v>4</v>
      </c>
      <c r="K704" s="238" t="s">
        <v>5</v>
      </c>
      <c r="L704" s="238" t="s">
        <v>114</v>
      </c>
    </row>
    <row r="705" spans="1:12" ht="15.5">
      <c r="A705" s="180" t="s">
        <v>7</v>
      </c>
      <c r="B705" s="250">
        <f t="shared" ref="B705:B712" si="325">SUM(D705:F705)</f>
        <v>1311852.7127886978</v>
      </c>
      <c r="C705" s="241">
        <f t="shared" ref="C705:C711" si="326">+B705/$B$713</f>
        <v>0.18093107766094882</v>
      </c>
      <c r="D705" s="242">
        <v>142921.17278869782</v>
      </c>
      <c r="E705" s="242">
        <v>1168931.54</v>
      </c>
      <c r="F705" s="849">
        <v>0</v>
      </c>
      <c r="H705" s="250">
        <f>SUM(J705:L705)</f>
        <v>-93767.519545454648</v>
      </c>
      <c r="I705" s="241">
        <f t="shared" ref="I705:I711" si="327">+H705/$H$713</f>
        <v>-1.356388961028643</v>
      </c>
      <c r="J705" s="242">
        <f>+D705-D694</f>
        <v>-2097.84954545449</v>
      </c>
      <c r="K705" s="849">
        <f>+E705-E694</f>
        <v>-91669.670000000158</v>
      </c>
      <c r="L705" s="242">
        <f t="shared" ref="L705:L711" si="328">+F705-F694</f>
        <v>0</v>
      </c>
    </row>
    <row r="706" spans="1:12" ht="15.5">
      <c r="A706" s="180" t="s">
        <v>8</v>
      </c>
      <c r="B706" s="242">
        <f t="shared" si="325"/>
        <v>125730.97174447174</v>
      </c>
      <c r="C706" s="241">
        <f t="shared" si="326"/>
        <v>1.734084931282201E-2</v>
      </c>
      <c r="D706" s="242">
        <v>125730.97174447174</v>
      </c>
      <c r="E706" s="242"/>
      <c r="F706" s="849">
        <v>0</v>
      </c>
      <c r="H706" s="250">
        <f t="shared" ref="H706:H711" si="329">SUM(J706:L706)</f>
        <v>1488.3673218673212</v>
      </c>
      <c r="I706" s="241">
        <f t="shared" si="327"/>
        <v>2.1529896654224341E-2</v>
      </c>
      <c r="J706" s="242">
        <f t="shared" ref="J706:J711" si="330">+D706-D695</f>
        <v>1488.3673218673212</v>
      </c>
      <c r="K706" s="849">
        <f t="shared" ref="K706:K711" si="331">+E706-E695</f>
        <v>0</v>
      </c>
      <c r="L706" s="242">
        <f t="shared" si="328"/>
        <v>0</v>
      </c>
    </row>
    <row r="707" spans="1:12" ht="15.5">
      <c r="A707" s="180" t="s">
        <v>9</v>
      </c>
      <c r="B707" s="242">
        <f t="shared" si="325"/>
        <v>808297.75031177339</v>
      </c>
      <c r="C707" s="241">
        <f t="shared" si="326"/>
        <v>0.1114806423077358</v>
      </c>
      <c r="D707" s="242">
        <v>681584.5103117734</v>
      </c>
      <c r="E707" s="242">
        <v>120132.48</v>
      </c>
      <c r="F707" s="849">
        <v>6580.76</v>
      </c>
      <c r="H707" s="250">
        <f t="shared" si="329"/>
        <v>-12436.249244712024</v>
      </c>
      <c r="I707" s="241">
        <f t="shared" si="327"/>
        <v>-0.17989588797804429</v>
      </c>
      <c r="J707" s="242">
        <f t="shared" si="330"/>
        <v>6483.6607552879723</v>
      </c>
      <c r="K707" s="849">
        <f t="shared" si="331"/>
        <v>3</v>
      </c>
      <c r="L707" s="242">
        <f t="shared" si="328"/>
        <v>-18922.909999999996</v>
      </c>
    </row>
    <row r="708" spans="1:12" ht="15.5">
      <c r="A708" s="180" t="s">
        <v>162</v>
      </c>
      <c r="B708" s="242">
        <f t="shared" si="325"/>
        <v>221713.28999999998</v>
      </c>
      <c r="C708" s="241">
        <f t="shared" si="326"/>
        <v>3.05787563652474E-2</v>
      </c>
      <c r="D708" s="242">
        <v>0</v>
      </c>
      <c r="E708" s="242">
        <v>0</v>
      </c>
      <c r="F708" s="849">
        <v>221713.28999999998</v>
      </c>
      <c r="H708" s="250">
        <f t="shared" si="329"/>
        <v>-119653.27000000002</v>
      </c>
      <c r="I708" s="241">
        <f t="shared" si="327"/>
        <v>-1.730837878251702</v>
      </c>
      <c r="J708" s="242">
        <f t="shared" si="330"/>
        <v>0</v>
      </c>
      <c r="K708" s="849">
        <f t="shared" si="331"/>
        <v>-103320.69</v>
      </c>
      <c r="L708" s="242">
        <f t="shared" si="328"/>
        <v>-16332.580000000016</v>
      </c>
    </row>
    <row r="709" spans="1:12" ht="15.5">
      <c r="A709" s="180" t="s">
        <v>11</v>
      </c>
      <c r="B709" s="242">
        <f t="shared" si="325"/>
        <v>1914380.3199999998</v>
      </c>
      <c r="C709" s="241">
        <f t="shared" si="326"/>
        <v>0.26403184669581314</v>
      </c>
      <c r="D709" s="242">
        <v>0</v>
      </c>
      <c r="E709" s="242">
        <v>1291332.1299999999</v>
      </c>
      <c r="F709" s="849">
        <v>623048.18999999994</v>
      </c>
      <c r="H709" s="250">
        <f t="shared" si="329"/>
        <v>293498.92999999982</v>
      </c>
      <c r="I709" s="241">
        <f t="shared" si="327"/>
        <v>4.2455928306041653</v>
      </c>
      <c r="J709" s="242">
        <f t="shared" si="330"/>
        <v>0</v>
      </c>
      <c r="K709" s="849">
        <f t="shared" si="331"/>
        <v>249950.03999999992</v>
      </c>
      <c r="L709" s="242">
        <f t="shared" si="328"/>
        <v>43548.889999999898</v>
      </c>
    </row>
    <row r="710" spans="1:12" ht="15.5">
      <c r="A710" s="180" t="s">
        <v>12</v>
      </c>
      <c r="B710" s="242">
        <f t="shared" si="325"/>
        <v>134338</v>
      </c>
      <c r="C710" s="241">
        <f t="shared" si="326"/>
        <v>1.8527932956092105E-2</v>
      </c>
      <c r="D710" s="242">
        <v>134338</v>
      </c>
      <c r="E710" s="242">
        <v>0</v>
      </c>
      <c r="F710" s="849">
        <v>0</v>
      </c>
      <c r="H710" s="250">
        <f t="shared" si="329"/>
        <v>0</v>
      </c>
      <c r="I710" s="241">
        <f t="shared" si="327"/>
        <v>0</v>
      </c>
      <c r="J710" s="242">
        <f t="shared" si="330"/>
        <v>0</v>
      </c>
      <c r="K710" s="849">
        <f t="shared" si="331"/>
        <v>0</v>
      </c>
      <c r="L710" s="242">
        <f t="shared" si="328"/>
        <v>0</v>
      </c>
    </row>
    <row r="711" spans="1:12" ht="15.5">
      <c r="A711" s="180" t="s">
        <v>13</v>
      </c>
      <c r="B711" s="242">
        <f t="shared" si="325"/>
        <v>2734252.9151224811</v>
      </c>
      <c r="C711" s="241">
        <f t="shared" si="326"/>
        <v>0.37710889470134079</v>
      </c>
      <c r="D711" s="242">
        <v>2734252.9151224811</v>
      </c>
      <c r="E711" s="242">
        <v>0</v>
      </c>
      <c r="F711" s="849">
        <v>0</v>
      </c>
      <c r="H711" s="250">
        <f t="shared" si="329"/>
        <v>0</v>
      </c>
      <c r="I711" s="241">
        <f t="shared" si="327"/>
        <v>0</v>
      </c>
      <c r="J711" s="242">
        <f t="shared" si="330"/>
        <v>0</v>
      </c>
      <c r="K711" s="849">
        <f t="shared" si="331"/>
        <v>0</v>
      </c>
      <c r="L711" s="242">
        <f t="shared" si="328"/>
        <v>0</v>
      </c>
    </row>
    <row r="712" spans="1:12" ht="15.5">
      <c r="A712" s="180"/>
      <c r="B712" s="242">
        <f t="shared" si="325"/>
        <v>0</v>
      </c>
      <c r="C712" s="241">
        <f>+B712/$B$12</f>
        <v>0</v>
      </c>
      <c r="D712" s="237"/>
      <c r="E712" s="242">
        <v>0</v>
      </c>
      <c r="F712" s="295"/>
      <c r="H712" s="250"/>
      <c r="I712" s="241">
        <f>+H712/$H$537</f>
        <v>0</v>
      </c>
      <c r="J712" s="242"/>
      <c r="K712" s="242"/>
      <c r="L712" s="242"/>
    </row>
    <row r="713" spans="1:12" ht="15.5">
      <c r="A713" s="180"/>
      <c r="B713" s="243">
        <f>SUM(B705:B712)</f>
        <v>7250565.9599674232</v>
      </c>
      <c r="C713" s="240">
        <f>SUM(C705:C712)</f>
        <v>1</v>
      </c>
      <c r="D713" s="243">
        <f>SUM(D705:D712)</f>
        <v>3818827.569967424</v>
      </c>
      <c r="E713" s="243">
        <f>SUM(E705:E712)</f>
        <v>2580396.15</v>
      </c>
      <c r="F713" s="243">
        <f>SUM(F705:F712)</f>
        <v>851342.24</v>
      </c>
      <c r="G713" s="32">
        <f>+B713-B702</f>
        <v>69130.258531698957</v>
      </c>
      <c r="H713" s="243">
        <f>SUM(H705:H712)</f>
        <v>69130.258531700441</v>
      </c>
      <c r="I713" s="240">
        <f>SUM(I705:I712)</f>
        <v>1</v>
      </c>
      <c r="J713" s="243">
        <f>SUM(J705:J712)</f>
        <v>5874.1785317008034</v>
      </c>
      <c r="K713" s="243">
        <f>SUM(K705:K712)</f>
        <v>54962.67999999976</v>
      </c>
      <c r="L713" s="243">
        <f>SUM(L705:L712)</f>
        <v>8293.399999999885</v>
      </c>
    </row>
    <row r="714" spans="1:12" ht="14.5" thickBot="1">
      <c r="H714" s="254">
        <f>+A715</f>
        <v>41848</v>
      </c>
      <c r="I714" s="254"/>
      <c r="J714" s="254">
        <f>+A704</f>
        <v>41818</v>
      </c>
    </row>
    <row r="715" spans="1:12" ht="16" thickBot="1">
      <c r="A715" s="253">
        <v>41848</v>
      </c>
      <c r="B715" s="251">
        <v>8.18</v>
      </c>
      <c r="C715" s="238" t="s">
        <v>3</v>
      </c>
      <c r="D715" s="238" t="s">
        <v>4</v>
      </c>
      <c r="E715" s="238" t="s">
        <v>5</v>
      </c>
      <c r="F715" s="238" t="s">
        <v>114</v>
      </c>
      <c r="H715" s="251">
        <f>+B715-B704</f>
        <v>3.9999999999999147E-2</v>
      </c>
      <c r="I715" s="238" t="s">
        <v>3</v>
      </c>
      <c r="J715" s="238" t="s">
        <v>4</v>
      </c>
      <c r="K715" s="238" t="s">
        <v>5</v>
      </c>
      <c r="L715" s="238" t="s">
        <v>114</v>
      </c>
    </row>
    <row r="716" spans="1:12" ht="15.5">
      <c r="A716" s="180" t="s">
        <v>7</v>
      </c>
      <c r="B716" s="250">
        <f t="shared" ref="B716:B723" si="332">SUM(D716:F716)</f>
        <v>3687320.3460391196</v>
      </c>
      <c r="C716" s="241">
        <f t="shared" ref="C716:C723" si="333">+B716/$B$724</f>
        <v>0.50825147754566047</v>
      </c>
      <c r="D716" s="242">
        <v>240120.1760391198</v>
      </c>
      <c r="E716" s="295">
        <v>1284954.08</v>
      </c>
      <c r="F716" s="295">
        <v>2162246.09</v>
      </c>
      <c r="H716" s="250">
        <f>SUM(J716:L716)</f>
        <v>2375467.6332504218</v>
      </c>
      <c r="I716" s="241">
        <f t="shared" ref="I716:I722" si="334">+H716/$H$713</f>
        <v>34.362198025935704</v>
      </c>
      <c r="J716" s="242">
        <f>+D716-D705</f>
        <v>97199.003250421985</v>
      </c>
      <c r="K716" s="849">
        <f>+E716-E705</f>
        <v>116022.54000000004</v>
      </c>
      <c r="L716" s="242">
        <f t="shared" ref="L716:L722" si="335">+F716-F705</f>
        <v>2162246.09</v>
      </c>
    </row>
    <row r="717" spans="1:12" ht="15.5">
      <c r="A717" s="180" t="s">
        <v>8</v>
      </c>
      <c r="B717" s="242">
        <f t="shared" si="332"/>
        <v>0</v>
      </c>
      <c r="C717" s="241">
        <f t="shared" si="333"/>
        <v>0</v>
      </c>
      <c r="D717" s="242">
        <v>0</v>
      </c>
      <c r="E717" s="242"/>
      <c r="F717" s="849">
        <v>0</v>
      </c>
      <c r="H717" s="250">
        <f t="shared" ref="H717:H722" si="336">SUM(J717:L717)</f>
        <v>-125730.97174447174</v>
      </c>
      <c r="I717" s="241">
        <f t="shared" si="334"/>
        <v>-1.8187545427277176</v>
      </c>
      <c r="J717" s="242">
        <f t="shared" ref="J717:J722" si="337">+D717-D706</f>
        <v>-125730.97174447174</v>
      </c>
      <c r="K717" s="849">
        <f t="shared" ref="K717:K722" si="338">+E717-E706</f>
        <v>0</v>
      </c>
      <c r="L717" s="242">
        <f t="shared" si="335"/>
        <v>0</v>
      </c>
    </row>
    <row r="718" spans="1:12" ht="15.5">
      <c r="A718" s="180" t="s">
        <v>9</v>
      </c>
      <c r="B718" s="242">
        <f t="shared" si="332"/>
        <v>697719.79814555391</v>
      </c>
      <c r="C718" s="241">
        <f t="shared" si="333"/>
        <v>9.6172039595437825E-2</v>
      </c>
      <c r="D718" s="242">
        <v>697719.79814555391</v>
      </c>
      <c r="E718" s="242"/>
      <c r="F718" s="849"/>
      <c r="H718" s="250">
        <f t="shared" si="336"/>
        <v>-110577.95216621947</v>
      </c>
      <c r="I718" s="241">
        <f t="shared" si="334"/>
        <v>-1.5995593610504544</v>
      </c>
      <c r="J718" s="242">
        <f t="shared" si="337"/>
        <v>16135.287833780516</v>
      </c>
      <c r="K718" s="849">
        <f t="shared" si="338"/>
        <v>-120132.48</v>
      </c>
      <c r="L718" s="242">
        <f t="shared" si="335"/>
        <v>-6580.76</v>
      </c>
    </row>
    <row r="719" spans="1:12" ht="15.5">
      <c r="A719" s="180" t="s">
        <v>162</v>
      </c>
      <c r="B719" s="242">
        <f t="shared" si="332"/>
        <v>0</v>
      </c>
      <c r="C719" s="241">
        <f t="shared" si="333"/>
        <v>0</v>
      </c>
      <c r="D719" s="242">
        <v>0</v>
      </c>
      <c r="E719" s="242"/>
      <c r="F719" s="849"/>
      <c r="H719" s="250">
        <f t="shared" si="336"/>
        <v>-221713.28999999998</v>
      </c>
      <c r="I719" s="241">
        <f t="shared" si="334"/>
        <v>-3.2071815542007687</v>
      </c>
      <c r="J719" s="242">
        <f t="shared" si="337"/>
        <v>0</v>
      </c>
      <c r="K719" s="849">
        <f t="shared" si="338"/>
        <v>0</v>
      </c>
      <c r="L719" s="242">
        <f t="shared" si="335"/>
        <v>-221713.28999999998</v>
      </c>
    </row>
    <row r="720" spans="1:12" ht="15.5">
      <c r="A720" s="180" t="s">
        <v>11</v>
      </c>
      <c r="B720" s="242">
        <f t="shared" si="332"/>
        <v>0</v>
      </c>
      <c r="C720" s="241">
        <f t="shared" si="333"/>
        <v>0</v>
      </c>
      <c r="D720" s="242">
        <v>0</v>
      </c>
      <c r="E720" s="242"/>
      <c r="F720" s="849"/>
      <c r="H720" s="250">
        <f t="shared" si="336"/>
        <v>-1914380.3199999998</v>
      </c>
      <c r="I720" s="241">
        <f t="shared" si="334"/>
        <v>-27.692364539937888</v>
      </c>
      <c r="J720" s="242">
        <f t="shared" si="337"/>
        <v>0</v>
      </c>
      <c r="K720" s="849">
        <f t="shared" si="338"/>
        <v>-1291332.1299999999</v>
      </c>
      <c r="L720" s="242">
        <f t="shared" si="335"/>
        <v>-623048.18999999994</v>
      </c>
    </row>
    <row r="721" spans="1:12" ht="15.5">
      <c r="A721" s="180" t="s">
        <v>12</v>
      </c>
      <c r="B721" s="242">
        <f t="shared" si="332"/>
        <v>134338</v>
      </c>
      <c r="C721" s="241">
        <f t="shared" si="333"/>
        <v>1.8516830810176795E-2</v>
      </c>
      <c r="D721" s="242">
        <v>134338</v>
      </c>
      <c r="E721" s="242"/>
      <c r="F721" s="849"/>
      <c r="H721" s="250">
        <f t="shared" si="336"/>
        <v>0</v>
      </c>
      <c r="I721" s="241">
        <f t="shared" si="334"/>
        <v>0</v>
      </c>
      <c r="J721" s="242">
        <f t="shared" si="337"/>
        <v>0</v>
      </c>
      <c r="K721" s="849">
        <f t="shared" si="338"/>
        <v>0</v>
      </c>
      <c r="L721" s="242">
        <f t="shared" si="335"/>
        <v>0</v>
      </c>
    </row>
    <row r="722" spans="1:12" ht="15.5">
      <c r="A722" s="180" t="s">
        <v>13</v>
      </c>
      <c r="B722" s="242">
        <f t="shared" si="332"/>
        <v>2735535.0414004237</v>
      </c>
      <c r="C722" s="241">
        <f t="shared" si="333"/>
        <v>0.37705965204872505</v>
      </c>
      <c r="D722" s="242">
        <v>2735535.0414004237</v>
      </c>
      <c r="E722" s="242">
        <v>0</v>
      </c>
      <c r="F722" s="849">
        <v>0</v>
      </c>
      <c r="H722" s="250">
        <f t="shared" si="336"/>
        <v>1282.1262779426761</v>
      </c>
      <c r="I722" s="241">
        <f t="shared" si="334"/>
        <v>1.8546528035255978E-2</v>
      </c>
      <c r="J722" s="242">
        <f t="shared" si="337"/>
        <v>1282.1262779426761</v>
      </c>
      <c r="K722" s="849">
        <f t="shared" si="338"/>
        <v>0</v>
      </c>
      <c r="L722" s="242">
        <f t="shared" si="335"/>
        <v>0</v>
      </c>
    </row>
    <row r="723" spans="1:12" ht="15.5">
      <c r="A723" s="180"/>
      <c r="B723" s="242">
        <f t="shared" si="332"/>
        <v>0</v>
      </c>
      <c r="C723" s="241">
        <f t="shared" si="333"/>
        <v>0</v>
      </c>
      <c r="D723" s="237"/>
      <c r="E723" s="242"/>
      <c r="F723" s="295"/>
      <c r="H723" s="250"/>
      <c r="I723" s="241">
        <f>+H723/$H$537</f>
        <v>0</v>
      </c>
      <c r="J723" s="242"/>
      <c r="K723" s="242"/>
      <c r="L723" s="242"/>
    </row>
    <row r="724" spans="1:12" ht="15.5">
      <c r="A724" s="180"/>
      <c r="B724" s="243">
        <f>SUM(B716:B723)</f>
        <v>7254913.1855850965</v>
      </c>
      <c r="C724" s="240">
        <f>SUM(C716:C723)</f>
        <v>1</v>
      </c>
      <c r="D724" s="243">
        <f>SUM(D716:D723)</f>
        <v>3807713.0155850975</v>
      </c>
      <c r="E724" s="243">
        <f>SUM(E716:E723)</f>
        <v>1284954.08</v>
      </c>
      <c r="F724" s="243">
        <f>SUM(F716:F723)</f>
        <v>2162246.09</v>
      </c>
      <c r="G724" s="32">
        <f>+B724-B713</f>
        <v>4347.2256176732481</v>
      </c>
      <c r="H724" s="243">
        <f>SUM(H716:H723)</f>
        <v>4347.2256176732481</v>
      </c>
      <c r="I724" s="240">
        <f>SUM(I716:I723)</f>
        <v>6.2884556054133622E-2</v>
      </c>
      <c r="J724" s="243">
        <f>SUM(J716:J723)</f>
        <v>-11114.554382326562</v>
      </c>
      <c r="K724" s="243">
        <f>SUM(K716:K723)</f>
        <v>-1295442.0699999998</v>
      </c>
      <c r="L724" s="243">
        <f>SUM(L716:L723)</f>
        <v>1310903.8500000001</v>
      </c>
    </row>
    <row r="725" spans="1:12" ht="14.5" thickBot="1">
      <c r="A725" s="397" t="s">
        <v>163</v>
      </c>
      <c r="H725" s="254">
        <f>+A726</f>
        <v>41879</v>
      </c>
      <c r="I725" s="254"/>
      <c r="J725" s="254">
        <f>+A715</f>
        <v>41848</v>
      </c>
    </row>
    <row r="726" spans="1:12" ht="16" thickBot="1">
      <c r="A726" s="253">
        <v>41879</v>
      </c>
      <c r="B726" s="251">
        <v>8.18</v>
      </c>
      <c r="C726" s="238" t="s">
        <v>3</v>
      </c>
      <c r="D726" s="238" t="s">
        <v>4</v>
      </c>
      <c r="E726" s="238" t="s">
        <v>5</v>
      </c>
      <c r="F726" s="238" t="s">
        <v>114</v>
      </c>
      <c r="H726" s="251">
        <f>+B726-B715</f>
        <v>0</v>
      </c>
      <c r="I726" s="238" t="s">
        <v>3</v>
      </c>
      <c r="J726" s="238" t="s">
        <v>4</v>
      </c>
      <c r="K726" s="238" t="s">
        <v>5</v>
      </c>
      <c r="L726" s="238" t="s">
        <v>114</v>
      </c>
    </row>
    <row r="727" spans="1:12" ht="15.5">
      <c r="A727" s="180" t="s">
        <v>7</v>
      </c>
      <c r="B727" s="250">
        <f t="shared" ref="B727:B734" si="339">SUM(D727:F727)</f>
        <v>3751111.6009523808</v>
      </c>
      <c r="C727" s="241">
        <f t="shared" ref="C727:C733" si="340">+B727/$B$735</f>
        <v>0.51668129543155628</v>
      </c>
      <c r="D727" s="242">
        <v>335644.88095238095</v>
      </c>
      <c r="E727" s="295">
        <v>1253043.8999999999</v>
      </c>
      <c r="F727" s="295">
        <v>2162422.8199999998</v>
      </c>
      <c r="H727" s="250">
        <f>SUM(J727:L727)</f>
        <v>63791.254913260957</v>
      </c>
      <c r="I727" s="241">
        <f t="shared" ref="I727:I734" si="341">+H727/$H$735</f>
        <v>12.514817210943074</v>
      </c>
      <c r="J727" s="242">
        <f>+D727-D716</f>
        <v>95524.704913261143</v>
      </c>
      <c r="K727" s="849">
        <f>+E727-E716</f>
        <v>-31910.180000000168</v>
      </c>
      <c r="L727" s="242">
        <f t="shared" ref="L727:L733" si="342">+F727-F716</f>
        <v>176.72999999998137</v>
      </c>
    </row>
    <row r="728" spans="1:12" ht="15.5">
      <c r="A728" s="180" t="s">
        <v>8</v>
      </c>
      <c r="B728" s="242">
        <f t="shared" si="339"/>
        <v>0</v>
      </c>
      <c r="C728" s="241">
        <f t="shared" si="340"/>
        <v>0</v>
      </c>
      <c r="D728" s="242">
        <v>0</v>
      </c>
      <c r="E728" s="242"/>
      <c r="F728" s="849">
        <v>0</v>
      </c>
      <c r="H728" s="250">
        <f t="shared" ref="H728:H733" si="343">SUM(J728:L728)</f>
        <v>0</v>
      </c>
      <c r="I728" s="241">
        <f t="shared" si="341"/>
        <v>0</v>
      </c>
      <c r="J728" s="242">
        <f t="shared" ref="J728:J733" si="344">+D728-D717</f>
        <v>0</v>
      </c>
      <c r="K728" s="849">
        <f t="shared" ref="K728:K733" si="345">+E728-E717</f>
        <v>0</v>
      </c>
      <c r="L728" s="242">
        <f t="shared" si="342"/>
        <v>0</v>
      </c>
    </row>
    <row r="729" spans="1:12" ht="15.5">
      <c r="A729" s="180" t="s">
        <v>9</v>
      </c>
      <c r="B729" s="242">
        <f t="shared" si="339"/>
        <v>639370.11241069797</v>
      </c>
      <c r="C729" s="241">
        <f t="shared" si="340"/>
        <v>8.806738190799375E-2</v>
      </c>
      <c r="D729" s="242">
        <v>639370.11241069797</v>
      </c>
      <c r="E729" s="242"/>
      <c r="F729" s="849"/>
      <c r="H729" s="250">
        <f t="shared" si="343"/>
        <v>-58349.685734855942</v>
      </c>
      <c r="I729" s="241">
        <f t="shared" si="341"/>
        <v>-11.447268944318777</v>
      </c>
      <c r="J729" s="242">
        <f t="shared" si="344"/>
        <v>-58349.685734855942</v>
      </c>
      <c r="K729" s="849">
        <f t="shared" si="345"/>
        <v>0</v>
      </c>
      <c r="L729" s="242">
        <f t="shared" si="342"/>
        <v>0</v>
      </c>
    </row>
    <row r="730" spans="1:12" ht="15.5">
      <c r="A730" s="180" t="s">
        <v>162</v>
      </c>
      <c r="B730" s="242">
        <f t="shared" si="339"/>
        <v>0</v>
      </c>
      <c r="C730" s="241">
        <f t="shared" si="340"/>
        <v>0</v>
      </c>
      <c r="D730" s="242">
        <v>0</v>
      </c>
      <c r="E730" s="242"/>
      <c r="F730" s="849"/>
      <c r="H730" s="250">
        <f t="shared" si="343"/>
        <v>0</v>
      </c>
      <c r="I730" s="241">
        <f t="shared" si="341"/>
        <v>0</v>
      </c>
      <c r="J730" s="242">
        <f t="shared" si="344"/>
        <v>0</v>
      </c>
      <c r="K730" s="849">
        <f t="shared" si="345"/>
        <v>0</v>
      </c>
      <c r="L730" s="242">
        <f t="shared" si="342"/>
        <v>0</v>
      </c>
    </row>
    <row r="731" spans="1:12" ht="15.5">
      <c r="A731" s="180" t="s">
        <v>11</v>
      </c>
      <c r="B731" s="242">
        <f t="shared" si="339"/>
        <v>0</v>
      </c>
      <c r="C731" s="241">
        <f t="shared" si="340"/>
        <v>0</v>
      </c>
      <c r="D731" s="242">
        <v>0</v>
      </c>
      <c r="E731" s="242"/>
      <c r="F731" s="849"/>
      <c r="H731" s="250">
        <f t="shared" si="343"/>
        <v>0</v>
      </c>
      <c r="I731" s="241">
        <f t="shared" si="341"/>
        <v>0</v>
      </c>
      <c r="J731" s="242">
        <f t="shared" si="344"/>
        <v>0</v>
      </c>
      <c r="K731" s="849">
        <f t="shared" si="345"/>
        <v>0</v>
      </c>
      <c r="L731" s="242">
        <f t="shared" si="342"/>
        <v>0</v>
      </c>
    </row>
    <row r="732" spans="1:12" ht="15.5">
      <c r="A732" s="180" t="s">
        <v>12</v>
      </c>
      <c r="B732" s="242">
        <f t="shared" si="339"/>
        <v>134338</v>
      </c>
      <c r="C732" s="241">
        <f t="shared" si="340"/>
        <v>1.8503830130796883E-2</v>
      </c>
      <c r="D732" s="242">
        <v>134338</v>
      </c>
      <c r="E732" s="242"/>
      <c r="F732" s="849"/>
      <c r="H732" s="250">
        <f t="shared" si="343"/>
        <v>0</v>
      </c>
      <c r="I732" s="241">
        <f t="shared" si="341"/>
        <v>0</v>
      </c>
      <c r="J732" s="242">
        <f t="shared" si="344"/>
        <v>0</v>
      </c>
      <c r="K732" s="849">
        <f t="shared" si="345"/>
        <v>0</v>
      </c>
      <c r="L732" s="242">
        <f t="shared" si="342"/>
        <v>0</v>
      </c>
    </row>
    <row r="733" spans="1:12" ht="15.5">
      <c r="A733" s="180" t="s">
        <v>13</v>
      </c>
      <c r="B733" s="242">
        <f t="shared" si="339"/>
        <v>2735190.7304430562</v>
      </c>
      <c r="C733" s="241">
        <f t="shared" si="340"/>
        <v>0.37674749252965328</v>
      </c>
      <c r="D733" s="242">
        <v>2735190.7304430562</v>
      </c>
      <c r="E733" s="242">
        <v>0</v>
      </c>
      <c r="F733" s="849">
        <v>0</v>
      </c>
      <c r="H733" s="250">
        <f t="shared" si="343"/>
        <v>-344.31095736753196</v>
      </c>
      <c r="I733" s="241">
        <f t="shared" si="341"/>
        <v>-6.7548266624297457E-2</v>
      </c>
      <c r="J733" s="242">
        <f t="shared" si="344"/>
        <v>-344.31095736753196</v>
      </c>
      <c r="K733" s="849">
        <f t="shared" si="345"/>
        <v>0</v>
      </c>
      <c r="L733" s="242">
        <f t="shared" si="342"/>
        <v>0</v>
      </c>
    </row>
    <row r="734" spans="1:12" ht="15.5">
      <c r="A734" s="180"/>
      <c r="B734" s="242">
        <f t="shared" si="339"/>
        <v>0</v>
      </c>
      <c r="C734" s="241">
        <f>+B734/$B$724</f>
        <v>0</v>
      </c>
      <c r="D734" s="237"/>
      <c r="E734" s="242"/>
      <c r="F734" s="295"/>
      <c r="H734" s="250"/>
      <c r="I734" s="241">
        <f t="shared" si="341"/>
        <v>0</v>
      </c>
      <c r="J734" s="242"/>
      <c r="K734" s="242"/>
      <c r="L734" s="242"/>
    </row>
    <row r="735" spans="1:12" ht="15.5">
      <c r="A735" s="180"/>
      <c r="B735" s="243">
        <f>SUM(B727:B734)</f>
        <v>7260010.4438061342</v>
      </c>
      <c r="C735" s="240">
        <f>SUM(C727:C734)</f>
        <v>1.0000000000000002</v>
      </c>
      <c r="D735" s="243">
        <f>SUM(D727:D734)</f>
        <v>3844543.7238061354</v>
      </c>
      <c r="E735" s="243">
        <f>SUM(E727:E734)</f>
        <v>1253043.8999999999</v>
      </c>
      <c r="F735" s="243">
        <f>SUM(F727:F734)</f>
        <v>2162422.8199999998</v>
      </c>
      <c r="G735" s="32">
        <f>+B735-B724</f>
        <v>5097.2582210376859</v>
      </c>
      <c r="H735" s="243">
        <f>SUM(H727:H734)</f>
        <v>5097.2582210374821</v>
      </c>
      <c r="I735" s="240">
        <f>SUM(I727:I734)</f>
        <v>0.99999999999999889</v>
      </c>
      <c r="J735" s="243">
        <f>SUM(J727:J734)</f>
        <v>36830.708221037668</v>
      </c>
      <c r="K735" s="243">
        <f>SUM(K727:K734)</f>
        <v>-31910.180000000168</v>
      </c>
      <c r="L735" s="243">
        <f>SUM(L727:L734)</f>
        <v>176.72999999998137</v>
      </c>
    </row>
    <row r="736" spans="1:12" ht="14.5" thickBot="1">
      <c r="H736" s="254">
        <f>+A737</f>
        <v>41910</v>
      </c>
      <c r="I736" s="254"/>
      <c r="J736" s="254">
        <f>+A726</f>
        <v>41879</v>
      </c>
    </row>
    <row r="737" spans="1:12" ht="16" thickBot="1">
      <c r="A737" s="253">
        <v>41910</v>
      </c>
      <c r="B737" s="251">
        <v>8.4499999999999993</v>
      </c>
      <c r="C737" s="238" t="s">
        <v>3</v>
      </c>
      <c r="D737" s="238" t="s">
        <v>4</v>
      </c>
      <c r="E737" s="238" t="s">
        <v>5</v>
      </c>
      <c r="F737" s="238" t="s">
        <v>114</v>
      </c>
      <c r="H737" s="251">
        <f>+B737-B726</f>
        <v>0.26999999999999957</v>
      </c>
      <c r="I737" s="238" t="s">
        <v>3</v>
      </c>
      <c r="J737" s="238" t="s">
        <v>4</v>
      </c>
      <c r="K737" s="238" t="s">
        <v>5</v>
      </c>
      <c r="L737" s="238" t="s">
        <v>114</v>
      </c>
    </row>
    <row r="738" spans="1:12" ht="15.5">
      <c r="A738" s="180" t="s">
        <v>7</v>
      </c>
      <c r="B738" s="250">
        <f t="shared" ref="B738:B745" si="346">SUM(D738:F738)</f>
        <v>3720692.785384615</v>
      </c>
      <c r="C738" s="241">
        <f t="shared" ref="C738:C744" si="347">+B738/$B$746</f>
        <v>0.51803287606985815</v>
      </c>
      <c r="D738" s="242">
        <v>319871.52538461541</v>
      </c>
      <c r="E738" s="242">
        <v>1274346</v>
      </c>
      <c r="F738" s="295">
        <v>2126475.2599999998</v>
      </c>
      <c r="H738" s="250">
        <f>SUM(J738:L738)</f>
        <v>-30418.815567765501</v>
      </c>
      <c r="I738" s="241">
        <f t="shared" ref="I738:I744" si="348">+H738/$H$746</f>
        <v>0.39168370176387135</v>
      </c>
      <c r="J738" s="242">
        <f>+D738-D727</f>
        <v>-15773.355567765539</v>
      </c>
      <c r="K738" s="849">
        <f>+E738-E727</f>
        <v>21302.100000000093</v>
      </c>
      <c r="L738" s="242">
        <f t="shared" ref="L738:L744" si="349">+F738-F727</f>
        <v>-35947.560000000056</v>
      </c>
    </row>
    <row r="739" spans="1:12" ht="15.5">
      <c r="A739" s="180" t="s">
        <v>8</v>
      </c>
      <c r="B739" s="242">
        <f t="shared" si="346"/>
        <v>0</v>
      </c>
      <c r="C739" s="241">
        <f t="shared" si="347"/>
        <v>0</v>
      </c>
      <c r="D739" s="242">
        <v>0</v>
      </c>
      <c r="E739" s="242"/>
      <c r="F739" s="849">
        <v>0</v>
      </c>
      <c r="H739" s="250">
        <f t="shared" ref="H739:H744" si="350">SUM(J739:L739)</f>
        <v>0</v>
      </c>
      <c r="I739" s="241">
        <f t="shared" si="348"/>
        <v>0</v>
      </c>
      <c r="J739" s="242">
        <f t="shared" ref="J739:J744" si="351">+D739-D728</f>
        <v>0</v>
      </c>
      <c r="K739" s="849">
        <f t="shared" ref="K739:K744" si="352">+E739-E728</f>
        <v>0</v>
      </c>
      <c r="L739" s="242">
        <f t="shared" si="349"/>
        <v>0</v>
      </c>
    </row>
    <row r="740" spans="1:12" ht="15.5">
      <c r="A740" s="180" t="s">
        <v>9</v>
      </c>
      <c r="B740" s="242">
        <f t="shared" si="346"/>
        <v>592050.80119627132</v>
      </c>
      <c r="C740" s="241">
        <f t="shared" si="347"/>
        <v>8.2431363462184881E-2</v>
      </c>
      <c r="D740" s="242">
        <v>592050.80119627132</v>
      </c>
      <c r="E740" s="242"/>
      <c r="F740" s="849"/>
      <c r="H740" s="250">
        <f t="shared" si="350"/>
        <v>-47319.311214426649</v>
      </c>
      <c r="I740" s="241">
        <f t="shared" si="348"/>
        <v>0.60930061330276786</v>
      </c>
      <c r="J740" s="242">
        <f t="shared" si="351"/>
        <v>-47319.311214426649</v>
      </c>
      <c r="K740" s="849">
        <f t="shared" si="352"/>
        <v>0</v>
      </c>
      <c r="L740" s="242">
        <f t="shared" si="349"/>
        <v>0</v>
      </c>
    </row>
    <row r="741" spans="1:12" ht="15.5">
      <c r="A741" s="180" t="s">
        <v>162</v>
      </c>
      <c r="B741" s="242">
        <f t="shared" si="346"/>
        <v>0</v>
      </c>
      <c r="C741" s="241">
        <f t="shared" si="347"/>
        <v>0</v>
      </c>
      <c r="D741" s="242">
        <v>0</v>
      </c>
      <c r="E741" s="242"/>
      <c r="F741" s="849"/>
      <c r="H741" s="250">
        <f t="shared" si="350"/>
        <v>0</v>
      </c>
      <c r="I741" s="241">
        <f t="shared" si="348"/>
        <v>0</v>
      </c>
      <c r="J741" s="242">
        <f t="shared" si="351"/>
        <v>0</v>
      </c>
      <c r="K741" s="849">
        <f t="shared" si="352"/>
        <v>0</v>
      </c>
      <c r="L741" s="242">
        <f t="shared" si="349"/>
        <v>0</v>
      </c>
    </row>
    <row r="742" spans="1:12" ht="15.5">
      <c r="A742" s="180" t="s">
        <v>11</v>
      </c>
      <c r="B742" s="242">
        <f t="shared" si="346"/>
        <v>0</v>
      </c>
      <c r="C742" s="241">
        <f t="shared" si="347"/>
        <v>0</v>
      </c>
      <c r="D742" s="242">
        <v>0</v>
      </c>
      <c r="E742" s="242"/>
      <c r="F742" s="849"/>
      <c r="H742" s="250">
        <f t="shared" si="350"/>
        <v>0</v>
      </c>
      <c r="I742" s="241">
        <f t="shared" si="348"/>
        <v>0</v>
      </c>
      <c r="J742" s="242">
        <f t="shared" si="351"/>
        <v>0</v>
      </c>
      <c r="K742" s="849">
        <f t="shared" si="352"/>
        <v>0</v>
      </c>
      <c r="L742" s="242">
        <f t="shared" si="349"/>
        <v>0</v>
      </c>
    </row>
    <row r="743" spans="1:12" ht="15.5">
      <c r="A743" s="180" t="s">
        <v>12</v>
      </c>
      <c r="B743" s="242">
        <f t="shared" si="346"/>
        <v>134338</v>
      </c>
      <c r="C743" s="241">
        <f t="shared" si="347"/>
        <v>1.870390933076696E-2</v>
      </c>
      <c r="D743" s="242">
        <v>134338</v>
      </c>
      <c r="E743" s="242"/>
      <c r="F743" s="849"/>
      <c r="H743" s="250">
        <f t="shared" si="350"/>
        <v>0</v>
      </c>
      <c r="I743" s="241">
        <f t="shared" si="348"/>
        <v>0</v>
      </c>
      <c r="J743" s="242">
        <f t="shared" si="351"/>
        <v>0</v>
      </c>
      <c r="K743" s="849">
        <f t="shared" si="352"/>
        <v>0</v>
      </c>
      <c r="L743" s="242">
        <f t="shared" si="349"/>
        <v>0</v>
      </c>
    </row>
    <row r="744" spans="1:12" ht="15.5">
      <c r="A744" s="180" t="s">
        <v>13</v>
      </c>
      <c r="B744" s="242">
        <f t="shared" si="346"/>
        <v>2735267.1740079476</v>
      </c>
      <c r="C744" s="241">
        <f t="shared" si="347"/>
        <v>0.38083185113718993</v>
      </c>
      <c r="D744" s="242">
        <v>2735267.1740079476</v>
      </c>
      <c r="E744" s="242">
        <v>0</v>
      </c>
      <c r="F744" s="849">
        <v>0</v>
      </c>
      <c r="H744" s="250">
        <f t="shared" si="350"/>
        <v>76.443564891349524</v>
      </c>
      <c r="I744" s="241">
        <f t="shared" si="348"/>
        <v>-9.8431506663919539E-4</v>
      </c>
      <c r="J744" s="242">
        <f t="shared" si="351"/>
        <v>76.443564891349524</v>
      </c>
      <c r="K744" s="849">
        <f t="shared" si="352"/>
        <v>0</v>
      </c>
      <c r="L744" s="242">
        <f t="shared" si="349"/>
        <v>0</v>
      </c>
    </row>
    <row r="745" spans="1:12" ht="15.5">
      <c r="A745" s="180"/>
      <c r="B745" s="242">
        <f t="shared" si="346"/>
        <v>0</v>
      </c>
      <c r="C745" s="241">
        <f>+B745/$B$724</f>
        <v>0</v>
      </c>
      <c r="D745" s="237"/>
      <c r="E745" s="242"/>
      <c r="F745" s="295"/>
      <c r="H745" s="250"/>
      <c r="I745" s="241">
        <f>+H745/$H$735</f>
        <v>0</v>
      </c>
      <c r="J745" s="242"/>
      <c r="K745" s="242"/>
      <c r="L745" s="242"/>
    </row>
    <row r="746" spans="1:12" ht="15.5">
      <c r="A746" s="180"/>
      <c r="B746" s="243">
        <f>SUM(B738:B745)</f>
        <v>7182348.7605888341</v>
      </c>
      <c r="C746" s="240">
        <f>SUM(C738:C745)</f>
        <v>0.99999999999999978</v>
      </c>
      <c r="D746" s="243">
        <f>SUM(D738:D745)</f>
        <v>3781527.5005888343</v>
      </c>
      <c r="E746" s="243">
        <f>SUM(E738:E745)</f>
        <v>1274346</v>
      </c>
      <c r="F746" s="243">
        <f>SUM(F738:F745)</f>
        <v>2126475.2599999998</v>
      </c>
      <c r="G746" s="32">
        <f>+B746-B735</f>
        <v>-77661.683217300102</v>
      </c>
      <c r="H746" s="243">
        <f>SUM(H738:H745)</f>
        <v>-77661.683217300801</v>
      </c>
      <c r="I746" s="240">
        <f>SUM(I738:I745)</f>
        <v>1.0000000000000002</v>
      </c>
      <c r="J746" s="243">
        <f>SUM(J738:J745)</f>
        <v>-63016.223217300838</v>
      </c>
      <c r="K746" s="243">
        <f>SUM(K738:K745)</f>
        <v>21302.100000000093</v>
      </c>
      <c r="L746" s="243">
        <f>SUM(L738:L745)</f>
        <v>-35947.560000000056</v>
      </c>
    </row>
    <row r="747" spans="1:12" ht="14.5" thickBot="1">
      <c r="H747" s="254">
        <f>+A748</f>
        <v>41940</v>
      </c>
      <c r="I747" s="254"/>
      <c r="J747" s="254">
        <f>+A737</f>
        <v>41910</v>
      </c>
    </row>
    <row r="748" spans="1:12" ht="16" thickBot="1">
      <c r="A748" s="253">
        <v>41940</v>
      </c>
      <c r="B748" s="251">
        <v>8.52</v>
      </c>
      <c r="C748" s="238" t="s">
        <v>3</v>
      </c>
      <c r="D748" s="238" t="s">
        <v>4</v>
      </c>
      <c r="E748" s="238" t="s">
        <v>5</v>
      </c>
      <c r="F748" s="238" t="s">
        <v>114</v>
      </c>
      <c r="H748" s="251">
        <f>+B748-B737</f>
        <v>7.0000000000000284E-2</v>
      </c>
      <c r="I748" s="238" t="s">
        <v>3</v>
      </c>
      <c r="J748" s="238" t="s">
        <v>4</v>
      </c>
      <c r="K748" s="238" t="s">
        <v>5</v>
      </c>
      <c r="L748" s="238" t="s">
        <v>114</v>
      </c>
    </row>
    <row r="749" spans="1:12" ht="15.5">
      <c r="A749" s="180" t="s">
        <v>7</v>
      </c>
      <c r="B749" s="250">
        <f t="shared" ref="B749:B756" si="353">SUM(D749:F749)</f>
        <v>3821460.0468075117</v>
      </c>
      <c r="C749" s="241">
        <f t="shared" ref="C749:C755" si="354">+B749/$B$757</f>
        <v>0.52751924643859216</v>
      </c>
      <c r="D749" s="242">
        <v>394021.2868075117</v>
      </c>
      <c r="E749" s="242">
        <v>1287191.57</v>
      </c>
      <c r="F749" s="242">
        <v>2140247.19</v>
      </c>
      <c r="H749" s="250">
        <f>SUM(J749:L749)</f>
        <v>100767.26142289652</v>
      </c>
      <c r="I749" s="241">
        <f t="shared" ref="I749:I756" si="355">+H749/$H$757</f>
        <v>1.6289317216517269</v>
      </c>
      <c r="J749" s="242">
        <f>+D749-D738</f>
        <v>74149.761422896292</v>
      </c>
      <c r="K749" s="849">
        <f>+E749-E738</f>
        <v>12845.570000000065</v>
      </c>
      <c r="L749" s="242">
        <f t="shared" ref="L749:L755" si="356">+F749-F738</f>
        <v>13771.930000000168</v>
      </c>
    </row>
    <row r="750" spans="1:12" ht="15.5">
      <c r="A750" s="180" t="s">
        <v>8</v>
      </c>
      <c r="B750" s="242">
        <f t="shared" si="353"/>
        <v>0</v>
      </c>
      <c r="C750" s="241">
        <f t="shared" si="354"/>
        <v>0</v>
      </c>
      <c r="D750" s="242">
        <v>0</v>
      </c>
      <c r="E750" s="242"/>
      <c r="F750" s="849">
        <v>0</v>
      </c>
      <c r="H750" s="250">
        <f t="shared" ref="H750:H755" si="357">SUM(J750:L750)</f>
        <v>0</v>
      </c>
      <c r="I750" s="241">
        <f t="shared" si="355"/>
        <v>0</v>
      </c>
      <c r="J750" s="242">
        <f t="shared" ref="J750:J755" si="358">+D750-D739</f>
        <v>0</v>
      </c>
      <c r="K750" s="849">
        <f t="shared" ref="K750:K755" si="359">+E750-E739</f>
        <v>0</v>
      </c>
      <c r="L750" s="242">
        <f t="shared" si="356"/>
        <v>0</v>
      </c>
    </row>
    <row r="751" spans="1:12" ht="15.5">
      <c r="A751" s="180" t="s">
        <v>9</v>
      </c>
      <c r="B751" s="242">
        <f t="shared" si="353"/>
        <v>553114.24080288119</v>
      </c>
      <c r="C751" s="241">
        <f t="shared" si="354"/>
        <v>7.635259924974086E-2</v>
      </c>
      <c r="D751" s="242">
        <v>553114.24080288119</v>
      </c>
      <c r="E751" s="242"/>
      <c r="F751" s="849"/>
      <c r="H751" s="250">
        <f t="shared" si="357"/>
        <v>-38936.560393390129</v>
      </c>
      <c r="I751" s="241">
        <f t="shared" si="355"/>
        <v>-0.6294206814911999</v>
      </c>
      <c r="J751" s="242">
        <f t="shared" si="358"/>
        <v>-38936.560393390129</v>
      </c>
      <c r="K751" s="849">
        <f t="shared" si="359"/>
        <v>0</v>
      </c>
      <c r="L751" s="242">
        <f t="shared" si="356"/>
        <v>0</v>
      </c>
    </row>
    <row r="752" spans="1:12" ht="15.5">
      <c r="A752" s="180" t="s">
        <v>162</v>
      </c>
      <c r="B752" s="242">
        <f t="shared" si="353"/>
        <v>0</v>
      </c>
      <c r="C752" s="241">
        <f t="shared" si="354"/>
        <v>0</v>
      </c>
      <c r="D752" s="242">
        <v>0</v>
      </c>
      <c r="E752" s="242"/>
      <c r="F752" s="849"/>
      <c r="H752" s="250">
        <f t="shared" si="357"/>
        <v>0</v>
      </c>
      <c r="I752" s="241">
        <f t="shared" si="355"/>
        <v>0</v>
      </c>
      <c r="J752" s="242">
        <f t="shared" si="358"/>
        <v>0</v>
      </c>
      <c r="K752" s="849">
        <f t="shared" si="359"/>
        <v>0</v>
      </c>
      <c r="L752" s="242">
        <f t="shared" si="356"/>
        <v>0</v>
      </c>
    </row>
    <row r="753" spans="1:12" ht="15.5">
      <c r="A753" s="180" t="s">
        <v>11</v>
      </c>
      <c r="B753" s="242">
        <f t="shared" si="353"/>
        <v>0</v>
      </c>
      <c r="C753" s="241">
        <f t="shared" si="354"/>
        <v>0</v>
      </c>
      <c r="D753" s="242">
        <v>0</v>
      </c>
      <c r="E753" s="242"/>
      <c r="F753" s="849"/>
      <c r="H753" s="250">
        <f t="shared" si="357"/>
        <v>0</v>
      </c>
      <c r="I753" s="241">
        <f t="shared" si="355"/>
        <v>0</v>
      </c>
      <c r="J753" s="242">
        <f t="shared" si="358"/>
        <v>0</v>
      </c>
      <c r="K753" s="849">
        <f t="shared" si="359"/>
        <v>0</v>
      </c>
      <c r="L753" s="242">
        <f t="shared" si="356"/>
        <v>0</v>
      </c>
    </row>
    <row r="754" spans="1:12" ht="15.5">
      <c r="A754" s="180" t="s">
        <v>12</v>
      </c>
      <c r="B754" s="242">
        <f t="shared" si="353"/>
        <v>134338</v>
      </c>
      <c r="C754" s="241">
        <f t="shared" si="354"/>
        <v>1.8544189827987265E-2</v>
      </c>
      <c r="D754" s="242">
        <v>134338</v>
      </c>
      <c r="E754" s="242"/>
      <c r="F754" s="849"/>
      <c r="H754" s="250">
        <f t="shared" si="357"/>
        <v>0</v>
      </c>
      <c r="I754" s="241">
        <f t="shared" si="355"/>
        <v>0</v>
      </c>
      <c r="J754" s="242">
        <f t="shared" si="358"/>
        <v>0</v>
      </c>
      <c r="K754" s="849">
        <f t="shared" si="359"/>
        <v>0</v>
      </c>
      <c r="L754" s="242">
        <f t="shared" si="356"/>
        <v>0</v>
      </c>
    </row>
    <row r="755" spans="1:12" ht="15.5">
      <c r="A755" s="180" t="s">
        <v>13</v>
      </c>
      <c r="B755" s="242">
        <f t="shared" si="353"/>
        <v>2735297.4215274197</v>
      </c>
      <c r="C755" s="241">
        <f t="shared" si="354"/>
        <v>0.37758396448367976</v>
      </c>
      <c r="D755" s="242">
        <v>2735297.4215274197</v>
      </c>
      <c r="E755" s="242">
        <v>0</v>
      </c>
      <c r="F755" s="849">
        <v>0</v>
      </c>
      <c r="H755" s="250">
        <f t="shared" si="357"/>
        <v>30.247519472148269</v>
      </c>
      <c r="I755" s="241">
        <f t="shared" si="355"/>
        <v>4.8895983947287399E-4</v>
      </c>
      <c r="J755" s="242">
        <f t="shared" si="358"/>
        <v>30.247519472148269</v>
      </c>
      <c r="K755" s="849">
        <f t="shared" si="359"/>
        <v>0</v>
      </c>
      <c r="L755" s="242">
        <f t="shared" si="356"/>
        <v>0</v>
      </c>
    </row>
    <row r="756" spans="1:12" ht="15.5">
      <c r="A756" s="180"/>
      <c r="B756" s="242">
        <f t="shared" si="353"/>
        <v>0</v>
      </c>
      <c r="C756" s="241">
        <v>0</v>
      </c>
      <c r="D756" s="237"/>
      <c r="E756" s="242"/>
      <c r="F756" s="295"/>
      <c r="H756" s="250"/>
      <c r="I756" s="241">
        <f t="shared" si="355"/>
        <v>0</v>
      </c>
      <c r="J756" s="242"/>
      <c r="K756" s="242"/>
      <c r="L756" s="242"/>
    </row>
    <row r="757" spans="1:12" ht="15.5">
      <c r="A757" s="180"/>
      <c r="B757" s="243">
        <f>SUM(B749:B756)</f>
        <v>7244209.7091378123</v>
      </c>
      <c r="C757" s="240">
        <f>SUM(C749:C756)</f>
        <v>1</v>
      </c>
      <c r="D757" s="243">
        <f>SUM(D749:D756)</f>
        <v>3816770.9491378125</v>
      </c>
      <c r="E757" s="243">
        <f>SUM(E749:E756)</f>
        <v>1287191.57</v>
      </c>
      <c r="F757" s="243">
        <f>SUM(F749:F756)</f>
        <v>2140247.19</v>
      </c>
      <c r="G757" s="32">
        <f>+B757-B746</f>
        <v>61860.948548978195</v>
      </c>
      <c r="H757" s="243">
        <f>SUM(H749:H756)</f>
        <v>61860.948548978544</v>
      </c>
      <c r="I757" s="240">
        <f>SUM(I749:I756)</f>
        <v>0.99999999999999989</v>
      </c>
      <c r="J757" s="243">
        <f>SUM(J749:J756)</f>
        <v>35243.448548978311</v>
      </c>
      <c r="K757" s="243">
        <f>SUM(K749:K756)</f>
        <v>12845.570000000065</v>
      </c>
      <c r="L757" s="243">
        <f>SUM(L749:L756)</f>
        <v>13771.930000000168</v>
      </c>
    </row>
    <row r="758" spans="1:12" ht="14.5" thickBot="1">
      <c r="H758" s="254">
        <f>+A759</f>
        <v>41971</v>
      </c>
      <c r="I758" s="254"/>
      <c r="J758" s="254">
        <f>+A748</f>
        <v>41940</v>
      </c>
    </row>
    <row r="759" spans="1:12" ht="16" thickBot="1">
      <c r="A759" s="253">
        <v>41971</v>
      </c>
      <c r="B759" s="251">
        <v>8.52</v>
      </c>
      <c r="C759" s="238" t="s">
        <v>3</v>
      </c>
      <c r="D759" s="238" t="s">
        <v>4</v>
      </c>
      <c r="E759" s="238" t="s">
        <v>5</v>
      </c>
      <c r="F759" s="238" t="s">
        <v>114</v>
      </c>
      <c r="H759" s="251">
        <f>+B759-B748</f>
        <v>0</v>
      </c>
      <c r="I759" s="238" t="s">
        <v>3</v>
      </c>
      <c r="J759" s="238" t="s">
        <v>4</v>
      </c>
      <c r="K759" s="238" t="s">
        <v>5</v>
      </c>
      <c r="L759" s="238" t="s">
        <v>114</v>
      </c>
    </row>
    <row r="760" spans="1:12" ht="15.5">
      <c r="A760" s="180" t="s">
        <v>7</v>
      </c>
      <c r="B760" s="250">
        <f t="shared" ref="B760:B767" si="360">SUM(D760:F760)</f>
        <v>3907910.2049355218</v>
      </c>
      <c r="C760" s="241">
        <f t="shared" ref="C760:C766" si="361">+B760/$B$768</f>
        <v>0.53245845076261067</v>
      </c>
      <c r="D760" s="242">
        <v>393168.71493552171</v>
      </c>
      <c r="E760" s="242">
        <v>1302441.54</v>
      </c>
      <c r="F760" s="242">
        <v>2212299.9500000002</v>
      </c>
      <c r="H760" s="250">
        <f>SUM(J760:L760)</f>
        <v>86450.158128010225</v>
      </c>
      <c r="I760" s="241">
        <f t="shared" ref="I760:I766" si="362">+H760/$H$768</f>
        <v>0.90845762156081034</v>
      </c>
      <c r="J760" s="242">
        <f>+D760-D749</f>
        <v>-852.57187198998872</v>
      </c>
      <c r="K760" s="849">
        <f>+E760-E749</f>
        <v>15249.969999999972</v>
      </c>
      <c r="L760" s="242">
        <f t="shared" ref="L760:L766" si="363">+F760-F749</f>
        <v>72052.760000000242</v>
      </c>
    </row>
    <row r="761" spans="1:12" ht="15.5">
      <c r="A761" s="180" t="s">
        <v>8</v>
      </c>
      <c r="B761" s="242">
        <f t="shared" si="360"/>
        <v>0</v>
      </c>
      <c r="C761" s="241">
        <f t="shared" si="361"/>
        <v>0</v>
      </c>
      <c r="D761" s="242">
        <v>0</v>
      </c>
      <c r="E761" s="242"/>
      <c r="F761" s="849">
        <v>0</v>
      </c>
      <c r="H761" s="250">
        <f t="shared" ref="H761:H766" si="364">SUM(J761:L761)</f>
        <v>0</v>
      </c>
      <c r="I761" s="241">
        <f t="shared" si="362"/>
        <v>0</v>
      </c>
      <c r="J761" s="242">
        <f t="shared" ref="J761:J766" si="365">+D761-D750</f>
        <v>0</v>
      </c>
      <c r="K761" s="849">
        <f t="shared" ref="K761:K766" si="366">+E761-E750</f>
        <v>0</v>
      </c>
      <c r="L761" s="242">
        <f t="shared" si="363"/>
        <v>0</v>
      </c>
    </row>
    <row r="762" spans="1:12" ht="15.5">
      <c r="A762" s="180" t="s">
        <v>9</v>
      </c>
      <c r="B762" s="242">
        <f t="shared" si="360"/>
        <v>561928.15790981066</v>
      </c>
      <c r="C762" s="241">
        <f t="shared" si="361"/>
        <v>7.6563529024455193E-2</v>
      </c>
      <c r="D762" s="242">
        <v>561928.15790981066</v>
      </c>
      <c r="E762" s="242"/>
      <c r="F762" s="849"/>
      <c r="H762" s="250">
        <f t="shared" si="364"/>
        <v>8813.917106929468</v>
      </c>
      <c r="I762" s="241">
        <f t="shared" si="362"/>
        <v>9.2620653853968574E-2</v>
      </c>
      <c r="J762" s="242">
        <f t="shared" si="365"/>
        <v>8813.917106929468</v>
      </c>
      <c r="K762" s="849">
        <f t="shared" si="366"/>
        <v>0</v>
      </c>
      <c r="L762" s="242">
        <f t="shared" si="363"/>
        <v>0</v>
      </c>
    </row>
    <row r="763" spans="1:12" ht="15.5">
      <c r="A763" s="180" t="s">
        <v>162</v>
      </c>
      <c r="B763" s="242">
        <f t="shared" si="360"/>
        <v>0</v>
      </c>
      <c r="C763" s="241">
        <f t="shared" si="361"/>
        <v>0</v>
      </c>
      <c r="D763" s="242">
        <v>0</v>
      </c>
      <c r="E763" s="242"/>
      <c r="F763" s="849"/>
      <c r="H763" s="250">
        <f t="shared" si="364"/>
        <v>0</v>
      </c>
      <c r="I763" s="241">
        <f t="shared" si="362"/>
        <v>0</v>
      </c>
      <c r="J763" s="242">
        <f t="shared" si="365"/>
        <v>0</v>
      </c>
      <c r="K763" s="849">
        <f t="shared" si="366"/>
        <v>0</v>
      </c>
      <c r="L763" s="242">
        <f t="shared" si="363"/>
        <v>0</v>
      </c>
    </row>
    <row r="764" spans="1:12" ht="15.5">
      <c r="A764" s="180" t="s">
        <v>11</v>
      </c>
      <c r="B764" s="242">
        <f t="shared" si="360"/>
        <v>0</v>
      </c>
      <c r="C764" s="241">
        <f t="shared" si="361"/>
        <v>0</v>
      </c>
      <c r="D764" s="242">
        <v>0</v>
      </c>
      <c r="E764" s="242"/>
      <c r="F764" s="849"/>
      <c r="H764" s="250">
        <f t="shared" si="364"/>
        <v>0</v>
      </c>
      <c r="I764" s="241">
        <f t="shared" si="362"/>
        <v>0</v>
      </c>
      <c r="J764" s="242">
        <f t="shared" si="365"/>
        <v>0</v>
      </c>
      <c r="K764" s="849">
        <f t="shared" si="366"/>
        <v>0</v>
      </c>
      <c r="L764" s="242">
        <f t="shared" si="363"/>
        <v>0</v>
      </c>
    </row>
    <row r="765" spans="1:12" ht="15.5">
      <c r="A765" s="180" t="s">
        <v>12</v>
      </c>
      <c r="B765" s="242">
        <f t="shared" si="360"/>
        <v>134338</v>
      </c>
      <c r="C765" s="241">
        <f t="shared" si="361"/>
        <v>1.8303747938785555E-2</v>
      </c>
      <c r="D765" s="242">
        <v>134338</v>
      </c>
      <c r="E765" s="242"/>
      <c r="F765" s="849"/>
      <c r="H765" s="250">
        <f t="shared" si="364"/>
        <v>0</v>
      </c>
      <c r="I765" s="241">
        <f t="shared" si="362"/>
        <v>0</v>
      </c>
      <c r="J765" s="242">
        <f t="shared" si="365"/>
        <v>0</v>
      </c>
      <c r="K765" s="849">
        <f t="shared" si="366"/>
        <v>0</v>
      </c>
      <c r="L765" s="242">
        <f t="shared" si="363"/>
        <v>0</v>
      </c>
    </row>
    <row r="766" spans="1:12" ht="15.5">
      <c r="A766" s="180" t="s">
        <v>13</v>
      </c>
      <c r="B766" s="242">
        <f t="shared" si="360"/>
        <v>2735194.8112593116</v>
      </c>
      <c r="C766" s="241">
        <f t="shared" si="361"/>
        <v>0.37267427227414857</v>
      </c>
      <c r="D766" s="242">
        <v>2735194.8112593116</v>
      </c>
      <c r="E766" s="242">
        <v>0</v>
      </c>
      <c r="F766" s="849">
        <v>0</v>
      </c>
      <c r="H766" s="250">
        <f t="shared" si="364"/>
        <v>-102.61026810808107</v>
      </c>
      <c r="I766" s="241">
        <f t="shared" si="362"/>
        <v>-1.0782754147789311E-3</v>
      </c>
      <c r="J766" s="242">
        <f t="shared" si="365"/>
        <v>-102.61026810808107</v>
      </c>
      <c r="K766" s="849">
        <f t="shared" si="366"/>
        <v>0</v>
      </c>
      <c r="L766" s="242">
        <f t="shared" si="363"/>
        <v>0</v>
      </c>
    </row>
    <row r="767" spans="1:12" ht="15.5">
      <c r="A767" s="180"/>
      <c r="B767" s="242">
        <f t="shared" si="360"/>
        <v>0</v>
      </c>
      <c r="C767" s="241">
        <v>0</v>
      </c>
      <c r="D767" s="237"/>
      <c r="E767" s="242"/>
      <c r="F767" s="295"/>
      <c r="H767" s="250"/>
      <c r="I767" s="241">
        <f>+H767/$H$757</f>
        <v>0</v>
      </c>
      <c r="J767" s="242"/>
      <c r="K767" s="242"/>
      <c r="L767" s="242"/>
    </row>
    <row r="768" spans="1:12" ht="15.5">
      <c r="A768" s="180"/>
      <c r="B768" s="243">
        <f>SUM(B760:B767)</f>
        <v>7339371.174104644</v>
      </c>
      <c r="C768" s="240">
        <f>SUM(C760:C767)</f>
        <v>1</v>
      </c>
      <c r="D768" s="243">
        <f>SUM(D760:D767)</f>
        <v>3824629.6841046438</v>
      </c>
      <c r="E768" s="243">
        <f>SUM(E760:E767)</f>
        <v>1302441.54</v>
      </c>
      <c r="F768" s="243">
        <f>SUM(F760:F767)</f>
        <v>2212299.9500000002</v>
      </c>
      <c r="G768" s="32">
        <f>+B768-B757</f>
        <v>95161.464966831729</v>
      </c>
      <c r="H768" s="243">
        <f>SUM(H760:H767)</f>
        <v>95161.464966831612</v>
      </c>
      <c r="I768" s="240">
        <f>SUM(I760:I767)</f>
        <v>1</v>
      </c>
      <c r="J768" s="243">
        <f>SUM(J760:J767)</f>
        <v>7858.7349668313982</v>
      </c>
      <c r="K768" s="243">
        <f>SUM(K760:K767)</f>
        <v>15249.969999999972</v>
      </c>
      <c r="L768" s="243">
        <f>SUM(L760:L767)</f>
        <v>72052.760000000242</v>
      </c>
    </row>
    <row r="769" spans="1:12" ht="14.5" thickBot="1">
      <c r="H769" s="254">
        <f>+A770</f>
        <v>42001</v>
      </c>
      <c r="I769" s="254"/>
      <c r="J769" s="254">
        <f>+A759</f>
        <v>41971</v>
      </c>
    </row>
    <row r="770" spans="1:12" ht="16" thickBot="1">
      <c r="A770" s="253">
        <v>42001</v>
      </c>
      <c r="B770" s="251">
        <v>8.56</v>
      </c>
      <c r="C770" s="238" t="s">
        <v>3</v>
      </c>
      <c r="D770" s="238" t="s">
        <v>4</v>
      </c>
      <c r="E770" s="238" t="s">
        <v>5</v>
      </c>
      <c r="F770" s="238" t="s">
        <v>114</v>
      </c>
      <c r="H770" s="251">
        <f>+B770-B759</f>
        <v>4.0000000000000924E-2</v>
      </c>
      <c r="I770" s="238" t="s">
        <v>3</v>
      </c>
      <c r="J770" s="238" t="s">
        <v>4</v>
      </c>
      <c r="K770" s="238" t="s">
        <v>5</v>
      </c>
      <c r="L770" s="238" t="s">
        <v>114</v>
      </c>
    </row>
    <row r="771" spans="1:12" ht="15.5">
      <c r="A771" s="180" t="s">
        <v>7</v>
      </c>
      <c r="B771" s="250">
        <v>3949754.3197196261</v>
      </c>
      <c r="C771" s="241">
        <v>0.54246597923297646</v>
      </c>
      <c r="D771" s="242">
        <v>460437.33971962624</v>
      </c>
      <c r="E771" s="242">
        <v>1297662.8899999999</v>
      </c>
      <c r="F771" s="242">
        <v>2191654.09</v>
      </c>
      <c r="H771" s="250">
        <f>SUM(J771:L771)</f>
        <v>41844.114784104051</v>
      </c>
      <c r="I771" s="241">
        <f t="shared" ref="I771:I777" si="367">+H771/$H$779</f>
        <v>-0.71821280097817131</v>
      </c>
      <c r="J771" s="242">
        <f>+D771-D760</f>
        <v>67268.624784104526</v>
      </c>
      <c r="K771" s="849">
        <f>+E771-E760</f>
        <v>-4778.6500000001397</v>
      </c>
      <c r="L771" s="242">
        <f t="shared" ref="L771:L777" si="368">+F771-F760</f>
        <v>-20645.860000000335</v>
      </c>
    </row>
    <row r="772" spans="1:12" ht="15.5">
      <c r="A772" s="180" t="s">
        <v>8</v>
      </c>
      <c r="B772" s="242">
        <v>0</v>
      </c>
      <c r="C772" s="241">
        <v>0</v>
      </c>
      <c r="D772" s="242">
        <v>0</v>
      </c>
      <c r="E772" s="242"/>
      <c r="F772" s="849">
        <v>0</v>
      </c>
      <c r="H772" s="250">
        <f t="shared" ref="H772:H777" si="369">SUM(J772:L772)</f>
        <v>0</v>
      </c>
      <c r="I772" s="241">
        <f t="shared" si="367"/>
        <v>0</v>
      </c>
      <c r="J772" s="242">
        <f t="shared" ref="J772:J777" si="370">+D772-D761</f>
        <v>0</v>
      </c>
      <c r="K772" s="849">
        <f t="shared" ref="K772:K777" si="371">+E772-E761</f>
        <v>0</v>
      </c>
      <c r="L772" s="242">
        <f t="shared" si="368"/>
        <v>0</v>
      </c>
    </row>
    <row r="773" spans="1:12" ht="15.5">
      <c r="A773" s="180" t="s">
        <v>9</v>
      </c>
      <c r="B773" s="242">
        <v>461141.04568459868</v>
      </c>
      <c r="C773" s="241">
        <v>6.3333895899016751E-2</v>
      </c>
      <c r="D773" s="242">
        <v>461141.04568459868</v>
      </c>
      <c r="E773" s="242"/>
      <c r="F773" s="849"/>
      <c r="H773" s="250">
        <f t="shared" si="369"/>
        <v>-100787.11222521198</v>
      </c>
      <c r="I773" s="241">
        <f t="shared" si="367"/>
        <v>1.7299109933918202</v>
      </c>
      <c r="J773" s="242">
        <f t="shared" si="370"/>
        <v>-100787.11222521198</v>
      </c>
      <c r="K773" s="849">
        <f t="shared" si="371"/>
        <v>0</v>
      </c>
      <c r="L773" s="242">
        <f t="shared" si="368"/>
        <v>0</v>
      </c>
    </row>
    <row r="774" spans="1:12" ht="15.5">
      <c r="A774" s="180" t="s">
        <v>162</v>
      </c>
      <c r="B774" s="242">
        <v>0</v>
      </c>
      <c r="C774" s="241">
        <v>0</v>
      </c>
      <c r="D774" s="242">
        <v>0</v>
      </c>
      <c r="E774" s="242"/>
      <c r="F774" s="849"/>
      <c r="H774" s="250">
        <f t="shared" si="369"/>
        <v>0</v>
      </c>
      <c r="I774" s="241">
        <f t="shared" si="367"/>
        <v>0</v>
      </c>
      <c r="J774" s="242">
        <f t="shared" si="370"/>
        <v>0</v>
      </c>
      <c r="K774" s="849">
        <f t="shared" si="371"/>
        <v>0</v>
      </c>
      <c r="L774" s="242">
        <f t="shared" si="368"/>
        <v>0</v>
      </c>
    </row>
    <row r="775" spans="1:12" ht="15.5">
      <c r="A775" s="180" t="s">
        <v>11</v>
      </c>
      <c r="B775" s="242">
        <v>0</v>
      </c>
      <c r="C775" s="241">
        <v>0</v>
      </c>
      <c r="D775" s="242">
        <v>0</v>
      </c>
      <c r="E775" s="242"/>
      <c r="F775" s="849"/>
      <c r="H775" s="250">
        <f t="shared" si="369"/>
        <v>0</v>
      </c>
      <c r="I775" s="241">
        <f t="shared" si="367"/>
        <v>0</v>
      </c>
      <c r="J775" s="242">
        <f t="shared" si="370"/>
        <v>0</v>
      </c>
      <c r="K775" s="849">
        <f t="shared" si="371"/>
        <v>0</v>
      </c>
      <c r="L775" s="242">
        <f t="shared" si="368"/>
        <v>0</v>
      </c>
    </row>
    <row r="776" spans="1:12" ht="15.5">
      <c r="A776" s="180" t="s">
        <v>12</v>
      </c>
      <c r="B776" s="242">
        <v>134338</v>
      </c>
      <c r="C776" s="241">
        <v>1.8450209511606419E-2</v>
      </c>
      <c r="D776" s="242">
        <v>134338</v>
      </c>
      <c r="E776" s="242"/>
      <c r="F776" s="849"/>
      <c r="H776" s="250">
        <f t="shared" si="369"/>
        <v>0</v>
      </c>
      <c r="I776" s="241">
        <f t="shared" si="367"/>
        <v>0</v>
      </c>
      <c r="J776" s="242">
        <f t="shared" si="370"/>
        <v>0</v>
      </c>
      <c r="K776" s="849">
        <f t="shared" si="371"/>
        <v>0</v>
      </c>
      <c r="L776" s="242">
        <f t="shared" si="368"/>
        <v>0</v>
      </c>
    </row>
    <row r="777" spans="1:12" ht="15.5">
      <c r="A777" s="180" t="s">
        <v>13</v>
      </c>
      <c r="B777" s="242">
        <v>2735876.3648398891</v>
      </c>
      <c r="C777" s="241">
        <v>0.3757499153564004</v>
      </c>
      <c r="D777" s="242">
        <v>2735876.3648398891</v>
      </c>
      <c r="E777" s="242">
        <v>0</v>
      </c>
      <c r="F777" s="849">
        <v>0</v>
      </c>
      <c r="H777" s="250">
        <f t="shared" si="369"/>
        <v>681.55358057748526</v>
      </c>
      <c r="I777" s="241">
        <f t="shared" si="367"/>
        <v>-1.1698192413648844E-2</v>
      </c>
      <c r="J777" s="242">
        <f t="shared" si="370"/>
        <v>681.55358057748526</v>
      </c>
      <c r="K777" s="849">
        <f t="shared" si="371"/>
        <v>0</v>
      </c>
      <c r="L777" s="242">
        <f t="shared" si="368"/>
        <v>0</v>
      </c>
    </row>
    <row r="778" spans="1:12" ht="15.5">
      <c r="A778" s="180"/>
      <c r="B778" s="242">
        <v>0</v>
      </c>
      <c r="C778" s="241">
        <v>0</v>
      </c>
      <c r="D778" s="242"/>
      <c r="E778" s="242"/>
      <c r="F778" s="849"/>
      <c r="H778" s="250"/>
      <c r="I778" s="241">
        <f>+H778/$H$757</f>
        <v>0</v>
      </c>
      <c r="J778" s="242"/>
      <c r="K778" s="242"/>
      <c r="L778" s="242"/>
    </row>
    <row r="779" spans="1:12" ht="15.5">
      <c r="A779" s="180"/>
      <c r="B779" s="243">
        <v>7281109.7302441141</v>
      </c>
      <c r="C779" s="240">
        <v>1</v>
      </c>
      <c r="D779" s="243">
        <v>3791792.7502441141</v>
      </c>
      <c r="E779" s="243">
        <v>1297662.8899999999</v>
      </c>
      <c r="F779" s="243">
        <v>2191654.09</v>
      </c>
      <c r="G779" s="32">
        <f>+B779-B768</f>
        <v>-58261.443860529922</v>
      </c>
      <c r="H779" s="243">
        <f>SUM(H771:H778)</f>
        <v>-58261.443860530446</v>
      </c>
      <c r="I779" s="240">
        <f>SUM(I771:I778)</f>
        <v>1.0000000000000002</v>
      </c>
      <c r="J779" s="243">
        <f>SUM(J771:J778)</f>
        <v>-32836.933860529971</v>
      </c>
      <c r="K779" s="243">
        <f>SUM(K771:K778)</f>
        <v>-4778.6500000001397</v>
      </c>
      <c r="L779" s="243">
        <f>SUM(L771:L778)</f>
        <v>-20645.860000000335</v>
      </c>
    </row>
    <row r="780" spans="1:12" ht="14.5" thickBot="1">
      <c r="H780" s="254">
        <f>+A781</f>
        <v>42032</v>
      </c>
      <c r="I780" s="254"/>
      <c r="J780" s="254">
        <f>+A770</f>
        <v>42001</v>
      </c>
    </row>
    <row r="781" spans="1:12" ht="16" thickBot="1">
      <c r="A781" s="253">
        <v>42032</v>
      </c>
      <c r="B781" s="251">
        <v>8.65</v>
      </c>
      <c r="C781" s="238" t="s">
        <v>3</v>
      </c>
      <c r="D781" s="238" t="s">
        <v>4</v>
      </c>
      <c r="E781" s="238" t="s">
        <v>5</v>
      </c>
      <c r="F781" s="238" t="s">
        <v>114</v>
      </c>
      <c r="H781" s="251">
        <f>+B781-B770</f>
        <v>8.9999999999999858E-2</v>
      </c>
      <c r="I781" s="238" t="s">
        <v>3</v>
      </c>
      <c r="J781" s="238" t="s">
        <v>4</v>
      </c>
      <c r="K781" s="238" t="s">
        <v>5</v>
      </c>
      <c r="L781" s="238" t="s">
        <v>114</v>
      </c>
    </row>
    <row r="782" spans="1:12" ht="15.5">
      <c r="A782" s="180" t="s">
        <v>7</v>
      </c>
      <c r="B782" s="250">
        <f>SUM(D782:F782)</f>
        <v>3928046.3467254336</v>
      </c>
      <c r="C782" s="241">
        <f t="shared" ref="C782:C788" si="372">+B782/$B$790</f>
        <v>0.54112363129775987</v>
      </c>
      <c r="D782" s="242">
        <v>615542.34672543348</v>
      </c>
      <c r="E782" s="242">
        <v>1149956</v>
      </c>
      <c r="F782" s="242">
        <v>2162548</v>
      </c>
      <c r="H782" s="250">
        <f>SUM(J782:L782)</f>
        <v>-21707.972994192503</v>
      </c>
      <c r="I782" s="241">
        <f t="shared" ref="I782:I788" si="373">+H782/$H$790</f>
        <v>0.98428940707445423</v>
      </c>
      <c r="J782" s="242">
        <f>+D782-D771</f>
        <v>155105.00700580725</v>
      </c>
      <c r="K782" s="849">
        <f>+E782-E771</f>
        <v>-147706.8899999999</v>
      </c>
      <c r="L782" s="242">
        <f t="shared" ref="L782:L788" si="374">+F782-F771</f>
        <v>-29106.089999999851</v>
      </c>
    </row>
    <row r="783" spans="1:12" ht="15.5">
      <c r="A783" s="180" t="s">
        <v>8</v>
      </c>
      <c r="B783" s="242">
        <f t="shared" ref="B783:B788" si="375">SUM(D783:F783)</f>
        <v>0</v>
      </c>
      <c r="C783" s="241">
        <f t="shared" si="372"/>
        <v>0</v>
      </c>
      <c r="D783" s="242">
        <v>0</v>
      </c>
      <c r="E783" s="242"/>
      <c r="F783" s="849">
        <v>0</v>
      </c>
      <c r="H783" s="250">
        <f t="shared" ref="H783:H788" si="376">SUM(J783:L783)</f>
        <v>0</v>
      </c>
      <c r="I783" s="241">
        <f t="shared" si="373"/>
        <v>0</v>
      </c>
      <c r="J783" s="242">
        <f t="shared" ref="J783:J788" si="377">+D783-D772</f>
        <v>0</v>
      </c>
      <c r="K783" s="849">
        <f t="shared" ref="K783:K788" si="378">+E783-E772</f>
        <v>0</v>
      </c>
      <c r="L783" s="242">
        <f t="shared" si="374"/>
        <v>0</v>
      </c>
    </row>
    <row r="784" spans="1:12" ht="15.5">
      <c r="A784" s="180" t="s">
        <v>9</v>
      </c>
      <c r="B784" s="242">
        <f t="shared" si="375"/>
        <v>461224.07546909497</v>
      </c>
      <c r="C784" s="241">
        <f t="shared" si="372"/>
        <v>6.3537755038925989E-2</v>
      </c>
      <c r="D784" s="242">
        <v>461224.07546909497</v>
      </c>
      <c r="E784" s="242"/>
      <c r="F784" s="849"/>
      <c r="H784" s="250">
        <f t="shared" si="376"/>
        <v>83.029784496291541</v>
      </c>
      <c r="I784" s="241">
        <f t="shared" si="373"/>
        <v>-3.7647613332317275E-3</v>
      </c>
      <c r="J784" s="242">
        <f t="shared" si="377"/>
        <v>83.029784496291541</v>
      </c>
      <c r="K784" s="849">
        <f t="shared" si="378"/>
        <v>0</v>
      </c>
      <c r="L784" s="242">
        <f t="shared" si="374"/>
        <v>0</v>
      </c>
    </row>
    <row r="785" spans="1:12" ht="15.5">
      <c r="A785" s="180" t="s">
        <v>162</v>
      </c>
      <c r="B785" s="242">
        <f t="shared" si="375"/>
        <v>0</v>
      </c>
      <c r="C785" s="241">
        <f t="shared" si="372"/>
        <v>0</v>
      </c>
      <c r="D785" s="242">
        <v>0</v>
      </c>
      <c r="E785" s="242"/>
      <c r="F785" s="849"/>
      <c r="H785" s="250">
        <f t="shared" si="376"/>
        <v>0</v>
      </c>
      <c r="I785" s="241">
        <f t="shared" si="373"/>
        <v>0</v>
      </c>
      <c r="J785" s="242">
        <f t="shared" si="377"/>
        <v>0</v>
      </c>
      <c r="K785" s="849">
        <f t="shared" si="378"/>
        <v>0</v>
      </c>
      <c r="L785" s="242">
        <f t="shared" si="374"/>
        <v>0</v>
      </c>
    </row>
    <row r="786" spans="1:12" ht="15.5">
      <c r="A786" s="180" t="s">
        <v>11</v>
      </c>
      <c r="B786" s="242">
        <f t="shared" si="375"/>
        <v>0</v>
      </c>
      <c r="C786" s="241">
        <f t="shared" si="372"/>
        <v>0</v>
      </c>
      <c r="D786" s="242">
        <v>0</v>
      </c>
      <c r="E786" s="242"/>
      <c r="F786" s="849"/>
      <c r="H786" s="250">
        <f t="shared" si="376"/>
        <v>0</v>
      </c>
      <c r="I786" s="241">
        <f t="shared" si="373"/>
        <v>0</v>
      </c>
      <c r="J786" s="242">
        <f t="shared" si="377"/>
        <v>0</v>
      </c>
      <c r="K786" s="849">
        <f t="shared" si="378"/>
        <v>0</v>
      </c>
      <c r="L786" s="242">
        <f t="shared" si="374"/>
        <v>0</v>
      </c>
    </row>
    <row r="787" spans="1:12" ht="15.5">
      <c r="A787" s="180" t="s">
        <v>12</v>
      </c>
      <c r="B787" s="242">
        <f t="shared" si="375"/>
        <v>134338</v>
      </c>
      <c r="C787" s="241">
        <f t="shared" si="372"/>
        <v>1.8506264938008804E-2</v>
      </c>
      <c r="D787" s="242">
        <v>134338</v>
      </c>
      <c r="E787" s="242"/>
      <c r="F787" s="849"/>
      <c r="H787" s="250">
        <f t="shared" si="376"/>
        <v>0</v>
      </c>
      <c r="I787" s="241">
        <f t="shared" si="373"/>
        <v>0</v>
      </c>
      <c r="J787" s="242">
        <f t="shared" si="377"/>
        <v>0</v>
      </c>
      <c r="K787" s="849">
        <f t="shared" si="378"/>
        <v>0</v>
      </c>
      <c r="L787" s="242">
        <f t="shared" si="374"/>
        <v>0</v>
      </c>
    </row>
    <row r="788" spans="1:12" ht="15.5">
      <c r="A788" s="180" t="s">
        <v>13</v>
      </c>
      <c r="B788" s="242">
        <f t="shared" si="375"/>
        <v>2735446.8463860042</v>
      </c>
      <c r="C788" s="241">
        <f t="shared" si="372"/>
        <v>0.37683234872530535</v>
      </c>
      <c r="D788" s="242">
        <v>2735446.8463860042</v>
      </c>
      <c r="E788" s="242">
        <v>0</v>
      </c>
      <c r="F788" s="849">
        <v>0</v>
      </c>
      <c r="H788" s="250">
        <f t="shared" si="376"/>
        <v>-429.51845388486981</v>
      </c>
      <c r="I788" s="241">
        <f t="shared" si="373"/>
        <v>1.9475354258777541E-2</v>
      </c>
      <c r="J788" s="242">
        <f t="shared" si="377"/>
        <v>-429.51845388486981</v>
      </c>
      <c r="K788" s="849">
        <f t="shared" si="378"/>
        <v>0</v>
      </c>
      <c r="L788" s="242">
        <f t="shared" si="374"/>
        <v>0</v>
      </c>
    </row>
    <row r="789" spans="1:12" ht="15.5">
      <c r="A789" s="180"/>
      <c r="B789" s="242">
        <f>SUM(D789:E789)</f>
        <v>0</v>
      </c>
      <c r="C789" s="241">
        <f>+B789/$B$12</f>
        <v>0</v>
      </c>
      <c r="D789" s="242"/>
      <c r="E789" s="242"/>
      <c r="F789" s="849"/>
      <c r="H789" s="250"/>
      <c r="I789" s="241">
        <f>+H789/$H$757</f>
        <v>0</v>
      </c>
      <c r="J789" s="242"/>
      <c r="K789" s="242"/>
      <c r="L789" s="242"/>
    </row>
    <row r="790" spans="1:12" ht="15.5">
      <c r="A790" s="180"/>
      <c r="B790" s="243">
        <f>SUM(B782:B789)</f>
        <v>7259055.2685805326</v>
      </c>
      <c r="C790" s="240">
        <f>SUM(C782:C789)</f>
        <v>1</v>
      </c>
      <c r="D790" s="243">
        <f>SUM(D782:D789)</f>
        <v>3946551.2685805326</v>
      </c>
      <c r="E790" s="243">
        <f>SUM(E782:E788)</f>
        <v>1149956</v>
      </c>
      <c r="F790" s="243">
        <f>SUM(F782:F788)</f>
        <v>2162548</v>
      </c>
      <c r="G790" s="32">
        <f>+B790-B779</f>
        <v>-22054.461663581431</v>
      </c>
      <c r="H790" s="243">
        <f>SUM(H782:H789)</f>
        <v>-22054.461663581082</v>
      </c>
      <c r="I790" s="240">
        <f>SUM(I782:I789)</f>
        <v>1</v>
      </c>
      <c r="J790" s="243">
        <f>SUM(J782:J789)</f>
        <v>154758.51833641867</v>
      </c>
      <c r="K790" s="243">
        <f>SUM(K782:K789)</f>
        <v>-147706.8899999999</v>
      </c>
      <c r="L790" s="243">
        <f>SUM(L782:L789)</f>
        <v>-29106.089999999851</v>
      </c>
    </row>
    <row r="791" spans="1:12" ht="14.5" thickBot="1">
      <c r="H791" s="254">
        <f>+A792</f>
        <v>42063</v>
      </c>
      <c r="I791" s="254"/>
      <c r="J791" s="254">
        <f>+A781</f>
        <v>42032</v>
      </c>
    </row>
    <row r="792" spans="1:12" ht="16" thickBot="1">
      <c r="A792" s="253">
        <v>42063</v>
      </c>
      <c r="B792" s="251">
        <v>8.65</v>
      </c>
      <c r="C792" s="238" t="s">
        <v>3</v>
      </c>
      <c r="D792" s="238" t="s">
        <v>4</v>
      </c>
      <c r="E792" s="238" t="s">
        <v>5</v>
      </c>
      <c r="F792" s="238" t="s">
        <v>114</v>
      </c>
      <c r="H792" s="251">
        <f>+B792-B781</f>
        <v>0</v>
      </c>
      <c r="I792" s="238" t="s">
        <v>3</v>
      </c>
      <c r="J792" s="238" t="s">
        <v>4</v>
      </c>
      <c r="K792" s="238" t="s">
        <v>5</v>
      </c>
      <c r="L792" s="238" t="s">
        <v>114</v>
      </c>
    </row>
    <row r="793" spans="1:12" ht="15.5">
      <c r="A793" s="180" t="s">
        <v>7</v>
      </c>
      <c r="B793" s="250">
        <f>SUM(D793:F793)</f>
        <v>4090966.3189595379</v>
      </c>
      <c r="C793" s="241">
        <f t="shared" ref="C793:C799" si="379">+B793/$B$801</f>
        <v>0.55034159479172839</v>
      </c>
      <c r="D793" s="242">
        <v>661282.95895953756</v>
      </c>
      <c r="E793" s="242">
        <v>1185274.68</v>
      </c>
      <c r="F793" s="242">
        <v>2244408.6800000002</v>
      </c>
      <c r="H793" s="250">
        <f>SUM(J793:L793)</f>
        <v>162919.97223410418</v>
      </c>
      <c r="I793" s="241">
        <f t="shared" ref="I793:I799" si="380">+H793/$H$801</f>
        <v>0.93391443387409234</v>
      </c>
      <c r="J793" s="242">
        <f>+D793-D782</f>
        <v>45740.612234104075</v>
      </c>
      <c r="K793" s="849">
        <f>+E793-E782</f>
        <v>35318.679999999935</v>
      </c>
      <c r="L793" s="242">
        <f t="shared" ref="L793:L799" si="381">+F793-F782</f>
        <v>81860.680000000168</v>
      </c>
    </row>
    <row r="794" spans="1:12" ht="15.5">
      <c r="A794" s="180" t="s">
        <v>8</v>
      </c>
      <c r="B794" s="242">
        <f t="shared" ref="B794:B799" si="382">SUM(D794:F794)</f>
        <v>0</v>
      </c>
      <c r="C794" s="241">
        <f t="shared" si="379"/>
        <v>0</v>
      </c>
      <c r="D794" s="242">
        <v>0</v>
      </c>
      <c r="E794" s="242"/>
      <c r="F794" s="849">
        <v>0</v>
      </c>
      <c r="H794" s="250">
        <f t="shared" ref="H794:H799" si="383">SUM(J794:L794)</f>
        <v>0</v>
      </c>
      <c r="I794" s="241">
        <f t="shared" si="380"/>
        <v>0</v>
      </c>
      <c r="J794" s="242">
        <f t="shared" ref="J794:J799" si="384">+D794-D783</f>
        <v>0</v>
      </c>
      <c r="K794" s="849">
        <f t="shared" ref="K794:K799" si="385">+E794-E783</f>
        <v>0</v>
      </c>
      <c r="L794" s="242">
        <f t="shared" si="381"/>
        <v>0</v>
      </c>
    </row>
    <row r="795" spans="1:12" ht="15.5">
      <c r="A795" s="180" t="s">
        <v>9</v>
      </c>
      <c r="B795" s="242">
        <f t="shared" si="382"/>
        <v>472752.60335964843</v>
      </c>
      <c r="C795" s="241">
        <f t="shared" si="379"/>
        <v>6.3597546738312236E-2</v>
      </c>
      <c r="D795" s="242">
        <v>472752.60335964843</v>
      </c>
      <c r="E795" s="242"/>
      <c r="F795" s="849"/>
      <c r="H795" s="250">
        <f t="shared" si="383"/>
        <v>11528.527890553465</v>
      </c>
      <c r="I795" s="241">
        <f t="shared" si="380"/>
        <v>6.6085566125907616E-2</v>
      </c>
      <c r="J795" s="242">
        <f t="shared" si="384"/>
        <v>11528.527890553465</v>
      </c>
      <c r="K795" s="849">
        <f t="shared" si="385"/>
        <v>0</v>
      </c>
      <c r="L795" s="242">
        <f t="shared" si="381"/>
        <v>0</v>
      </c>
    </row>
    <row r="796" spans="1:12" ht="15.5">
      <c r="A796" s="180" t="s">
        <v>162</v>
      </c>
      <c r="B796" s="242">
        <f t="shared" si="382"/>
        <v>0</v>
      </c>
      <c r="C796" s="241">
        <f t="shared" si="379"/>
        <v>0</v>
      </c>
      <c r="D796" s="242">
        <v>0</v>
      </c>
      <c r="E796" s="242"/>
      <c r="F796" s="849"/>
      <c r="H796" s="250">
        <f t="shared" si="383"/>
        <v>0</v>
      </c>
      <c r="I796" s="241">
        <f t="shared" si="380"/>
        <v>0</v>
      </c>
      <c r="J796" s="242">
        <f t="shared" si="384"/>
        <v>0</v>
      </c>
      <c r="K796" s="849">
        <f t="shared" si="385"/>
        <v>0</v>
      </c>
      <c r="L796" s="242">
        <f t="shared" si="381"/>
        <v>0</v>
      </c>
    </row>
    <row r="797" spans="1:12" ht="15.5">
      <c r="A797" s="180" t="s">
        <v>11</v>
      </c>
      <c r="B797" s="242">
        <f t="shared" si="382"/>
        <v>0</v>
      </c>
      <c r="C797" s="241">
        <f t="shared" si="379"/>
        <v>0</v>
      </c>
      <c r="D797" s="242">
        <v>0</v>
      </c>
      <c r="E797" s="242"/>
      <c r="F797" s="849"/>
      <c r="H797" s="250">
        <f t="shared" si="383"/>
        <v>0</v>
      </c>
      <c r="I797" s="241">
        <f t="shared" si="380"/>
        <v>0</v>
      </c>
      <c r="J797" s="242">
        <f t="shared" si="384"/>
        <v>0</v>
      </c>
      <c r="K797" s="849">
        <f t="shared" si="385"/>
        <v>0</v>
      </c>
      <c r="L797" s="242">
        <f t="shared" si="381"/>
        <v>0</v>
      </c>
    </row>
    <row r="798" spans="1:12" ht="15.5">
      <c r="A798" s="180" t="s">
        <v>12</v>
      </c>
      <c r="B798" s="242">
        <f t="shared" si="382"/>
        <v>134338</v>
      </c>
      <c r="C798" s="241">
        <f t="shared" si="379"/>
        <v>1.8071962318167999E-2</v>
      </c>
      <c r="D798" s="242">
        <v>134338</v>
      </c>
      <c r="E798" s="242"/>
      <c r="F798" s="849"/>
      <c r="H798" s="250">
        <f t="shared" si="383"/>
        <v>0</v>
      </c>
      <c r="I798" s="241">
        <f t="shared" si="380"/>
        <v>0</v>
      </c>
      <c r="J798" s="242">
        <f t="shared" si="384"/>
        <v>0</v>
      </c>
      <c r="K798" s="849">
        <f t="shared" si="385"/>
        <v>0</v>
      </c>
      <c r="L798" s="242">
        <f t="shared" si="381"/>
        <v>0</v>
      </c>
    </row>
    <row r="799" spans="1:12" ht="15.5">
      <c r="A799" s="180" t="s">
        <v>13</v>
      </c>
      <c r="B799" s="242">
        <f t="shared" si="382"/>
        <v>2735446.8463860042</v>
      </c>
      <c r="C799" s="241">
        <f t="shared" si="379"/>
        <v>0.36798889615179142</v>
      </c>
      <c r="D799" s="242">
        <v>2735446.8463860042</v>
      </c>
      <c r="E799" s="242">
        <v>0</v>
      </c>
      <c r="F799" s="849">
        <v>0</v>
      </c>
      <c r="H799" s="250">
        <f t="shared" si="383"/>
        <v>0</v>
      </c>
      <c r="I799" s="241">
        <f t="shared" si="380"/>
        <v>0</v>
      </c>
      <c r="J799" s="242">
        <f t="shared" si="384"/>
        <v>0</v>
      </c>
      <c r="K799" s="849">
        <f t="shared" si="385"/>
        <v>0</v>
      </c>
      <c r="L799" s="242">
        <f t="shared" si="381"/>
        <v>0</v>
      </c>
    </row>
    <row r="800" spans="1:12" ht="15.5">
      <c r="A800" s="180"/>
      <c r="B800" s="242">
        <f>SUM(D800:E800)</f>
        <v>0</v>
      </c>
      <c r="C800" s="241">
        <f>+B800/$B$12</f>
        <v>0</v>
      </c>
      <c r="D800" s="242"/>
      <c r="E800" s="242"/>
      <c r="F800" s="849"/>
      <c r="H800" s="250"/>
      <c r="I800" s="241">
        <f>+H800/$H$757</f>
        <v>0</v>
      </c>
      <c r="J800" s="242"/>
      <c r="K800" s="242"/>
      <c r="L800" s="242"/>
    </row>
    <row r="801" spans="1:12" ht="15.5">
      <c r="A801" s="180"/>
      <c r="B801" s="243">
        <f>SUM(B793:B800)</f>
        <v>7433503.7687051902</v>
      </c>
      <c r="C801" s="240">
        <f>SUM(C793:C800)</f>
        <v>1</v>
      </c>
      <c r="D801" s="243">
        <f>SUM(D793:D800)</f>
        <v>4003820.4087051903</v>
      </c>
      <c r="E801" s="243">
        <f>SUM(E793:E799)</f>
        <v>1185274.68</v>
      </c>
      <c r="F801" s="243">
        <f>SUM(F793:F799)</f>
        <v>2244408.6800000002</v>
      </c>
      <c r="G801" s="32">
        <f>+B801-B790</f>
        <v>174448.50012465753</v>
      </c>
      <c r="H801" s="243">
        <f>SUM(H793:H800)</f>
        <v>174448.50012465764</v>
      </c>
      <c r="I801" s="240">
        <f>SUM(I793:I800)</f>
        <v>1</v>
      </c>
      <c r="J801" s="243">
        <f>SUM(J793:J800)</f>
        <v>57269.140124657541</v>
      </c>
      <c r="K801" s="243">
        <f>SUM(K793:K800)</f>
        <v>35318.679999999935</v>
      </c>
      <c r="L801" s="243">
        <f>SUM(L793:L800)</f>
        <v>81860.680000000168</v>
      </c>
    </row>
    <row r="802" spans="1:12" ht="14.5" thickBot="1">
      <c r="H802" s="254">
        <f>+A803</f>
        <v>42091</v>
      </c>
      <c r="I802" s="254"/>
      <c r="J802" s="254">
        <f>+A792</f>
        <v>42063</v>
      </c>
    </row>
    <row r="803" spans="1:12" ht="16" thickBot="1">
      <c r="A803" s="253">
        <v>42091</v>
      </c>
      <c r="B803" s="251">
        <v>8.65</v>
      </c>
      <c r="C803" s="238" t="s">
        <v>3</v>
      </c>
      <c r="D803" s="238" t="s">
        <v>4</v>
      </c>
      <c r="E803" s="238" t="s">
        <v>5</v>
      </c>
      <c r="F803" s="238" t="s">
        <v>114</v>
      </c>
      <c r="H803" s="251">
        <f>+B803-B792</f>
        <v>0</v>
      </c>
      <c r="I803" s="238" t="s">
        <v>3</v>
      </c>
      <c r="J803" s="238" t="s">
        <v>4</v>
      </c>
      <c r="K803" s="238" t="s">
        <v>5</v>
      </c>
      <c r="L803" s="238" t="s">
        <v>114</v>
      </c>
    </row>
    <row r="804" spans="1:12" ht="15.5">
      <c r="A804" s="180" t="s">
        <v>7</v>
      </c>
      <c r="B804" s="250">
        <f>SUM(D804:F804)</f>
        <v>4062860.8314285716</v>
      </c>
      <c r="C804" s="241">
        <f t="shared" ref="C804:C810" si="386">+B804/$B$812</f>
        <v>0.55036432927871326</v>
      </c>
      <c r="D804" s="242">
        <v>660980.79142857133</v>
      </c>
      <c r="E804" s="242">
        <v>1179417.1100000001</v>
      </c>
      <c r="F804" s="242">
        <v>2222462.9300000002</v>
      </c>
      <c r="H804" s="250">
        <f>SUM(J804:L804)</f>
        <v>-28105.487530966057</v>
      </c>
      <c r="I804" s="241">
        <f t="shared" ref="I804:I810" si="387">+H804/$H$812</f>
        <v>0.5470747958183978</v>
      </c>
      <c r="J804" s="242">
        <f>+D804-D793</f>
        <v>-302.16753096622415</v>
      </c>
      <c r="K804" s="849">
        <f>+E804-E793</f>
        <v>-5857.5699999998324</v>
      </c>
      <c r="L804" s="242">
        <f t="shared" ref="L804:L810" si="388">+F804-F793</f>
        <v>-21945.75</v>
      </c>
    </row>
    <row r="805" spans="1:12" ht="15.5">
      <c r="A805" s="180" t="s">
        <v>8</v>
      </c>
      <c r="B805" s="242">
        <f t="shared" ref="B805:B810" si="389">SUM(D805:F805)</f>
        <v>0</v>
      </c>
      <c r="C805" s="241">
        <f t="shared" si="386"/>
        <v>0</v>
      </c>
      <c r="D805" s="242">
        <v>0</v>
      </c>
      <c r="E805" s="242"/>
      <c r="F805" s="849">
        <v>0</v>
      </c>
      <c r="H805" s="250">
        <f t="shared" ref="H805:H810" si="390">SUM(J805:L805)</f>
        <v>0</v>
      </c>
      <c r="I805" s="241">
        <f t="shared" si="387"/>
        <v>0</v>
      </c>
      <c r="J805" s="242">
        <f t="shared" ref="J805:J810" si="391">+D805-D794</f>
        <v>0</v>
      </c>
      <c r="K805" s="849">
        <f t="shared" ref="K805:K810" si="392">+E805-E794</f>
        <v>0</v>
      </c>
      <c r="L805" s="242">
        <f t="shared" si="388"/>
        <v>0</v>
      </c>
    </row>
    <row r="806" spans="1:12" ht="15.5">
      <c r="A806" s="180" t="s">
        <v>9</v>
      </c>
      <c r="B806" s="242">
        <f t="shared" si="389"/>
        <v>478076.18022113503</v>
      </c>
      <c r="C806" s="241">
        <f t="shared" si="386"/>
        <v>6.4761282059227723E-2</v>
      </c>
      <c r="D806" s="242">
        <v>478076.18022113503</v>
      </c>
      <c r="E806" s="242"/>
      <c r="F806" s="849"/>
      <c r="H806" s="250">
        <f t="shared" si="390"/>
        <v>5323.5768614865956</v>
      </c>
      <c r="I806" s="241">
        <f t="shared" si="387"/>
        <v>-0.10362370413651459</v>
      </c>
      <c r="J806" s="242">
        <f t="shared" si="391"/>
        <v>5323.5768614865956</v>
      </c>
      <c r="K806" s="849">
        <f t="shared" si="392"/>
        <v>0</v>
      </c>
      <c r="L806" s="242">
        <f t="shared" si="388"/>
        <v>0</v>
      </c>
    </row>
    <row r="807" spans="1:12" ht="15.5">
      <c r="A807" s="180" t="s">
        <v>162</v>
      </c>
      <c r="B807" s="242">
        <f t="shared" si="389"/>
        <v>0</v>
      </c>
      <c r="C807" s="241">
        <f t="shared" si="386"/>
        <v>0</v>
      </c>
      <c r="D807" s="242">
        <v>0</v>
      </c>
      <c r="E807" s="242"/>
      <c r="F807" s="849"/>
      <c r="H807" s="250">
        <f t="shared" si="390"/>
        <v>0</v>
      </c>
      <c r="I807" s="241">
        <f t="shared" si="387"/>
        <v>0</v>
      </c>
      <c r="J807" s="242">
        <f t="shared" si="391"/>
        <v>0</v>
      </c>
      <c r="K807" s="849">
        <f t="shared" si="392"/>
        <v>0</v>
      </c>
      <c r="L807" s="242">
        <f t="shared" si="388"/>
        <v>0</v>
      </c>
    </row>
    <row r="808" spans="1:12" ht="15.5">
      <c r="A808" s="180" t="s">
        <v>11</v>
      </c>
      <c r="B808" s="242">
        <f t="shared" si="389"/>
        <v>0</v>
      </c>
      <c r="C808" s="241">
        <f t="shared" si="386"/>
        <v>0</v>
      </c>
      <c r="D808" s="242">
        <v>0</v>
      </c>
      <c r="E808" s="242"/>
      <c r="F808" s="849"/>
      <c r="H808" s="250">
        <f t="shared" si="390"/>
        <v>0</v>
      </c>
      <c r="I808" s="241">
        <f t="shared" si="387"/>
        <v>0</v>
      </c>
      <c r="J808" s="242">
        <f t="shared" si="391"/>
        <v>0</v>
      </c>
      <c r="K808" s="849">
        <f t="shared" si="392"/>
        <v>0</v>
      </c>
      <c r="L808" s="242">
        <f t="shared" si="388"/>
        <v>0</v>
      </c>
    </row>
    <row r="809" spans="1:12" ht="15.5">
      <c r="A809" s="180" t="s">
        <v>12</v>
      </c>
      <c r="B809" s="242">
        <f t="shared" si="389"/>
        <v>134338</v>
      </c>
      <c r="C809" s="241">
        <f t="shared" si="386"/>
        <v>1.8197729711713264E-2</v>
      </c>
      <c r="D809" s="242">
        <v>134338</v>
      </c>
      <c r="E809" s="242"/>
      <c r="F809" s="849"/>
      <c r="H809" s="250">
        <f t="shared" si="390"/>
        <v>0</v>
      </c>
      <c r="I809" s="241">
        <f t="shared" si="387"/>
        <v>0</v>
      </c>
      <c r="J809" s="242">
        <f t="shared" si="391"/>
        <v>0</v>
      </c>
      <c r="K809" s="849">
        <f t="shared" si="392"/>
        <v>0</v>
      </c>
      <c r="L809" s="242">
        <f t="shared" si="388"/>
        <v>0</v>
      </c>
    </row>
    <row r="810" spans="1:12" ht="15.5">
      <c r="A810" s="180" t="s">
        <v>13</v>
      </c>
      <c r="B810" s="242">
        <f t="shared" si="389"/>
        <v>2706854.6346396967</v>
      </c>
      <c r="C810" s="241">
        <f t="shared" si="386"/>
        <v>0.36667665895034585</v>
      </c>
      <c r="D810" s="242">
        <v>2706854.6346396967</v>
      </c>
      <c r="E810" s="242">
        <v>0</v>
      </c>
      <c r="F810" s="849">
        <v>0</v>
      </c>
      <c r="H810" s="250">
        <f t="shared" si="390"/>
        <v>-28592.211746307556</v>
      </c>
      <c r="I810" s="241">
        <f t="shared" si="387"/>
        <v>0.55654890831811676</v>
      </c>
      <c r="J810" s="242">
        <f t="shared" si="391"/>
        <v>-28592.211746307556</v>
      </c>
      <c r="K810" s="849">
        <f t="shared" si="392"/>
        <v>0</v>
      </c>
      <c r="L810" s="242">
        <f t="shared" si="388"/>
        <v>0</v>
      </c>
    </row>
    <row r="811" spans="1:12" ht="15.5">
      <c r="A811" s="180"/>
      <c r="B811" s="242">
        <f>SUM(D811:E811)</f>
        <v>0</v>
      </c>
      <c r="C811" s="241">
        <f>+B811/$B$12</f>
        <v>0</v>
      </c>
      <c r="D811" s="242"/>
      <c r="E811" s="242"/>
      <c r="F811" s="849"/>
      <c r="H811" s="250"/>
      <c r="I811" s="241">
        <f>+H811/$H$757</f>
        <v>0</v>
      </c>
      <c r="J811" s="242"/>
      <c r="K811" s="242"/>
      <c r="L811" s="242"/>
    </row>
    <row r="812" spans="1:12" ht="15.5">
      <c r="A812" s="180"/>
      <c r="B812" s="243">
        <f>SUM(B804:B811)</f>
        <v>7382129.6462894026</v>
      </c>
      <c r="C812" s="240">
        <f>SUM(C804:C811)</f>
        <v>1</v>
      </c>
      <c r="D812" s="243">
        <f>SUM(D804:D811)</f>
        <v>3980249.606289403</v>
      </c>
      <c r="E812" s="243">
        <f>SUM(E804:E810)</f>
        <v>1179417.1100000001</v>
      </c>
      <c r="F812" s="243">
        <f>SUM(F804:F810)</f>
        <v>2222462.9300000002</v>
      </c>
      <c r="G812" s="32">
        <f>+B812-B801</f>
        <v>-51374.12241578754</v>
      </c>
      <c r="H812" s="243">
        <f>SUM(H804:H811)</f>
        <v>-51374.122415787017</v>
      </c>
      <c r="I812" s="240">
        <f>SUM(I804:I811)</f>
        <v>1</v>
      </c>
      <c r="J812" s="243">
        <f>SUM(J804:J811)</f>
        <v>-23570.802415787184</v>
      </c>
      <c r="K812" s="243">
        <f>SUM(K804:K811)</f>
        <v>-5857.5699999998324</v>
      </c>
      <c r="L812" s="243">
        <f>SUM(L804:L811)</f>
        <v>-21945.75</v>
      </c>
    </row>
    <row r="813" spans="1:12" ht="16" thickBot="1">
      <c r="A813" s="452"/>
      <c r="B813" s="453" t="s">
        <v>164</v>
      </c>
      <c r="C813" s="452"/>
      <c r="D813" s="452"/>
      <c r="H813" s="254">
        <f>+A814</f>
        <v>42122</v>
      </c>
      <c r="I813" s="254"/>
      <c r="J813" s="254">
        <f>+A803</f>
        <v>42091</v>
      </c>
    </row>
    <row r="814" spans="1:12" ht="16" thickBot="1">
      <c r="A814" s="253">
        <v>42122</v>
      </c>
      <c r="B814" s="251">
        <v>8.907</v>
      </c>
      <c r="C814" s="238" t="s">
        <v>3</v>
      </c>
      <c r="D814" s="238" t="s">
        <v>4</v>
      </c>
      <c r="E814" s="238" t="s">
        <v>5</v>
      </c>
      <c r="F814" s="238" t="s">
        <v>114</v>
      </c>
      <c r="H814" s="251">
        <f>+B814-B803</f>
        <v>0.25699999999999967</v>
      </c>
      <c r="I814" s="238" t="s">
        <v>3</v>
      </c>
      <c r="J814" s="238" t="s">
        <v>4</v>
      </c>
      <c r="K814" s="238" t="s">
        <v>5</v>
      </c>
      <c r="L814" s="238" t="s">
        <v>114</v>
      </c>
    </row>
    <row r="815" spans="1:12" ht="15.5">
      <c r="A815" s="180" t="s">
        <v>7</v>
      </c>
      <c r="B815" s="250">
        <f>SUM(D815:F815)</f>
        <v>4087738.9700033679</v>
      </c>
      <c r="C815" s="241">
        <f t="shared" ref="C815:C821" si="393">+B815/$B$823</f>
        <v>0.54474633012230744</v>
      </c>
      <c r="D815" s="242">
        <v>1001962.4600033681</v>
      </c>
      <c r="E815" s="242">
        <v>826264.5</v>
      </c>
      <c r="F815" s="242">
        <v>2259512.0099999998</v>
      </c>
      <c r="H815" s="250">
        <f>SUM(J815:L815)</f>
        <v>24878.138574796263</v>
      </c>
      <c r="I815" s="241">
        <f t="shared" ref="I815:I821" si="394">+H815/$H$823</f>
        <v>0.20425144486119021</v>
      </c>
      <c r="J815" s="242">
        <f>+D815-D804</f>
        <v>340981.66857479676</v>
      </c>
      <c r="K815" s="849">
        <f>+E815-E804</f>
        <v>-353152.6100000001</v>
      </c>
      <c r="L815" s="242">
        <f t="shared" ref="L815:L821" si="395">+F815-F804</f>
        <v>37049.079999999609</v>
      </c>
    </row>
    <row r="816" spans="1:12" ht="15.5">
      <c r="A816" s="180" t="s">
        <v>8</v>
      </c>
      <c r="B816" s="242">
        <f t="shared" ref="B816:B821" si="396">SUM(D816:F816)</f>
        <v>0</v>
      </c>
      <c r="C816" s="241">
        <f t="shared" si="393"/>
        <v>0</v>
      </c>
      <c r="D816" s="242">
        <v>0</v>
      </c>
      <c r="E816" s="242"/>
      <c r="F816" s="849">
        <v>0</v>
      </c>
      <c r="H816" s="250">
        <f t="shared" ref="H816:H821" si="397">SUM(J816:L816)</f>
        <v>0</v>
      </c>
      <c r="I816" s="241">
        <f t="shared" si="394"/>
        <v>0</v>
      </c>
      <c r="J816" s="242">
        <f t="shared" ref="J816:J821" si="398">+D816-D805</f>
        <v>0</v>
      </c>
      <c r="K816" s="849">
        <f t="shared" ref="K816:K821" si="399">+E816-E805</f>
        <v>0</v>
      </c>
      <c r="L816" s="242">
        <f t="shared" si="395"/>
        <v>0</v>
      </c>
    </row>
    <row r="817" spans="1:12" ht="15.5">
      <c r="A817" s="180" t="s">
        <v>9</v>
      </c>
      <c r="B817" s="242">
        <f t="shared" si="396"/>
        <v>546709.91774127167</v>
      </c>
      <c r="C817" s="241">
        <f t="shared" si="393"/>
        <v>7.2856467479081963E-2</v>
      </c>
      <c r="D817" s="242">
        <v>546709.91774127167</v>
      </c>
      <c r="E817" s="242"/>
      <c r="F817" s="849"/>
      <c r="H817" s="250">
        <f t="shared" si="397"/>
        <v>68633.737520136638</v>
      </c>
      <c r="I817" s="241">
        <f t="shared" si="394"/>
        <v>0.56348830168964492</v>
      </c>
      <c r="J817" s="242">
        <f t="shared" si="398"/>
        <v>68633.737520136638</v>
      </c>
      <c r="K817" s="849">
        <f t="shared" si="399"/>
        <v>0</v>
      </c>
      <c r="L817" s="242">
        <f t="shared" si="395"/>
        <v>0</v>
      </c>
    </row>
    <row r="818" spans="1:12" ht="15.5">
      <c r="A818" s="180" t="s">
        <v>162</v>
      </c>
      <c r="B818" s="242">
        <f t="shared" si="396"/>
        <v>0</v>
      </c>
      <c r="C818" s="241">
        <f t="shared" si="393"/>
        <v>0</v>
      </c>
      <c r="D818" s="242">
        <v>0</v>
      </c>
      <c r="E818" s="242"/>
      <c r="F818" s="849"/>
      <c r="H818" s="250">
        <f t="shared" si="397"/>
        <v>0</v>
      </c>
      <c r="I818" s="241">
        <f t="shared" si="394"/>
        <v>0</v>
      </c>
      <c r="J818" s="242">
        <f t="shared" si="398"/>
        <v>0</v>
      </c>
      <c r="K818" s="849">
        <f t="shared" si="399"/>
        <v>0</v>
      </c>
      <c r="L818" s="242">
        <f t="shared" si="395"/>
        <v>0</v>
      </c>
    </row>
    <row r="819" spans="1:12" ht="15.5">
      <c r="A819" s="180" t="s">
        <v>11</v>
      </c>
      <c r="B819" s="242">
        <f t="shared" si="396"/>
        <v>0</v>
      </c>
      <c r="C819" s="241">
        <f t="shared" si="393"/>
        <v>0</v>
      </c>
      <c r="D819" s="242">
        <v>0</v>
      </c>
      <c r="E819" s="242"/>
      <c r="F819" s="849"/>
      <c r="H819" s="250">
        <f t="shared" si="397"/>
        <v>0</v>
      </c>
      <c r="I819" s="241">
        <f t="shared" si="394"/>
        <v>0</v>
      </c>
      <c r="J819" s="242">
        <f t="shared" si="398"/>
        <v>0</v>
      </c>
      <c r="K819" s="849">
        <f t="shared" si="399"/>
        <v>0</v>
      </c>
      <c r="L819" s="242">
        <f t="shared" si="395"/>
        <v>0</v>
      </c>
    </row>
    <row r="820" spans="1:12" ht="15.5">
      <c r="A820" s="180" t="s">
        <v>12</v>
      </c>
      <c r="B820" s="242">
        <f t="shared" si="396"/>
        <v>134338</v>
      </c>
      <c r="C820" s="241">
        <f t="shared" si="393"/>
        <v>1.7902349693309855E-2</v>
      </c>
      <c r="D820" s="242">
        <v>134338</v>
      </c>
      <c r="E820" s="242"/>
      <c r="F820" s="849"/>
      <c r="H820" s="250">
        <f t="shared" si="397"/>
        <v>0</v>
      </c>
      <c r="I820" s="241">
        <f t="shared" si="394"/>
        <v>0</v>
      </c>
      <c r="J820" s="242">
        <f t="shared" si="398"/>
        <v>0</v>
      </c>
      <c r="K820" s="849">
        <f t="shared" si="399"/>
        <v>0</v>
      </c>
      <c r="L820" s="242">
        <f t="shared" si="395"/>
        <v>0</v>
      </c>
    </row>
    <row r="821" spans="1:12" ht="15.5">
      <c r="A821" s="180" t="s">
        <v>13</v>
      </c>
      <c r="B821" s="242">
        <f t="shared" si="396"/>
        <v>2735144.2889657775</v>
      </c>
      <c r="C821" s="241">
        <f t="shared" si="393"/>
        <v>0.36449485270530074</v>
      </c>
      <c r="D821" s="242">
        <v>2735144.2889657775</v>
      </c>
      <c r="E821" s="242">
        <v>0</v>
      </c>
      <c r="F821" s="849">
        <v>0</v>
      </c>
      <c r="H821" s="250">
        <f t="shared" si="397"/>
        <v>28289.65432608081</v>
      </c>
      <c r="I821" s="241">
        <f t="shared" si="394"/>
        <v>0.23226025344916487</v>
      </c>
      <c r="J821" s="242">
        <f t="shared" si="398"/>
        <v>28289.65432608081</v>
      </c>
      <c r="K821" s="849">
        <f t="shared" si="399"/>
        <v>0</v>
      </c>
      <c r="L821" s="242">
        <f t="shared" si="395"/>
        <v>0</v>
      </c>
    </row>
    <row r="822" spans="1:12" ht="15.5">
      <c r="A822" s="180"/>
      <c r="B822" s="242">
        <f>SUM(D822:E822)</f>
        <v>0</v>
      </c>
      <c r="C822" s="241">
        <f>+B822/$B$12</f>
        <v>0</v>
      </c>
      <c r="D822" s="242"/>
      <c r="E822" s="242"/>
      <c r="F822" s="849"/>
      <c r="H822" s="250"/>
      <c r="I822" s="241">
        <f>+H822/$H$757</f>
        <v>0</v>
      </c>
      <c r="J822" s="242"/>
      <c r="K822" s="242"/>
      <c r="L822" s="242"/>
    </row>
    <row r="823" spans="1:12" ht="15.5">
      <c r="A823" s="180"/>
      <c r="B823" s="243">
        <f>SUM(B815:B822)</f>
        <v>7503931.1767104166</v>
      </c>
      <c r="C823" s="240">
        <f>SUM(C815:C822)</f>
        <v>1</v>
      </c>
      <c r="D823" s="243">
        <f>SUM(D815:D822)</f>
        <v>4418154.6667104177</v>
      </c>
      <c r="E823" s="243">
        <f>SUM(E815:E821)</f>
        <v>826264.5</v>
      </c>
      <c r="F823" s="243">
        <f>SUM(F815:F821)</f>
        <v>2259512.0099999998</v>
      </c>
      <c r="G823" s="32">
        <f>+B823-B812</f>
        <v>121801.53042101394</v>
      </c>
      <c r="H823" s="243">
        <f>SUM(H815:H822)</f>
        <v>121801.53042101371</v>
      </c>
      <c r="I823" s="240">
        <f>SUM(I815:I822)</f>
        <v>1</v>
      </c>
      <c r="J823" s="243">
        <f>SUM(J815:J822)</f>
        <v>437905.0604210142</v>
      </c>
      <c r="K823" s="243">
        <f>SUM(K815:K822)</f>
        <v>-353152.6100000001</v>
      </c>
      <c r="L823" s="243">
        <f>SUM(L815:L822)</f>
        <v>37049.079999999609</v>
      </c>
    </row>
    <row r="824" spans="1:12" ht="14.5" thickBot="1">
      <c r="H824" s="254">
        <f>+A825</f>
        <v>42152</v>
      </c>
      <c r="I824" s="254"/>
      <c r="J824" s="254">
        <f>+A814</f>
        <v>42122</v>
      </c>
    </row>
    <row r="825" spans="1:12" ht="16" thickBot="1">
      <c r="A825" s="253">
        <v>42152</v>
      </c>
      <c r="B825" s="251">
        <v>9</v>
      </c>
      <c r="C825" s="238" t="s">
        <v>3</v>
      </c>
      <c r="D825" s="238" t="s">
        <v>4</v>
      </c>
      <c r="E825" s="238" t="s">
        <v>5</v>
      </c>
      <c r="F825" s="238" t="s">
        <v>114</v>
      </c>
      <c r="H825" s="251">
        <f>+B825-B814</f>
        <v>9.2999999999999972E-2</v>
      </c>
      <c r="I825" s="238" t="s">
        <v>3</v>
      </c>
      <c r="J825" s="238" t="s">
        <v>4</v>
      </c>
      <c r="K825" s="238" t="s">
        <v>5</v>
      </c>
      <c r="L825" s="238" t="s">
        <v>114</v>
      </c>
    </row>
    <row r="826" spans="1:12" ht="15.5">
      <c r="A826" s="180" t="s">
        <v>7</v>
      </c>
      <c r="B826" s="250">
        <f>SUM(D826:F826)</f>
        <v>4088837.3633333333</v>
      </c>
      <c r="C826" s="241">
        <f t="shared" ref="C826:C832" si="400">+B826/$B$823</f>
        <v>0.54489270584245997</v>
      </c>
      <c r="D826" s="242">
        <v>993982.49333333329</v>
      </c>
      <c r="E826" s="242">
        <v>836683.28</v>
      </c>
      <c r="F826" s="242">
        <v>2258171.59</v>
      </c>
      <c r="H826" s="250">
        <f>SUM(J826:L826)</f>
        <v>1098.3933299652999</v>
      </c>
      <c r="I826" s="241">
        <f t="shared" ref="I826:I832" si="401">+H826/$H$834</f>
        <v>6.5008439920923949E-2</v>
      </c>
      <c r="J826" s="242">
        <f>+D826-D815</f>
        <v>-7979.9666700348025</v>
      </c>
      <c r="K826" s="849">
        <f>+E826-E815</f>
        <v>10418.780000000028</v>
      </c>
      <c r="L826" s="242">
        <f t="shared" ref="L826:L832" si="402">+F826-F815</f>
        <v>-1340.4199999999255</v>
      </c>
    </row>
    <row r="827" spans="1:12" ht="15.5">
      <c r="A827" s="180" t="s">
        <v>8</v>
      </c>
      <c r="B827" s="242">
        <f t="shared" ref="B827:B832" si="403">SUM(D827:F827)</f>
        <v>0</v>
      </c>
      <c r="C827" s="241">
        <f t="shared" si="400"/>
        <v>0</v>
      </c>
      <c r="D827" s="242">
        <v>0</v>
      </c>
      <c r="E827" s="242"/>
      <c r="F827" s="849">
        <v>0</v>
      </c>
      <c r="H827" s="250">
        <f t="shared" ref="H827:H832" si="404">SUM(J827:L827)</f>
        <v>0</v>
      </c>
      <c r="I827" s="241">
        <f t="shared" si="401"/>
        <v>0</v>
      </c>
      <c r="J827" s="242">
        <f t="shared" ref="J827:J832" si="405">+D827-D816</f>
        <v>0</v>
      </c>
      <c r="K827" s="849">
        <f t="shared" ref="K827:K832" si="406">+E827-E816</f>
        <v>0</v>
      </c>
      <c r="L827" s="242">
        <f t="shared" si="402"/>
        <v>0</v>
      </c>
    </row>
    <row r="828" spans="1:12" ht="15.5">
      <c r="A828" s="180" t="s">
        <v>9</v>
      </c>
      <c r="B828" s="242">
        <f t="shared" si="403"/>
        <v>562507.68945235922</v>
      </c>
      <c r="C828" s="241">
        <f t="shared" si="400"/>
        <v>7.4961733550833562E-2</v>
      </c>
      <c r="D828" s="242">
        <v>562507.68945235922</v>
      </c>
      <c r="E828" s="242"/>
      <c r="F828" s="849"/>
      <c r="H828" s="250">
        <f t="shared" si="404"/>
        <v>15797.771711087553</v>
      </c>
      <c r="I828" s="241">
        <f t="shared" si="401"/>
        <v>0.93499156007907602</v>
      </c>
      <c r="J828" s="242">
        <f t="shared" si="405"/>
        <v>15797.771711087553</v>
      </c>
      <c r="K828" s="849">
        <f t="shared" si="406"/>
        <v>0</v>
      </c>
      <c r="L828" s="242">
        <f t="shared" si="402"/>
        <v>0</v>
      </c>
    </row>
    <row r="829" spans="1:12" ht="15.5">
      <c r="A829" s="180" t="s">
        <v>162</v>
      </c>
      <c r="B829" s="242">
        <f t="shared" si="403"/>
        <v>0</v>
      </c>
      <c r="C829" s="241">
        <f t="shared" si="400"/>
        <v>0</v>
      </c>
      <c r="D829" s="242">
        <v>0</v>
      </c>
      <c r="E829" s="242"/>
      <c r="F829" s="849"/>
      <c r="H829" s="250">
        <f t="shared" si="404"/>
        <v>0</v>
      </c>
      <c r="I829" s="241">
        <f t="shared" si="401"/>
        <v>0</v>
      </c>
      <c r="J829" s="242">
        <f t="shared" si="405"/>
        <v>0</v>
      </c>
      <c r="K829" s="849">
        <f t="shared" si="406"/>
        <v>0</v>
      </c>
      <c r="L829" s="242">
        <f t="shared" si="402"/>
        <v>0</v>
      </c>
    </row>
    <row r="830" spans="1:12" ht="15.5">
      <c r="A830" s="180" t="s">
        <v>11</v>
      </c>
      <c r="B830" s="242">
        <f t="shared" si="403"/>
        <v>0</v>
      </c>
      <c r="C830" s="241">
        <f t="shared" si="400"/>
        <v>0</v>
      </c>
      <c r="D830" s="242">
        <v>0</v>
      </c>
      <c r="E830" s="242"/>
      <c r="F830" s="849"/>
      <c r="H830" s="250">
        <f t="shared" si="404"/>
        <v>0</v>
      </c>
      <c r="I830" s="241">
        <f t="shared" si="401"/>
        <v>0</v>
      </c>
      <c r="J830" s="242">
        <f t="shared" si="405"/>
        <v>0</v>
      </c>
      <c r="K830" s="849">
        <f t="shared" si="406"/>
        <v>0</v>
      </c>
      <c r="L830" s="242">
        <f t="shared" si="402"/>
        <v>0</v>
      </c>
    </row>
    <row r="831" spans="1:12" ht="15.5">
      <c r="A831" s="180" t="s">
        <v>12</v>
      </c>
      <c r="B831" s="242">
        <f t="shared" si="403"/>
        <v>134338</v>
      </c>
      <c r="C831" s="241">
        <f t="shared" si="400"/>
        <v>1.7902349693309855E-2</v>
      </c>
      <c r="D831" s="242">
        <v>134338</v>
      </c>
      <c r="E831" s="242"/>
      <c r="F831" s="849"/>
      <c r="H831" s="250">
        <f t="shared" si="404"/>
        <v>0</v>
      </c>
      <c r="I831" s="241">
        <f t="shared" si="401"/>
        <v>0</v>
      </c>
      <c r="J831" s="242">
        <f t="shared" si="405"/>
        <v>0</v>
      </c>
      <c r="K831" s="849">
        <f t="shared" si="406"/>
        <v>0</v>
      </c>
      <c r="L831" s="242">
        <f t="shared" si="402"/>
        <v>0</v>
      </c>
    </row>
    <row r="832" spans="1:12" ht="15.5">
      <c r="A832" s="180" t="s">
        <v>13</v>
      </c>
      <c r="B832" s="242">
        <f t="shared" si="403"/>
        <v>2735144.2889657775</v>
      </c>
      <c r="C832" s="241">
        <f t="shared" si="400"/>
        <v>0.36449485270530074</v>
      </c>
      <c r="D832" s="242">
        <v>2735144.2889657775</v>
      </c>
      <c r="E832" s="242">
        <v>0</v>
      </c>
      <c r="F832" s="849">
        <v>0</v>
      </c>
      <c r="H832" s="250">
        <f t="shared" si="404"/>
        <v>0</v>
      </c>
      <c r="I832" s="241">
        <f t="shared" si="401"/>
        <v>0</v>
      </c>
      <c r="J832" s="242">
        <f t="shared" si="405"/>
        <v>0</v>
      </c>
      <c r="K832" s="849">
        <f t="shared" si="406"/>
        <v>0</v>
      </c>
      <c r="L832" s="242">
        <f t="shared" si="402"/>
        <v>0</v>
      </c>
    </row>
    <row r="833" spans="1:12" ht="15.5">
      <c r="A833" s="180"/>
      <c r="B833" s="242">
        <f>SUM(D833:E833)</f>
        <v>0</v>
      </c>
      <c r="C833" s="241">
        <f>+B833/$B$12</f>
        <v>0</v>
      </c>
      <c r="D833" s="242"/>
      <c r="E833" s="242"/>
      <c r="F833" s="849"/>
      <c r="H833" s="250"/>
      <c r="I833" s="241">
        <f>+H833/$H$757</f>
        <v>0</v>
      </c>
      <c r="J833" s="242"/>
      <c r="K833" s="242"/>
      <c r="L833" s="242"/>
    </row>
    <row r="834" spans="1:12" ht="15.5">
      <c r="A834" s="180"/>
      <c r="B834" s="243">
        <f>SUM(B826:B833)</f>
        <v>7520827.3417514702</v>
      </c>
      <c r="C834" s="240">
        <f>SUM(C826:C833)</f>
        <v>1.0022516417919041</v>
      </c>
      <c r="D834" s="243">
        <f>SUM(D826:D833)</f>
        <v>4425972.4717514701</v>
      </c>
      <c r="E834" s="243">
        <f>SUM(E826:E832)</f>
        <v>836683.28</v>
      </c>
      <c r="F834" s="243">
        <f>SUM(F826:F832)</f>
        <v>2258171.59</v>
      </c>
      <c r="G834" s="32">
        <f>+B834-B823</f>
        <v>16896.165041053668</v>
      </c>
      <c r="H834" s="243">
        <f>SUM(H826:H833)</f>
        <v>16896.165041052853</v>
      </c>
      <c r="I834" s="240">
        <f>SUM(I826:I833)</f>
        <v>1</v>
      </c>
      <c r="J834" s="243">
        <f>SUM(J826:J833)</f>
        <v>7817.8050410527503</v>
      </c>
      <c r="K834" s="243">
        <f>SUM(K826:K833)</f>
        <v>10418.780000000028</v>
      </c>
      <c r="L834" s="243">
        <f>SUM(L826:L833)</f>
        <v>-1340.4199999999255</v>
      </c>
    </row>
    <row r="835" spans="1:12" ht="14.5" thickBot="1">
      <c r="H835" s="254">
        <f>+A836</f>
        <v>42183</v>
      </c>
      <c r="I835" s="254"/>
      <c r="J835" s="254">
        <f>+A825</f>
        <v>42152</v>
      </c>
    </row>
    <row r="836" spans="1:12" ht="16" thickBot="1">
      <c r="A836" s="253">
        <v>42183</v>
      </c>
      <c r="B836" s="251">
        <v>9.1</v>
      </c>
      <c r="C836" s="238" t="s">
        <v>3</v>
      </c>
      <c r="D836" s="238" t="s">
        <v>4</v>
      </c>
      <c r="E836" s="238" t="s">
        <v>5</v>
      </c>
      <c r="F836" s="238" t="s">
        <v>114</v>
      </c>
      <c r="H836" s="251">
        <f>+B836-B825</f>
        <v>9.9999999999999645E-2</v>
      </c>
      <c r="I836" s="238" t="s">
        <v>3</v>
      </c>
      <c r="J836" s="238" t="s">
        <v>4</v>
      </c>
      <c r="K836" s="238" t="s">
        <v>5</v>
      </c>
      <c r="L836" s="238" t="s">
        <v>114</v>
      </c>
    </row>
    <row r="837" spans="1:12" ht="15.5">
      <c r="A837" s="180" t="s">
        <v>7</v>
      </c>
      <c r="B837" s="250">
        <f>SUM(D837:F837)</f>
        <v>4021254.4542857143</v>
      </c>
      <c r="C837" s="241">
        <f t="shared" ref="C837:C843" si="407">+B837/$B$845</f>
        <v>0.53785232991438314</v>
      </c>
      <c r="D837" s="242">
        <v>990938.46428571432</v>
      </c>
      <c r="E837" s="242">
        <v>831951.64</v>
      </c>
      <c r="F837" s="242">
        <v>2198364.35</v>
      </c>
      <c r="H837" s="250">
        <f>SUM(J837:L837)</f>
        <v>-67582.909047618741</v>
      </c>
      <c r="I837" s="241">
        <f t="shared" ref="I837:I843" si="408">+H837/$H$845</f>
        <v>1.5247291195777912</v>
      </c>
      <c r="J837" s="242">
        <f>+D837-D826</f>
        <v>-3044.0290476189693</v>
      </c>
      <c r="K837" s="849">
        <f>+E837-E826</f>
        <v>-4731.640000000014</v>
      </c>
      <c r="L837" s="242">
        <f t="shared" ref="L837:L843" si="409">+F837-F826</f>
        <v>-59807.239999999758</v>
      </c>
    </row>
    <row r="838" spans="1:12" ht="15.5">
      <c r="A838" s="180" t="s">
        <v>8</v>
      </c>
      <c r="B838" s="242">
        <f t="shared" ref="B838:B843" si="410">SUM(D838:F838)</f>
        <v>0</v>
      </c>
      <c r="C838" s="241">
        <f t="shared" si="407"/>
        <v>0</v>
      </c>
      <c r="D838" s="242">
        <v>0</v>
      </c>
      <c r="E838" s="242"/>
      <c r="F838" s="849">
        <v>0</v>
      </c>
      <c r="H838" s="250">
        <f t="shared" ref="H838:H843" si="411">SUM(J838:L838)</f>
        <v>0</v>
      </c>
      <c r="I838" s="241">
        <f t="shared" si="408"/>
        <v>0</v>
      </c>
      <c r="J838" s="242">
        <f t="shared" ref="J838:J843" si="412">+D838-D827</f>
        <v>0</v>
      </c>
      <c r="K838" s="849">
        <f t="shared" ref="K838:K843" si="413">+E838-E827</f>
        <v>0</v>
      </c>
      <c r="L838" s="242">
        <f t="shared" si="409"/>
        <v>0</v>
      </c>
    </row>
    <row r="839" spans="1:12" ht="15.5">
      <c r="A839" s="180" t="s">
        <v>9</v>
      </c>
      <c r="B839" s="242">
        <f t="shared" si="410"/>
        <v>585766.06361713074</v>
      </c>
      <c r="C839" s="241">
        <f t="shared" si="407"/>
        <v>7.8347601645918002E-2</v>
      </c>
      <c r="D839" s="242">
        <v>585766.06361713074</v>
      </c>
      <c r="E839" s="242"/>
      <c r="F839" s="849"/>
      <c r="H839" s="250">
        <f t="shared" si="411"/>
        <v>23258.374164771521</v>
      </c>
      <c r="I839" s="241">
        <f t="shared" si="408"/>
        <v>-0.52472911957779134</v>
      </c>
      <c r="J839" s="242">
        <f t="shared" si="412"/>
        <v>23258.374164771521</v>
      </c>
      <c r="K839" s="849">
        <f t="shared" si="413"/>
        <v>0</v>
      </c>
      <c r="L839" s="242">
        <f t="shared" si="409"/>
        <v>0</v>
      </c>
    </row>
    <row r="840" spans="1:12" ht="15.5">
      <c r="A840" s="180" t="s">
        <v>162</v>
      </c>
      <c r="B840" s="242">
        <f t="shared" si="410"/>
        <v>0</v>
      </c>
      <c r="C840" s="241">
        <f t="shared" si="407"/>
        <v>0</v>
      </c>
      <c r="D840" s="242">
        <v>0</v>
      </c>
      <c r="E840" s="242"/>
      <c r="F840" s="849"/>
      <c r="H840" s="250">
        <f t="shared" si="411"/>
        <v>0</v>
      </c>
      <c r="I840" s="241">
        <f t="shared" si="408"/>
        <v>0</v>
      </c>
      <c r="J840" s="242">
        <f t="shared" si="412"/>
        <v>0</v>
      </c>
      <c r="K840" s="849">
        <f t="shared" si="413"/>
        <v>0</v>
      </c>
      <c r="L840" s="242">
        <f t="shared" si="409"/>
        <v>0</v>
      </c>
    </row>
    <row r="841" spans="1:12" ht="15.5">
      <c r="A841" s="180" t="s">
        <v>11</v>
      </c>
      <c r="B841" s="242">
        <f t="shared" si="410"/>
        <v>0</v>
      </c>
      <c r="C841" s="241">
        <f t="shared" si="407"/>
        <v>0</v>
      </c>
      <c r="D841" s="242">
        <v>0</v>
      </c>
      <c r="E841" s="242"/>
      <c r="F841" s="849"/>
      <c r="H841" s="250">
        <f t="shared" si="411"/>
        <v>0</v>
      </c>
      <c r="I841" s="241">
        <f t="shared" si="408"/>
        <v>0</v>
      </c>
      <c r="J841" s="242">
        <f t="shared" si="412"/>
        <v>0</v>
      </c>
      <c r="K841" s="849">
        <f t="shared" si="413"/>
        <v>0</v>
      </c>
      <c r="L841" s="242">
        <f t="shared" si="409"/>
        <v>0</v>
      </c>
    </row>
    <row r="842" spans="1:12" ht="15.5">
      <c r="A842" s="180" t="s">
        <v>12</v>
      </c>
      <c r="B842" s="242">
        <f t="shared" si="410"/>
        <v>134338</v>
      </c>
      <c r="C842" s="241">
        <f t="shared" si="407"/>
        <v>1.7968026424946219E-2</v>
      </c>
      <c r="D842" s="242">
        <v>134338</v>
      </c>
      <c r="E842" s="242"/>
      <c r="F842" s="849"/>
      <c r="H842" s="250">
        <f t="shared" si="411"/>
        <v>0</v>
      </c>
      <c r="I842" s="241">
        <f t="shared" si="408"/>
        <v>0</v>
      </c>
      <c r="J842" s="242">
        <f t="shared" si="412"/>
        <v>0</v>
      </c>
      <c r="K842" s="849">
        <f t="shared" si="413"/>
        <v>0</v>
      </c>
      <c r="L842" s="242">
        <f t="shared" si="409"/>
        <v>0</v>
      </c>
    </row>
    <row r="843" spans="1:12" ht="15.5">
      <c r="A843" s="180" t="s">
        <v>13</v>
      </c>
      <c r="B843" s="242">
        <f t="shared" si="410"/>
        <v>2735144.2889657775</v>
      </c>
      <c r="C843" s="241">
        <f t="shared" si="407"/>
        <v>0.36583204201475256</v>
      </c>
      <c r="D843" s="242">
        <v>2735144.2889657775</v>
      </c>
      <c r="E843" s="242">
        <v>0</v>
      </c>
      <c r="F843" s="849">
        <v>0</v>
      </c>
      <c r="H843" s="250">
        <f t="shared" si="411"/>
        <v>0</v>
      </c>
      <c r="I843" s="241">
        <f t="shared" si="408"/>
        <v>0</v>
      </c>
      <c r="J843" s="242">
        <f t="shared" si="412"/>
        <v>0</v>
      </c>
      <c r="K843" s="849">
        <f t="shared" si="413"/>
        <v>0</v>
      </c>
      <c r="L843" s="242">
        <f t="shared" si="409"/>
        <v>0</v>
      </c>
    </row>
    <row r="844" spans="1:12" ht="15.5">
      <c r="A844" s="180"/>
      <c r="B844" s="242">
        <f>SUM(D844:E844)</f>
        <v>0</v>
      </c>
      <c r="C844" s="241">
        <f>+B844/$B$12</f>
        <v>0</v>
      </c>
      <c r="D844" s="242"/>
      <c r="E844" s="242"/>
      <c r="F844" s="849"/>
      <c r="H844" s="250"/>
      <c r="I844" s="241">
        <f>+H844/$H$757</f>
        <v>0</v>
      </c>
      <c r="J844" s="242"/>
      <c r="K844" s="242"/>
      <c r="L844" s="242"/>
    </row>
    <row r="845" spans="1:12" ht="15.5">
      <c r="A845" s="180"/>
      <c r="B845" s="243">
        <f>SUM(B837:B844)</f>
        <v>7476502.806868623</v>
      </c>
      <c r="C845" s="240">
        <f>SUM(C837:C844)</f>
        <v>1</v>
      </c>
      <c r="D845" s="243">
        <f>SUM(D837:D844)</f>
        <v>4446186.8168686228</v>
      </c>
      <c r="E845" s="243">
        <f>SUM(E837:E843)</f>
        <v>831951.64</v>
      </c>
      <c r="F845" s="243">
        <f>SUM(F837:F843)</f>
        <v>2198364.35</v>
      </c>
      <c r="G845" s="32">
        <f>+B845-B834</f>
        <v>-44324.53488284722</v>
      </c>
      <c r="H845" s="243">
        <f>SUM(H837:H844)</f>
        <v>-44324.53488284722</v>
      </c>
      <c r="I845" s="240">
        <f>SUM(I837:I844)</f>
        <v>0.99999999999999989</v>
      </c>
      <c r="J845" s="243">
        <f>SUM(J837:J844)</f>
        <v>20214.345117152552</v>
      </c>
      <c r="K845" s="243">
        <f>SUM(K837:K844)</f>
        <v>-4731.640000000014</v>
      </c>
      <c r="L845" s="243">
        <f>SUM(L837:L844)</f>
        <v>-59807.239999999758</v>
      </c>
    </row>
    <row r="846" spans="1:12" ht="14.5" thickBot="1">
      <c r="H846" s="254">
        <f>+A847</f>
        <v>42213</v>
      </c>
      <c r="I846" s="254"/>
      <c r="J846" s="254">
        <f>+A836</f>
        <v>42183</v>
      </c>
    </row>
    <row r="847" spans="1:12" ht="16" thickBot="1">
      <c r="A847" s="253">
        <v>42213</v>
      </c>
      <c r="B847" s="251">
        <v>9.19</v>
      </c>
      <c r="C847" s="238" t="s">
        <v>3</v>
      </c>
      <c r="D847" s="238" t="s">
        <v>4</v>
      </c>
      <c r="E847" s="238" t="s">
        <v>5</v>
      </c>
      <c r="F847" s="238" t="s">
        <v>114</v>
      </c>
      <c r="H847" s="251">
        <f>+B847-B836</f>
        <v>8.9999999999999858E-2</v>
      </c>
      <c r="I847" s="238" t="s">
        <v>3</v>
      </c>
      <c r="J847" s="238" t="s">
        <v>4</v>
      </c>
      <c r="K847" s="238" t="s">
        <v>5</v>
      </c>
      <c r="L847" s="238" t="s">
        <v>114</v>
      </c>
    </row>
    <row r="848" spans="1:12" ht="15.5">
      <c r="A848" s="180" t="s">
        <v>7</v>
      </c>
      <c r="B848" s="250">
        <f>SUM(D848:F848)</f>
        <v>4025588.6816757349</v>
      </c>
      <c r="C848" s="241">
        <f>+B848/$B$856</f>
        <v>0.53564632942428458</v>
      </c>
      <c r="D848" s="242">
        <v>986456.09167573461</v>
      </c>
      <c r="E848" s="242">
        <v>833195.24</v>
      </c>
      <c r="F848" s="242">
        <v>2205937.35</v>
      </c>
      <c r="H848" s="250">
        <f>SUM(J848:L848)</f>
        <v>4334.2273900202708</v>
      </c>
      <c r="I848" s="241">
        <f>+H848/$H$856</f>
        <v>0.11146919014317541</v>
      </c>
      <c r="J848" s="242">
        <f>+D848-D837</f>
        <v>-4482.3726099797059</v>
      </c>
      <c r="K848" s="849">
        <f>+E848-E837</f>
        <v>1243.5999999999767</v>
      </c>
      <c r="L848" s="242">
        <f t="shared" ref="L848:L854" si="414">+F848-F837</f>
        <v>7573</v>
      </c>
    </row>
    <row r="849" spans="1:12" ht="15.5">
      <c r="A849" s="180" t="s">
        <v>8</v>
      </c>
      <c r="B849" s="242">
        <f t="shared" ref="B849:B854" si="415">SUM(D849:F849)</f>
        <v>0</v>
      </c>
      <c r="C849" s="241">
        <f t="shared" ref="C849:C854" si="416">+B849/$B$856</f>
        <v>0</v>
      </c>
      <c r="D849" s="242">
        <v>0</v>
      </c>
      <c r="E849" s="242"/>
      <c r="F849" s="849">
        <v>0</v>
      </c>
      <c r="H849" s="250">
        <f t="shared" ref="H849:H854" si="417">SUM(J849:L849)</f>
        <v>0</v>
      </c>
      <c r="I849" s="241">
        <f t="shared" ref="I849:I854" si="418">+H849/$H$856</f>
        <v>0</v>
      </c>
      <c r="J849" s="242">
        <f t="shared" ref="J849:J854" si="419">+D849-D838</f>
        <v>0</v>
      </c>
      <c r="K849" s="849">
        <f t="shared" ref="K849:K854" si="420">+E849-E838</f>
        <v>0</v>
      </c>
      <c r="L849" s="242">
        <f t="shared" si="414"/>
        <v>0</v>
      </c>
    </row>
    <row r="850" spans="1:12" ht="15.5">
      <c r="A850" s="180" t="s">
        <v>9</v>
      </c>
      <c r="B850" s="242">
        <f t="shared" si="415"/>
        <v>620314.57489645237</v>
      </c>
      <c r="C850" s="241">
        <f t="shared" si="416"/>
        <v>8.2539288388836632E-2</v>
      </c>
      <c r="D850" s="242">
        <v>620314.57489645237</v>
      </c>
      <c r="E850" s="242"/>
      <c r="F850" s="849"/>
      <c r="H850" s="250">
        <f t="shared" si="417"/>
        <v>34548.511279321625</v>
      </c>
      <c r="I850" s="241">
        <f t="shared" si="418"/>
        <v>0.88853080985682464</v>
      </c>
      <c r="J850" s="242">
        <f t="shared" si="419"/>
        <v>34548.511279321625</v>
      </c>
      <c r="K850" s="849">
        <f t="shared" si="420"/>
        <v>0</v>
      </c>
      <c r="L850" s="242">
        <f t="shared" si="414"/>
        <v>0</v>
      </c>
    </row>
    <row r="851" spans="1:12" ht="15.5">
      <c r="A851" s="180" t="s">
        <v>162</v>
      </c>
      <c r="B851" s="242">
        <f t="shared" si="415"/>
        <v>0</v>
      </c>
      <c r="C851" s="241">
        <f t="shared" si="416"/>
        <v>0</v>
      </c>
      <c r="D851" s="242">
        <v>0</v>
      </c>
      <c r="E851" s="242"/>
      <c r="F851" s="849"/>
      <c r="H851" s="250">
        <f t="shared" si="417"/>
        <v>0</v>
      </c>
      <c r="I851" s="241">
        <f t="shared" si="418"/>
        <v>0</v>
      </c>
      <c r="J851" s="242">
        <f t="shared" si="419"/>
        <v>0</v>
      </c>
      <c r="K851" s="849">
        <f t="shared" si="420"/>
        <v>0</v>
      </c>
      <c r="L851" s="242">
        <f t="shared" si="414"/>
        <v>0</v>
      </c>
    </row>
    <row r="852" spans="1:12" ht="15.5">
      <c r="A852" s="180" t="s">
        <v>11</v>
      </c>
      <c r="B852" s="242">
        <f t="shared" si="415"/>
        <v>0</v>
      </c>
      <c r="C852" s="241">
        <f t="shared" si="416"/>
        <v>0</v>
      </c>
      <c r="D852" s="242">
        <v>0</v>
      </c>
      <c r="E852" s="242"/>
      <c r="F852" s="849"/>
      <c r="H852" s="250">
        <f t="shared" si="417"/>
        <v>0</v>
      </c>
      <c r="I852" s="241">
        <f t="shared" si="418"/>
        <v>0</v>
      </c>
      <c r="J852" s="242">
        <f t="shared" si="419"/>
        <v>0</v>
      </c>
      <c r="K852" s="849">
        <f t="shared" si="420"/>
        <v>0</v>
      </c>
      <c r="L852" s="242">
        <f t="shared" si="414"/>
        <v>0</v>
      </c>
    </row>
    <row r="853" spans="1:12" ht="15.5">
      <c r="A853" s="180" t="s">
        <v>12</v>
      </c>
      <c r="B853" s="242">
        <f t="shared" si="415"/>
        <v>134338</v>
      </c>
      <c r="C853" s="241">
        <f t="shared" si="416"/>
        <v>1.7875064317859138E-2</v>
      </c>
      <c r="D853" s="242">
        <v>134338</v>
      </c>
      <c r="E853" s="242"/>
      <c r="F853" s="849"/>
      <c r="H853" s="250">
        <f t="shared" si="417"/>
        <v>0</v>
      </c>
      <c r="I853" s="241">
        <f t="shared" si="418"/>
        <v>0</v>
      </c>
      <c r="J853" s="242">
        <f t="shared" si="419"/>
        <v>0</v>
      </c>
      <c r="K853" s="849">
        <f t="shared" si="420"/>
        <v>0</v>
      </c>
      <c r="L853" s="242">
        <f t="shared" si="414"/>
        <v>0</v>
      </c>
    </row>
    <row r="854" spans="1:12" ht="15.5">
      <c r="A854" s="180" t="s">
        <v>13</v>
      </c>
      <c r="B854" s="242">
        <f t="shared" si="415"/>
        <v>2735144.2889657775</v>
      </c>
      <c r="C854" s="241">
        <f t="shared" si="416"/>
        <v>0.36393931786901973</v>
      </c>
      <c r="D854" s="242">
        <v>2735144.2889657775</v>
      </c>
      <c r="E854" s="242">
        <v>0</v>
      </c>
      <c r="F854" s="849">
        <v>0</v>
      </c>
      <c r="H854" s="250">
        <f t="shared" si="417"/>
        <v>0</v>
      </c>
      <c r="I854" s="241">
        <f t="shared" si="418"/>
        <v>0</v>
      </c>
      <c r="J854" s="242">
        <f t="shared" si="419"/>
        <v>0</v>
      </c>
      <c r="K854" s="849">
        <f t="shared" si="420"/>
        <v>0</v>
      </c>
      <c r="L854" s="242">
        <f t="shared" si="414"/>
        <v>0</v>
      </c>
    </row>
    <row r="855" spans="1:12" ht="15.5">
      <c r="A855" s="180"/>
      <c r="B855" s="242">
        <f>SUM(D855:E855)</f>
        <v>0</v>
      </c>
      <c r="C855" s="241">
        <f>+B855/$B$12</f>
        <v>0</v>
      </c>
      <c r="D855" s="242"/>
      <c r="E855" s="242"/>
      <c r="F855" s="849"/>
      <c r="H855" s="250"/>
      <c r="I855" s="241">
        <f>+H855/$H$757</f>
        <v>0</v>
      </c>
      <c r="J855" s="242"/>
      <c r="K855" s="242"/>
      <c r="L855" s="242"/>
    </row>
    <row r="856" spans="1:12" ht="15.5">
      <c r="A856" s="180"/>
      <c r="B856" s="243">
        <f>SUM(B848:B855)</f>
        <v>7515385.5455379644</v>
      </c>
      <c r="C856" s="240">
        <f>SUM(C848:C855)</f>
        <v>1</v>
      </c>
      <c r="D856" s="243">
        <f>SUM(D848:D855)</f>
        <v>4476252.9555379646</v>
      </c>
      <c r="E856" s="243">
        <f>SUM(E848:E854)</f>
        <v>833195.24</v>
      </c>
      <c r="F856" s="243">
        <f>SUM(F848:F854)</f>
        <v>2205937.35</v>
      </c>
      <c r="G856" s="32">
        <f>+B856-B845</f>
        <v>38882.73866934143</v>
      </c>
      <c r="H856" s="243">
        <f>SUM(H848:H855)</f>
        <v>38882.738669341896</v>
      </c>
      <c r="I856" s="240">
        <f>SUM(I848:I855)</f>
        <v>1</v>
      </c>
      <c r="J856" s="243">
        <f>SUM(J848:J855)</f>
        <v>30066.138669341919</v>
      </c>
      <c r="K856" s="243">
        <f>SUM(K848:K855)</f>
        <v>1243.5999999999767</v>
      </c>
      <c r="L856" s="243">
        <f>SUM(L848:L855)</f>
        <v>7573</v>
      </c>
    </row>
    <row r="857" spans="1:12" ht="14.5" thickBot="1">
      <c r="H857" s="254">
        <f>+A858</f>
        <v>42244</v>
      </c>
      <c r="I857" s="254"/>
      <c r="J857" s="254">
        <f>+A847</f>
        <v>42213</v>
      </c>
    </row>
    <row r="858" spans="1:12" ht="16" thickBot="1">
      <c r="A858" s="253">
        <v>42244</v>
      </c>
      <c r="B858" s="251">
        <v>9.19</v>
      </c>
      <c r="C858" s="238" t="s">
        <v>3</v>
      </c>
      <c r="D858" s="238" t="s">
        <v>4</v>
      </c>
      <c r="E858" s="238" t="s">
        <v>5</v>
      </c>
      <c r="F858" s="238" t="s">
        <v>114</v>
      </c>
      <c r="H858" s="251">
        <f>+B858-B847</f>
        <v>0</v>
      </c>
      <c r="I858" s="238" t="s">
        <v>3</v>
      </c>
      <c r="J858" s="238" t="s">
        <v>4</v>
      </c>
      <c r="K858" s="238" t="s">
        <v>5</v>
      </c>
      <c r="L858" s="238" t="s">
        <v>114</v>
      </c>
    </row>
    <row r="859" spans="1:12" ht="15.5">
      <c r="A859" s="180" t="s">
        <v>7</v>
      </c>
      <c r="B859" s="250">
        <f>SUM(D859:F859)</f>
        <v>3914266.2154838708</v>
      </c>
      <c r="C859" s="241">
        <f>+B859/$B$867</f>
        <v>0.5287286470610667</v>
      </c>
      <c r="D859" s="242">
        <v>984603.18548387091</v>
      </c>
      <c r="E859" s="242">
        <v>833804.2</v>
      </c>
      <c r="F859" s="242">
        <v>2095858.83</v>
      </c>
      <c r="H859" s="250">
        <f>SUM(J859:L859)</f>
        <v>-111322.46619186376</v>
      </c>
      <c r="I859" s="241">
        <f>+H859/$H$856</f>
        <v>-2.8630304860608713</v>
      </c>
      <c r="J859" s="242">
        <f>+D859-D848</f>
        <v>-1852.9061918637017</v>
      </c>
      <c r="K859" s="849">
        <f>+E859-E848</f>
        <v>608.95999999996275</v>
      </c>
      <c r="L859" s="242">
        <f t="shared" ref="L859:L865" si="421">+F859-F848</f>
        <v>-110078.52000000002</v>
      </c>
    </row>
    <row r="860" spans="1:12" ht="15.5">
      <c r="A860" s="180" t="s">
        <v>8</v>
      </c>
      <c r="B860" s="242">
        <f t="shared" ref="B860:B865" si="422">SUM(D860:F860)</f>
        <v>0</v>
      </c>
      <c r="C860" s="241">
        <f t="shared" ref="C860:C865" si="423">+B860/$B$867</f>
        <v>0</v>
      </c>
      <c r="D860" s="242">
        <v>0</v>
      </c>
      <c r="E860" s="242"/>
      <c r="F860" s="849">
        <v>0</v>
      </c>
      <c r="H860" s="250">
        <f t="shared" ref="H860:H865" si="424">SUM(J860:L860)</f>
        <v>0</v>
      </c>
      <c r="I860" s="241">
        <f t="shared" ref="I860:I865" si="425">+H860/$H$856</f>
        <v>0</v>
      </c>
      <c r="J860" s="242">
        <f t="shared" ref="J860:J865" si="426">+D860-D849</f>
        <v>0</v>
      </c>
      <c r="K860" s="849">
        <f t="shared" ref="K860:K865" si="427">+E860-E849</f>
        <v>0</v>
      </c>
      <c r="L860" s="242">
        <f t="shared" si="421"/>
        <v>0</v>
      </c>
    </row>
    <row r="861" spans="1:12" ht="15.5">
      <c r="A861" s="180" t="s">
        <v>9</v>
      </c>
      <c r="B861" s="242">
        <f t="shared" si="422"/>
        <v>619418.01062624832</v>
      </c>
      <c r="C861" s="241">
        <f t="shared" si="423"/>
        <v>8.3669333840439508E-2</v>
      </c>
      <c r="D861" s="242">
        <v>619418.01062624832</v>
      </c>
      <c r="E861" s="242"/>
      <c r="F861" s="849"/>
      <c r="H861" s="250">
        <f t="shared" si="424"/>
        <v>-896.56427020404954</v>
      </c>
      <c r="I861" s="241">
        <f t="shared" si="425"/>
        <v>-2.3058156418158088E-2</v>
      </c>
      <c r="J861" s="242">
        <f t="shared" si="426"/>
        <v>-896.56427020404954</v>
      </c>
      <c r="K861" s="849">
        <f t="shared" si="427"/>
        <v>0</v>
      </c>
      <c r="L861" s="242">
        <f t="shared" si="421"/>
        <v>0</v>
      </c>
    </row>
    <row r="862" spans="1:12" ht="15.5">
      <c r="A862" s="180" t="s">
        <v>162</v>
      </c>
      <c r="B862" s="242">
        <f t="shared" si="422"/>
        <v>0</v>
      </c>
      <c r="C862" s="241">
        <f t="shared" si="423"/>
        <v>0</v>
      </c>
      <c r="D862" s="242">
        <v>0</v>
      </c>
      <c r="E862" s="242"/>
      <c r="F862" s="849"/>
      <c r="H862" s="250">
        <f t="shared" si="424"/>
        <v>0</v>
      </c>
      <c r="I862" s="241">
        <f t="shared" si="425"/>
        <v>0</v>
      </c>
      <c r="J862" s="242">
        <f t="shared" si="426"/>
        <v>0</v>
      </c>
      <c r="K862" s="849">
        <f t="shared" si="427"/>
        <v>0</v>
      </c>
      <c r="L862" s="242">
        <f t="shared" si="421"/>
        <v>0</v>
      </c>
    </row>
    <row r="863" spans="1:12" ht="15.5">
      <c r="A863" s="180" t="s">
        <v>11</v>
      </c>
      <c r="B863" s="242">
        <f t="shared" si="422"/>
        <v>0</v>
      </c>
      <c r="C863" s="241">
        <f t="shared" si="423"/>
        <v>0</v>
      </c>
      <c r="D863" s="242">
        <v>0</v>
      </c>
      <c r="E863" s="242"/>
      <c r="F863" s="849"/>
      <c r="H863" s="250">
        <f t="shared" si="424"/>
        <v>0</v>
      </c>
      <c r="I863" s="241">
        <f t="shared" si="425"/>
        <v>0</v>
      </c>
      <c r="J863" s="242">
        <f t="shared" si="426"/>
        <v>0</v>
      </c>
      <c r="K863" s="849">
        <f t="shared" si="427"/>
        <v>0</v>
      </c>
      <c r="L863" s="242">
        <f t="shared" si="421"/>
        <v>0</v>
      </c>
    </row>
    <row r="864" spans="1:12" ht="15.5">
      <c r="A864" s="180" t="s">
        <v>12</v>
      </c>
      <c r="B864" s="242">
        <f t="shared" si="422"/>
        <v>134338</v>
      </c>
      <c r="C864" s="241">
        <f t="shared" si="423"/>
        <v>1.8146018967212543E-2</v>
      </c>
      <c r="D864" s="242">
        <v>134338</v>
      </c>
      <c r="E864" s="242"/>
      <c r="F864" s="849"/>
      <c r="H864" s="250">
        <f t="shared" si="424"/>
        <v>0</v>
      </c>
      <c r="I864" s="241">
        <f t="shared" si="425"/>
        <v>0</v>
      </c>
      <c r="J864" s="242">
        <f t="shared" si="426"/>
        <v>0</v>
      </c>
      <c r="K864" s="849">
        <f t="shared" si="427"/>
        <v>0</v>
      </c>
      <c r="L864" s="242">
        <f t="shared" si="421"/>
        <v>0</v>
      </c>
    </row>
    <row r="865" spans="1:12" ht="15.5">
      <c r="A865" s="180" t="s">
        <v>13</v>
      </c>
      <c r="B865" s="242">
        <f t="shared" si="422"/>
        <v>2735144.2889657775</v>
      </c>
      <c r="C865" s="241">
        <f t="shared" si="423"/>
        <v>0.36945600013128127</v>
      </c>
      <c r="D865" s="242">
        <v>2735144.2889657775</v>
      </c>
      <c r="E865" s="242">
        <v>0</v>
      </c>
      <c r="F865" s="849">
        <v>0</v>
      </c>
      <c r="H865" s="250">
        <f t="shared" si="424"/>
        <v>0</v>
      </c>
      <c r="I865" s="241">
        <f t="shared" si="425"/>
        <v>0</v>
      </c>
      <c r="J865" s="242">
        <f t="shared" si="426"/>
        <v>0</v>
      </c>
      <c r="K865" s="849">
        <f t="shared" si="427"/>
        <v>0</v>
      </c>
      <c r="L865" s="242">
        <f t="shared" si="421"/>
        <v>0</v>
      </c>
    </row>
    <row r="866" spans="1:12" ht="15.5">
      <c r="A866" s="180"/>
      <c r="B866" s="242">
        <f>SUM(D866:E866)</f>
        <v>0</v>
      </c>
      <c r="C866" s="241">
        <f>+B866/$B$12</f>
        <v>0</v>
      </c>
      <c r="D866" s="242"/>
      <c r="E866" s="242"/>
      <c r="F866" s="849"/>
      <c r="H866" s="250"/>
      <c r="I866" s="241">
        <f>+H866/$H$757</f>
        <v>0</v>
      </c>
      <c r="J866" s="242"/>
      <c r="K866" s="242"/>
      <c r="L866" s="242"/>
    </row>
    <row r="867" spans="1:12" ht="15.5">
      <c r="A867" s="180"/>
      <c r="B867" s="243">
        <f>SUM(B859:B866)</f>
        <v>7403166.5150758969</v>
      </c>
      <c r="C867" s="240">
        <f>SUM(C859:C866)</f>
        <v>1</v>
      </c>
      <c r="D867" s="243">
        <f>SUM(D859:D866)</f>
        <v>4473503.4850758966</v>
      </c>
      <c r="E867" s="243">
        <f>SUM(E859:E865)</f>
        <v>833804.2</v>
      </c>
      <c r="F867" s="243">
        <f>SUM(F859:F865)</f>
        <v>2095858.83</v>
      </c>
      <c r="G867" s="32">
        <f>+B867-B856</f>
        <v>-112219.03046206757</v>
      </c>
      <c r="H867" s="243">
        <f>SUM(H859:H866)</f>
        <v>-112219.03046206781</v>
      </c>
      <c r="I867" s="240">
        <f>SUM(I859:I866)</f>
        <v>-2.8860886424790295</v>
      </c>
      <c r="J867" s="243">
        <f>SUM(J859:J866)</f>
        <v>-2749.4704620677512</v>
      </c>
      <c r="K867" s="243">
        <f>SUM(K859:K866)</f>
        <v>608.95999999996275</v>
      </c>
      <c r="L867" s="243">
        <f>SUM(L859:L866)</f>
        <v>-110078.52000000002</v>
      </c>
    </row>
    <row r="868" spans="1:12" ht="14.5" thickBot="1">
      <c r="H868" s="254">
        <f>+A869</f>
        <v>42275</v>
      </c>
      <c r="I868" s="254"/>
      <c r="J868" s="254">
        <f>+A858</f>
        <v>42244</v>
      </c>
    </row>
    <row r="869" spans="1:12" ht="16" thickBot="1">
      <c r="A869" s="253">
        <v>42275</v>
      </c>
      <c r="B869" s="251">
        <v>9.41</v>
      </c>
      <c r="C869" s="238" t="s">
        <v>3</v>
      </c>
      <c r="D869" s="238" t="s">
        <v>4</v>
      </c>
      <c r="E869" s="238" t="s">
        <v>5</v>
      </c>
      <c r="F869" s="238" t="s">
        <v>114</v>
      </c>
      <c r="H869" s="251">
        <f>+B869-B858</f>
        <v>0.22000000000000064</v>
      </c>
      <c r="I869" s="238" t="s">
        <v>3</v>
      </c>
      <c r="J869" s="238" t="s">
        <v>4</v>
      </c>
      <c r="K869" s="238" t="s">
        <v>5</v>
      </c>
      <c r="L869" s="238" t="s">
        <v>114</v>
      </c>
    </row>
    <row r="870" spans="1:12" ht="15.5">
      <c r="A870" s="180" t="s">
        <v>7</v>
      </c>
      <c r="B870" s="250">
        <f>SUM(D870:F870)</f>
        <v>3878886.1741232732</v>
      </c>
      <c r="C870" s="241">
        <f>+B870/$B$878</f>
        <v>0.52387568983655886</v>
      </c>
      <c r="D870" s="242">
        <v>998790.07412327314</v>
      </c>
      <c r="E870" s="242">
        <v>845442.68</v>
      </c>
      <c r="F870" s="242">
        <v>2034653.42</v>
      </c>
      <c r="H870" s="250">
        <f>SUM(J870:L870)</f>
        <v>-35380.041360597825</v>
      </c>
      <c r="I870" s="241">
        <f>+H870/$H$856</f>
        <v>-0.90991639404490143</v>
      </c>
      <c r="J870" s="242">
        <f>+D870-D859</f>
        <v>14186.888639402227</v>
      </c>
      <c r="K870" s="849">
        <f>+E870-E859</f>
        <v>11638.480000000098</v>
      </c>
      <c r="L870" s="242">
        <f t="shared" ref="L870:L876" si="428">+F870-F859</f>
        <v>-61205.410000000149</v>
      </c>
    </row>
    <row r="871" spans="1:12" ht="15.5">
      <c r="A871" s="180" t="s">
        <v>8</v>
      </c>
      <c r="B871" s="242">
        <f t="shared" ref="B871:B876" si="429">SUM(D871:F871)</f>
        <v>0</v>
      </c>
      <c r="C871" s="241">
        <f t="shared" ref="C871:C876" si="430">+B871/$B$878</f>
        <v>0</v>
      </c>
      <c r="D871" s="242">
        <v>0</v>
      </c>
      <c r="E871" s="242"/>
      <c r="F871" s="849">
        <v>0</v>
      </c>
      <c r="H871" s="250">
        <f t="shared" ref="H871:H876" si="431">SUM(J871:L871)</f>
        <v>0</v>
      </c>
      <c r="I871" s="241">
        <f t="shared" ref="I871:I876" si="432">+H871/$H$856</f>
        <v>0</v>
      </c>
      <c r="J871" s="242">
        <f t="shared" ref="J871:J876" si="433">+D871-D860</f>
        <v>0</v>
      </c>
      <c r="K871" s="849">
        <f t="shared" ref="K871:K876" si="434">+E871-E860</f>
        <v>0</v>
      </c>
      <c r="L871" s="242">
        <f t="shared" si="428"/>
        <v>0</v>
      </c>
    </row>
    <row r="872" spans="1:12" ht="15.5">
      <c r="A872" s="180" t="s">
        <v>9</v>
      </c>
      <c r="B872" s="242">
        <f t="shared" si="429"/>
        <v>655842.59189123649</v>
      </c>
      <c r="C872" s="241">
        <f t="shared" si="430"/>
        <v>8.8576971539742602E-2</v>
      </c>
      <c r="D872" s="242">
        <v>655842.59189123649</v>
      </c>
      <c r="E872" s="242"/>
      <c r="F872" s="849"/>
      <c r="H872" s="250">
        <f t="shared" si="431"/>
        <v>36424.58126498817</v>
      </c>
      <c r="I872" s="241">
        <f t="shared" si="432"/>
        <v>0.93678024006339033</v>
      </c>
      <c r="J872" s="242">
        <f t="shared" si="433"/>
        <v>36424.58126498817</v>
      </c>
      <c r="K872" s="849">
        <f t="shared" si="434"/>
        <v>0</v>
      </c>
      <c r="L872" s="242">
        <f t="shared" si="428"/>
        <v>0</v>
      </c>
    </row>
    <row r="873" spans="1:12" ht="15.5">
      <c r="A873" s="180" t="s">
        <v>162</v>
      </c>
      <c r="B873" s="242">
        <f t="shared" si="429"/>
        <v>0</v>
      </c>
      <c r="C873" s="241">
        <f t="shared" si="430"/>
        <v>0</v>
      </c>
      <c r="D873" s="242">
        <v>0</v>
      </c>
      <c r="E873" s="242"/>
      <c r="F873" s="849"/>
      <c r="H873" s="250">
        <f t="shared" si="431"/>
        <v>0</v>
      </c>
      <c r="I873" s="241">
        <f t="shared" si="432"/>
        <v>0</v>
      </c>
      <c r="J873" s="242">
        <f t="shared" si="433"/>
        <v>0</v>
      </c>
      <c r="K873" s="849">
        <f t="shared" si="434"/>
        <v>0</v>
      </c>
      <c r="L873" s="242">
        <f t="shared" si="428"/>
        <v>0</v>
      </c>
    </row>
    <row r="874" spans="1:12" ht="15.5">
      <c r="A874" s="180" t="s">
        <v>11</v>
      </c>
      <c r="B874" s="242">
        <f t="shared" si="429"/>
        <v>0</v>
      </c>
      <c r="C874" s="241">
        <f t="shared" si="430"/>
        <v>0</v>
      </c>
      <c r="D874" s="242">
        <v>0</v>
      </c>
      <c r="E874" s="242"/>
      <c r="F874" s="849"/>
      <c r="H874" s="250">
        <f t="shared" si="431"/>
        <v>0</v>
      </c>
      <c r="I874" s="241">
        <f t="shared" si="432"/>
        <v>0</v>
      </c>
      <c r="J874" s="242">
        <f t="shared" si="433"/>
        <v>0</v>
      </c>
      <c r="K874" s="849">
        <f t="shared" si="434"/>
        <v>0</v>
      </c>
      <c r="L874" s="242">
        <f t="shared" si="428"/>
        <v>0</v>
      </c>
    </row>
    <row r="875" spans="1:12" ht="15.5">
      <c r="A875" s="180" t="s">
        <v>12</v>
      </c>
      <c r="B875" s="242">
        <f t="shared" si="429"/>
        <v>134338</v>
      </c>
      <c r="C875" s="241">
        <f t="shared" si="430"/>
        <v>1.8143459040060771E-2</v>
      </c>
      <c r="D875" s="242">
        <v>134338</v>
      </c>
      <c r="E875" s="242"/>
      <c r="F875" s="849"/>
      <c r="H875" s="250">
        <f t="shared" si="431"/>
        <v>0</v>
      </c>
      <c r="I875" s="241">
        <f t="shared" si="432"/>
        <v>0</v>
      </c>
      <c r="J875" s="242">
        <f t="shared" si="433"/>
        <v>0</v>
      </c>
      <c r="K875" s="849">
        <f t="shared" si="434"/>
        <v>0</v>
      </c>
      <c r="L875" s="242">
        <f t="shared" si="428"/>
        <v>0</v>
      </c>
    </row>
    <row r="876" spans="1:12" ht="15.5">
      <c r="A876" s="180" t="s">
        <v>13</v>
      </c>
      <c r="B876" s="242">
        <f t="shared" si="429"/>
        <v>2735144.2889657775</v>
      </c>
      <c r="C876" s="241">
        <f t="shared" si="430"/>
        <v>0.36940387958363774</v>
      </c>
      <c r="D876" s="242">
        <v>2735144.2889657775</v>
      </c>
      <c r="E876" s="242">
        <v>0</v>
      </c>
      <c r="F876" s="849">
        <v>0</v>
      </c>
      <c r="H876" s="250">
        <f t="shared" si="431"/>
        <v>0</v>
      </c>
      <c r="I876" s="241">
        <f t="shared" si="432"/>
        <v>0</v>
      </c>
      <c r="J876" s="242">
        <f t="shared" si="433"/>
        <v>0</v>
      </c>
      <c r="K876" s="849">
        <f t="shared" si="434"/>
        <v>0</v>
      </c>
      <c r="L876" s="242">
        <f t="shared" si="428"/>
        <v>0</v>
      </c>
    </row>
    <row r="877" spans="1:12" ht="15.5">
      <c r="A877" s="180"/>
      <c r="B877" s="242">
        <f>SUM(D877:E877)</f>
        <v>0</v>
      </c>
      <c r="C877" s="241">
        <f>+B877/$B$12</f>
        <v>0</v>
      </c>
      <c r="D877" s="242"/>
      <c r="E877" s="242"/>
      <c r="F877" s="849"/>
      <c r="H877" s="250"/>
      <c r="I877" s="241">
        <f>+H877/$H$757</f>
        <v>0</v>
      </c>
      <c r="J877" s="242"/>
      <c r="K877" s="242"/>
      <c r="L877" s="242"/>
    </row>
    <row r="878" spans="1:12" ht="15.5">
      <c r="A878" s="180"/>
      <c r="B878" s="243">
        <f>SUM(B870:B877)</f>
        <v>7404211.0549802873</v>
      </c>
      <c r="C878" s="240">
        <f>SUM(C870:C877)</f>
        <v>1</v>
      </c>
      <c r="D878" s="243">
        <f>SUM(D870:D877)</f>
        <v>4524114.9549802877</v>
      </c>
      <c r="E878" s="243">
        <f>SUM(E870:E876)</f>
        <v>845442.68</v>
      </c>
      <c r="F878" s="243">
        <f>SUM(F870:F876)</f>
        <v>2034653.42</v>
      </c>
      <c r="G878" s="32">
        <f>+B878-B867</f>
        <v>1044.5399043904617</v>
      </c>
      <c r="H878" s="243">
        <f>SUM(H870:H877)</f>
        <v>1044.5399043903453</v>
      </c>
      <c r="I878" s="240">
        <f>SUM(I870:I877)</f>
        <v>2.6863846018488902E-2</v>
      </c>
      <c r="J878" s="243">
        <f>SUM(J870:J877)</f>
        <v>50611.469904390397</v>
      </c>
      <c r="K878" s="243">
        <f>SUM(K870:K877)</f>
        <v>11638.480000000098</v>
      </c>
      <c r="L878" s="243">
        <f>SUM(L870:L877)</f>
        <v>-61205.410000000149</v>
      </c>
    </row>
    <row r="879" spans="1:12" ht="14.5" thickBot="1">
      <c r="B879" s="334"/>
      <c r="C879" s="240"/>
      <c r="D879" s="243"/>
      <c r="E879" s="243"/>
      <c r="F879" s="243"/>
      <c r="H879" s="254">
        <f>+A880</f>
        <v>42305</v>
      </c>
      <c r="I879" s="254"/>
      <c r="J879" s="254">
        <f>+A869</f>
        <v>42275</v>
      </c>
    </row>
    <row r="880" spans="1:12" ht="16" thickBot="1">
      <c r="A880" s="253">
        <v>42305</v>
      </c>
      <c r="B880" s="251">
        <v>9.56</v>
      </c>
      <c r="C880" s="238" t="s">
        <v>3</v>
      </c>
      <c r="D880" s="238" t="s">
        <v>4</v>
      </c>
      <c r="E880" s="238" t="s">
        <v>5</v>
      </c>
      <c r="F880" s="238" t="s">
        <v>114</v>
      </c>
      <c r="H880" s="251">
        <f>+B880-B869</f>
        <v>0.15000000000000036</v>
      </c>
      <c r="I880" s="238" t="s">
        <v>3</v>
      </c>
      <c r="J880" s="238" t="s">
        <v>4</v>
      </c>
      <c r="K880" s="238" t="s">
        <v>5</v>
      </c>
      <c r="L880" s="238" t="s">
        <v>114</v>
      </c>
    </row>
    <row r="881" spans="1:12" ht="15.5">
      <c r="A881" s="180" t="s">
        <v>7</v>
      </c>
      <c r="B881" s="250">
        <f>SUM(D881:F881)</f>
        <v>4055042.5156066944</v>
      </c>
      <c r="C881" s="241">
        <f>+B881/$B$889</f>
        <v>0.53539731866840146</v>
      </c>
      <c r="D881" s="242">
        <v>931199.39560669439</v>
      </c>
      <c r="E881" s="242">
        <v>921744.74</v>
      </c>
      <c r="F881" s="242">
        <v>2202098.38</v>
      </c>
      <c r="H881" s="250">
        <f>SUM(J881:L881)</f>
        <v>176156.34148342116</v>
      </c>
      <c r="I881" s="241">
        <f>+H881/$H$889</f>
        <v>1.0381502263024982</v>
      </c>
      <c r="J881" s="242">
        <f>+D881-D870</f>
        <v>-67590.678516578744</v>
      </c>
      <c r="K881" s="849">
        <f>+E881-E870</f>
        <v>76302.059999999939</v>
      </c>
      <c r="L881" s="242">
        <f t="shared" ref="L881:L887" si="435">+F881-F870</f>
        <v>167444.95999999996</v>
      </c>
    </row>
    <row r="882" spans="1:12" ht="15.5">
      <c r="A882" s="180" t="s">
        <v>8</v>
      </c>
      <c r="B882" s="242">
        <f t="shared" ref="B882:B887" si="436">SUM(D882:F882)</f>
        <v>0</v>
      </c>
      <c r="C882" s="241">
        <f t="shared" ref="C882:C887" si="437">+B882/$B$889</f>
        <v>0</v>
      </c>
      <c r="D882" s="242">
        <v>0</v>
      </c>
      <c r="E882" s="242"/>
      <c r="F882" s="849">
        <v>0</v>
      </c>
      <c r="H882" s="250">
        <f t="shared" ref="H882:H887" si="438">SUM(J882:L882)</f>
        <v>0</v>
      </c>
      <c r="I882" s="241">
        <f t="shared" ref="I882:I887" si="439">+H882/$H$889</f>
        <v>0</v>
      </c>
      <c r="J882" s="242">
        <f t="shared" ref="J882:J887" si="440">+D882-D871</f>
        <v>0</v>
      </c>
      <c r="K882" s="849">
        <f t="shared" ref="K882:K887" si="441">+E882-E871</f>
        <v>0</v>
      </c>
      <c r="L882" s="242">
        <f t="shared" si="435"/>
        <v>0</v>
      </c>
    </row>
    <row r="883" spans="1:12" ht="15.5">
      <c r="A883" s="180" t="s">
        <v>9</v>
      </c>
      <c r="B883" s="242">
        <f t="shared" si="436"/>
        <v>649369.15084008127</v>
      </c>
      <c r="C883" s="241">
        <f t="shared" si="437"/>
        <v>8.5737819233133145E-2</v>
      </c>
      <c r="D883" s="242">
        <v>649369.15084008127</v>
      </c>
      <c r="E883" s="242"/>
      <c r="F883" s="849"/>
      <c r="H883" s="250">
        <f t="shared" si="438"/>
        <v>-6473.4410511552123</v>
      </c>
      <c r="I883" s="241">
        <f t="shared" si="439"/>
        <v>-3.8150226302498182E-2</v>
      </c>
      <c r="J883" s="242">
        <f t="shared" si="440"/>
        <v>-6473.4410511552123</v>
      </c>
      <c r="K883" s="849">
        <f t="shared" si="441"/>
        <v>0</v>
      </c>
      <c r="L883" s="242">
        <f t="shared" si="435"/>
        <v>0</v>
      </c>
    </row>
    <row r="884" spans="1:12" ht="15.5">
      <c r="A884" s="180" t="s">
        <v>162</v>
      </c>
      <c r="B884" s="242">
        <f t="shared" si="436"/>
        <v>0</v>
      </c>
      <c r="C884" s="241">
        <f t="shared" si="437"/>
        <v>0</v>
      </c>
      <c r="D884" s="242">
        <v>0</v>
      </c>
      <c r="E884" s="242"/>
      <c r="F884" s="849"/>
      <c r="H884" s="250">
        <f t="shared" si="438"/>
        <v>0</v>
      </c>
      <c r="I884" s="241">
        <f t="shared" si="439"/>
        <v>0</v>
      </c>
      <c r="J884" s="242">
        <f t="shared" si="440"/>
        <v>0</v>
      </c>
      <c r="K884" s="849">
        <f t="shared" si="441"/>
        <v>0</v>
      </c>
      <c r="L884" s="242">
        <f t="shared" si="435"/>
        <v>0</v>
      </c>
    </row>
    <row r="885" spans="1:12" ht="15.5">
      <c r="A885" s="180" t="s">
        <v>11</v>
      </c>
      <c r="B885" s="242">
        <f t="shared" si="436"/>
        <v>0</v>
      </c>
      <c r="C885" s="241">
        <f t="shared" si="437"/>
        <v>0</v>
      </c>
      <c r="D885" s="242">
        <v>0</v>
      </c>
      <c r="E885" s="242"/>
      <c r="F885" s="849"/>
      <c r="H885" s="250">
        <f t="shared" si="438"/>
        <v>0</v>
      </c>
      <c r="I885" s="241">
        <f t="shared" si="439"/>
        <v>0</v>
      </c>
      <c r="J885" s="242">
        <f t="shared" si="440"/>
        <v>0</v>
      </c>
      <c r="K885" s="849">
        <f t="shared" si="441"/>
        <v>0</v>
      </c>
      <c r="L885" s="242">
        <f t="shared" si="435"/>
        <v>0</v>
      </c>
    </row>
    <row r="886" spans="1:12" ht="15.5">
      <c r="A886" s="180" t="s">
        <v>12</v>
      </c>
      <c r="B886" s="242">
        <f t="shared" si="436"/>
        <v>134338</v>
      </c>
      <c r="C886" s="241">
        <f t="shared" si="437"/>
        <v>1.7736979259393732E-2</v>
      </c>
      <c r="D886" s="242">
        <v>134338</v>
      </c>
      <c r="E886" s="242"/>
      <c r="F886" s="849"/>
      <c r="H886" s="250">
        <f t="shared" si="438"/>
        <v>0</v>
      </c>
      <c r="I886" s="241">
        <f t="shared" si="439"/>
        <v>0</v>
      </c>
      <c r="J886" s="242">
        <f t="shared" si="440"/>
        <v>0</v>
      </c>
      <c r="K886" s="849">
        <f t="shared" si="441"/>
        <v>0</v>
      </c>
      <c r="L886" s="242">
        <f t="shared" si="435"/>
        <v>0</v>
      </c>
    </row>
    <row r="887" spans="1:12" ht="15.5">
      <c r="A887" s="180" t="s">
        <v>13</v>
      </c>
      <c r="B887" s="242">
        <f t="shared" si="436"/>
        <v>2735144.2889657775</v>
      </c>
      <c r="C887" s="241">
        <f t="shared" si="437"/>
        <v>0.36112788283907166</v>
      </c>
      <c r="D887" s="242">
        <v>2735144.2889657775</v>
      </c>
      <c r="E887" s="242">
        <v>0</v>
      </c>
      <c r="F887" s="849">
        <v>0</v>
      </c>
      <c r="H887" s="250">
        <f t="shared" si="438"/>
        <v>0</v>
      </c>
      <c r="I887" s="241">
        <f t="shared" si="439"/>
        <v>0</v>
      </c>
      <c r="J887" s="242">
        <f t="shared" si="440"/>
        <v>0</v>
      </c>
      <c r="K887" s="849">
        <f t="shared" si="441"/>
        <v>0</v>
      </c>
      <c r="L887" s="242">
        <f t="shared" si="435"/>
        <v>0</v>
      </c>
    </row>
    <row r="888" spans="1:12" ht="15.5">
      <c r="A888" s="180"/>
      <c r="B888" s="242">
        <f>SUM(D888:E888)</f>
        <v>0</v>
      </c>
      <c r="C888" s="241">
        <f>+B888/$B$12</f>
        <v>0</v>
      </c>
      <c r="D888" s="242"/>
      <c r="E888" s="242"/>
      <c r="F888" s="849"/>
      <c r="H888" s="250"/>
      <c r="I888" s="241">
        <f>+H888/$H$757</f>
        <v>0</v>
      </c>
      <c r="J888" s="242"/>
      <c r="K888" s="242"/>
      <c r="L888" s="242"/>
    </row>
    <row r="889" spans="1:12" ht="15.5">
      <c r="A889" s="180"/>
      <c r="B889" s="243">
        <f>SUM(B881:B888)</f>
        <v>7573893.9554125527</v>
      </c>
      <c r="C889" s="240">
        <f>SUM(C881:C888)</f>
        <v>1</v>
      </c>
      <c r="D889" s="243">
        <f>SUM(D881:D888)</f>
        <v>4450050.8354125526</v>
      </c>
      <c r="E889" s="243">
        <f>SUM(E881:E887)</f>
        <v>921744.74</v>
      </c>
      <c r="F889" s="243">
        <f>SUM(F881:F887)</f>
        <v>2202098.38</v>
      </c>
      <c r="G889" s="32">
        <f>+B889-B878</f>
        <v>169682.90043226536</v>
      </c>
      <c r="H889" s="243">
        <f>SUM(H881:H888)</f>
        <v>169682.90043226595</v>
      </c>
      <c r="I889" s="240">
        <f>SUM(I881:I888)</f>
        <v>1</v>
      </c>
      <c r="J889" s="243">
        <f>SUM(J881:J888)</f>
        <v>-74064.119567733957</v>
      </c>
      <c r="K889" s="243">
        <f>SUM(K881:K888)</f>
        <v>76302.059999999939</v>
      </c>
      <c r="L889" s="243">
        <f>SUM(L881:L888)</f>
        <v>167444.95999999996</v>
      </c>
    </row>
    <row r="890" spans="1:12" ht="14.5" thickBot="1">
      <c r="H890" s="254">
        <f>+A891</f>
        <v>42336</v>
      </c>
      <c r="I890" s="254"/>
      <c r="J890" s="254">
        <f>+A880</f>
        <v>42305</v>
      </c>
    </row>
    <row r="891" spans="1:12" ht="16" thickBot="1">
      <c r="A891" s="253">
        <v>42336</v>
      </c>
      <c r="B891" s="251">
        <v>9.6999999999999993</v>
      </c>
      <c r="C891" s="238" t="s">
        <v>3</v>
      </c>
      <c r="D891" s="238" t="s">
        <v>4</v>
      </c>
      <c r="E891" s="238" t="s">
        <v>5</v>
      </c>
      <c r="F891" s="238" t="s">
        <v>114</v>
      </c>
      <c r="H891" s="251">
        <f>+B891-B880</f>
        <v>0.13999999999999879</v>
      </c>
      <c r="I891" s="238" t="s">
        <v>3</v>
      </c>
      <c r="J891" s="238" t="s">
        <v>4</v>
      </c>
      <c r="K891" s="238" t="s">
        <v>5</v>
      </c>
      <c r="L891" s="238" t="s">
        <v>114</v>
      </c>
    </row>
    <row r="892" spans="1:12" ht="15.5">
      <c r="A892" s="180" t="s">
        <v>7</v>
      </c>
      <c r="B892" s="250">
        <f>SUM(D892:F892)</f>
        <v>4068074.8671134021</v>
      </c>
      <c r="C892" s="241">
        <f>+B892/$B$900</f>
        <v>0.53653822526633788</v>
      </c>
      <c r="D892" s="242">
        <v>947676.68711340195</v>
      </c>
      <c r="E892" s="242">
        <v>919772.55</v>
      </c>
      <c r="F892" s="242">
        <v>2200625.63</v>
      </c>
      <c r="H892" s="250">
        <f>SUM(J892:L892)</f>
        <v>13032.351506707608</v>
      </c>
      <c r="I892" s="241">
        <f>+H892/$H$900</f>
        <v>1.5923395943655383</v>
      </c>
      <c r="J892" s="242">
        <f>+D892-D881</f>
        <v>16477.291506707552</v>
      </c>
      <c r="K892" s="849">
        <f>+E892-E881</f>
        <v>-1972.1899999999441</v>
      </c>
      <c r="L892" s="242">
        <f t="shared" ref="L892:L898" si="442">+F892-F881</f>
        <v>-1472.75</v>
      </c>
    </row>
    <row r="893" spans="1:12" ht="15.5">
      <c r="A893" s="180" t="s">
        <v>8</v>
      </c>
      <c r="B893" s="242">
        <f t="shared" ref="B893:B898" si="443">SUM(D893:F893)</f>
        <v>0</v>
      </c>
      <c r="C893" s="241">
        <f t="shared" ref="C893:C898" si="444">+B893/$B$900</f>
        <v>0</v>
      </c>
      <c r="D893" s="242">
        <v>0</v>
      </c>
      <c r="E893" s="242"/>
      <c r="F893" s="849">
        <v>0</v>
      </c>
      <c r="H893" s="250">
        <f t="shared" ref="H893:H898" si="445">SUM(J893:L893)</f>
        <v>0</v>
      </c>
      <c r="I893" s="241">
        <f t="shared" ref="I893:I898" si="446">+H893/$H$900</f>
        <v>0</v>
      </c>
      <c r="J893" s="242">
        <f t="shared" ref="J893:J898" si="447">+D893-D882</f>
        <v>0</v>
      </c>
      <c r="K893" s="849">
        <f t="shared" ref="K893:K898" si="448">+E893-E882</f>
        <v>0</v>
      </c>
      <c r="L893" s="242">
        <f t="shared" si="442"/>
        <v>0</v>
      </c>
    </row>
    <row r="894" spans="1:12" ht="15.5">
      <c r="A894" s="180" t="s">
        <v>9</v>
      </c>
      <c r="B894" s="242">
        <f t="shared" si="443"/>
        <v>644521.20393702877</v>
      </c>
      <c r="C894" s="241">
        <f t="shared" si="444"/>
        <v>8.5005874818689028E-2</v>
      </c>
      <c r="D894" s="242">
        <v>644521.20393702877</v>
      </c>
      <c r="E894" s="242"/>
      <c r="F894" s="849"/>
      <c r="H894" s="250">
        <f t="shared" si="445"/>
        <v>-4847.946903052507</v>
      </c>
      <c r="I894" s="241">
        <f t="shared" si="446"/>
        <v>-0.59233959436553829</v>
      </c>
      <c r="J894" s="242">
        <f t="shared" si="447"/>
        <v>-4847.946903052507</v>
      </c>
      <c r="K894" s="849">
        <f t="shared" si="448"/>
        <v>0</v>
      </c>
      <c r="L894" s="242">
        <f t="shared" si="442"/>
        <v>0</v>
      </c>
    </row>
    <row r="895" spans="1:12" ht="15.5">
      <c r="A895" s="180" t="s">
        <v>162</v>
      </c>
      <c r="B895" s="242">
        <f t="shared" si="443"/>
        <v>0</v>
      </c>
      <c r="C895" s="241">
        <f t="shared" si="444"/>
        <v>0</v>
      </c>
      <c r="D895" s="242">
        <v>0</v>
      </c>
      <c r="E895" s="242"/>
      <c r="F895" s="849"/>
      <c r="H895" s="250">
        <f t="shared" si="445"/>
        <v>0</v>
      </c>
      <c r="I895" s="241">
        <f t="shared" si="446"/>
        <v>0</v>
      </c>
      <c r="J895" s="242">
        <f t="shared" si="447"/>
        <v>0</v>
      </c>
      <c r="K895" s="849">
        <f t="shared" si="448"/>
        <v>0</v>
      </c>
      <c r="L895" s="242">
        <f t="shared" si="442"/>
        <v>0</v>
      </c>
    </row>
    <row r="896" spans="1:12" ht="15.5">
      <c r="A896" s="180" t="s">
        <v>11</v>
      </c>
      <c r="B896" s="242">
        <f t="shared" si="443"/>
        <v>0</v>
      </c>
      <c r="C896" s="241">
        <f t="shared" si="444"/>
        <v>0</v>
      </c>
      <c r="D896" s="242">
        <v>0</v>
      </c>
      <c r="E896" s="242"/>
      <c r="F896" s="849"/>
      <c r="H896" s="250">
        <f t="shared" si="445"/>
        <v>0</v>
      </c>
      <c r="I896" s="241">
        <f t="shared" si="446"/>
        <v>0</v>
      </c>
      <c r="J896" s="242">
        <f t="shared" si="447"/>
        <v>0</v>
      </c>
      <c r="K896" s="849">
        <f t="shared" si="448"/>
        <v>0</v>
      </c>
      <c r="L896" s="242">
        <f t="shared" si="442"/>
        <v>0</v>
      </c>
    </row>
    <row r="897" spans="1:12" ht="15.5">
      <c r="A897" s="180" t="s">
        <v>12</v>
      </c>
      <c r="B897" s="242">
        <f t="shared" si="443"/>
        <v>134338</v>
      </c>
      <c r="C897" s="241">
        <f t="shared" si="444"/>
        <v>1.7717833240609351E-2</v>
      </c>
      <c r="D897" s="242">
        <v>134338</v>
      </c>
      <c r="E897" s="242"/>
      <c r="F897" s="849"/>
      <c r="H897" s="250">
        <f t="shared" si="445"/>
        <v>0</v>
      </c>
      <c r="I897" s="241">
        <f t="shared" si="446"/>
        <v>0</v>
      </c>
      <c r="J897" s="242">
        <f t="shared" si="447"/>
        <v>0</v>
      </c>
      <c r="K897" s="849">
        <f t="shared" si="448"/>
        <v>0</v>
      </c>
      <c r="L897" s="242">
        <f t="shared" si="442"/>
        <v>0</v>
      </c>
    </row>
    <row r="898" spans="1:12" ht="15.5">
      <c r="A898" s="180" t="s">
        <v>13</v>
      </c>
      <c r="B898" s="242">
        <f t="shared" si="443"/>
        <v>2735144.2889657775</v>
      </c>
      <c r="C898" s="241">
        <f t="shared" si="444"/>
        <v>0.36073806667436376</v>
      </c>
      <c r="D898" s="242">
        <v>2735144.2889657775</v>
      </c>
      <c r="E898" s="242">
        <v>0</v>
      </c>
      <c r="F898" s="849">
        <v>0</v>
      </c>
      <c r="H898" s="250">
        <f t="shared" si="445"/>
        <v>0</v>
      </c>
      <c r="I898" s="241">
        <f t="shared" si="446"/>
        <v>0</v>
      </c>
      <c r="J898" s="242">
        <f t="shared" si="447"/>
        <v>0</v>
      </c>
      <c r="K898" s="849">
        <f t="shared" si="448"/>
        <v>0</v>
      </c>
      <c r="L898" s="242">
        <f t="shared" si="442"/>
        <v>0</v>
      </c>
    </row>
    <row r="899" spans="1:12" ht="15.5">
      <c r="A899" s="180"/>
      <c r="B899" s="242">
        <f>SUM(D899:E899)</f>
        <v>0</v>
      </c>
      <c r="C899" s="241">
        <f>+B899/$B$12</f>
        <v>0</v>
      </c>
      <c r="D899" s="242"/>
      <c r="E899" s="242"/>
      <c r="F899" s="849"/>
      <c r="H899" s="250"/>
      <c r="I899" s="241">
        <f>+H899/$H$757</f>
        <v>0</v>
      </c>
      <c r="J899" s="242"/>
      <c r="K899" s="242"/>
      <c r="L899" s="242"/>
    </row>
    <row r="900" spans="1:12" ht="15.5">
      <c r="A900" s="180"/>
      <c r="B900" s="243">
        <f>SUM(B892:B899)</f>
        <v>7582078.3600162081</v>
      </c>
      <c r="C900" s="240">
        <f>SUM(C892:C899)</f>
        <v>1</v>
      </c>
      <c r="D900" s="243">
        <f>SUM(D892:D899)</f>
        <v>4461680.1800162084</v>
      </c>
      <c r="E900" s="243">
        <f>SUM(E892:E898)</f>
        <v>919772.55</v>
      </c>
      <c r="F900" s="243">
        <f>SUM(F892:F898)</f>
        <v>2200625.63</v>
      </c>
      <c r="G900" s="32">
        <f>+B900-B889</f>
        <v>8184.40460365545</v>
      </c>
      <c r="H900" s="243">
        <f>SUM(H892:H899)</f>
        <v>8184.4046036551008</v>
      </c>
      <c r="I900" s="240">
        <f>SUM(I892:I899)</f>
        <v>1</v>
      </c>
      <c r="J900" s="243">
        <f>SUM(J892:J899)</f>
        <v>11629.344603655045</v>
      </c>
      <c r="K900" s="243">
        <f>SUM(K892:K899)</f>
        <v>-1972.1899999999441</v>
      </c>
      <c r="L900" s="243">
        <f>SUM(L892:L899)</f>
        <v>-1472.75</v>
      </c>
    </row>
    <row r="901" spans="1:12" ht="14.5" thickBot="1">
      <c r="A901" s="458" t="s">
        <v>165</v>
      </c>
      <c r="B901" s="459"/>
      <c r="C901" s="458"/>
      <c r="D901" s="452"/>
      <c r="H901" s="254">
        <f>+A902</f>
        <v>42366</v>
      </c>
      <c r="I901" s="254"/>
      <c r="J901" s="254">
        <f>+A891</f>
        <v>42336</v>
      </c>
    </row>
    <row r="902" spans="1:12" ht="16" thickBot="1">
      <c r="A902" s="253">
        <v>42366</v>
      </c>
      <c r="B902" s="251">
        <v>13.3</v>
      </c>
      <c r="C902" s="238" t="s">
        <v>3</v>
      </c>
      <c r="D902" s="238" t="s">
        <v>4</v>
      </c>
      <c r="E902" s="238" t="s">
        <v>5</v>
      </c>
      <c r="F902" s="238" t="s">
        <v>114</v>
      </c>
      <c r="H902" s="251">
        <f>+B902-B891</f>
        <v>3.6000000000000014</v>
      </c>
      <c r="I902" s="238" t="s">
        <v>3</v>
      </c>
      <c r="J902" s="238" t="s">
        <v>4</v>
      </c>
      <c r="K902" s="238" t="s">
        <v>5</v>
      </c>
      <c r="L902" s="238" t="s">
        <v>114</v>
      </c>
    </row>
    <row r="903" spans="1:12" ht="15.5">
      <c r="A903" s="180" t="s">
        <v>7</v>
      </c>
      <c r="B903" s="250">
        <f>SUM(D903:F903)</f>
        <v>3993200.3617293229</v>
      </c>
      <c r="C903" s="241">
        <f>+B903/$B$911</f>
        <v>0.52965962478533668</v>
      </c>
      <c r="D903" s="242">
        <v>889540.74172932317</v>
      </c>
      <c r="E903" s="242">
        <v>939509.45</v>
      </c>
      <c r="F903" s="242">
        <v>2164150.17</v>
      </c>
      <c r="H903" s="250">
        <f>SUM(J903:L903)</f>
        <v>-74874.505384078831</v>
      </c>
      <c r="I903" s="241">
        <f>+H903/$H$900</f>
        <v>-9.1484364483447429</v>
      </c>
      <c r="J903" s="242">
        <f>+D903-D892</f>
        <v>-58135.945384078776</v>
      </c>
      <c r="K903" s="849">
        <f>+E903-E892</f>
        <v>19736.899999999907</v>
      </c>
      <c r="L903" s="242">
        <f t="shared" ref="L903:L909" si="449">+F903-F892</f>
        <v>-36475.459999999963</v>
      </c>
    </row>
    <row r="904" spans="1:12" ht="15.5">
      <c r="A904" s="180" t="s">
        <v>8</v>
      </c>
      <c r="B904" s="242">
        <f t="shared" ref="B904:B909" si="450">SUM(D904:F904)</f>
        <v>0</v>
      </c>
      <c r="C904" s="241">
        <f t="shared" ref="C904:C909" si="451">+B904/$B$911</f>
        <v>0</v>
      </c>
      <c r="D904" s="242">
        <v>0</v>
      </c>
      <c r="E904" s="242"/>
      <c r="F904" s="849">
        <v>0</v>
      </c>
      <c r="H904" s="250">
        <f t="shared" ref="H904:H909" si="452">SUM(J904:L904)</f>
        <v>0</v>
      </c>
      <c r="I904" s="241">
        <f t="shared" ref="I904:I909" si="453">+H904/$H$900</f>
        <v>0</v>
      </c>
      <c r="J904" s="242">
        <f t="shared" ref="J904:J909" si="454">+D904-D893</f>
        <v>0</v>
      </c>
      <c r="K904" s="849">
        <f t="shared" ref="K904:K909" si="455">+E904-E893</f>
        <v>0</v>
      </c>
      <c r="L904" s="242">
        <f t="shared" si="449"/>
        <v>0</v>
      </c>
    </row>
    <row r="905" spans="1:12" ht="15.5">
      <c r="A905" s="180" t="s">
        <v>9</v>
      </c>
      <c r="B905" s="242">
        <f t="shared" si="450"/>
        <v>676499.44827592967</v>
      </c>
      <c r="C905" s="241">
        <f t="shared" si="451"/>
        <v>8.9731145818624056E-2</v>
      </c>
      <c r="D905" s="242">
        <v>676499.44827592967</v>
      </c>
      <c r="E905" s="242"/>
      <c r="F905" s="849"/>
      <c r="H905" s="250">
        <f t="shared" si="452"/>
        <v>31978.244338900899</v>
      </c>
      <c r="I905" s="241">
        <f t="shared" si="453"/>
        <v>3.9072169433827386</v>
      </c>
      <c r="J905" s="242">
        <f t="shared" si="454"/>
        <v>31978.244338900899</v>
      </c>
      <c r="K905" s="849">
        <f t="shared" si="455"/>
        <v>0</v>
      </c>
      <c r="L905" s="242">
        <f t="shared" si="449"/>
        <v>0</v>
      </c>
    </row>
    <row r="906" spans="1:12" ht="15.5">
      <c r="A906" s="180" t="s">
        <v>162</v>
      </c>
      <c r="B906" s="242">
        <f t="shared" si="450"/>
        <v>0</v>
      </c>
      <c r="C906" s="241">
        <f t="shared" si="451"/>
        <v>0</v>
      </c>
      <c r="D906" s="242">
        <v>0</v>
      </c>
      <c r="E906" s="242"/>
      <c r="F906" s="849"/>
      <c r="H906" s="250">
        <f t="shared" si="452"/>
        <v>0</v>
      </c>
      <c r="I906" s="241">
        <f t="shared" si="453"/>
        <v>0</v>
      </c>
      <c r="J906" s="242">
        <f t="shared" si="454"/>
        <v>0</v>
      </c>
      <c r="K906" s="849">
        <f t="shared" si="455"/>
        <v>0</v>
      </c>
      <c r="L906" s="242">
        <f t="shared" si="449"/>
        <v>0</v>
      </c>
    </row>
    <row r="907" spans="1:12" ht="15.5">
      <c r="A907" s="180" t="s">
        <v>11</v>
      </c>
      <c r="B907" s="242">
        <f t="shared" si="450"/>
        <v>0</v>
      </c>
      <c r="C907" s="241">
        <f t="shared" si="451"/>
        <v>0</v>
      </c>
      <c r="D907" s="242">
        <v>0</v>
      </c>
      <c r="E907" s="242"/>
      <c r="F907" s="849"/>
      <c r="H907" s="250">
        <f t="shared" si="452"/>
        <v>0</v>
      </c>
      <c r="I907" s="241">
        <f t="shared" si="453"/>
        <v>0</v>
      </c>
      <c r="J907" s="242">
        <f t="shared" si="454"/>
        <v>0</v>
      </c>
      <c r="K907" s="849">
        <f t="shared" si="455"/>
        <v>0</v>
      </c>
      <c r="L907" s="242">
        <f t="shared" si="449"/>
        <v>0</v>
      </c>
    </row>
    <row r="908" spans="1:12" ht="15.5">
      <c r="A908" s="180" t="s">
        <v>12</v>
      </c>
      <c r="B908" s="242">
        <f t="shared" si="450"/>
        <v>134338</v>
      </c>
      <c r="C908" s="241">
        <f t="shared" si="451"/>
        <v>1.7818643751599375E-2</v>
      </c>
      <c r="D908" s="242">
        <v>134338</v>
      </c>
      <c r="E908" s="242"/>
      <c r="F908" s="849"/>
      <c r="H908" s="250">
        <f t="shared" si="452"/>
        <v>0</v>
      </c>
      <c r="I908" s="241">
        <f t="shared" si="453"/>
        <v>0</v>
      </c>
      <c r="J908" s="242">
        <f t="shared" si="454"/>
        <v>0</v>
      </c>
      <c r="K908" s="849">
        <f t="shared" si="455"/>
        <v>0</v>
      </c>
      <c r="L908" s="242">
        <f t="shared" si="449"/>
        <v>0</v>
      </c>
    </row>
    <row r="909" spans="1:12" ht="15.5">
      <c r="A909" s="180" t="s">
        <v>13</v>
      </c>
      <c r="B909" s="242">
        <f t="shared" si="450"/>
        <v>2735144.2889657775</v>
      </c>
      <c r="C909" s="241">
        <f t="shared" si="451"/>
        <v>0.36279058564443989</v>
      </c>
      <c r="D909" s="242">
        <v>2735144.2889657775</v>
      </c>
      <c r="E909" s="242">
        <v>0</v>
      </c>
      <c r="F909" s="849">
        <v>0</v>
      </c>
      <c r="H909" s="250">
        <f t="shared" si="452"/>
        <v>0</v>
      </c>
      <c r="I909" s="241">
        <f t="shared" si="453"/>
        <v>0</v>
      </c>
      <c r="J909" s="242">
        <f t="shared" si="454"/>
        <v>0</v>
      </c>
      <c r="K909" s="849">
        <f t="shared" si="455"/>
        <v>0</v>
      </c>
      <c r="L909" s="242">
        <f t="shared" si="449"/>
        <v>0</v>
      </c>
    </row>
    <row r="910" spans="1:12" ht="15.5">
      <c r="A910" s="180"/>
      <c r="B910" s="242">
        <f>SUM(D910:E910)</f>
        <v>0</v>
      </c>
      <c r="C910" s="241">
        <f>+B910/$B$12</f>
        <v>0</v>
      </c>
      <c r="D910" s="242"/>
      <c r="E910" s="242"/>
      <c r="F910" s="849"/>
      <c r="H910" s="250"/>
      <c r="I910" s="241">
        <f>+H910/$H$757</f>
        <v>0</v>
      </c>
      <c r="J910" s="242"/>
      <c r="K910" s="242"/>
      <c r="L910" s="242"/>
    </row>
    <row r="911" spans="1:12" ht="15.5">
      <c r="A911" s="180"/>
      <c r="B911" s="243">
        <f>SUM(B903:B910)</f>
        <v>7539182.0989710297</v>
      </c>
      <c r="C911" s="240">
        <f>SUM(C903:C910)</f>
        <v>1</v>
      </c>
      <c r="D911" s="243">
        <f>SUM(D903:D910)</f>
        <v>4435522.4789710306</v>
      </c>
      <c r="E911" s="243">
        <f>SUM(E903:E909)</f>
        <v>939509.45</v>
      </c>
      <c r="F911" s="243">
        <f>SUM(F903:F909)</f>
        <v>2164150.17</v>
      </c>
      <c r="G911" s="32">
        <f>+B911-B900</f>
        <v>-42896.261045178398</v>
      </c>
      <c r="H911" s="243">
        <f>SUM(H903:H910)</f>
        <v>-42896.261045177933</v>
      </c>
      <c r="I911" s="240">
        <f>SUM(I903:I910)</f>
        <v>-5.2412195049620038</v>
      </c>
      <c r="J911" s="243">
        <f>SUM(J903:J910)</f>
        <v>-26157.701045177877</v>
      </c>
      <c r="K911" s="243">
        <f>SUM(K903:K910)</f>
        <v>19736.899999999907</v>
      </c>
      <c r="L911" s="243">
        <f>SUM(L903:L910)</f>
        <v>-36475.459999999963</v>
      </c>
    </row>
    <row r="912" spans="1:12" ht="14.5" thickBot="1">
      <c r="H912" s="254">
        <f>+A913</f>
        <v>42397</v>
      </c>
      <c r="I912" s="254"/>
      <c r="J912" s="254">
        <f>+A902</f>
        <v>42366</v>
      </c>
    </row>
    <row r="913" spans="1:12" ht="16" thickBot="1">
      <c r="A913" s="253">
        <v>42397</v>
      </c>
      <c r="B913" s="251">
        <v>13.9</v>
      </c>
      <c r="C913" s="238" t="s">
        <v>3</v>
      </c>
      <c r="D913" s="238" t="s">
        <v>4</v>
      </c>
      <c r="E913" s="238" t="s">
        <v>5</v>
      </c>
      <c r="F913" s="238" t="s">
        <v>114</v>
      </c>
      <c r="H913" s="251">
        <f>+B913-B902</f>
        <v>0.59999999999999964</v>
      </c>
      <c r="I913" s="238" t="s">
        <v>3</v>
      </c>
      <c r="J913" s="238" t="s">
        <v>4</v>
      </c>
      <c r="K913" s="238" t="s">
        <v>5</v>
      </c>
      <c r="L913" s="238" t="s">
        <v>114</v>
      </c>
    </row>
    <row r="914" spans="1:12" ht="15.5">
      <c r="A914" s="180" t="s">
        <v>7</v>
      </c>
      <c r="B914" s="250">
        <f>SUM(D914:F914)</f>
        <v>3846821.1048920862</v>
      </c>
      <c r="C914" s="241">
        <f>+B914/$B$922</f>
        <v>0.51865187228085041</v>
      </c>
      <c r="D914" s="242">
        <v>1025032.1348920863</v>
      </c>
      <c r="E914" s="242">
        <v>783340.63</v>
      </c>
      <c r="F914" s="242">
        <v>2038448.34</v>
      </c>
      <c r="H914" s="250">
        <f>SUM(J914:L914)</f>
        <v>-146379.25683723669</v>
      </c>
      <c r="I914" s="241">
        <f>+H914/$H$922</f>
        <v>1.1976669462528411</v>
      </c>
      <c r="J914" s="242">
        <f>+D914-D903</f>
        <v>135491.3931627631</v>
      </c>
      <c r="K914" s="849">
        <f>+E914-E903</f>
        <v>-156168.81999999995</v>
      </c>
      <c r="L914" s="242">
        <f t="shared" ref="L914:L920" si="456">+F914-F903</f>
        <v>-125701.82999999984</v>
      </c>
    </row>
    <row r="915" spans="1:12" ht="15.5">
      <c r="A915" s="180" t="s">
        <v>8</v>
      </c>
      <c r="B915" s="242">
        <f t="shared" ref="B915:B920" si="457">SUM(D915:F915)</f>
        <v>0</v>
      </c>
      <c r="C915" s="241">
        <f t="shared" ref="C915:C920" si="458">+B915/$B$922</f>
        <v>0</v>
      </c>
      <c r="D915" s="242">
        <v>0</v>
      </c>
      <c r="E915" s="242"/>
      <c r="F915" s="849">
        <v>0</v>
      </c>
      <c r="H915" s="250">
        <f t="shared" ref="H915:H920" si="459">SUM(J915:L915)</f>
        <v>0</v>
      </c>
      <c r="I915" s="241">
        <f t="shared" ref="I915:I920" si="460">+H915/$H$922</f>
        <v>0</v>
      </c>
      <c r="J915" s="242">
        <f t="shared" ref="J915:J920" si="461">+D915-D904</f>
        <v>0</v>
      </c>
      <c r="K915" s="849">
        <f t="shared" ref="K915:K920" si="462">+E915-E904</f>
        <v>0</v>
      </c>
      <c r="L915" s="242">
        <f t="shared" si="456"/>
        <v>0</v>
      </c>
    </row>
    <row r="916" spans="1:12" ht="15.5">
      <c r="A916" s="180" t="s">
        <v>9</v>
      </c>
      <c r="B916" s="242">
        <f t="shared" si="457"/>
        <v>700658.36890432658</v>
      </c>
      <c r="C916" s="241">
        <f t="shared" si="458"/>
        <v>9.4467032636203138E-2</v>
      </c>
      <c r="D916" s="242">
        <v>700658.36890432658</v>
      </c>
      <c r="E916" s="242"/>
      <c r="F916" s="849"/>
      <c r="H916" s="250">
        <f t="shared" si="459"/>
        <v>24158.920628396911</v>
      </c>
      <c r="I916" s="241">
        <f t="shared" si="460"/>
        <v>-0.19766694625284117</v>
      </c>
      <c r="J916" s="242">
        <f t="shared" si="461"/>
        <v>24158.920628396911</v>
      </c>
      <c r="K916" s="849">
        <f t="shared" si="462"/>
        <v>0</v>
      </c>
      <c r="L916" s="242">
        <f t="shared" si="456"/>
        <v>0</v>
      </c>
    </row>
    <row r="917" spans="1:12" ht="15.5">
      <c r="A917" s="180" t="s">
        <v>162</v>
      </c>
      <c r="B917" s="242">
        <f t="shared" si="457"/>
        <v>0</v>
      </c>
      <c r="C917" s="241">
        <f t="shared" si="458"/>
        <v>0</v>
      </c>
      <c r="D917" s="242">
        <v>0</v>
      </c>
      <c r="E917" s="242"/>
      <c r="F917" s="849"/>
      <c r="H917" s="250">
        <f t="shared" si="459"/>
        <v>0</v>
      </c>
      <c r="I917" s="241">
        <f t="shared" si="460"/>
        <v>0</v>
      </c>
      <c r="J917" s="242">
        <f t="shared" si="461"/>
        <v>0</v>
      </c>
      <c r="K917" s="849">
        <f t="shared" si="462"/>
        <v>0</v>
      </c>
      <c r="L917" s="242">
        <f t="shared" si="456"/>
        <v>0</v>
      </c>
    </row>
    <row r="918" spans="1:12" ht="15.5">
      <c r="A918" s="180" t="s">
        <v>11</v>
      </c>
      <c r="B918" s="242">
        <f t="shared" si="457"/>
        <v>0</v>
      </c>
      <c r="C918" s="241">
        <f t="shared" si="458"/>
        <v>0</v>
      </c>
      <c r="D918" s="242">
        <v>0</v>
      </c>
      <c r="E918" s="242"/>
      <c r="F918" s="849"/>
      <c r="H918" s="250">
        <f t="shared" si="459"/>
        <v>0</v>
      </c>
      <c r="I918" s="241">
        <f t="shared" si="460"/>
        <v>0</v>
      </c>
      <c r="J918" s="242">
        <f t="shared" si="461"/>
        <v>0</v>
      </c>
      <c r="K918" s="849">
        <f t="shared" si="462"/>
        <v>0</v>
      </c>
      <c r="L918" s="242">
        <f t="shared" si="456"/>
        <v>0</v>
      </c>
    </row>
    <row r="919" spans="1:12" ht="15.5">
      <c r="A919" s="180" t="s">
        <v>12</v>
      </c>
      <c r="B919" s="242">
        <f t="shared" si="457"/>
        <v>134338</v>
      </c>
      <c r="C919" s="241">
        <f t="shared" si="458"/>
        <v>1.811226810881798E-2</v>
      </c>
      <c r="D919" s="242">
        <v>134338</v>
      </c>
      <c r="E919" s="242"/>
      <c r="F919" s="849"/>
      <c r="H919" s="250">
        <f t="shared" si="459"/>
        <v>0</v>
      </c>
      <c r="I919" s="241">
        <f t="shared" si="460"/>
        <v>0</v>
      </c>
      <c r="J919" s="242">
        <f t="shared" si="461"/>
        <v>0</v>
      </c>
      <c r="K919" s="849">
        <f t="shared" si="462"/>
        <v>0</v>
      </c>
      <c r="L919" s="242">
        <f t="shared" si="456"/>
        <v>0</v>
      </c>
    </row>
    <row r="920" spans="1:12" ht="15.5">
      <c r="A920" s="180" t="s">
        <v>13</v>
      </c>
      <c r="B920" s="242">
        <f t="shared" si="457"/>
        <v>2735144.2889657775</v>
      </c>
      <c r="C920" s="241">
        <f t="shared" si="458"/>
        <v>0.36876882697412855</v>
      </c>
      <c r="D920" s="242">
        <v>2735144.2889657775</v>
      </c>
      <c r="E920" s="242">
        <v>0</v>
      </c>
      <c r="F920" s="849">
        <v>0</v>
      </c>
      <c r="H920" s="250">
        <f t="shared" si="459"/>
        <v>0</v>
      </c>
      <c r="I920" s="241">
        <f t="shared" si="460"/>
        <v>0</v>
      </c>
      <c r="J920" s="242">
        <f t="shared" si="461"/>
        <v>0</v>
      </c>
      <c r="K920" s="849">
        <f t="shared" si="462"/>
        <v>0</v>
      </c>
      <c r="L920" s="242">
        <f t="shared" si="456"/>
        <v>0</v>
      </c>
    </row>
    <row r="921" spans="1:12" ht="15.5">
      <c r="A921" s="180"/>
      <c r="B921" s="242">
        <v>0</v>
      </c>
      <c r="C921" s="241">
        <v>0</v>
      </c>
      <c r="D921" s="242"/>
      <c r="E921" s="242"/>
      <c r="F921" s="849"/>
      <c r="H921" s="250"/>
      <c r="I921" s="241">
        <f>+H921/$H$757</f>
        <v>0</v>
      </c>
      <c r="J921" s="242"/>
      <c r="K921" s="242"/>
      <c r="L921" s="242"/>
    </row>
    <row r="922" spans="1:12" ht="15.5">
      <c r="A922" s="180"/>
      <c r="B922" s="243">
        <f>SUM(B914:B921)</f>
        <v>7416961.7627621898</v>
      </c>
      <c r="C922" s="240">
        <f>SUM(C914:C921)</f>
        <v>1</v>
      </c>
      <c r="D922" s="243">
        <f>SUM(D914:D921)</f>
        <v>4595172.7927621901</v>
      </c>
      <c r="E922" s="243">
        <f>SUM(E914:E920)</f>
        <v>783340.63</v>
      </c>
      <c r="F922" s="243">
        <f>SUM(F914:F920)</f>
        <v>2038448.34</v>
      </c>
      <c r="G922" s="32">
        <f>+B922-B911</f>
        <v>-122220.3362088399</v>
      </c>
      <c r="H922" s="243">
        <f>SUM(H914:H921)</f>
        <v>-122220.33620883978</v>
      </c>
      <c r="I922" s="240">
        <f>SUM(I914:I921)</f>
        <v>0.99999999999999989</v>
      </c>
      <c r="J922" s="243">
        <f>SUM(J914:J921)</f>
        <v>159650.31379116001</v>
      </c>
      <c r="K922" s="243">
        <f>SUM(K914:K921)</f>
        <v>-156168.81999999995</v>
      </c>
      <c r="L922" s="243">
        <f>SUM(L914:L921)</f>
        <v>-125701.82999999984</v>
      </c>
    </row>
    <row r="923" spans="1:12" ht="14.5" thickBot="1">
      <c r="A923" s="458" t="s">
        <v>166</v>
      </c>
      <c r="B923" s="459"/>
      <c r="C923" s="458"/>
      <c r="D923" s="452"/>
      <c r="H923" s="254">
        <f>+A924</f>
        <v>42428</v>
      </c>
      <c r="I923" s="254"/>
      <c r="J923" s="254">
        <f>+A913</f>
        <v>42397</v>
      </c>
    </row>
    <row r="924" spans="1:12" ht="16" thickBot="1">
      <c r="A924" s="253">
        <v>42428</v>
      </c>
      <c r="B924" s="251">
        <v>15.9</v>
      </c>
      <c r="C924" s="238" t="s">
        <v>3</v>
      </c>
      <c r="D924" s="238" t="s">
        <v>4</v>
      </c>
      <c r="E924" s="238" t="s">
        <v>5</v>
      </c>
      <c r="F924" s="238" t="s">
        <v>114</v>
      </c>
      <c r="H924" s="251">
        <f>+B924-B913</f>
        <v>2</v>
      </c>
      <c r="I924" s="238" t="s">
        <v>3</v>
      </c>
      <c r="J924" s="238" t="s">
        <v>4</v>
      </c>
      <c r="K924" s="238" t="s">
        <v>5</v>
      </c>
      <c r="L924" s="238" t="s">
        <v>114</v>
      </c>
    </row>
    <row r="925" spans="1:12" ht="15.5">
      <c r="A925" s="180" t="s">
        <v>7</v>
      </c>
      <c r="B925" s="250">
        <f>SUM(D925:F925)</f>
        <v>4054933.9386792453</v>
      </c>
      <c r="C925" s="241">
        <f>+B925/$B$933</f>
        <v>0.53089226949261237</v>
      </c>
      <c r="D925" s="242">
        <v>1197520.0886792452</v>
      </c>
      <c r="E925" s="242">
        <v>796831.47</v>
      </c>
      <c r="F925" s="242">
        <v>2060582.38</v>
      </c>
      <c r="H925" s="250">
        <f>SUM(J925:L925)</f>
        <v>208112.83378715871</v>
      </c>
      <c r="I925" s="241">
        <f>+H925/$H$933</f>
        <v>0.9416943815398332</v>
      </c>
      <c r="J925" s="242">
        <f>+D925-D914</f>
        <v>172487.95378715894</v>
      </c>
      <c r="K925" s="849">
        <f>+E925-E914</f>
        <v>13490.839999999967</v>
      </c>
      <c r="L925" s="242">
        <f t="shared" ref="L925:L931" si="463">+F925-F914</f>
        <v>22134.039999999804</v>
      </c>
    </row>
    <row r="926" spans="1:12" ht="15.5">
      <c r="A926" s="180" t="s">
        <v>8</v>
      </c>
      <c r="B926" s="242">
        <f t="shared" ref="B926:B931" si="464">SUM(D926:F926)</f>
        <v>0</v>
      </c>
      <c r="C926" s="241">
        <f t="shared" ref="C926:C931" si="465">+B926/$B$933</f>
        <v>0</v>
      </c>
      <c r="D926" s="242">
        <v>0</v>
      </c>
      <c r="E926" s="242"/>
      <c r="F926" s="849">
        <v>0</v>
      </c>
      <c r="H926" s="250">
        <f t="shared" ref="H926:H931" si="466">SUM(J926:L926)</f>
        <v>0</v>
      </c>
      <c r="I926" s="241">
        <f t="shared" ref="I926:I931" si="467">+H926/$H$933</f>
        <v>0</v>
      </c>
      <c r="J926" s="242">
        <f t="shared" ref="J926:J931" si="468">+D926-D915</f>
        <v>0</v>
      </c>
      <c r="K926" s="849">
        <f t="shared" ref="K926:K931" si="469">+E926-E915</f>
        <v>0</v>
      </c>
      <c r="L926" s="242">
        <f t="shared" si="463"/>
        <v>0</v>
      </c>
    </row>
    <row r="927" spans="1:12" ht="15.5">
      <c r="A927" s="180" t="s">
        <v>9</v>
      </c>
      <c r="B927" s="242">
        <f t="shared" si="464"/>
        <v>713543.81</v>
      </c>
      <c r="C927" s="241">
        <f t="shared" si="465"/>
        <v>9.3420730991413223E-2</v>
      </c>
      <c r="D927" s="242">
        <v>713543.81</v>
      </c>
      <c r="E927" s="242"/>
      <c r="F927" s="849"/>
      <c r="H927" s="250">
        <f t="shared" si="466"/>
        <v>12885.441095673479</v>
      </c>
      <c r="I927" s="241">
        <f t="shared" si="467"/>
        <v>5.8305618460166804E-2</v>
      </c>
      <c r="J927" s="242">
        <f>+D927-D916</f>
        <v>12885.441095673479</v>
      </c>
      <c r="K927" s="849">
        <f t="shared" si="469"/>
        <v>0</v>
      </c>
      <c r="L927" s="242">
        <f t="shared" si="463"/>
        <v>0</v>
      </c>
    </row>
    <row r="928" spans="1:12" ht="15.5">
      <c r="A928" s="180" t="s">
        <v>162</v>
      </c>
      <c r="B928" s="242">
        <f t="shared" si="464"/>
        <v>0</v>
      </c>
      <c r="C928" s="241">
        <f t="shared" si="465"/>
        <v>0</v>
      </c>
      <c r="D928" s="242">
        <v>0</v>
      </c>
      <c r="E928" s="242"/>
      <c r="F928" s="849"/>
      <c r="H928" s="250">
        <f t="shared" si="466"/>
        <v>0</v>
      </c>
      <c r="I928" s="241">
        <f t="shared" si="467"/>
        <v>0</v>
      </c>
      <c r="J928" s="242">
        <f t="shared" si="468"/>
        <v>0</v>
      </c>
      <c r="K928" s="849">
        <f t="shared" si="469"/>
        <v>0</v>
      </c>
      <c r="L928" s="242">
        <f t="shared" si="463"/>
        <v>0</v>
      </c>
    </row>
    <row r="929" spans="1:12" ht="15.5">
      <c r="A929" s="180" t="s">
        <v>11</v>
      </c>
      <c r="B929" s="242">
        <f t="shared" si="464"/>
        <v>0</v>
      </c>
      <c r="C929" s="241">
        <f t="shared" si="465"/>
        <v>0</v>
      </c>
      <c r="D929" s="242">
        <v>0</v>
      </c>
      <c r="E929" s="242"/>
      <c r="F929" s="849"/>
      <c r="H929" s="250">
        <f t="shared" si="466"/>
        <v>0</v>
      </c>
      <c r="I929" s="241">
        <f t="shared" si="467"/>
        <v>0</v>
      </c>
      <c r="J929" s="242">
        <f t="shared" si="468"/>
        <v>0</v>
      </c>
      <c r="K929" s="849">
        <f t="shared" si="469"/>
        <v>0</v>
      </c>
      <c r="L929" s="242">
        <f t="shared" si="463"/>
        <v>0</v>
      </c>
    </row>
    <row r="930" spans="1:12" ht="15.5">
      <c r="A930" s="180" t="s">
        <v>12</v>
      </c>
      <c r="B930" s="242">
        <f t="shared" si="464"/>
        <v>134338</v>
      </c>
      <c r="C930" s="241">
        <f t="shared" si="465"/>
        <v>1.7588204093487221E-2</v>
      </c>
      <c r="D930" s="242">
        <v>134338</v>
      </c>
      <c r="E930" s="242"/>
      <c r="F930" s="849"/>
      <c r="H930" s="250">
        <f t="shared" si="466"/>
        <v>0</v>
      </c>
      <c r="I930" s="241">
        <f t="shared" si="467"/>
        <v>0</v>
      </c>
      <c r="J930" s="242">
        <f t="shared" si="468"/>
        <v>0</v>
      </c>
      <c r="K930" s="849">
        <f t="shared" si="469"/>
        <v>0</v>
      </c>
      <c r="L930" s="242">
        <f t="shared" si="463"/>
        <v>0</v>
      </c>
    </row>
    <row r="931" spans="1:12" ht="15.5">
      <c r="A931" s="180" t="s">
        <v>13</v>
      </c>
      <c r="B931" s="242">
        <f t="shared" si="464"/>
        <v>2735144.2889657775</v>
      </c>
      <c r="C931" s="241">
        <f t="shared" si="465"/>
        <v>0.35809879542248718</v>
      </c>
      <c r="D931" s="242">
        <v>2735144.2889657775</v>
      </c>
      <c r="E931" s="242">
        <v>0</v>
      </c>
      <c r="F931" s="849">
        <v>0</v>
      </c>
      <c r="H931" s="250">
        <f t="shared" si="466"/>
        <v>0</v>
      </c>
      <c r="I931" s="241">
        <f t="shared" si="467"/>
        <v>0</v>
      </c>
      <c r="J931" s="242">
        <f t="shared" si="468"/>
        <v>0</v>
      </c>
      <c r="K931" s="849">
        <f t="shared" si="469"/>
        <v>0</v>
      </c>
      <c r="L931" s="242">
        <f t="shared" si="463"/>
        <v>0</v>
      </c>
    </row>
    <row r="932" spans="1:12" ht="15.5">
      <c r="A932" s="180"/>
      <c r="B932" s="242">
        <v>0</v>
      </c>
      <c r="C932" s="241">
        <v>0</v>
      </c>
      <c r="D932" s="242"/>
      <c r="E932" s="242"/>
      <c r="F932" s="849"/>
      <c r="H932" s="250"/>
      <c r="I932" s="241">
        <f>+H932/$H$757</f>
        <v>0</v>
      </c>
      <c r="J932" s="242"/>
      <c r="K932" s="242"/>
      <c r="L932" s="242"/>
    </row>
    <row r="933" spans="1:12" ht="15.5">
      <c r="A933" s="180"/>
      <c r="B933" s="243">
        <f>SUM(B925:B932)</f>
        <v>7637960.0376450224</v>
      </c>
      <c r="C933" s="240">
        <v>1</v>
      </c>
      <c r="D933" s="243">
        <f>SUM(D925:D932)</f>
        <v>4780546.1876450228</v>
      </c>
      <c r="E933" s="243">
        <f>SUM(E925:E932)</f>
        <v>796831.47</v>
      </c>
      <c r="F933" s="243">
        <f>SUM(F925:F932)</f>
        <v>2060582.38</v>
      </c>
      <c r="G933" s="32">
        <f>+B933-B922</f>
        <v>220998.27488283254</v>
      </c>
      <c r="H933" s="243">
        <f>SUM(H925:H932)</f>
        <v>220998.27488283219</v>
      </c>
      <c r="I933" s="240">
        <f>SUM(I925:I932)</f>
        <v>1</v>
      </c>
      <c r="J933" s="243">
        <f>SUM(J925:J932)</f>
        <v>185373.39488283242</v>
      </c>
      <c r="K933" s="243">
        <f>SUM(K925:K932)</f>
        <v>13490.839999999967</v>
      </c>
      <c r="L933" s="243">
        <f>SUM(L925:L932)</f>
        <v>22134.039999999804</v>
      </c>
    </row>
    <row r="934" spans="1:12" ht="14.5" thickBot="1">
      <c r="H934" s="254">
        <f>+A935</f>
        <v>42457</v>
      </c>
      <c r="I934" s="254"/>
      <c r="J934" s="254">
        <f>+A924</f>
        <v>42428</v>
      </c>
    </row>
    <row r="935" spans="1:12" ht="16" thickBot="1">
      <c r="A935" s="253">
        <v>42457</v>
      </c>
      <c r="B935" s="251">
        <v>15</v>
      </c>
      <c r="C935" s="238" t="s">
        <v>3</v>
      </c>
      <c r="D935" s="238" t="s">
        <v>4</v>
      </c>
      <c r="E935" s="238" t="s">
        <v>5</v>
      </c>
      <c r="F935" s="238" t="s">
        <v>114</v>
      </c>
      <c r="H935" s="251">
        <f>+B935-B924</f>
        <v>-0.90000000000000036</v>
      </c>
      <c r="I935" s="238" t="s">
        <v>3</v>
      </c>
      <c r="J935" s="238" t="s">
        <v>4</v>
      </c>
      <c r="K935" s="238" t="s">
        <v>5</v>
      </c>
      <c r="L935" s="238" t="s">
        <v>114</v>
      </c>
    </row>
    <row r="936" spans="1:12" ht="15.5">
      <c r="A936" s="180" t="s">
        <v>7</v>
      </c>
      <c r="B936" s="250">
        <f>SUM(D936:F936)</f>
        <v>4141309.4086666671</v>
      </c>
      <c r="C936" s="241">
        <f>+B936/$B$944</f>
        <v>0.53426576144015381</v>
      </c>
      <c r="D936" s="242">
        <v>1179297.4686666669</v>
      </c>
      <c r="E936" s="242">
        <v>803970.55</v>
      </c>
      <c r="F936" s="242">
        <v>2158041.39</v>
      </c>
      <c r="H936" s="250">
        <f>SUM(J936:L936)</f>
        <v>86375.469987421995</v>
      </c>
      <c r="I936" s="241">
        <f t="shared" ref="I936:I942" si="470">+H936/$H$944</f>
        <v>0.76139769189439077</v>
      </c>
      <c r="J936" s="242">
        <f>+D936-D925</f>
        <v>-18222.620012578322</v>
      </c>
      <c r="K936" s="849">
        <f>+E936-E925</f>
        <v>7139.0800000000745</v>
      </c>
      <c r="L936" s="242">
        <f t="shared" ref="L936:L942" si="471">+F936-F925</f>
        <v>97459.010000000242</v>
      </c>
    </row>
    <row r="937" spans="1:12" ht="15.5">
      <c r="A937" s="180" t="s">
        <v>8</v>
      </c>
      <c r="B937" s="242">
        <f t="shared" ref="B937:B942" si="472">SUM(D937:F937)</f>
        <v>0</v>
      </c>
      <c r="C937" s="241">
        <f t="shared" ref="C937:C942" si="473">+B937/$B$944</f>
        <v>0</v>
      </c>
      <c r="D937" s="242">
        <v>0</v>
      </c>
      <c r="E937" s="242"/>
      <c r="F937" s="849">
        <v>0</v>
      </c>
      <c r="H937" s="250">
        <f t="shared" ref="H937:H942" si="474">SUM(J937:L937)</f>
        <v>0</v>
      </c>
      <c r="I937" s="241">
        <f t="shared" si="470"/>
        <v>0</v>
      </c>
      <c r="J937" s="242">
        <f t="shared" ref="J937:J942" si="475">+D937-D926</f>
        <v>0</v>
      </c>
      <c r="K937" s="849">
        <f t="shared" ref="K937:K942" si="476">+E937-E926</f>
        <v>0</v>
      </c>
      <c r="L937" s="242">
        <f t="shared" si="471"/>
        <v>0</v>
      </c>
    </row>
    <row r="938" spans="1:12" ht="15.5">
      <c r="A938" s="180" t="s">
        <v>9</v>
      </c>
      <c r="B938" s="242">
        <f t="shared" si="472"/>
        <v>740611.64422396338</v>
      </c>
      <c r="C938" s="241">
        <f t="shared" si="473"/>
        <v>9.5545491772408786E-2</v>
      </c>
      <c r="D938" s="242">
        <v>740611.64422396338</v>
      </c>
      <c r="E938" s="242"/>
      <c r="F938" s="849"/>
      <c r="H938" s="250">
        <f t="shared" si="474"/>
        <v>27067.83422396332</v>
      </c>
      <c r="I938" s="241">
        <f t="shared" si="470"/>
        <v>0.23860230810560926</v>
      </c>
      <c r="J938" s="242">
        <f t="shared" si="475"/>
        <v>27067.83422396332</v>
      </c>
      <c r="K938" s="849">
        <f t="shared" si="476"/>
        <v>0</v>
      </c>
      <c r="L938" s="242">
        <f t="shared" si="471"/>
        <v>0</v>
      </c>
    </row>
    <row r="939" spans="1:12" ht="15.5">
      <c r="A939" s="180" t="s">
        <v>162</v>
      </c>
      <c r="B939" s="242">
        <f t="shared" si="472"/>
        <v>0</v>
      </c>
      <c r="C939" s="241">
        <f t="shared" si="473"/>
        <v>0</v>
      </c>
      <c r="D939" s="242">
        <v>0</v>
      </c>
      <c r="E939" s="242"/>
      <c r="F939" s="849"/>
      <c r="H939" s="250">
        <f t="shared" si="474"/>
        <v>0</v>
      </c>
      <c r="I939" s="241">
        <f t="shared" si="470"/>
        <v>0</v>
      </c>
      <c r="J939" s="242">
        <f t="shared" si="475"/>
        <v>0</v>
      </c>
      <c r="K939" s="849">
        <f t="shared" si="476"/>
        <v>0</v>
      </c>
      <c r="L939" s="242">
        <f t="shared" si="471"/>
        <v>0</v>
      </c>
    </row>
    <row r="940" spans="1:12" ht="15.5">
      <c r="A940" s="180" t="s">
        <v>11</v>
      </c>
      <c r="B940" s="242">
        <f t="shared" si="472"/>
        <v>0</v>
      </c>
      <c r="C940" s="241">
        <f t="shared" si="473"/>
        <v>0</v>
      </c>
      <c r="D940" s="242">
        <v>0</v>
      </c>
      <c r="E940" s="242"/>
      <c r="F940" s="849"/>
      <c r="H940" s="250">
        <f t="shared" si="474"/>
        <v>0</v>
      </c>
      <c r="I940" s="241">
        <f t="shared" si="470"/>
        <v>0</v>
      </c>
      <c r="J940" s="242">
        <f t="shared" si="475"/>
        <v>0</v>
      </c>
      <c r="K940" s="849">
        <f t="shared" si="476"/>
        <v>0</v>
      </c>
      <c r="L940" s="242">
        <f t="shared" si="471"/>
        <v>0</v>
      </c>
    </row>
    <row r="941" spans="1:12" ht="15.5">
      <c r="A941" s="180" t="s">
        <v>12</v>
      </c>
      <c r="B941" s="242">
        <f t="shared" si="472"/>
        <v>134338</v>
      </c>
      <c r="C941" s="241">
        <f t="shared" si="473"/>
        <v>1.7330797286034011E-2</v>
      </c>
      <c r="D941" s="242">
        <v>134338</v>
      </c>
      <c r="E941" s="242"/>
      <c r="F941" s="849"/>
      <c r="H941" s="250">
        <f t="shared" si="474"/>
        <v>0</v>
      </c>
      <c r="I941" s="241">
        <f t="shared" si="470"/>
        <v>0</v>
      </c>
      <c r="J941" s="242">
        <f t="shared" si="475"/>
        <v>0</v>
      </c>
      <c r="K941" s="849">
        <f t="shared" si="476"/>
        <v>0</v>
      </c>
      <c r="L941" s="242">
        <f t="shared" si="471"/>
        <v>0</v>
      </c>
    </row>
    <row r="942" spans="1:12" ht="15.5">
      <c r="A942" s="180" t="s">
        <v>13</v>
      </c>
      <c r="B942" s="242">
        <f t="shared" si="472"/>
        <v>2735144.2889657775</v>
      </c>
      <c r="C942" s="241">
        <f t="shared" si="473"/>
        <v>0.35285794950140337</v>
      </c>
      <c r="D942" s="242">
        <v>2735144.2889657775</v>
      </c>
      <c r="E942" s="242">
        <v>0</v>
      </c>
      <c r="F942" s="849">
        <v>0</v>
      </c>
      <c r="H942" s="250">
        <f t="shared" si="474"/>
        <v>0</v>
      </c>
      <c r="I942" s="241">
        <f t="shared" si="470"/>
        <v>0</v>
      </c>
      <c r="J942" s="242">
        <f t="shared" si="475"/>
        <v>0</v>
      </c>
      <c r="K942" s="849">
        <f t="shared" si="476"/>
        <v>0</v>
      </c>
      <c r="L942" s="242">
        <f t="shared" si="471"/>
        <v>0</v>
      </c>
    </row>
    <row r="943" spans="1:12" ht="15.5">
      <c r="A943" s="180"/>
      <c r="B943" s="242">
        <f>SUM(D943:E943)</f>
        <v>0</v>
      </c>
      <c r="C943" s="241">
        <f>+B943/$B$12</f>
        <v>0</v>
      </c>
      <c r="D943" s="242"/>
      <c r="E943" s="242"/>
      <c r="F943" s="849"/>
      <c r="H943" s="250"/>
      <c r="I943" s="241">
        <f>+H943/$H$757</f>
        <v>0</v>
      </c>
      <c r="J943" s="242"/>
      <c r="K943" s="242"/>
      <c r="L943" s="242"/>
    </row>
    <row r="944" spans="1:12" ht="15.5">
      <c r="A944" s="180"/>
      <c r="B944" s="243">
        <f>SUM(B936:B943)</f>
        <v>7751403.3418564079</v>
      </c>
      <c r="C944" s="240">
        <f>SUM(C936:C943)</f>
        <v>1</v>
      </c>
      <c r="D944" s="243">
        <f>SUM(D936:D943)</f>
        <v>4789391.4018564075</v>
      </c>
      <c r="E944" s="243">
        <f>SUM(E936:E942)</f>
        <v>803970.55</v>
      </c>
      <c r="F944" s="243">
        <f>SUM(F936:F942)</f>
        <v>2158041.39</v>
      </c>
      <c r="G944" s="32">
        <f>+B944-B933</f>
        <v>113443.30421138555</v>
      </c>
      <c r="H944" s="243">
        <f>SUM(H936:H943)</f>
        <v>113443.30421138532</v>
      </c>
      <c r="I944" s="240">
        <f>SUM(I936:I943)</f>
        <v>1</v>
      </c>
      <c r="J944" s="243">
        <f>SUM(J936:J943)</f>
        <v>8845.2142113849986</v>
      </c>
      <c r="K944" s="243">
        <f>SUM(K936:K943)</f>
        <v>7139.0800000000745</v>
      </c>
      <c r="L944" s="243">
        <f>SUM(L936:L943)</f>
        <v>97459.010000000242</v>
      </c>
    </row>
    <row r="945" spans="1:12" ht="14.5" thickBot="1">
      <c r="H945" s="254">
        <f>+A946</f>
        <v>42488</v>
      </c>
      <c r="I945" s="254"/>
      <c r="J945" s="254">
        <f>+A935</f>
        <v>42457</v>
      </c>
    </row>
    <row r="946" spans="1:12" ht="16" thickBot="1">
      <c r="A946" s="253">
        <v>42488</v>
      </c>
      <c r="B946" s="251">
        <v>14.55</v>
      </c>
      <c r="C946" s="238" t="s">
        <v>3</v>
      </c>
      <c r="D946" s="238" t="s">
        <v>4</v>
      </c>
      <c r="E946" s="238" t="s">
        <v>5</v>
      </c>
      <c r="F946" s="238" t="s">
        <v>114</v>
      </c>
      <c r="H946" s="251">
        <f>+B946-B935</f>
        <v>-0.44999999999999929</v>
      </c>
      <c r="I946" s="238" t="s">
        <v>3</v>
      </c>
      <c r="J946" s="238" t="s">
        <v>4</v>
      </c>
      <c r="K946" s="238" t="s">
        <v>5</v>
      </c>
      <c r="L946" s="238" t="s">
        <v>114</v>
      </c>
    </row>
    <row r="947" spans="1:12" ht="15.5">
      <c r="A947" s="180" t="s">
        <v>7</v>
      </c>
      <c r="B947" s="250">
        <f>SUM(D947:F947)</f>
        <v>4175475.2720274911</v>
      </c>
      <c r="C947" s="241">
        <f>+B947/$B$955</f>
        <v>0.53543478220653606</v>
      </c>
      <c r="D947" s="242">
        <v>1176810.5120274911</v>
      </c>
      <c r="E947" s="242">
        <v>817886.57</v>
      </c>
      <c r="F947" s="242">
        <v>2180778.19</v>
      </c>
      <c r="H947" s="250">
        <f>SUM(J947:L947)</f>
        <v>34165.863360823947</v>
      </c>
      <c r="I947" s="241">
        <f>+H947/$H$955</f>
        <v>0.72870316823947057</v>
      </c>
      <c r="J947" s="242">
        <f>+D947-D936</f>
        <v>-2486.9566391757689</v>
      </c>
      <c r="K947" s="849">
        <f>+E947-E936</f>
        <v>13916.019999999902</v>
      </c>
      <c r="L947" s="242">
        <f t="shared" ref="L947:L953" si="477">+F947-F936</f>
        <v>22736.799999999814</v>
      </c>
    </row>
    <row r="948" spans="1:12" ht="15.5">
      <c r="A948" s="180" t="s">
        <v>8</v>
      </c>
      <c r="B948" s="242">
        <f t="shared" ref="B948:B953" si="478">SUM(D948:F948)</f>
        <v>0</v>
      </c>
      <c r="C948" s="241">
        <f t="shared" ref="C948:C953" si="479">+B948/$B$955</f>
        <v>0</v>
      </c>
      <c r="D948" s="242">
        <v>0</v>
      </c>
      <c r="E948" s="242"/>
      <c r="F948" s="849">
        <v>0</v>
      </c>
      <c r="H948" s="250">
        <f t="shared" ref="H948:H953" si="480">SUM(J948:L948)</f>
        <v>0</v>
      </c>
      <c r="I948" s="241">
        <f t="shared" ref="I948:I953" si="481">+H948/$H$955</f>
        <v>0</v>
      </c>
      <c r="J948" s="242">
        <f t="shared" ref="J948:J953" si="482">+D948-D937</f>
        <v>0</v>
      </c>
      <c r="K948" s="849">
        <f t="shared" ref="K948:K953" si="483">+E948-E937</f>
        <v>0</v>
      </c>
      <c r="L948" s="242">
        <f t="shared" si="477"/>
        <v>0</v>
      </c>
    </row>
    <row r="949" spans="1:12" ht="15.5">
      <c r="A949" s="180" t="s">
        <v>9</v>
      </c>
      <c r="B949" s="242">
        <f t="shared" si="478"/>
        <v>793469.62526445836</v>
      </c>
      <c r="C949" s="241">
        <f t="shared" si="479"/>
        <v>0.10174919220265947</v>
      </c>
      <c r="D949" s="242">
        <v>793469.62526445836</v>
      </c>
      <c r="E949" s="242"/>
      <c r="F949" s="849"/>
      <c r="H949" s="250">
        <f t="shared" si="480"/>
        <v>52857.981040494982</v>
      </c>
      <c r="I949" s="241">
        <f t="shared" si="481"/>
        <v>1.1273761135249609</v>
      </c>
      <c r="J949" s="242">
        <f t="shared" si="482"/>
        <v>52857.981040494982</v>
      </c>
      <c r="K949" s="849">
        <f t="shared" si="483"/>
        <v>0</v>
      </c>
      <c r="L949" s="242">
        <f t="shared" si="477"/>
        <v>0</v>
      </c>
    </row>
    <row r="950" spans="1:12" ht="15.5">
      <c r="A950" s="180" t="s">
        <v>162</v>
      </c>
      <c r="B950" s="242">
        <f t="shared" si="478"/>
        <v>0</v>
      </c>
      <c r="C950" s="241">
        <f t="shared" si="479"/>
        <v>0</v>
      </c>
      <c r="D950" s="242">
        <v>0</v>
      </c>
      <c r="E950" s="242"/>
      <c r="F950" s="849"/>
      <c r="H950" s="250">
        <f t="shared" si="480"/>
        <v>0</v>
      </c>
      <c r="I950" s="241">
        <f t="shared" si="481"/>
        <v>0</v>
      </c>
      <c r="J950" s="242">
        <f t="shared" si="482"/>
        <v>0</v>
      </c>
      <c r="K950" s="849">
        <f t="shared" si="483"/>
        <v>0</v>
      </c>
      <c r="L950" s="242">
        <f t="shared" si="477"/>
        <v>0</v>
      </c>
    </row>
    <row r="951" spans="1:12" ht="15.5">
      <c r="A951" s="180" t="s">
        <v>11</v>
      </c>
      <c r="B951" s="242">
        <f t="shared" si="478"/>
        <v>0</v>
      </c>
      <c r="C951" s="241">
        <f t="shared" si="479"/>
        <v>0</v>
      </c>
      <c r="D951" s="242">
        <v>0</v>
      </c>
      <c r="E951" s="242"/>
      <c r="F951" s="849"/>
      <c r="H951" s="250">
        <f t="shared" si="480"/>
        <v>0</v>
      </c>
      <c r="I951" s="241">
        <f t="shared" si="481"/>
        <v>0</v>
      </c>
      <c r="J951" s="242">
        <f t="shared" si="482"/>
        <v>0</v>
      </c>
      <c r="K951" s="849">
        <f t="shared" si="483"/>
        <v>0</v>
      </c>
      <c r="L951" s="242">
        <f t="shared" si="477"/>
        <v>0</v>
      </c>
    </row>
    <row r="952" spans="1:12" ht="15.5">
      <c r="A952" s="180" t="s">
        <v>12</v>
      </c>
      <c r="B952" s="242">
        <f t="shared" si="478"/>
        <v>94200</v>
      </c>
      <c r="C952" s="241">
        <f t="shared" si="479"/>
        <v>1.2079572551118108E-2</v>
      </c>
      <c r="D952" s="242">
        <v>94200</v>
      </c>
      <c r="E952" s="242"/>
      <c r="F952" s="849"/>
      <c r="H952" s="250">
        <f t="shared" si="480"/>
        <v>-40138</v>
      </c>
      <c r="I952" s="241">
        <f t="shared" si="481"/>
        <v>-0.85607928176443149</v>
      </c>
      <c r="J952" s="242">
        <f t="shared" si="482"/>
        <v>-40138</v>
      </c>
      <c r="K952" s="849">
        <f t="shared" si="483"/>
        <v>0</v>
      </c>
      <c r="L952" s="242">
        <f t="shared" si="477"/>
        <v>0</v>
      </c>
    </row>
    <row r="953" spans="1:12" ht="15.5">
      <c r="A953" s="180" t="s">
        <v>13</v>
      </c>
      <c r="B953" s="242">
        <f t="shared" si="478"/>
        <v>2735144.2889657775</v>
      </c>
      <c r="C953" s="241">
        <f t="shared" si="479"/>
        <v>0.35073645303968642</v>
      </c>
      <c r="D953" s="242">
        <v>2735144.2889657775</v>
      </c>
      <c r="E953" s="242">
        <v>0</v>
      </c>
      <c r="F953" s="849">
        <v>0</v>
      </c>
      <c r="H953" s="250">
        <f t="shared" si="480"/>
        <v>0</v>
      </c>
      <c r="I953" s="241">
        <f t="shared" si="481"/>
        <v>0</v>
      </c>
      <c r="J953" s="242">
        <f t="shared" si="482"/>
        <v>0</v>
      </c>
      <c r="K953" s="849">
        <f t="shared" si="483"/>
        <v>0</v>
      </c>
      <c r="L953" s="242">
        <f t="shared" si="477"/>
        <v>0</v>
      </c>
    </row>
    <row r="954" spans="1:12" ht="15.5">
      <c r="A954" s="180"/>
      <c r="B954" s="242">
        <f>SUM(D954:E954)</f>
        <v>0</v>
      </c>
      <c r="C954" s="241">
        <f>+B954/$B$12</f>
        <v>0</v>
      </c>
      <c r="D954" s="242"/>
      <c r="E954" s="242"/>
      <c r="F954" s="849"/>
      <c r="H954" s="250"/>
      <c r="I954" s="241">
        <f>+H954/$H$757</f>
        <v>0</v>
      </c>
      <c r="J954" s="242"/>
      <c r="K954" s="242"/>
      <c r="L954" s="242"/>
    </row>
    <row r="955" spans="1:12" ht="15.5">
      <c r="A955" s="180"/>
      <c r="B955" s="243">
        <f>SUM(B947:B954)</f>
        <v>7798289.1862577265</v>
      </c>
      <c r="C955" s="240">
        <f>SUM(C947:C954)</f>
        <v>1</v>
      </c>
      <c r="D955" s="243">
        <f>SUM(D947:D954)</f>
        <v>4799624.4262577267</v>
      </c>
      <c r="E955" s="243">
        <f>SUM(E947:E953)</f>
        <v>817886.57</v>
      </c>
      <c r="F955" s="243">
        <f>SUM(F947:F953)</f>
        <v>2180778.19</v>
      </c>
      <c r="G955" s="32">
        <f>+B955-B944</f>
        <v>46885.84440131858</v>
      </c>
      <c r="H955" s="243">
        <f>SUM(H947:H954)</f>
        <v>46885.844401318929</v>
      </c>
      <c r="I955" s="240">
        <f>SUM(I947:I954)</f>
        <v>1</v>
      </c>
      <c r="J955" s="243">
        <f>SUM(J947:J954)</f>
        <v>10233.024401319213</v>
      </c>
      <c r="K955" s="243">
        <f>SUM(K947:K954)</f>
        <v>13916.019999999902</v>
      </c>
      <c r="L955" s="243">
        <f>SUM(L947:L954)</f>
        <v>22736.799999999814</v>
      </c>
    </row>
    <row r="956" spans="1:12" ht="14.5" thickBot="1">
      <c r="H956" s="254">
        <f>+A957</f>
        <v>42518</v>
      </c>
      <c r="I956" s="254"/>
      <c r="J956" s="254">
        <f>+A946</f>
        <v>42488</v>
      </c>
    </row>
    <row r="957" spans="1:12" ht="16" thickBot="1">
      <c r="A957" s="253">
        <v>42518</v>
      </c>
      <c r="B957" s="251">
        <v>14.3</v>
      </c>
      <c r="C957" s="238" t="s">
        <v>3</v>
      </c>
      <c r="D957" s="238" t="s">
        <v>4</v>
      </c>
      <c r="E957" s="238" t="s">
        <v>5</v>
      </c>
      <c r="F957" s="238" t="s">
        <v>114</v>
      </c>
      <c r="H957" s="251">
        <f>+B957-B946</f>
        <v>-0.25</v>
      </c>
      <c r="I957" s="238" t="s">
        <v>3</v>
      </c>
      <c r="J957" s="238" t="s">
        <v>4</v>
      </c>
      <c r="K957" s="238" t="s">
        <v>5</v>
      </c>
      <c r="L957" s="238" t="s">
        <v>114</v>
      </c>
    </row>
    <row r="958" spans="1:12" ht="15.5">
      <c r="A958" s="180" t="s">
        <v>7</v>
      </c>
      <c r="B958" s="250">
        <v>4209865.4206993002</v>
      </c>
      <c r="C958" s="241">
        <v>0.53594159476567815</v>
      </c>
      <c r="D958" s="242">
        <v>1168134.9006993007</v>
      </c>
      <c r="E958" s="242">
        <v>839481.94</v>
      </c>
      <c r="F958" s="242">
        <v>2202248.58</v>
      </c>
      <c r="H958" s="250">
        <f>SUM(J958:L958)</f>
        <v>34390.1486718097</v>
      </c>
      <c r="I958" s="241">
        <f>+H958/$H$955</f>
        <v>0.73348681485711464</v>
      </c>
      <c r="J958" s="242">
        <f>+D958-D947</f>
        <v>-8675.6113281904254</v>
      </c>
      <c r="K958" s="849">
        <f>+E958-E947</f>
        <v>21595.369999999995</v>
      </c>
      <c r="L958" s="242">
        <f t="shared" ref="L958:L964" si="484">+F958-F947</f>
        <v>21470.39000000013</v>
      </c>
    </row>
    <row r="959" spans="1:12" ht="15.5">
      <c r="A959" s="180" t="s">
        <v>8</v>
      </c>
      <c r="B959" s="242">
        <v>0</v>
      </c>
      <c r="C959" s="241">
        <v>0</v>
      </c>
      <c r="D959" s="242">
        <v>0</v>
      </c>
      <c r="E959" s="242"/>
      <c r="F959" s="849">
        <v>0</v>
      </c>
      <c r="H959" s="250">
        <f t="shared" ref="H959:H964" si="485">SUM(J959:L959)</f>
        <v>0</v>
      </c>
      <c r="I959" s="241">
        <f t="shared" ref="I959:I964" si="486">+H959/$H$955</f>
        <v>0</v>
      </c>
      <c r="J959" s="242">
        <f t="shared" ref="J959:J964" si="487">+D959-D948</f>
        <v>0</v>
      </c>
      <c r="K959" s="849">
        <f t="shared" ref="K959:K964" si="488">+E959-E948</f>
        <v>0</v>
      </c>
      <c r="L959" s="242">
        <f t="shared" si="484"/>
        <v>0</v>
      </c>
    </row>
    <row r="960" spans="1:12" ht="15.5">
      <c r="A960" s="180" t="s">
        <v>9</v>
      </c>
      <c r="B960" s="242">
        <v>815872.75046738889</v>
      </c>
      <c r="C960" s="241">
        <v>0.10386558697610797</v>
      </c>
      <c r="D960" s="242">
        <v>815872.75046738889</v>
      </c>
      <c r="E960" s="242"/>
      <c r="F960" s="849"/>
      <c r="H960" s="250">
        <f t="shared" si="485"/>
        <v>22403.125202930532</v>
      </c>
      <c r="I960" s="241">
        <f t="shared" si="486"/>
        <v>0.47782279468342725</v>
      </c>
      <c r="J960" s="242">
        <f t="shared" si="487"/>
        <v>22403.125202930532</v>
      </c>
      <c r="K960" s="849">
        <f t="shared" si="488"/>
        <v>0</v>
      </c>
      <c r="L960" s="242">
        <f t="shared" si="484"/>
        <v>0</v>
      </c>
    </row>
    <row r="961" spans="1:12" ht="15.5">
      <c r="A961" s="180" t="s">
        <v>162</v>
      </c>
      <c r="B961" s="242">
        <v>0</v>
      </c>
      <c r="C961" s="241">
        <v>0</v>
      </c>
      <c r="D961" s="242">
        <v>0</v>
      </c>
      <c r="E961" s="242"/>
      <c r="F961" s="849"/>
      <c r="H961" s="250">
        <f t="shared" si="485"/>
        <v>0</v>
      </c>
      <c r="I961" s="241">
        <f t="shared" si="486"/>
        <v>0</v>
      </c>
      <c r="J961" s="242">
        <f t="shared" si="487"/>
        <v>0</v>
      </c>
      <c r="K961" s="849">
        <f t="shared" si="488"/>
        <v>0</v>
      </c>
      <c r="L961" s="242">
        <f t="shared" si="484"/>
        <v>0</v>
      </c>
    </row>
    <row r="962" spans="1:12" ht="15.5">
      <c r="A962" s="180" t="s">
        <v>11</v>
      </c>
      <c r="B962" s="242">
        <v>0</v>
      </c>
      <c r="C962" s="241">
        <v>0</v>
      </c>
      <c r="D962" s="242">
        <v>0</v>
      </c>
      <c r="E962" s="242"/>
      <c r="F962" s="849"/>
      <c r="H962" s="250">
        <f t="shared" si="485"/>
        <v>0</v>
      </c>
      <c r="I962" s="241">
        <f t="shared" si="486"/>
        <v>0</v>
      </c>
      <c r="J962" s="242">
        <f t="shared" si="487"/>
        <v>0</v>
      </c>
      <c r="K962" s="849">
        <f t="shared" si="488"/>
        <v>0</v>
      </c>
      <c r="L962" s="242">
        <f t="shared" si="484"/>
        <v>0</v>
      </c>
    </row>
    <row r="963" spans="1:12" ht="15.5">
      <c r="A963" s="180" t="s">
        <v>12</v>
      </c>
      <c r="B963" s="242">
        <v>94200</v>
      </c>
      <c r="C963" s="241">
        <v>1.1992235661191446E-2</v>
      </c>
      <c r="D963" s="242">
        <v>94200</v>
      </c>
      <c r="E963" s="242"/>
      <c r="F963" s="849"/>
      <c r="H963" s="250">
        <f t="shared" si="485"/>
        <v>0</v>
      </c>
      <c r="I963" s="241">
        <f t="shared" si="486"/>
        <v>0</v>
      </c>
      <c r="J963" s="242">
        <f t="shared" si="487"/>
        <v>0</v>
      </c>
      <c r="K963" s="849">
        <f t="shared" si="488"/>
        <v>0</v>
      </c>
      <c r="L963" s="242">
        <f t="shared" si="484"/>
        <v>0</v>
      </c>
    </row>
    <row r="964" spans="1:12" ht="15.5">
      <c r="A964" s="180" t="s">
        <v>13</v>
      </c>
      <c r="B964" s="242">
        <v>2735144.2889657775</v>
      </c>
      <c r="C964" s="241">
        <v>0.34820058259702247</v>
      </c>
      <c r="D964" s="242">
        <v>2735144.2889657775</v>
      </c>
      <c r="E964" s="242">
        <v>0</v>
      </c>
      <c r="F964" s="849">
        <v>0</v>
      </c>
      <c r="H964" s="250">
        <f t="shared" si="485"/>
        <v>0</v>
      </c>
      <c r="I964" s="241">
        <f t="shared" si="486"/>
        <v>0</v>
      </c>
      <c r="J964" s="242">
        <f t="shared" si="487"/>
        <v>0</v>
      </c>
      <c r="K964" s="849">
        <f t="shared" si="488"/>
        <v>0</v>
      </c>
      <c r="L964" s="242">
        <f t="shared" si="484"/>
        <v>0</v>
      </c>
    </row>
    <row r="965" spans="1:12" ht="15.5">
      <c r="A965" s="180"/>
      <c r="B965" s="242">
        <v>0</v>
      </c>
      <c r="C965" s="241">
        <v>0</v>
      </c>
      <c r="D965" s="242"/>
      <c r="E965" s="242"/>
      <c r="F965" s="849"/>
      <c r="H965" s="250"/>
      <c r="I965" s="241">
        <f>+H965/$H$757</f>
        <v>0</v>
      </c>
      <c r="J965" s="242"/>
      <c r="K965" s="242"/>
      <c r="L965" s="242"/>
    </row>
    <row r="966" spans="1:12" ht="15.5">
      <c r="A966" s="180"/>
      <c r="B966" s="243">
        <v>7855082.4601324666</v>
      </c>
      <c r="C966" s="240">
        <v>1</v>
      </c>
      <c r="D966" s="243">
        <v>4813351.9401324671</v>
      </c>
      <c r="E966" s="243">
        <v>839481.94</v>
      </c>
      <c r="F966" s="243">
        <v>2202248.58</v>
      </c>
      <c r="G966" s="32">
        <f>+B966-B955</f>
        <v>56793.273874740116</v>
      </c>
      <c r="H966" s="243">
        <f>SUM(H958:H965)</f>
        <v>56793.273874740233</v>
      </c>
      <c r="I966" s="240">
        <f>SUM(I958:I965)</f>
        <v>1.211309609540542</v>
      </c>
      <c r="J966" s="243">
        <f>SUM(J958:J965)</f>
        <v>13727.513874740107</v>
      </c>
      <c r="K966" s="243">
        <f>SUM(K958:K965)</f>
        <v>21595.369999999995</v>
      </c>
      <c r="L966" s="243">
        <f>SUM(L958:L965)</f>
        <v>21470.39000000013</v>
      </c>
    </row>
    <row r="967" spans="1:12" ht="14.5" thickBot="1">
      <c r="A967" s="458" t="s">
        <v>167</v>
      </c>
      <c r="B967" s="459"/>
      <c r="C967" s="458"/>
      <c r="D967" s="452"/>
      <c r="H967" s="254">
        <f>+A968</f>
        <v>42549</v>
      </c>
      <c r="I967" s="254"/>
      <c r="J967" s="254">
        <f>+A957</f>
        <v>42518</v>
      </c>
    </row>
    <row r="968" spans="1:12" ht="16" thickBot="1">
      <c r="A968" s="253">
        <v>42549</v>
      </c>
      <c r="B968" s="251">
        <v>15.35</v>
      </c>
      <c r="C968" s="238" t="s">
        <v>3</v>
      </c>
      <c r="D968" s="238" t="s">
        <v>4</v>
      </c>
      <c r="E968" s="238" t="s">
        <v>5</v>
      </c>
      <c r="F968" s="238" t="s">
        <v>114</v>
      </c>
      <c r="H968" s="251">
        <f>+B968-B957</f>
        <v>1.0499999999999989</v>
      </c>
      <c r="I968" s="238" t="s">
        <v>3</v>
      </c>
      <c r="J968" s="238" t="s">
        <v>4</v>
      </c>
      <c r="K968" s="238" t="s">
        <v>5</v>
      </c>
      <c r="L968" s="238" t="s">
        <v>114</v>
      </c>
    </row>
    <row r="969" spans="1:12" ht="15.5">
      <c r="A969" s="180" t="s">
        <v>7</v>
      </c>
      <c r="B969" s="250">
        <f>SUM(D969:F969)</f>
        <v>4199596.9628338758</v>
      </c>
      <c r="C969" s="241">
        <f>+B969/$B$977</f>
        <v>0.53313655732096721</v>
      </c>
      <c r="D969" s="242">
        <v>90653.592833876217</v>
      </c>
      <c r="E969" s="242">
        <v>1932814.33</v>
      </c>
      <c r="F969" s="242">
        <v>2176129.04</v>
      </c>
      <c r="G969" t="s">
        <v>168</v>
      </c>
      <c r="H969" s="250">
        <f>SUM(J969:L969)</f>
        <v>-10268.457865424454</v>
      </c>
      <c r="I969" s="241">
        <f>+H969/$H$977</f>
        <v>-0.4653064918770311</v>
      </c>
      <c r="J969" s="242">
        <f>+D969-D958</f>
        <v>-1077481.3078654245</v>
      </c>
      <c r="K969" s="849">
        <f>+E969-E958</f>
        <v>1093332.3900000001</v>
      </c>
      <c r="L969" s="242">
        <f t="shared" ref="L969:L975" si="489">+F969-F958</f>
        <v>-26119.540000000037</v>
      </c>
    </row>
    <row r="970" spans="1:12" ht="15.5">
      <c r="A970" s="180" t="s">
        <v>8</v>
      </c>
      <c r="B970" s="242">
        <f t="shared" ref="B970:B975" si="490">SUM(D970:F970)</f>
        <v>0</v>
      </c>
      <c r="C970" s="241">
        <f t="shared" ref="C970:C975" si="491">+B970/$B$977</f>
        <v>0</v>
      </c>
      <c r="D970" s="242">
        <v>0</v>
      </c>
      <c r="E970" s="242"/>
      <c r="F970" s="849">
        <v>0</v>
      </c>
      <c r="H970" s="250">
        <f t="shared" ref="H970:H975" si="492">SUM(J970:L970)</f>
        <v>0</v>
      </c>
      <c r="I970" s="241">
        <f t="shared" ref="I970:I975" si="493">+H970/$H$977</f>
        <v>0</v>
      </c>
      <c r="J970" s="242">
        <f t="shared" ref="J970:J975" si="494">+D970-D959</f>
        <v>0</v>
      </c>
      <c r="K970" s="849">
        <f t="shared" ref="K970:K975" si="495">+E970-E959</f>
        <v>0</v>
      </c>
      <c r="L970" s="242">
        <f t="shared" si="489"/>
        <v>0</v>
      </c>
    </row>
    <row r="971" spans="1:12" ht="15.5">
      <c r="A971" s="180" t="s">
        <v>9</v>
      </c>
      <c r="B971" s="242">
        <f t="shared" si="490"/>
        <v>846609.36780336325</v>
      </c>
      <c r="C971" s="241">
        <f t="shared" si="491"/>
        <v>0.10747660019303143</v>
      </c>
      <c r="D971" s="242">
        <v>846609.36780336325</v>
      </c>
      <c r="E971" s="242"/>
      <c r="F971" s="849"/>
      <c r="H971" s="250">
        <f t="shared" si="492"/>
        <v>30736.617335974355</v>
      </c>
      <c r="I971" s="241">
        <f t="shared" si="493"/>
        <v>1.3928038437909862</v>
      </c>
      <c r="J971" s="242">
        <f t="shared" si="494"/>
        <v>30736.617335974355</v>
      </c>
      <c r="K971" s="849">
        <f t="shared" si="495"/>
        <v>0</v>
      </c>
      <c r="L971" s="242">
        <f t="shared" si="489"/>
        <v>0</v>
      </c>
    </row>
    <row r="972" spans="1:12" ht="15.5">
      <c r="A972" s="180" t="s">
        <v>162</v>
      </c>
      <c r="B972" s="242">
        <f t="shared" si="490"/>
        <v>0</v>
      </c>
      <c r="C972" s="241">
        <f t="shared" si="491"/>
        <v>0</v>
      </c>
      <c r="D972" s="242">
        <v>0</v>
      </c>
      <c r="E972" s="242"/>
      <c r="F972" s="849"/>
      <c r="H972" s="250">
        <f t="shared" si="492"/>
        <v>0</v>
      </c>
      <c r="I972" s="241">
        <f t="shared" si="493"/>
        <v>0</v>
      </c>
      <c r="J972" s="242">
        <f t="shared" si="494"/>
        <v>0</v>
      </c>
      <c r="K972" s="849">
        <f t="shared" si="495"/>
        <v>0</v>
      </c>
      <c r="L972" s="242">
        <f t="shared" si="489"/>
        <v>0</v>
      </c>
    </row>
    <row r="973" spans="1:12" ht="15.5">
      <c r="A973" s="180" t="s">
        <v>11</v>
      </c>
      <c r="B973" s="242">
        <f t="shared" si="490"/>
        <v>0</v>
      </c>
      <c r="C973" s="241">
        <f t="shared" si="491"/>
        <v>0</v>
      </c>
      <c r="D973" s="242">
        <v>0</v>
      </c>
      <c r="E973" s="242"/>
      <c r="F973" s="849"/>
      <c r="H973" s="250">
        <f t="shared" si="492"/>
        <v>0</v>
      </c>
      <c r="I973" s="241">
        <f t="shared" si="493"/>
        <v>0</v>
      </c>
      <c r="J973" s="242">
        <f t="shared" si="494"/>
        <v>0</v>
      </c>
      <c r="K973" s="849">
        <f t="shared" si="495"/>
        <v>0</v>
      </c>
      <c r="L973" s="242">
        <f t="shared" si="489"/>
        <v>0</v>
      </c>
    </row>
    <row r="974" spans="1:12" ht="15.5">
      <c r="A974" s="180" t="s">
        <v>12</v>
      </c>
      <c r="B974" s="242">
        <f t="shared" si="490"/>
        <v>95800</v>
      </c>
      <c r="C974" s="241">
        <f t="shared" si="491"/>
        <v>1.2161758055202455E-2</v>
      </c>
      <c r="D974" s="242">
        <v>95800</v>
      </c>
      <c r="E974" s="242"/>
      <c r="F974" s="849"/>
      <c r="H974" s="250">
        <f t="shared" si="492"/>
        <v>1600</v>
      </c>
      <c r="I974" s="241">
        <f t="shared" si="493"/>
        <v>7.2502648086044966E-2</v>
      </c>
      <c r="J974" s="242">
        <f t="shared" si="494"/>
        <v>1600</v>
      </c>
      <c r="K974" s="849">
        <f t="shared" si="495"/>
        <v>0</v>
      </c>
      <c r="L974" s="242">
        <f t="shared" si="489"/>
        <v>0</v>
      </c>
    </row>
    <row r="975" spans="1:12" ht="15.5">
      <c r="A975" s="180" t="s">
        <v>13</v>
      </c>
      <c r="B975" s="242">
        <f t="shared" si="490"/>
        <v>2735144.2889657775</v>
      </c>
      <c r="C975" s="241">
        <f t="shared" si="491"/>
        <v>0.34722508443079891</v>
      </c>
      <c r="D975" s="242">
        <v>2735144.2889657775</v>
      </c>
      <c r="E975" s="242">
        <v>0</v>
      </c>
      <c r="F975" s="849">
        <v>0</v>
      </c>
      <c r="H975" s="250">
        <f t="shared" si="492"/>
        <v>0</v>
      </c>
      <c r="I975" s="241">
        <f t="shared" si="493"/>
        <v>0</v>
      </c>
      <c r="J975" s="242">
        <f t="shared" si="494"/>
        <v>0</v>
      </c>
      <c r="K975" s="849">
        <f t="shared" si="495"/>
        <v>0</v>
      </c>
      <c r="L975" s="242">
        <f t="shared" si="489"/>
        <v>0</v>
      </c>
    </row>
    <row r="976" spans="1:12" ht="15.5">
      <c r="A976" s="180"/>
      <c r="B976" s="242">
        <f>SUM(D976:E976)</f>
        <v>0</v>
      </c>
      <c r="C976" s="241">
        <f>+B976/$B$12</f>
        <v>0</v>
      </c>
      <c r="D976" s="242"/>
      <c r="E976" s="242"/>
      <c r="F976" s="849"/>
      <c r="H976" s="250"/>
      <c r="I976" s="241">
        <f>+H976/$H$757</f>
        <v>0</v>
      </c>
      <c r="J976" s="242"/>
      <c r="K976" s="242"/>
      <c r="L976" s="242"/>
    </row>
    <row r="977" spans="1:12" ht="15.5">
      <c r="A977" s="180"/>
      <c r="B977" s="243">
        <f>SUM(B969:B976)</f>
        <v>7877150.6196030164</v>
      </c>
      <c r="C977" s="240">
        <f>SUM(C969:C976)</f>
        <v>1</v>
      </c>
      <c r="D977" s="243">
        <f>SUM(D969:D976)</f>
        <v>3768207.2496030172</v>
      </c>
      <c r="E977" s="243">
        <f>SUM(E969:E975)</f>
        <v>1932814.33</v>
      </c>
      <c r="F977" s="243">
        <f>SUM(F969:F975)</f>
        <v>2176129.04</v>
      </c>
      <c r="G977" s="32">
        <f>+B977-B966</f>
        <v>22068.159470549785</v>
      </c>
      <c r="H977" s="243">
        <f>SUM(H969:H976)</f>
        <v>22068.159470549901</v>
      </c>
      <c r="I977" s="240">
        <f>SUM(I969:I976)</f>
        <v>1</v>
      </c>
      <c r="J977" s="243">
        <f>SUM(J969:J976)</f>
        <v>-1045144.6905294502</v>
      </c>
      <c r="K977" s="243">
        <f>SUM(K969:K976)</f>
        <v>1093332.3900000001</v>
      </c>
      <c r="L977" s="243">
        <f>SUM(L969:L976)</f>
        <v>-26119.540000000037</v>
      </c>
    </row>
    <row r="978" spans="1:12" ht="14.5" thickBot="1">
      <c r="H978" s="254">
        <f>+A979</f>
        <v>42579</v>
      </c>
      <c r="I978" s="254"/>
      <c r="J978" s="254">
        <f>+A968</f>
        <v>42549</v>
      </c>
    </row>
    <row r="979" spans="1:12" ht="16" thickBot="1">
      <c r="A979" s="253">
        <v>42579</v>
      </c>
      <c r="B979" s="251">
        <v>15.2</v>
      </c>
      <c r="C979" s="238" t="s">
        <v>3</v>
      </c>
      <c r="D979" s="238" t="s">
        <v>4</v>
      </c>
      <c r="E979" s="238" t="s">
        <v>5</v>
      </c>
      <c r="F979" s="238" t="s">
        <v>114</v>
      </c>
      <c r="H979" s="251">
        <f>+B979-B968</f>
        <v>-0.15000000000000036</v>
      </c>
      <c r="I979" s="238" t="s">
        <v>3</v>
      </c>
      <c r="J979" s="238" t="s">
        <v>4</v>
      </c>
      <c r="K979" s="238" t="s">
        <v>5</v>
      </c>
      <c r="L979" s="238" t="s">
        <v>114</v>
      </c>
    </row>
    <row r="980" spans="1:12" ht="15.5">
      <c r="A980" s="180" t="s">
        <v>7</v>
      </c>
      <c r="B980" s="250">
        <f>SUM(D980:F980)</f>
        <v>4324704.4894736838</v>
      </c>
      <c r="C980" s="241">
        <f>+B980/$B$988</f>
        <v>0.53865577924812358</v>
      </c>
      <c r="D980" s="242">
        <v>96008.289473684214</v>
      </c>
      <c r="E980" s="242">
        <v>1959255.2</v>
      </c>
      <c r="F980" s="242">
        <v>2269441</v>
      </c>
      <c r="H980" s="250">
        <f>SUM(J980:L980)</f>
        <v>125107.52663980784</v>
      </c>
      <c r="I980" s="241">
        <f>+H980/$H$988</f>
        <v>0.82553496654165126</v>
      </c>
      <c r="J980" s="242">
        <f>+D980-D969</f>
        <v>5354.6966398079967</v>
      </c>
      <c r="K980" s="849">
        <f>+E980-E969</f>
        <v>26440.869999999879</v>
      </c>
      <c r="L980" s="242">
        <f t="shared" ref="L980:L986" si="496">+F980-F969</f>
        <v>93311.959999999963</v>
      </c>
    </row>
    <row r="981" spans="1:12" ht="15.5">
      <c r="A981" s="180" t="s">
        <v>8</v>
      </c>
      <c r="B981" s="242">
        <f t="shared" ref="B981:B986" si="497">SUM(D981:F981)</f>
        <v>0</v>
      </c>
      <c r="C981" s="241">
        <f t="shared" ref="C981:C986" si="498">+B981/$B$988</f>
        <v>0</v>
      </c>
      <c r="D981" s="242">
        <v>0</v>
      </c>
      <c r="E981" s="242"/>
      <c r="F981" s="849">
        <v>0</v>
      </c>
      <c r="H981" s="250">
        <f t="shared" ref="H981:H986" si="499">SUM(J981:L981)</f>
        <v>0</v>
      </c>
      <c r="I981" s="241">
        <f t="shared" ref="I981:I987" si="500">+H981/$H$988</f>
        <v>0</v>
      </c>
      <c r="J981" s="242">
        <f t="shared" ref="J981:J986" si="501">+D981-D970</f>
        <v>0</v>
      </c>
      <c r="K981" s="849">
        <f t="shared" ref="K981:K986" si="502">+E981-E970</f>
        <v>0</v>
      </c>
      <c r="L981" s="242">
        <f t="shared" si="496"/>
        <v>0</v>
      </c>
    </row>
    <row r="982" spans="1:12" ht="15.5">
      <c r="A982" s="180" t="s">
        <v>9</v>
      </c>
      <c r="B982" s="242">
        <f t="shared" si="497"/>
        <v>873049.05807177548</v>
      </c>
      <c r="C982" s="241">
        <f t="shared" si="498"/>
        <v>0.10874105313834395</v>
      </c>
      <c r="D982" s="242">
        <v>873049.05807177548</v>
      </c>
      <c r="E982" s="242"/>
      <c r="F982" s="849"/>
      <c r="H982" s="250">
        <f t="shared" si="499"/>
        <v>26439.690268412232</v>
      </c>
      <c r="I982" s="241">
        <f t="shared" si="500"/>
        <v>0.17446503345834863</v>
      </c>
      <c r="J982" s="242">
        <f t="shared" si="501"/>
        <v>26439.690268412232</v>
      </c>
      <c r="K982" s="849">
        <f t="shared" si="502"/>
        <v>0</v>
      </c>
      <c r="L982" s="242">
        <f t="shared" si="496"/>
        <v>0</v>
      </c>
    </row>
    <row r="983" spans="1:12" ht="15.5">
      <c r="A983" s="180" t="s">
        <v>162</v>
      </c>
      <c r="B983" s="242">
        <f t="shared" si="497"/>
        <v>0</v>
      </c>
      <c r="C983" s="241">
        <f t="shared" si="498"/>
        <v>0</v>
      </c>
      <c r="D983" s="242">
        <v>0</v>
      </c>
      <c r="E983" s="242"/>
      <c r="F983" s="849"/>
      <c r="H983" s="250">
        <f t="shared" si="499"/>
        <v>0</v>
      </c>
      <c r="I983" s="241">
        <f t="shared" si="500"/>
        <v>0</v>
      </c>
      <c r="J983" s="242">
        <f t="shared" si="501"/>
        <v>0</v>
      </c>
      <c r="K983" s="849">
        <f t="shared" si="502"/>
        <v>0</v>
      </c>
      <c r="L983" s="242">
        <f t="shared" si="496"/>
        <v>0</v>
      </c>
    </row>
    <row r="984" spans="1:12" ht="15.5">
      <c r="A984" s="180" t="s">
        <v>11</v>
      </c>
      <c r="B984" s="242">
        <f t="shared" si="497"/>
        <v>0</v>
      </c>
      <c r="C984" s="241">
        <f t="shared" si="498"/>
        <v>0</v>
      </c>
      <c r="D984" s="242">
        <v>0</v>
      </c>
      <c r="E984" s="242"/>
      <c r="F984" s="849"/>
      <c r="H984" s="250">
        <f t="shared" si="499"/>
        <v>0</v>
      </c>
      <c r="I984" s="241">
        <f t="shared" si="500"/>
        <v>0</v>
      </c>
      <c r="J984" s="242">
        <f t="shared" si="501"/>
        <v>0</v>
      </c>
      <c r="K984" s="849">
        <f t="shared" si="502"/>
        <v>0</v>
      </c>
      <c r="L984" s="242">
        <f t="shared" si="496"/>
        <v>0</v>
      </c>
    </row>
    <row r="985" spans="1:12" ht="15.5">
      <c r="A985" s="180" t="s">
        <v>12</v>
      </c>
      <c r="B985" s="242">
        <f t="shared" si="497"/>
        <v>95800</v>
      </c>
      <c r="C985" s="241">
        <f t="shared" si="498"/>
        <v>1.1932196472053134E-2</v>
      </c>
      <c r="D985" s="242">
        <v>95800</v>
      </c>
      <c r="E985" s="242"/>
      <c r="F985" s="849"/>
      <c r="H985" s="250">
        <f t="shared" si="499"/>
        <v>0</v>
      </c>
      <c r="I985" s="241">
        <f t="shared" si="500"/>
        <v>0</v>
      </c>
      <c r="J985" s="242">
        <f t="shared" si="501"/>
        <v>0</v>
      </c>
      <c r="K985" s="849">
        <f t="shared" si="502"/>
        <v>0</v>
      </c>
      <c r="L985" s="242">
        <f t="shared" si="496"/>
        <v>0</v>
      </c>
    </row>
    <row r="986" spans="1:12" ht="15.5">
      <c r="A986" s="180" t="s">
        <v>13</v>
      </c>
      <c r="B986" s="242">
        <f t="shared" si="497"/>
        <v>2735144.2889657775</v>
      </c>
      <c r="C986" s="241">
        <f t="shared" si="498"/>
        <v>0.34067097114147937</v>
      </c>
      <c r="D986" s="242">
        <v>2735144.2889657775</v>
      </c>
      <c r="E986" s="242">
        <v>0</v>
      </c>
      <c r="F986" s="849">
        <v>0</v>
      </c>
      <c r="H986" s="250">
        <f t="shared" si="499"/>
        <v>0</v>
      </c>
      <c r="I986" s="241">
        <f t="shared" si="500"/>
        <v>0</v>
      </c>
      <c r="J986" s="242">
        <f t="shared" si="501"/>
        <v>0</v>
      </c>
      <c r="K986" s="849">
        <f t="shared" si="502"/>
        <v>0</v>
      </c>
      <c r="L986" s="242">
        <f t="shared" si="496"/>
        <v>0</v>
      </c>
    </row>
    <row r="987" spans="1:12" ht="15.5">
      <c r="A987" s="180"/>
      <c r="B987" s="242">
        <f>SUM(D987:E987)</f>
        <v>0</v>
      </c>
      <c r="C987" s="241">
        <v>0</v>
      </c>
      <c r="D987" s="242"/>
      <c r="E987" s="242"/>
      <c r="F987" s="849"/>
      <c r="H987" s="250"/>
      <c r="I987" s="241">
        <f t="shared" si="500"/>
        <v>0</v>
      </c>
      <c r="J987" s="242"/>
      <c r="K987" s="242"/>
      <c r="L987" s="242"/>
    </row>
    <row r="988" spans="1:12" ht="15.5">
      <c r="A988" s="180"/>
      <c r="B988" s="243">
        <f>SUM(B980:B987)</f>
        <v>8028697.8365112366</v>
      </c>
      <c r="C988" s="240">
        <f>SUM(C980:C987)</f>
        <v>1</v>
      </c>
      <c r="D988" s="243">
        <f>SUM(D980:D987)</f>
        <v>3800001.6365112374</v>
      </c>
      <c r="E988" s="243">
        <f>SUM(E980:E986)</f>
        <v>1959255.2</v>
      </c>
      <c r="F988" s="243">
        <f>SUM(F980:F986)</f>
        <v>2269441</v>
      </c>
      <c r="G988" s="32">
        <f>+B988-B977</f>
        <v>151547.2169082202</v>
      </c>
      <c r="H988" s="243">
        <f>SUM(H980:H987)</f>
        <v>151547.21690822009</v>
      </c>
      <c r="I988" s="240">
        <f>SUM(I980:I987)</f>
        <v>0.99999999999999989</v>
      </c>
      <c r="J988" s="243">
        <f>SUM(J980:J987)</f>
        <v>31794.386908220229</v>
      </c>
      <c r="K988" s="243">
        <f>SUM(K980:K987)</f>
        <v>26440.869999999879</v>
      </c>
      <c r="L988" s="243">
        <f>SUM(L980:L987)</f>
        <v>93311.959999999963</v>
      </c>
    </row>
    <row r="989" spans="1:12" ht="14.5" thickBot="1">
      <c r="H989" s="254">
        <f>+A990</f>
        <v>42610</v>
      </c>
      <c r="I989" s="254"/>
      <c r="J989" s="254">
        <f>+A979</f>
        <v>42579</v>
      </c>
    </row>
    <row r="990" spans="1:12" ht="16" thickBot="1">
      <c r="A990" s="253">
        <v>42610</v>
      </c>
      <c r="B990" s="251">
        <v>15.2</v>
      </c>
      <c r="C990" s="238" t="s">
        <v>3</v>
      </c>
      <c r="D990" s="238" t="s">
        <v>4</v>
      </c>
      <c r="E990" s="238" t="s">
        <v>5</v>
      </c>
      <c r="F990" s="238" t="s">
        <v>114</v>
      </c>
      <c r="H990" s="251">
        <f>+B990-B979</f>
        <v>0</v>
      </c>
      <c r="I990" s="238" t="s">
        <v>3</v>
      </c>
      <c r="J990" s="238" t="s">
        <v>4</v>
      </c>
      <c r="K990" s="238" t="s">
        <v>5</v>
      </c>
      <c r="L990" s="238" t="s">
        <v>114</v>
      </c>
    </row>
    <row r="991" spans="1:12" ht="15.5">
      <c r="A991" s="180" t="s">
        <v>7</v>
      </c>
      <c r="B991" s="250">
        <f>SUM(D991:F991)</f>
        <v>4466170.5151315788</v>
      </c>
      <c r="C991" s="241">
        <f>+B991/$B$999</f>
        <v>0.55016399983160769</v>
      </c>
      <c r="D991" s="242">
        <v>89354.965131578952</v>
      </c>
      <c r="E991" s="242">
        <v>2078291.02</v>
      </c>
      <c r="F991" s="242">
        <v>2298524.5299999998</v>
      </c>
      <c r="H991" s="250">
        <f>SUM(J991:L991)</f>
        <v>141466.02565789461</v>
      </c>
      <c r="I991" s="241">
        <f>+H991/$H$999</f>
        <v>1.5860915953564589</v>
      </c>
      <c r="J991" s="242">
        <f>+D991-D980</f>
        <v>-6653.3243421052612</v>
      </c>
      <c r="K991" s="849">
        <f>+E991-E980</f>
        <v>119035.82000000007</v>
      </c>
      <c r="L991" s="242">
        <f t="shared" ref="L991:L997" si="503">+F991-F980</f>
        <v>29083.529999999795</v>
      </c>
    </row>
    <row r="992" spans="1:12" ht="15.5">
      <c r="A992" s="180" t="s">
        <v>8</v>
      </c>
      <c r="B992" s="242">
        <f t="shared" ref="B992:B997" si="504">SUM(D992:F992)</f>
        <v>0</v>
      </c>
      <c r="C992" s="241">
        <f t="shared" ref="C992:C997" si="505">+B992/$B$999</f>
        <v>0</v>
      </c>
      <c r="D992" s="242">
        <v>0</v>
      </c>
      <c r="E992" s="242"/>
      <c r="F992" s="849">
        <v>0</v>
      </c>
      <c r="H992" s="250">
        <f t="shared" ref="H992:H997" si="506">SUM(J992:L992)</f>
        <v>0</v>
      </c>
      <c r="I992" s="241">
        <f t="shared" ref="I992:I997" si="507">+H992/$H$999</f>
        <v>0</v>
      </c>
      <c r="J992" s="242">
        <f t="shared" ref="J992:J997" si="508">+D992-D981</f>
        <v>0</v>
      </c>
      <c r="K992" s="849">
        <f t="shared" ref="K992:K997" si="509">+E992-E981</f>
        <v>0</v>
      </c>
      <c r="L992" s="242">
        <f t="shared" si="503"/>
        <v>0</v>
      </c>
    </row>
    <row r="993" spans="1:12" ht="15.5">
      <c r="A993" s="180" t="s">
        <v>9</v>
      </c>
      <c r="B993" s="242">
        <f t="shared" si="504"/>
        <v>820774.6188721027</v>
      </c>
      <c r="C993" s="241">
        <f t="shared" si="505"/>
        <v>0.10110689812425037</v>
      </c>
      <c r="D993" s="242">
        <v>820774.6188721027</v>
      </c>
      <c r="E993" s="242"/>
      <c r="F993" s="849"/>
      <c r="H993" s="250">
        <f t="shared" si="506"/>
        <v>-52274.439199672779</v>
      </c>
      <c r="I993" s="241">
        <f t="shared" si="507"/>
        <v>-0.58609159535645894</v>
      </c>
      <c r="J993" s="242">
        <f t="shared" si="508"/>
        <v>-52274.439199672779</v>
      </c>
      <c r="K993" s="849">
        <f t="shared" si="509"/>
        <v>0</v>
      </c>
      <c r="L993" s="242">
        <f t="shared" si="503"/>
        <v>0</v>
      </c>
    </row>
    <row r="994" spans="1:12" ht="15.5">
      <c r="A994" s="180" t="s">
        <v>162</v>
      </c>
      <c r="B994" s="242">
        <f t="shared" si="504"/>
        <v>0</v>
      </c>
      <c r="C994" s="241">
        <f t="shared" si="505"/>
        <v>0</v>
      </c>
      <c r="D994" s="242">
        <v>0</v>
      </c>
      <c r="E994" s="242"/>
      <c r="F994" s="849"/>
      <c r="H994" s="250">
        <f t="shared" si="506"/>
        <v>0</v>
      </c>
      <c r="I994" s="241">
        <f t="shared" si="507"/>
        <v>0</v>
      </c>
      <c r="J994" s="242">
        <f t="shared" si="508"/>
        <v>0</v>
      </c>
      <c r="K994" s="849">
        <f t="shared" si="509"/>
        <v>0</v>
      </c>
      <c r="L994" s="242">
        <f t="shared" si="503"/>
        <v>0</v>
      </c>
    </row>
    <row r="995" spans="1:12" ht="15.5">
      <c r="A995" s="180" t="s">
        <v>11</v>
      </c>
      <c r="B995" s="242">
        <f t="shared" si="504"/>
        <v>0</v>
      </c>
      <c r="C995" s="241">
        <f t="shared" si="505"/>
        <v>0</v>
      </c>
      <c r="D995" s="242">
        <v>0</v>
      </c>
      <c r="E995" s="242"/>
      <c r="F995" s="849"/>
      <c r="H995" s="250">
        <f t="shared" si="506"/>
        <v>0</v>
      </c>
      <c r="I995" s="241">
        <f t="shared" si="507"/>
        <v>0</v>
      </c>
      <c r="J995" s="242">
        <f t="shared" si="508"/>
        <v>0</v>
      </c>
      <c r="K995" s="849">
        <f t="shared" si="509"/>
        <v>0</v>
      </c>
      <c r="L995" s="242">
        <f t="shared" si="503"/>
        <v>0</v>
      </c>
    </row>
    <row r="996" spans="1:12" ht="15.5">
      <c r="A996" s="180" t="s">
        <v>12</v>
      </c>
      <c r="B996" s="242">
        <f t="shared" si="504"/>
        <v>95800</v>
      </c>
      <c r="C996" s="241">
        <f t="shared" si="505"/>
        <v>1.1801096936469127E-2</v>
      </c>
      <c r="D996" s="242">
        <v>95800</v>
      </c>
      <c r="E996" s="242"/>
      <c r="F996" s="849"/>
      <c r="H996" s="250">
        <f t="shared" si="506"/>
        <v>0</v>
      </c>
      <c r="I996" s="241">
        <f t="shared" si="507"/>
        <v>0</v>
      </c>
      <c r="J996" s="242">
        <f t="shared" si="508"/>
        <v>0</v>
      </c>
      <c r="K996" s="849">
        <f t="shared" si="509"/>
        <v>0</v>
      </c>
      <c r="L996" s="242">
        <f t="shared" si="503"/>
        <v>0</v>
      </c>
    </row>
    <row r="997" spans="1:12" ht="15.5">
      <c r="A997" s="180" t="s">
        <v>13</v>
      </c>
      <c r="B997" s="242">
        <f t="shared" si="504"/>
        <v>2735144.2889657775</v>
      </c>
      <c r="C997" s="241">
        <f t="shared" si="505"/>
        <v>0.3369280051076729</v>
      </c>
      <c r="D997" s="242">
        <v>2735144.2889657775</v>
      </c>
      <c r="E997" s="242">
        <v>0</v>
      </c>
      <c r="F997" s="849">
        <v>0</v>
      </c>
      <c r="H997" s="250">
        <f t="shared" si="506"/>
        <v>0</v>
      </c>
      <c r="I997" s="241">
        <f t="shared" si="507"/>
        <v>0</v>
      </c>
      <c r="J997" s="242">
        <f t="shared" si="508"/>
        <v>0</v>
      </c>
      <c r="K997" s="849">
        <f t="shared" si="509"/>
        <v>0</v>
      </c>
      <c r="L997" s="242">
        <f t="shared" si="503"/>
        <v>0</v>
      </c>
    </row>
    <row r="998" spans="1:12" ht="15.5">
      <c r="A998" s="180"/>
      <c r="B998" s="242">
        <f>SUM(D998:E998)</f>
        <v>0</v>
      </c>
      <c r="C998" s="241">
        <f>+B998/$B$12</f>
        <v>0</v>
      </c>
      <c r="D998" s="242"/>
      <c r="E998" s="242"/>
      <c r="F998" s="849"/>
      <c r="H998" s="250"/>
      <c r="I998" s="241">
        <f>+H998/$H$988</f>
        <v>0</v>
      </c>
      <c r="J998" s="242"/>
      <c r="K998" s="242"/>
      <c r="L998" s="242"/>
    </row>
    <row r="999" spans="1:12" ht="15.5">
      <c r="A999" s="180"/>
      <c r="B999" s="243">
        <f>SUM(B991:B998)</f>
        <v>8117889.4229694586</v>
      </c>
      <c r="C999" s="240">
        <f>SUM(C991:C998)</f>
        <v>1</v>
      </c>
      <c r="D999" s="243">
        <f>SUM(D991:D998)</f>
        <v>3741073.8729694593</v>
      </c>
      <c r="E999" s="243">
        <f>SUM(E991:E997)</f>
        <v>2078291.02</v>
      </c>
      <c r="F999" s="243">
        <f>SUM(F991:F997)</f>
        <v>2298524.5299999998</v>
      </c>
      <c r="G999" s="32">
        <f>+B999-B988</f>
        <v>89191.586458222009</v>
      </c>
      <c r="H999" s="243">
        <f>SUM(H991:H998)</f>
        <v>89191.586458221835</v>
      </c>
      <c r="I999" s="240">
        <f>SUM(I991:I998)</f>
        <v>1</v>
      </c>
      <c r="J999" s="243">
        <f>SUM(J991:J998)</f>
        <v>-58927.76354177804</v>
      </c>
      <c r="K999" s="243">
        <f>SUM(K991:K998)</f>
        <v>119035.82000000007</v>
      </c>
      <c r="L999" s="243">
        <f>SUM(L991:L998)</f>
        <v>29083.529999999795</v>
      </c>
    </row>
    <row r="1000" spans="1:12" ht="14.5" thickBot="1">
      <c r="H1000" s="254">
        <f>+A1001</f>
        <v>42641</v>
      </c>
      <c r="I1000" s="254"/>
      <c r="J1000" s="254">
        <f>+A990</f>
        <v>42610</v>
      </c>
    </row>
    <row r="1001" spans="1:12" ht="16" thickBot="1">
      <c r="A1001" s="253">
        <v>42641</v>
      </c>
      <c r="B1001" s="251">
        <v>15.5</v>
      </c>
      <c r="C1001" s="238" t="s">
        <v>3</v>
      </c>
      <c r="D1001" s="238" t="s">
        <v>4</v>
      </c>
      <c r="E1001" s="238" t="s">
        <v>5</v>
      </c>
      <c r="F1001" s="238" t="s">
        <v>114</v>
      </c>
      <c r="H1001" s="251">
        <f>+B1001-B990</f>
        <v>0.30000000000000071</v>
      </c>
      <c r="I1001" s="238" t="s">
        <v>3</v>
      </c>
      <c r="J1001" s="238" t="s">
        <v>4</v>
      </c>
      <c r="K1001" s="238" t="s">
        <v>5</v>
      </c>
      <c r="L1001" s="238" t="s">
        <v>114</v>
      </c>
    </row>
    <row r="1002" spans="1:12" ht="15.5">
      <c r="A1002" s="180" t="s">
        <v>7</v>
      </c>
      <c r="B1002" s="250">
        <f>SUM(D1002:F1002)</f>
        <v>4518836.2754838709</v>
      </c>
      <c r="C1002" s="241">
        <f>+B1002/$B$1010</f>
        <v>0.55263930256695226</v>
      </c>
      <c r="D1002" s="242">
        <v>95314.335483870964</v>
      </c>
      <c r="E1002" s="242">
        <v>2116924.9300000002</v>
      </c>
      <c r="F1002" s="242">
        <f>2418574.72-111977.71</f>
        <v>2306597.0100000002</v>
      </c>
      <c r="H1002" s="250">
        <f>SUM(J1002:L1002)</f>
        <v>52665.760352292607</v>
      </c>
      <c r="I1002" s="241">
        <f>+H1002/$H$1010</f>
        <v>0.89357706668829495</v>
      </c>
      <c r="J1002" s="242">
        <f>+D1002-D991</f>
        <v>5959.3703522920114</v>
      </c>
      <c r="K1002" s="849">
        <f>+E1002-E991</f>
        <v>38633.910000000149</v>
      </c>
      <c r="L1002" s="242">
        <f t="shared" ref="L1002:L1008" si="510">+F1002-F991</f>
        <v>8072.480000000447</v>
      </c>
    </row>
    <row r="1003" spans="1:12" ht="15.5">
      <c r="A1003" s="180" t="s">
        <v>8</v>
      </c>
      <c r="B1003" s="242">
        <f t="shared" ref="B1003:B1008" si="511">SUM(D1003:F1003)</f>
        <v>0</v>
      </c>
      <c r="C1003" s="241">
        <f t="shared" ref="C1003:C1008" si="512">+B1003/$B$1010</f>
        <v>0</v>
      </c>
      <c r="D1003" s="242">
        <v>0</v>
      </c>
      <c r="E1003" s="242"/>
      <c r="F1003" s="849"/>
      <c r="H1003" s="250">
        <f t="shared" ref="H1003:H1008" si="513">SUM(J1003:L1003)</f>
        <v>0</v>
      </c>
      <c r="I1003" s="241">
        <f t="shared" ref="I1003:I1008" si="514">+H1003/$H$1010</f>
        <v>0</v>
      </c>
      <c r="J1003" s="242">
        <f t="shared" ref="J1003:J1008" si="515">+D1003-D992</f>
        <v>0</v>
      </c>
      <c r="K1003" s="849">
        <f t="shared" ref="K1003:K1008" si="516">+E1003-E992</f>
        <v>0</v>
      </c>
      <c r="L1003" s="242">
        <f t="shared" si="510"/>
        <v>0</v>
      </c>
    </row>
    <row r="1004" spans="1:12" ht="15.5">
      <c r="A1004" s="180" t="s">
        <v>9</v>
      </c>
      <c r="B1004" s="242">
        <f t="shared" si="511"/>
        <v>827046.98743517976</v>
      </c>
      <c r="C1004" s="241">
        <f t="shared" si="512"/>
        <v>0.10114521581717086</v>
      </c>
      <c r="D1004" s="242">
        <v>827046.98743517976</v>
      </c>
      <c r="E1004" s="242"/>
      <c r="F1004" s="849"/>
      <c r="H1004" s="250">
        <f t="shared" si="513"/>
        <v>6272.3685630770633</v>
      </c>
      <c r="I1004" s="241">
        <f t="shared" si="514"/>
        <v>0.10642293331170508</v>
      </c>
      <c r="J1004" s="242">
        <f t="shared" si="515"/>
        <v>6272.3685630770633</v>
      </c>
      <c r="K1004" s="849">
        <f t="shared" si="516"/>
        <v>0</v>
      </c>
      <c r="L1004" s="242">
        <f t="shared" si="510"/>
        <v>0</v>
      </c>
    </row>
    <row r="1005" spans="1:12" ht="15.5">
      <c r="A1005" s="180" t="s">
        <v>162</v>
      </c>
      <c r="B1005" s="242">
        <f t="shared" si="511"/>
        <v>0</v>
      </c>
      <c r="C1005" s="241">
        <f t="shared" si="512"/>
        <v>0</v>
      </c>
      <c r="D1005" s="242">
        <v>0</v>
      </c>
      <c r="E1005" s="242"/>
      <c r="F1005" s="849"/>
      <c r="H1005" s="250">
        <f t="shared" si="513"/>
        <v>0</v>
      </c>
      <c r="I1005" s="241">
        <f t="shared" si="514"/>
        <v>0</v>
      </c>
      <c r="J1005" s="242">
        <f t="shared" si="515"/>
        <v>0</v>
      </c>
      <c r="K1005" s="849">
        <f t="shared" si="516"/>
        <v>0</v>
      </c>
      <c r="L1005" s="242">
        <f t="shared" si="510"/>
        <v>0</v>
      </c>
    </row>
    <row r="1006" spans="1:12" ht="15.5">
      <c r="A1006" s="180" t="s">
        <v>11</v>
      </c>
      <c r="B1006" s="242">
        <f t="shared" si="511"/>
        <v>0</v>
      </c>
      <c r="C1006" s="241">
        <f t="shared" si="512"/>
        <v>0</v>
      </c>
      <c r="D1006" s="242">
        <v>0</v>
      </c>
      <c r="E1006" s="242"/>
      <c r="F1006" s="849"/>
      <c r="H1006" s="250">
        <f t="shared" si="513"/>
        <v>0</v>
      </c>
      <c r="I1006" s="241">
        <f t="shared" si="514"/>
        <v>0</v>
      </c>
      <c r="J1006" s="242">
        <f t="shared" si="515"/>
        <v>0</v>
      </c>
      <c r="K1006" s="849">
        <f t="shared" si="516"/>
        <v>0</v>
      </c>
      <c r="L1006" s="242">
        <f t="shared" si="510"/>
        <v>0</v>
      </c>
    </row>
    <row r="1007" spans="1:12" ht="15.5">
      <c r="A1007" s="180" t="s">
        <v>12</v>
      </c>
      <c r="B1007" s="242">
        <f t="shared" si="511"/>
        <v>95800</v>
      </c>
      <c r="C1007" s="241">
        <f t="shared" si="512"/>
        <v>1.1716035270661576E-2</v>
      </c>
      <c r="D1007" s="242">
        <v>95800</v>
      </c>
      <c r="E1007" s="242"/>
      <c r="F1007" s="849"/>
      <c r="H1007" s="250">
        <f t="shared" si="513"/>
        <v>0</v>
      </c>
      <c r="I1007" s="241">
        <f t="shared" si="514"/>
        <v>0</v>
      </c>
      <c r="J1007" s="242">
        <f t="shared" si="515"/>
        <v>0</v>
      </c>
      <c r="K1007" s="849">
        <f t="shared" si="516"/>
        <v>0</v>
      </c>
      <c r="L1007" s="242">
        <f t="shared" si="510"/>
        <v>0</v>
      </c>
    </row>
    <row r="1008" spans="1:12" ht="15.5">
      <c r="A1008" s="180" t="s">
        <v>13</v>
      </c>
      <c r="B1008" s="242">
        <f t="shared" si="511"/>
        <v>2735144.2889657775</v>
      </c>
      <c r="C1008" s="241">
        <f t="shared" si="512"/>
        <v>0.33449944634521533</v>
      </c>
      <c r="D1008" s="242">
        <v>2735144.2889657775</v>
      </c>
      <c r="E1008" s="242"/>
      <c r="F1008" s="849"/>
      <c r="H1008" s="250">
        <f t="shared" si="513"/>
        <v>0</v>
      </c>
      <c r="I1008" s="241">
        <f t="shared" si="514"/>
        <v>0</v>
      </c>
      <c r="J1008" s="242">
        <f t="shared" si="515"/>
        <v>0</v>
      </c>
      <c r="K1008" s="849">
        <f t="shared" si="516"/>
        <v>0</v>
      </c>
      <c r="L1008" s="242">
        <f t="shared" si="510"/>
        <v>0</v>
      </c>
    </row>
    <row r="1009" spans="1:12" ht="15.5">
      <c r="A1009" s="180"/>
      <c r="B1009" s="242">
        <f>SUM(D1009:E1009)</f>
        <v>0</v>
      </c>
      <c r="C1009" s="241">
        <f>+B1009/$B$12</f>
        <v>0</v>
      </c>
      <c r="D1009" s="242"/>
      <c r="E1009" s="242"/>
      <c r="F1009" s="849"/>
      <c r="H1009" s="250"/>
      <c r="I1009" s="241">
        <f>+H1009/$H$988</f>
        <v>0</v>
      </c>
      <c r="J1009" s="242"/>
      <c r="K1009" s="242"/>
      <c r="L1009" s="242"/>
    </row>
    <row r="1010" spans="1:12" ht="15.5">
      <c r="A1010" s="180"/>
      <c r="B1010" s="243">
        <f>SUM(B1002:B1009)</f>
        <v>8176827.5518848281</v>
      </c>
      <c r="C1010" s="240">
        <f>SUM(C1002:C1009)</f>
        <v>1</v>
      </c>
      <c r="D1010" s="243">
        <f>SUM(D1002:D1009)</f>
        <v>3753305.6118848282</v>
      </c>
      <c r="E1010" s="243">
        <f>SUM(E1002:E1008)</f>
        <v>2116924.9300000002</v>
      </c>
      <c r="F1010" s="243">
        <f>SUM(F1002:F1008)</f>
        <v>2306597.0100000002</v>
      </c>
      <c r="G1010" s="32">
        <f>+B1010-B999</f>
        <v>58938.128915369511</v>
      </c>
      <c r="H1010" s="243">
        <f>SUM(H1002:H1009)</f>
        <v>58938.128915369671</v>
      </c>
      <c r="I1010" s="240">
        <f>SUM(I1002:I1009)</f>
        <v>1</v>
      </c>
      <c r="J1010" s="243">
        <f>SUM(J1002:J1009)</f>
        <v>12231.738915369075</v>
      </c>
      <c r="K1010" s="243">
        <f>SUM(K1002:K1009)</f>
        <v>38633.910000000149</v>
      </c>
      <c r="L1010" s="243">
        <f>SUM(L1002:L1009)</f>
        <v>8072.480000000447</v>
      </c>
    </row>
    <row r="1011" spans="1:12" ht="16" thickBot="1">
      <c r="A1011" s="180"/>
      <c r="B1011" s="334"/>
      <c r="C1011" s="240"/>
      <c r="D1011" s="243"/>
      <c r="E1011" s="243"/>
      <c r="F1011" s="243"/>
      <c r="H1011" s="254">
        <f>+A1012</f>
        <v>42671</v>
      </c>
      <c r="I1011" s="254"/>
      <c r="J1011" s="254">
        <f>+A1001</f>
        <v>42641</v>
      </c>
    </row>
    <row r="1012" spans="1:12" ht="16" thickBot="1">
      <c r="A1012" s="253">
        <v>42671</v>
      </c>
      <c r="B1012" s="251">
        <v>15.3</v>
      </c>
      <c r="C1012" s="238" t="s">
        <v>3</v>
      </c>
      <c r="D1012" s="238" t="s">
        <v>4</v>
      </c>
      <c r="E1012" s="238" t="s">
        <v>5</v>
      </c>
      <c r="F1012" s="238" t="s">
        <v>114</v>
      </c>
      <c r="H1012" s="251">
        <f>+B1012-B1001</f>
        <v>-0.19999999999999929</v>
      </c>
      <c r="I1012" s="238" t="s">
        <v>3</v>
      </c>
      <c r="J1012" s="238" t="s">
        <v>4</v>
      </c>
      <c r="K1012" s="238" t="s">
        <v>5</v>
      </c>
      <c r="L1012" s="238" t="s">
        <v>114</v>
      </c>
    </row>
    <row r="1013" spans="1:12" ht="15.5">
      <c r="A1013" s="180" t="s">
        <v>7</v>
      </c>
      <c r="B1013" s="250">
        <f>SUM(D1013:F1013)</f>
        <v>4457893.2962091509</v>
      </c>
      <c r="C1013" s="241">
        <f>+B1013/$B$1021</f>
        <v>0.54779808112828721</v>
      </c>
      <c r="D1013" s="242">
        <v>101027.55620915032</v>
      </c>
      <c r="E1013" s="242">
        <v>2071490.81</v>
      </c>
      <c r="F1013" s="242">
        <v>2285374.9300000002</v>
      </c>
      <c r="H1013" s="250">
        <f>SUM(J1013:L1013)</f>
        <v>-60942.979274720827</v>
      </c>
      <c r="I1013" s="241">
        <f>+H1013/$H$1021</f>
        <v>1.5631511079410039</v>
      </c>
      <c r="J1013" s="242">
        <f>+D1013-D1002</f>
        <v>5713.2207252793596</v>
      </c>
      <c r="K1013" s="849">
        <f>+E1013-E1002</f>
        <v>-45434.120000000112</v>
      </c>
      <c r="L1013" s="242">
        <f t="shared" ref="L1013:L1019" si="517">+F1013-F1002</f>
        <v>-21222.080000000075</v>
      </c>
    </row>
    <row r="1014" spans="1:12" ht="15.5">
      <c r="A1014" s="180" t="s">
        <v>8</v>
      </c>
      <c r="B1014" s="242">
        <f t="shared" ref="B1014:B1019" si="518">SUM(D1014:F1014)</f>
        <v>0</v>
      </c>
      <c r="C1014" s="241">
        <f t="shared" ref="C1014:C1019" si="519">+B1014/$B$1021</f>
        <v>0</v>
      </c>
      <c r="D1014" s="242">
        <v>0</v>
      </c>
      <c r="E1014" s="242"/>
      <c r="F1014" s="849">
        <v>0</v>
      </c>
      <c r="H1014" s="250">
        <f t="shared" ref="H1014:H1019" si="520">SUM(J1014:L1014)</f>
        <v>0</v>
      </c>
      <c r="I1014" s="241">
        <f t="shared" ref="I1014:I1019" si="521">+H1014/$H$1021</f>
        <v>0</v>
      </c>
      <c r="J1014" s="242">
        <f t="shared" ref="J1014:J1019" si="522">+D1014-D1003</f>
        <v>0</v>
      </c>
      <c r="K1014" s="849">
        <f t="shared" ref="K1014:K1019" si="523">+E1014-E1003</f>
        <v>0</v>
      </c>
      <c r="L1014" s="242">
        <f t="shared" si="517"/>
        <v>0</v>
      </c>
    </row>
    <row r="1015" spans="1:12" ht="15.5">
      <c r="A1015" s="180" t="s">
        <v>9</v>
      </c>
      <c r="B1015" s="242">
        <f t="shared" si="518"/>
        <v>849002.70631957566</v>
      </c>
      <c r="C1015" s="241">
        <f t="shared" si="519"/>
        <v>0.10432776706209571</v>
      </c>
      <c r="D1015" s="242">
        <v>849002.70631957566</v>
      </c>
      <c r="E1015" s="242"/>
      <c r="F1015" s="849"/>
      <c r="H1015" s="250">
        <f t="shared" si="520"/>
        <v>21955.718884395901</v>
      </c>
      <c r="I1015" s="241">
        <f t="shared" si="521"/>
        <v>-0.56315110794100398</v>
      </c>
      <c r="J1015" s="242">
        <f t="shared" si="522"/>
        <v>21955.718884395901</v>
      </c>
      <c r="K1015" s="849">
        <f t="shared" si="523"/>
        <v>0</v>
      </c>
      <c r="L1015" s="242">
        <f t="shared" si="517"/>
        <v>0</v>
      </c>
    </row>
    <row r="1016" spans="1:12" ht="15.5">
      <c r="A1016" s="180" t="s">
        <v>162</v>
      </c>
      <c r="B1016" s="242">
        <f t="shared" si="518"/>
        <v>0</v>
      </c>
      <c r="C1016" s="241">
        <f t="shared" si="519"/>
        <v>0</v>
      </c>
      <c r="D1016" s="242">
        <v>0</v>
      </c>
      <c r="E1016" s="242"/>
      <c r="F1016" s="242"/>
      <c r="H1016" s="250">
        <f t="shared" si="520"/>
        <v>0</v>
      </c>
      <c r="I1016" s="241">
        <f t="shared" si="521"/>
        <v>0</v>
      </c>
      <c r="J1016" s="242">
        <f t="shared" si="522"/>
        <v>0</v>
      </c>
      <c r="K1016" s="849">
        <f t="shared" si="523"/>
        <v>0</v>
      </c>
      <c r="L1016" s="242">
        <f t="shared" si="517"/>
        <v>0</v>
      </c>
    </row>
    <row r="1017" spans="1:12" ht="15.5">
      <c r="A1017" s="180" t="s">
        <v>11</v>
      </c>
      <c r="B1017" s="242">
        <f t="shared" si="518"/>
        <v>0</v>
      </c>
      <c r="C1017" s="241">
        <f t="shared" si="519"/>
        <v>0</v>
      </c>
      <c r="D1017" s="242">
        <v>0</v>
      </c>
      <c r="E1017" s="242"/>
      <c r="F1017" s="242"/>
      <c r="H1017" s="250">
        <f t="shared" si="520"/>
        <v>0</v>
      </c>
      <c r="I1017" s="241">
        <f t="shared" si="521"/>
        <v>0</v>
      </c>
      <c r="J1017" s="242">
        <f t="shared" si="522"/>
        <v>0</v>
      </c>
      <c r="K1017" s="849">
        <f t="shared" si="523"/>
        <v>0</v>
      </c>
      <c r="L1017" s="242">
        <f t="shared" si="517"/>
        <v>0</v>
      </c>
    </row>
    <row r="1018" spans="1:12" ht="15.5">
      <c r="A1018" s="180" t="s">
        <v>12</v>
      </c>
      <c r="B1018" s="242">
        <f t="shared" si="518"/>
        <v>95800</v>
      </c>
      <c r="C1018" s="241">
        <f t="shared" si="519"/>
        <v>1.1772165165262348E-2</v>
      </c>
      <c r="D1018" s="242">
        <v>95800</v>
      </c>
      <c r="E1018" s="242"/>
      <c r="F1018" s="849"/>
      <c r="H1018" s="250">
        <f t="shared" si="520"/>
        <v>0</v>
      </c>
      <c r="I1018" s="241">
        <f t="shared" si="521"/>
        <v>0</v>
      </c>
      <c r="J1018" s="242">
        <f t="shared" si="522"/>
        <v>0</v>
      </c>
      <c r="K1018" s="849">
        <f t="shared" si="523"/>
        <v>0</v>
      </c>
      <c r="L1018" s="242">
        <f t="shared" si="517"/>
        <v>0</v>
      </c>
    </row>
    <row r="1019" spans="1:12" ht="15.5">
      <c r="A1019" s="180" t="s">
        <v>13</v>
      </c>
      <c r="B1019" s="242">
        <f t="shared" si="518"/>
        <v>2735144.2889657775</v>
      </c>
      <c r="C1019" s="241">
        <f t="shared" si="519"/>
        <v>0.3361019866443547</v>
      </c>
      <c r="D1019" s="242">
        <v>2735144.2889657775</v>
      </c>
      <c r="E1019" s="242"/>
      <c r="F1019" s="849">
        <v>0</v>
      </c>
      <c r="H1019" s="250">
        <f t="shared" si="520"/>
        <v>0</v>
      </c>
      <c r="I1019" s="241">
        <f t="shared" si="521"/>
        <v>0</v>
      </c>
      <c r="J1019" s="242">
        <f t="shared" si="522"/>
        <v>0</v>
      </c>
      <c r="K1019" s="849">
        <f t="shared" si="523"/>
        <v>0</v>
      </c>
      <c r="L1019" s="242">
        <f t="shared" si="517"/>
        <v>0</v>
      </c>
    </row>
    <row r="1020" spans="1:12" ht="15.5">
      <c r="A1020" s="180"/>
      <c r="B1020" s="242">
        <f>SUM(D1020:E1020)</f>
        <v>0</v>
      </c>
      <c r="C1020" s="241">
        <f>+B1020/$B$12</f>
        <v>0</v>
      </c>
      <c r="D1020" s="242"/>
      <c r="E1020" s="242"/>
      <c r="F1020" s="849"/>
      <c r="H1020" s="250"/>
      <c r="I1020" s="241">
        <f>+H1020/$H$988</f>
        <v>0</v>
      </c>
      <c r="J1020" s="242"/>
      <c r="K1020" s="242"/>
      <c r="L1020" s="242"/>
    </row>
    <row r="1021" spans="1:12" ht="15.5">
      <c r="A1021" s="180"/>
      <c r="B1021" s="243">
        <f>SUM(B1013:B1020)</f>
        <v>8137840.2914945045</v>
      </c>
      <c r="C1021" s="240">
        <f>SUM(C1013:C1020)</f>
        <v>1</v>
      </c>
      <c r="D1021" s="243">
        <f>SUM(D1013:D1020)</f>
        <v>3780974.5514945034</v>
      </c>
      <c r="E1021" s="243">
        <f>SUM(E1013:E1019)</f>
        <v>2071490.81</v>
      </c>
      <c r="F1021" s="243">
        <f>SUM(F1013:F1019)</f>
        <v>2285374.9300000002</v>
      </c>
      <c r="G1021" s="32">
        <f>+B1021-B1010</f>
        <v>-38987.260390323587</v>
      </c>
      <c r="H1021" s="243">
        <f>SUM(H1013:H1020)</f>
        <v>-38987.260390324926</v>
      </c>
      <c r="I1021" s="240">
        <f>SUM(I1013:I1020)</f>
        <v>0.99999999999999989</v>
      </c>
      <c r="J1021" s="243">
        <f>SUM(J1013:J1020)</f>
        <v>27668.939609675261</v>
      </c>
      <c r="K1021" s="243">
        <f>SUM(K1013:K1020)</f>
        <v>-45434.120000000112</v>
      </c>
      <c r="L1021" s="243">
        <f>SUM(L1013:L1020)</f>
        <v>-21222.080000000075</v>
      </c>
    </row>
    <row r="1022" spans="1:12" ht="14.5" thickBot="1">
      <c r="H1022" s="254">
        <f>+A1023</f>
        <v>42702</v>
      </c>
      <c r="I1022" s="254"/>
      <c r="J1022" s="254">
        <f>+A1012</f>
        <v>42671</v>
      </c>
    </row>
    <row r="1023" spans="1:12" ht="16" thickBot="1">
      <c r="A1023" s="253">
        <v>42702</v>
      </c>
      <c r="B1023" s="251">
        <v>16</v>
      </c>
      <c r="C1023" s="238" t="s">
        <v>3</v>
      </c>
      <c r="D1023" s="238" t="s">
        <v>4</v>
      </c>
      <c r="E1023" s="238" t="s">
        <v>5</v>
      </c>
      <c r="F1023" s="238" t="s">
        <v>114</v>
      </c>
      <c r="H1023" s="251">
        <f>+B1023-B1012</f>
        <v>0.69999999999999929</v>
      </c>
      <c r="I1023" s="238" t="s">
        <v>3</v>
      </c>
      <c r="J1023" s="238" t="s">
        <v>4</v>
      </c>
      <c r="K1023" s="238" t="s">
        <v>5</v>
      </c>
      <c r="L1023" s="238" t="s">
        <v>114</v>
      </c>
    </row>
    <row r="1024" spans="1:12" ht="15.5">
      <c r="A1024" s="180" t="s">
        <v>7</v>
      </c>
      <c r="B1024" s="250">
        <f>SUM(D1024:F1024)</f>
        <v>4318578.5637499997</v>
      </c>
      <c r="C1024" s="241">
        <f>+B1024/$B$1032</f>
        <v>0.54008515109426247</v>
      </c>
      <c r="D1024" s="242">
        <v>96843.723750000005</v>
      </c>
      <c r="E1024" s="242">
        <v>1946931.27</v>
      </c>
      <c r="F1024" s="242">
        <v>2274803.5699999998</v>
      </c>
      <c r="H1024" s="250">
        <f>SUM(J1024:L1024)</f>
        <v>-139314.73245915069</v>
      </c>
      <c r="I1024" s="241">
        <f>+H1024/$H$1032</f>
        <v>0.98293464297520494</v>
      </c>
      <c r="J1024" s="242">
        <f>+D1024-D1013</f>
        <v>-4183.8324591503188</v>
      </c>
      <c r="K1024" s="849">
        <f>+E1024-E1013</f>
        <v>-124559.54000000004</v>
      </c>
      <c r="L1024" s="242">
        <f t="shared" ref="L1024:L1030" si="524">+F1024-F1013</f>
        <v>-10571.360000000335</v>
      </c>
    </row>
    <row r="1025" spans="1:12" ht="15.5">
      <c r="A1025" s="180" t="s">
        <v>8</v>
      </c>
      <c r="B1025" s="242">
        <f t="shared" ref="B1025:B1030" si="525">SUM(D1025:F1025)</f>
        <v>0</v>
      </c>
      <c r="C1025" s="241">
        <f t="shared" ref="C1025:C1030" si="526">+B1025/$B$1032</f>
        <v>0</v>
      </c>
      <c r="D1025" s="242">
        <v>0</v>
      </c>
      <c r="E1025" s="242"/>
      <c r="F1025" s="849">
        <v>0</v>
      </c>
      <c r="H1025" s="250">
        <f t="shared" ref="H1025:H1030" si="527">SUM(J1025:L1025)</f>
        <v>0</v>
      </c>
      <c r="I1025" s="241">
        <f t="shared" ref="I1025:I1030" si="528">+H1025/$H$1032</f>
        <v>0</v>
      </c>
      <c r="J1025" s="242">
        <f t="shared" ref="J1025:J1030" si="529">+D1025-D1014</f>
        <v>0</v>
      </c>
      <c r="K1025" s="849">
        <f t="shared" ref="K1025:K1030" si="530">+E1025-E1014</f>
        <v>0</v>
      </c>
      <c r="L1025" s="242">
        <f t="shared" si="524"/>
        <v>0</v>
      </c>
    </row>
    <row r="1026" spans="1:12" ht="15.5">
      <c r="A1026" s="180" t="s">
        <v>9</v>
      </c>
      <c r="B1026" s="242">
        <f t="shared" si="525"/>
        <v>846583.9741432094</v>
      </c>
      <c r="C1026" s="241">
        <f t="shared" si="526"/>
        <v>0.10587452024771943</v>
      </c>
      <c r="D1026" s="242">
        <v>846583.9741432094</v>
      </c>
      <c r="E1026" s="242"/>
      <c r="F1026" s="849"/>
      <c r="H1026" s="250">
        <f t="shared" si="527"/>
        <v>-2418.7321763662621</v>
      </c>
      <c r="I1026" s="241">
        <f t="shared" si="528"/>
        <v>1.7065357024795065E-2</v>
      </c>
      <c r="J1026" s="242">
        <f t="shared" si="529"/>
        <v>-2418.7321763662621</v>
      </c>
      <c r="K1026" s="849">
        <f t="shared" si="530"/>
        <v>0</v>
      </c>
      <c r="L1026" s="242">
        <f t="shared" si="524"/>
        <v>0</v>
      </c>
    </row>
    <row r="1027" spans="1:12" ht="15.5">
      <c r="A1027" s="180" t="s">
        <v>162</v>
      </c>
      <c r="B1027" s="242">
        <f t="shared" si="525"/>
        <v>0</v>
      </c>
      <c r="C1027" s="241">
        <f t="shared" si="526"/>
        <v>0</v>
      </c>
      <c r="D1027" s="242">
        <v>0</v>
      </c>
      <c r="E1027" s="242"/>
      <c r="F1027" s="849"/>
      <c r="H1027" s="250">
        <f t="shared" si="527"/>
        <v>0</v>
      </c>
      <c r="I1027" s="241">
        <f t="shared" si="528"/>
        <v>0</v>
      </c>
      <c r="J1027" s="242">
        <f t="shared" si="529"/>
        <v>0</v>
      </c>
      <c r="K1027" s="849">
        <f t="shared" si="530"/>
        <v>0</v>
      </c>
      <c r="L1027" s="242">
        <f t="shared" si="524"/>
        <v>0</v>
      </c>
    </row>
    <row r="1028" spans="1:12" ht="15.5">
      <c r="A1028" s="180" t="s">
        <v>11</v>
      </c>
      <c r="B1028" s="242">
        <f t="shared" si="525"/>
        <v>0</v>
      </c>
      <c r="C1028" s="241">
        <f t="shared" si="526"/>
        <v>0</v>
      </c>
      <c r="D1028" s="242">
        <v>0</v>
      </c>
      <c r="E1028" s="242"/>
      <c r="F1028" s="849"/>
      <c r="H1028" s="250">
        <f t="shared" si="527"/>
        <v>0</v>
      </c>
      <c r="I1028" s="241">
        <f t="shared" si="528"/>
        <v>0</v>
      </c>
      <c r="J1028" s="242">
        <f t="shared" si="529"/>
        <v>0</v>
      </c>
      <c r="K1028" s="849">
        <f t="shared" si="530"/>
        <v>0</v>
      </c>
      <c r="L1028" s="242">
        <f t="shared" si="524"/>
        <v>0</v>
      </c>
    </row>
    <row r="1029" spans="1:12" ht="15.5">
      <c r="A1029" s="180" t="s">
        <v>12</v>
      </c>
      <c r="B1029" s="242">
        <f t="shared" si="525"/>
        <v>95800</v>
      </c>
      <c r="C1029" s="241">
        <f t="shared" si="526"/>
        <v>1.1980830430905079E-2</v>
      </c>
      <c r="D1029" s="242">
        <v>95800</v>
      </c>
      <c r="E1029" s="242"/>
      <c r="F1029" s="849"/>
      <c r="H1029" s="250">
        <f t="shared" si="527"/>
        <v>0</v>
      </c>
      <c r="I1029" s="241">
        <f t="shared" si="528"/>
        <v>0</v>
      </c>
      <c r="J1029" s="242">
        <f t="shared" si="529"/>
        <v>0</v>
      </c>
      <c r="K1029" s="849">
        <f t="shared" si="530"/>
        <v>0</v>
      </c>
      <c r="L1029" s="242">
        <f t="shared" si="524"/>
        <v>0</v>
      </c>
    </row>
    <row r="1030" spans="1:12" ht="15.5">
      <c r="A1030" s="180" t="s">
        <v>13</v>
      </c>
      <c r="B1030" s="242">
        <f t="shared" si="525"/>
        <v>2735144.2889657775</v>
      </c>
      <c r="C1030" s="241">
        <f t="shared" si="526"/>
        <v>0.34205949822711296</v>
      </c>
      <c r="D1030" s="242">
        <v>2735144.2889657775</v>
      </c>
      <c r="E1030" s="242">
        <v>0</v>
      </c>
      <c r="F1030" s="849">
        <v>0</v>
      </c>
      <c r="H1030" s="250">
        <f t="shared" si="527"/>
        <v>0</v>
      </c>
      <c r="I1030" s="241">
        <f t="shared" si="528"/>
        <v>0</v>
      </c>
      <c r="J1030" s="242">
        <f t="shared" si="529"/>
        <v>0</v>
      </c>
      <c r="K1030" s="849">
        <f t="shared" si="530"/>
        <v>0</v>
      </c>
      <c r="L1030" s="242">
        <f t="shared" si="524"/>
        <v>0</v>
      </c>
    </row>
    <row r="1031" spans="1:12" ht="15.5">
      <c r="A1031" s="180"/>
      <c r="B1031" s="242">
        <f>SUM(D1031:E1031)</f>
        <v>0</v>
      </c>
      <c r="C1031" s="241">
        <f>+B1031/$B$12</f>
        <v>0</v>
      </c>
      <c r="D1031" s="242"/>
      <c r="E1031" s="242"/>
      <c r="F1031" s="849"/>
      <c r="H1031" s="250"/>
      <c r="I1031" s="241">
        <f>+H1031/$H$988</f>
        <v>0</v>
      </c>
      <c r="J1031" s="242"/>
      <c r="K1031" s="242"/>
      <c r="L1031" s="242"/>
    </row>
    <row r="1032" spans="1:12" ht="15.5">
      <c r="A1032" s="180"/>
      <c r="B1032" s="243">
        <f>SUM(B1024:B1031)</f>
        <v>7996106.8268589871</v>
      </c>
      <c r="C1032" s="240">
        <f>SUM(C1024:C1031)</f>
        <v>1</v>
      </c>
      <c r="D1032" s="243">
        <f>SUM(D1024:D1031)</f>
        <v>3774371.9868589868</v>
      </c>
      <c r="E1032" s="243">
        <f>SUM(E1024:E1030)</f>
        <v>1946931.27</v>
      </c>
      <c r="F1032" s="243">
        <f>SUM(F1024:F1030)</f>
        <v>2274803.5699999998</v>
      </c>
      <c r="G1032" s="32">
        <f>+B1032-B1021</f>
        <v>-141733.46463551745</v>
      </c>
      <c r="H1032" s="243">
        <f>SUM(H1024:H1031)</f>
        <v>-141733.46463551695</v>
      </c>
      <c r="I1032" s="240">
        <f>SUM(I1024:I1031)</f>
        <v>1</v>
      </c>
      <c r="J1032" s="243">
        <f>SUM(J1024:J1031)</f>
        <v>-6602.5646355165809</v>
      </c>
      <c r="K1032" s="243">
        <f>SUM(K1024:K1031)</f>
        <v>-124559.54000000004</v>
      </c>
      <c r="L1032" s="243">
        <f>SUM(L1024:L1031)</f>
        <v>-10571.360000000335</v>
      </c>
    </row>
    <row r="1033" spans="1:12" ht="14.5" thickBot="1">
      <c r="H1033" s="254">
        <f>+A1034</f>
        <v>42732</v>
      </c>
      <c r="I1033" s="254"/>
      <c r="J1033" s="254">
        <f>+A1023</f>
        <v>42702</v>
      </c>
    </row>
    <row r="1034" spans="1:12" ht="16" thickBot="1">
      <c r="A1034" s="253">
        <v>42732</v>
      </c>
      <c r="B1034" s="251">
        <v>16</v>
      </c>
      <c r="C1034" s="238" t="s">
        <v>3</v>
      </c>
      <c r="D1034" s="238" t="s">
        <v>4</v>
      </c>
      <c r="E1034" s="238" t="s">
        <v>5</v>
      </c>
      <c r="F1034" s="238" t="s">
        <v>114</v>
      </c>
      <c r="H1034" s="251">
        <f>+B1034-B1023</f>
        <v>0</v>
      </c>
      <c r="I1034" s="238" t="s">
        <v>3</v>
      </c>
      <c r="J1034" s="238" t="s">
        <v>4</v>
      </c>
      <c r="K1034" s="238" t="s">
        <v>5</v>
      </c>
      <c r="L1034" s="238" t="s">
        <v>114</v>
      </c>
    </row>
    <row r="1035" spans="1:12" ht="15.5">
      <c r="A1035" s="180" t="s">
        <v>7</v>
      </c>
      <c r="B1035" s="250">
        <f>SUM(D1035:F1035)</f>
        <v>4327769.0599999996</v>
      </c>
      <c r="C1035" s="241">
        <f>+B1035/$B$1043</f>
        <v>0.53907617995933987</v>
      </c>
      <c r="D1035" s="242">
        <v>95684.46</v>
      </c>
      <c r="E1035" s="242">
        <v>1957281.03</v>
      </c>
      <c r="F1035" s="242">
        <v>2274803.5699999998</v>
      </c>
      <c r="H1035" s="250">
        <f>SUM(J1035:L1035)</f>
        <v>9190.4962500000111</v>
      </c>
      <c r="I1035" s="241">
        <f>+H1035/$H$1032</f>
        <v>-6.4843516480983326E-2</v>
      </c>
      <c r="J1035" s="242">
        <f>+D1035-D1024</f>
        <v>-1159.2637499999983</v>
      </c>
      <c r="K1035" s="849">
        <f>+E1035-E1024</f>
        <v>10349.760000000009</v>
      </c>
      <c r="L1035" s="242">
        <f t="shared" ref="L1035:L1041" si="531">+F1035-F1024</f>
        <v>0</v>
      </c>
    </row>
    <row r="1036" spans="1:12" ht="15.5">
      <c r="A1036" s="180" t="s">
        <v>8</v>
      </c>
      <c r="B1036" s="242">
        <f t="shared" ref="B1036:B1041" si="532">SUM(D1036:F1036)</f>
        <v>0</v>
      </c>
      <c r="C1036" s="241">
        <f t="shared" ref="C1036:C1041" si="533">+B1036/$B$1043</f>
        <v>0</v>
      </c>
      <c r="D1036" s="242">
        <v>0</v>
      </c>
      <c r="E1036" s="242"/>
      <c r="F1036" s="849">
        <v>0</v>
      </c>
      <c r="H1036" s="250">
        <f t="shared" ref="H1036:H1041" si="534">SUM(J1036:L1036)</f>
        <v>0</v>
      </c>
      <c r="I1036" s="241">
        <f t="shared" ref="I1036:I1041" si="535">+H1036/$H$1032</f>
        <v>0</v>
      </c>
      <c r="J1036" s="242">
        <f t="shared" ref="J1036:J1041" si="536">+D1036-D1025</f>
        <v>0</v>
      </c>
      <c r="K1036" s="849">
        <f t="shared" ref="K1036:K1041" si="537">+E1036-E1025</f>
        <v>0</v>
      </c>
      <c r="L1036" s="242">
        <f t="shared" si="531"/>
        <v>0</v>
      </c>
    </row>
    <row r="1037" spans="1:12" ht="15.5">
      <c r="A1037" s="180" t="s">
        <v>9</v>
      </c>
      <c r="B1037" s="242">
        <f t="shared" si="532"/>
        <v>869408.13161313452</v>
      </c>
      <c r="C1037" s="241">
        <f t="shared" si="533"/>
        <v>0.10829533829506041</v>
      </c>
      <c r="D1037" s="242">
        <v>869408.13161313452</v>
      </c>
      <c r="E1037" s="242"/>
      <c r="F1037" s="849"/>
      <c r="H1037" s="250">
        <f t="shared" si="534"/>
        <v>22824.157469925121</v>
      </c>
      <c r="I1037" s="241">
        <f t="shared" si="535"/>
        <v>-0.16103576899513414</v>
      </c>
      <c r="J1037" s="242">
        <f t="shared" si="536"/>
        <v>22824.157469925121</v>
      </c>
      <c r="K1037" s="849">
        <f t="shared" si="537"/>
        <v>0</v>
      </c>
      <c r="L1037" s="242">
        <f t="shared" si="531"/>
        <v>0</v>
      </c>
    </row>
    <row r="1038" spans="1:12" ht="15.5">
      <c r="A1038" s="180" t="s">
        <v>162</v>
      </c>
      <c r="B1038" s="242">
        <f t="shared" si="532"/>
        <v>0</v>
      </c>
      <c r="C1038" s="241">
        <f t="shared" si="533"/>
        <v>0</v>
      </c>
      <c r="D1038" s="242">
        <v>0</v>
      </c>
      <c r="E1038" s="242"/>
      <c r="F1038" s="849"/>
      <c r="H1038" s="250">
        <f t="shared" si="534"/>
        <v>0</v>
      </c>
      <c r="I1038" s="241">
        <f t="shared" si="535"/>
        <v>0</v>
      </c>
      <c r="J1038" s="242">
        <f t="shared" si="536"/>
        <v>0</v>
      </c>
      <c r="K1038" s="849">
        <f t="shared" si="537"/>
        <v>0</v>
      </c>
      <c r="L1038" s="242">
        <f t="shared" si="531"/>
        <v>0</v>
      </c>
    </row>
    <row r="1039" spans="1:12" ht="15.5">
      <c r="A1039" s="180" t="s">
        <v>11</v>
      </c>
      <c r="B1039" s="242">
        <f t="shared" si="532"/>
        <v>0</v>
      </c>
      <c r="C1039" s="241">
        <f t="shared" si="533"/>
        <v>0</v>
      </c>
      <c r="D1039" s="242">
        <v>0</v>
      </c>
      <c r="E1039" s="242"/>
      <c r="F1039" s="849"/>
      <c r="H1039" s="250">
        <f t="shared" si="534"/>
        <v>0</v>
      </c>
      <c r="I1039" s="241">
        <f t="shared" si="535"/>
        <v>0</v>
      </c>
      <c r="J1039" s="242">
        <f t="shared" si="536"/>
        <v>0</v>
      </c>
      <c r="K1039" s="849">
        <f t="shared" si="537"/>
        <v>0</v>
      </c>
      <c r="L1039" s="242">
        <f t="shared" si="531"/>
        <v>0</v>
      </c>
    </row>
    <row r="1040" spans="1:12" ht="15.5">
      <c r="A1040" s="180" t="s">
        <v>12</v>
      </c>
      <c r="B1040" s="242">
        <f t="shared" si="532"/>
        <v>95800</v>
      </c>
      <c r="C1040" s="241">
        <f t="shared" si="533"/>
        <v>1.1933053109840563E-2</v>
      </c>
      <c r="D1040" s="242">
        <v>95800</v>
      </c>
      <c r="E1040" s="242"/>
      <c r="F1040" s="849"/>
      <c r="H1040" s="250">
        <f t="shared" si="534"/>
        <v>0</v>
      </c>
      <c r="I1040" s="241">
        <f t="shared" si="535"/>
        <v>0</v>
      </c>
      <c r="J1040" s="242">
        <f t="shared" si="536"/>
        <v>0</v>
      </c>
      <c r="K1040" s="849">
        <f t="shared" si="537"/>
        <v>0</v>
      </c>
      <c r="L1040" s="242">
        <f t="shared" si="531"/>
        <v>0</v>
      </c>
    </row>
    <row r="1041" spans="1:12" ht="15.5">
      <c r="A1041" s="180" t="s">
        <v>13</v>
      </c>
      <c r="B1041" s="242">
        <f t="shared" si="532"/>
        <v>2735144.2889657775</v>
      </c>
      <c r="C1041" s="241">
        <f t="shared" si="533"/>
        <v>0.34069542863575913</v>
      </c>
      <c r="D1041" s="242">
        <v>2735144.2889657775</v>
      </c>
      <c r="E1041" s="242">
        <v>0</v>
      </c>
      <c r="F1041" s="849">
        <v>0</v>
      </c>
      <c r="H1041" s="250">
        <f t="shared" si="534"/>
        <v>0</v>
      </c>
      <c r="I1041" s="241">
        <f t="shared" si="535"/>
        <v>0</v>
      </c>
      <c r="J1041" s="242">
        <f t="shared" si="536"/>
        <v>0</v>
      </c>
      <c r="K1041" s="849">
        <f t="shared" si="537"/>
        <v>0</v>
      </c>
      <c r="L1041" s="242">
        <f t="shared" si="531"/>
        <v>0</v>
      </c>
    </row>
    <row r="1042" spans="1:12" ht="15.5">
      <c r="A1042" s="180"/>
      <c r="B1042" s="242">
        <f>SUM(D1042:E1042)</f>
        <v>0</v>
      </c>
      <c r="C1042" s="241">
        <f t="shared" ref="C1042" si="538">+B1042/$B$1043</f>
        <v>0</v>
      </c>
      <c r="D1042" s="242"/>
      <c r="E1042" s="242"/>
      <c r="F1042" s="849"/>
      <c r="H1042" s="250"/>
      <c r="I1042" s="241">
        <f>+H1042/$H$988</f>
        <v>0</v>
      </c>
      <c r="J1042" s="242"/>
      <c r="K1042" s="242"/>
      <c r="L1042" s="242"/>
    </row>
    <row r="1043" spans="1:12" ht="15.5">
      <c r="A1043" s="180"/>
      <c r="B1043" s="243">
        <f>SUM(B1035:B1042)</f>
        <v>8028121.4805789115</v>
      </c>
      <c r="C1043" s="240">
        <f>SUM(C1035:C1042)</f>
        <v>1</v>
      </c>
      <c r="D1043" s="243">
        <f>SUM(D1035:D1042)</f>
        <v>3796036.8805789119</v>
      </c>
      <c r="E1043" s="243">
        <f>SUM(E1035:E1041)</f>
        <v>1957281.03</v>
      </c>
      <c r="F1043" s="243">
        <f>SUM(F1035:F1041)</f>
        <v>2274803.5699999998</v>
      </c>
      <c r="G1043" s="32">
        <f>+B1043-B1032</f>
        <v>32014.65371992439</v>
      </c>
      <c r="H1043" s="243">
        <f>SUM(H1035:H1042)</f>
        <v>32014.653719925132</v>
      </c>
      <c r="I1043" s="240">
        <f>SUM(I1035:I1042)</f>
        <v>-0.22587928547611746</v>
      </c>
      <c r="J1043" s="243">
        <f>SUM(J1035:J1042)</f>
        <v>21664.893719925123</v>
      </c>
      <c r="K1043" s="243">
        <f>SUM(K1035:K1042)</f>
        <v>10349.760000000009</v>
      </c>
      <c r="L1043" s="243">
        <f>SUM(L1035:L1042)</f>
        <v>0</v>
      </c>
    </row>
    <row r="1044" spans="1:12" ht="14.5" thickBot="1">
      <c r="H1044" s="254">
        <f>+A1045</f>
        <v>42763</v>
      </c>
      <c r="I1044" s="254"/>
      <c r="J1044" s="254">
        <f>+A1034</f>
        <v>42732</v>
      </c>
    </row>
    <row r="1045" spans="1:12" ht="16" thickBot="1">
      <c r="A1045" s="253">
        <v>42763</v>
      </c>
      <c r="B1045" s="251">
        <v>16.100000000000001</v>
      </c>
      <c r="C1045" s="238" t="s">
        <v>3</v>
      </c>
      <c r="D1045" s="238" t="s">
        <v>4</v>
      </c>
      <c r="E1045" s="238" t="s">
        <v>5</v>
      </c>
      <c r="F1045" s="238" t="s">
        <v>114</v>
      </c>
      <c r="H1045" s="251">
        <f>+B1045-B1034</f>
        <v>0.10000000000000142</v>
      </c>
      <c r="I1045" s="238" t="s">
        <v>3</v>
      </c>
      <c r="J1045" s="238" t="s">
        <v>4</v>
      </c>
      <c r="K1045" s="238" t="s">
        <v>5</v>
      </c>
      <c r="L1045" s="238" t="s">
        <v>114</v>
      </c>
    </row>
    <row r="1046" spans="1:12" ht="15.5">
      <c r="A1046" s="180" t="s">
        <v>7</v>
      </c>
      <c r="B1046" s="250">
        <f>SUM(D1046:F1046)</f>
        <v>4470143.3428571429</v>
      </c>
      <c r="C1046" s="241">
        <f>+B1046/$B$1054</f>
        <v>0.54677323502352704</v>
      </c>
      <c r="D1046" s="242">
        <v>108102.84285714285</v>
      </c>
      <c r="E1046" s="242">
        <v>1999732.77</v>
      </c>
      <c r="F1046" s="242">
        <v>2362307.73</v>
      </c>
      <c r="H1046" s="250">
        <f>SUM(J1046:L1046)</f>
        <v>142374.28285714297</v>
      </c>
      <c r="I1046" s="241">
        <f>+H1046/$H$1054</f>
        <v>0.96605987380754788</v>
      </c>
      <c r="J1046" s="242">
        <f>+D1046-D1035</f>
        <v>12418.382857142846</v>
      </c>
      <c r="K1046" s="849">
        <f>+E1046-E1035</f>
        <v>42451.739999999991</v>
      </c>
      <c r="L1046" s="242">
        <f t="shared" ref="L1046:L1052" si="539">+F1046-F1035</f>
        <v>87504.160000000149</v>
      </c>
    </row>
    <row r="1047" spans="1:12" ht="15.5">
      <c r="A1047" s="180" t="s">
        <v>8</v>
      </c>
      <c r="B1047" s="242">
        <f t="shared" ref="B1047:B1052" si="540">SUM(D1047:F1047)</f>
        <v>0</v>
      </c>
      <c r="C1047" s="241">
        <f t="shared" ref="C1047:C1052" si="541">+B1047/$B$1054</f>
        <v>0</v>
      </c>
      <c r="D1047" s="242">
        <v>0</v>
      </c>
      <c r="E1047" s="242"/>
      <c r="F1047" s="849">
        <v>0</v>
      </c>
      <c r="H1047" s="250">
        <f t="shared" ref="H1047:H1052" si="542">SUM(J1047:L1047)</f>
        <v>0</v>
      </c>
      <c r="I1047" s="241">
        <f t="shared" ref="I1047:I1052" si="543">+H1047/$H$1054</f>
        <v>0</v>
      </c>
      <c r="J1047" s="242">
        <f t="shared" ref="J1047:J1052" si="544">+D1047-D1036</f>
        <v>0</v>
      </c>
      <c r="K1047" s="849">
        <f t="shared" ref="K1047:K1052" si="545">+E1047-E1036</f>
        <v>0</v>
      </c>
      <c r="L1047" s="242">
        <f t="shared" si="539"/>
        <v>0</v>
      </c>
    </row>
    <row r="1048" spans="1:12" ht="15.5">
      <c r="A1048" s="180" t="s">
        <v>9</v>
      </c>
      <c r="B1048" s="242">
        <f t="shared" si="540"/>
        <v>874410.10018438473</v>
      </c>
      <c r="C1048" s="241">
        <f t="shared" si="541"/>
        <v>0.10695496822915679</v>
      </c>
      <c r="D1048" s="242">
        <v>874410.10018438473</v>
      </c>
      <c r="E1048" s="242"/>
      <c r="F1048" s="849"/>
      <c r="H1048" s="250">
        <f t="shared" si="542"/>
        <v>5001.9685712502105</v>
      </c>
      <c r="I1048" s="241">
        <f t="shared" si="543"/>
        <v>3.3940126192452076E-2</v>
      </c>
      <c r="J1048" s="242">
        <f t="shared" si="544"/>
        <v>5001.9685712502105</v>
      </c>
      <c r="K1048" s="849">
        <f t="shared" si="545"/>
        <v>0</v>
      </c>
      <c r="L1048" s="242">
        <f t="shared" si="539"/>
        <v>0</v>
      </c>
    </row>
    <row r="1049" spans="1:12" ht="15.5">
      <c r="A1049" s="180" t="s">
        <v>162</v>
      </c>
      <c r="B1049" s="242">
        <f t="shared" si="540"/>
        <v>0</v>
      </c>
      <c r="C1049" s="241">
        <f t="shared" si="541"/>
        <v>0</v>
      </c>
      <c r="D1049" s="242">
        <v>0</v>
      </c>
      <c r="E1049" s="242"/>
      <c r="F1049" s="849"/>
      <c r="H1049" s="250">
        <f t="shared" si="542"/>
        <v>0</v>
      </c>
      <c r="I1049" s="241">
        <f t="shared" si="543"/>
        <v>0</v>
      </c>
      <c r="J1049" s="242">
        <f t="shared" si="544"/>
        <v>0</v>
      </c>
      <c r="K1049" s="849">
        <f t="shared" si="545"/>
        <v>0</v>
      </c>
      <c r="L1049" s="242">
        <f t="shared" si="539"/>
        <v>0</v>
      </c>
    </row>
    <row r="1050" spans="1:12" ht="15.5">
      <c r="A1050" s="180" t="s">
        <v>11</v>
      </c>
      <c r="B1050" s="242">
        <f t="shared" si="540"/>
        <v>0</v>
      </c>
      <c r="C1050" s="241">
        <f t="shared" si="541"/>
        <v>0</v>
      </c>
      <c r="D1050" s="242">
        <v>0</v>
      </c>
      <c r="E1050" s="242"/>
      <c r="F1050" s="849"/>
      <c r="H1050" s="250">
        <f t="shared" si="542"/>
        <v>0</v>
      </c>
      <c r="I1050" s="241">
        <f t="shared" si="543"/>
        <v>0</v>
      </c>
      <c r="J1050" s="242">
        <f t="shared" si="544"/>
        <v>0</v>
      </c>
      <c r="K1050" s="849">
        <f t="shared" si="545"/>
        <v>0</v>
      </c>
      <c r="L1050" s="242">
        <f t="shared" si="539"/>
        <v>0</v>
      </c>
    </row>
    <row r="1051" spans="1:12" ht="15.5">
      <c r="A1051" s="180" t="s">
        <v>12</v>
      </c>
      <c r="B1051" s="242">
        <f t="shared" si="540"/>
        <v>95800</v>
      </c>
      <c r="C1051" s="241">
        <f t="shared" si="541"/>
        <v>1.1717940991524014E-2</v>
      </c>
      <c r="D1051" s="242">
        <v>95800</v>
      </c>
      <c r="E1051" s="242"/>
      <c r="F1051" s="849"/>
      <c r="H1051" s="250">
        <f t="shared" si="542"/>
        <v>0</v>
      </c>
      <c r="I1051" s="241">
        <f t="shared" si="543"/>
        <v>0</v>
      </c>
      <c r="J1051" s="242">
        <f t="shared" si="544"/>
        <v>0</v>
      </c>
      <c r="K1051" s="849">
        <f t="shared" si="545"/>
        <v>0</v>
      </c>
      <c r="L1051" s="242">
        <f t="shared" si="539"/>
        <v>0</v>
      </c>
    </row>
    <row r="1052" spans="1:12" ht="15.5">
      <c r="A1052" s="180" t="s">
        <v>13</v>
      </c>
      <c r="B1052" s="242">
        <f t="shared" si="540"/>
        <v>2735144.2889657775</v>
      </c>
      <c r="C1052" s="241">
        <f t="shared" si="541"/>
        <v>0.33455385575579211</v>
      </c>
      <c r="D1052" s="242">
        <v>2735144.2889657775</v>
      </c>
      <c r="E1052" s="242">
        <v>0</v>
      </c>
      <c r="F1052" s="849">
        <v>0</v>
      </c>
      <c r="H1052" s="250">
        <f t="shared" si="542"/>
        <v>0</v>
      </c>
      <c r="I1052" s="241">
        <f t="shared" si="543"/>
        <v>0</v>
      </c>
      <c r="J1052" s="242">
        <f t="shared" si="544"/>
        <v>0</v>
      </c>
      <c r="K1052" s="849">
        <f t="shared" si="545"/>
        <v>0</v>
      </c>
      <c r="L1052" s="242">
        <f t="shared" si="539"/>
        <v>0</v>
      </c>
    </row>
    <row r="1053" spans="1:12" ht="15.5">
      <c r="A1053" s="180"/>
      <c r="B1053" s="242">
        <f>SUM(D1053:E1053)</f>
        <v>0</v>
      </c>
      <c r="C1053" s="241">
        <f t="shared" ref="C1053" si="546">+B1053/$B$12</f>
        <v>0</v>
      </c>
      <c r="D1053" s="242"/>
      <c r="E1053" s="242"/>
      <c r="F1053" s="849"/>
      <c r="H1053" s="250"/>
      <c r="I1053" s="241">
        <f>+H1053/$H$988</f>
        <v>0</v>
      </c>
      <c r="J1053" s="242"/>
      <c r="K1053" s="242"/>
      <c r="L1053" s="242"/>
    </row>
    <row r="1054" spans="1:12" ht="15.5">
      <c r="A1054" s="180"/>
      <c r="B1054" s="243">
        <f>SUM(B1046:B1053)</f>
        <v>8175497.7320073051</v>
      </c>
      <c r="C1054" s="240">
        <f>SUM(C1046:C1053)</f>
        <v>1</v>
      </c>
      <c r="D1054" s="243">
        <f>SUM(D1046:D1053)</f>
        <v>3813457.2320073051</v>
      </c>
      <c r="E1054" s="243">
        <f>SUM(E1046:E1052)</f>
        <v>1999732.77</v>
      </c>
      <c r="F1054" s="243">
        <f>SUM(F1046:F1052)</f>
        <v>2362307.73</v>
      </c>
      <c r="G1054" s="32">
        <f>+B1054-B1043</f>
        <v>147376.25142839365</v>
      </c>
      <c r="H1054" s="243">
        <f>SUM(H1046:H1053)</f>
        <v>147376.25142839318</v>
      </c>
      <c r="I1054" s="240">
        <f>SUM(I1046:I1053)</f>
        <v>1</v>
      </c>
      <c r="J1054" s="243">
        <f>SUM(J1046:J1053)</f>
        <v>17420.351428393056</v>
      </c>
      <c r="K1054" s="243">
        <f>SUM(K1046:K1053)</f>
        <v>42451.739999999991</v>
      </c>
      <c r="L1054" s="243">
        <f>SUM(L1046:L1053)</f>
        <v>87504.160000000149</v>
      </c>
    </row>
    <row r="1055" spans="1:12" ht="14.5" thickBot="1">
      <c r="H1055" s="254">
        <f>+A1056</f>
        <v>42794</v>
      </c>
      <c r="I1055" s="254"/>
      <c r="J1055" s="254">
        <f>+A1045</f>
        <v>42763</v>
      </c>
    </row>
    <row r="1056" spans="1:12" ht="16" thickBot="1">
      <c r="A1056" s="253">
        <v>42794</v>
      </c>
      <c r="B1056" s="251">
        <v>15.85</v>
      </c>
      <c r="C1056" s="238" t="s">
        <v>3</v>
      </c>
      <c r="D1056" s="238" t="s">
        <v>4</v>
      </c>
      <c r="E1056" s="238" t="s">
        <v>5</v>
      </c>
      <c r="F1056" s="238" t="s">
        <v>114</v>
      </c>
      <c r="H1056" s="251">
        <f>+B1056-B1045</f>
        <v>-0.25000000000000178</v>
      </c>
      <c r="I1056" s="238" t="s">
        <v>3</v>
      </c>
      <c r="J1056" s="238" t="s">
        <v>4</v>
      </c>
      <c r="K1056" s="238" t="s">
        <v>5</v>
      </c>
      <c r="L1056" s="238" t="s">
        <v>114</v>
      </c>
    </row>
    <row r="1057" spans="1:12" ht="15.5">
      <c r="A1057" s="180" t="s">
        <v>7</v>
      </c>
      <c r="B1057" s="250">
        <f>SUM(D1057:F1057)</f>
        <v>4681652.901892744</v>
      </c>
      <c r="C1057" s="241">
        <f>+B1057/$B$1065</f>
        <v>0.56390717172894</v>
      </c>
      <c r="D1057" s="242">
        <v>109577.60189274448</v>
      </c>
      <c r="E1057" s="242">
        <v>2140289.96</v>
      </c>
      <c r="F1057" s="242">
        <v>2431785.34</v>
      </c>
      <c r="H1057" s="250">
        <f>SUM(J1057:L1057)</f>
        <v>211509.55903560144</v>
      </c>
      <c r="I1057" s="241">
        <f>+H1057/$H$1065</f>
        <v>1.669745530553896</v>
      </c>
      <c r="J1057" s="242">
        <f>+D1057-D1046</f>
        <v>1474.7590356016299</v>
      </c>
      <c r="K1057" s="849">
        <f>+E1057-E1046</f>
        <v>140557.18999999994</v>
      </c>
      <c r="L1057" s="242">
        <f t="shared" ref="L1057:L1063" si="547">+F1057-F1046</f>
        <v>69477.60999999987</v>
      </c>
    </row>
    <row r="1058" spans="1:12" ht="15.5">
      <c r="A1058" s="180" t="s">
        <v>8</v>
      </c>
      <c r="B1058" s="242">
        <f t="shared" ref="B1058:B1063" si="548">SUM(D1058:F1058)</f>
        <v>0</v>
      </c>
      <c r="C1058" s="241">
        <f t="shared" ref="C1058:C1064" si="549">+B1058/$B$1065</f>
        <v>0</v>
      </c>
      <c r="D1058" s="242">
        <v>0</v>
      </c>
      <c r="E1058" s="242"/>
      <c r="F1058" s="242">
        <v>0</v>
      </c>
      <c r="H1058" s="250">
        <f t="shared" ref="H1058:H1063" si="550">SUM(J1058:L1058)</f>
        <v>0</v>
      </c>
      <c r="I1058" s="241">
        <f t="shared" ref="I1058:I1063" si="551">+H1058/$H$1065</f>
        <v>0</v>
      </c>
      <c r="J1058" s="242">
        <f t="shared" ref="J1058:J1063" si="552">+D1058-D1047</f>
        <v>0</v>
      </c>
      <c r="K1058" s="849">
        <f t="shared" ref="K1058:K1063" si="553">+E1058-E1047</f>
        <v>0</v>
      </c>
      <c r="L1058" s="242">
        <f t="shared" si="547"/>
        <v>0</v>
      </c>
    </row>
    <row r="1059" spans="1:12" ht="15.5">
      <c r="A1059" s="180" t="s">
        <v>9</v>
      </c>
      <c r="B1059" s="242">
        <f t="shared" si="548"/>
        <v>789572.27355667809</v>
      </c>
      <c r="C1059" s="241">
        <f t="shared" si="549"/>
        <v>9.5104331095739111E-2</v>
      </c>
      <c r="D1059" s="242">
        <v>789572.27355667809</v>
      </c>
      <c r="E1059" s="242"/>
      <c r="F1059" s="242"/>
      <c r="H1059" s="250">
        <f t="shared" si="550"/>
        <v>-84837.826627706643</v>
      </c>
      <c r="I1059" s="241">
        <f t="shared" si="551"/>
        <v>-0.66974553055389596</v>
      </c>
      <c r="J1059" s="242">
        <f t="shared" si="552"/>
        <v>-84837.826627706643</v>
      </c>
      <c r="K1059" s="849">
        <f t="shared" si="553"/>
        <v>0</v>
      </c>
      <c r="L1059" s="242">
        <f t="shared" si="547"/>
        <v>0</v>
      </c>
    </row>
    <row r="1060" spans="1:12" ht="15.5">
      <c r="A1060" s="180" t="s">
        <v>162</v>
      </c>
      <c r="B1060" s="242">
        <f t="shared" si="548"/>
        <v>0</v>
      </c>
      <c r="C1060" s="241">
        <f t="shared" si="549"/>
        <v>0</v>
      </c>
      <c r="D1060" s="242">
        <v>0</v>
      </c>
      <c r="E1060" s="242"/>
      <c r="F1060" s="242"/>
      <c r="H1060" s="250">
        <f t="shared" si="550"/>
        <v>0</v>
      </c>
      <c r="I1060" s="241">
        <f t="shared" si="551"/>
        <v>0</v>
      </c>
      <c r="J1060" s="242">
        <f t="shared" si="552"/>
        <v>0</v>
      </c>
      <c r="K1060" s="849">
        <f t="shared" si="553"/>
        <v>0</v>
      </c>
      <c r="L1060" s="242">
        <f t="shared" si="547"/>
        <v>0</v>
      </c>
    </row>
    <row r="1061" spans="1:12" ht="15.5">
      <c r="A1061" s="180" t="s">
        <v>11</v>
      </c>
      <c r="B1061" s="242">
        <f t="shared" si="548"/>
        <v>0</v>
      </c>
      <c r="C1061" s="241">
        <f t="shared" si="549"/>
        <v>0</v>
      </c>
      <c r="D1061" s="242">
        <v>0</v>
      </c>
      <c r="E1061" s="242"/>
      <c r="F1061" s="242"/>
      <c r="H1061" s="250">
        <f t="shared" si="550"/>
        <v>0</v>
      </c>
      <c r="I1061" s="241">
        <f t="shared" si="551"/>
        <v>0</v>
      </c>
      <c r="J1061" s="242">
        <f t="shared" si="552"/>
        <v>0</v>
      </c>
      <c r="K1061" s="849">
        <f t="shared" si="553"/>
        <v>0</v>
      </c>
      <c r="L1061" s="242">
        <f t="shared" si="547"/>
        <v>0</v>
      </c>
    </row>
    <row r="1062" spans="1:12" ht="15.5">
      <c r="A1062" s="180" t="s">
        <v>12</v>
      </c>
      <c r="B1062" s="242">
        <f t="shared" si="548"/>
        <v>95800</v>
      </c>
      <c r="C1062" s="241">
        <f t="shared" si="549"/>
        <v>1.1539152556523742E-2</v>
      </c>
      <c r="D1062" s="242">
        <v>95800</v>
      </c>
      <c r="E1062" s="242"/>
      <c r="F1062" s="242"/>
      <c r="H1062" s="250">
        <f t="shared" si="550"/>
        <v>0</v>
      </c>
      <c r="I1062" s="241">
        <f t="shared" si="551"/>
        <v>0</v>
      </c>
      <c r="J1062" s="242">
        <f t="shared" si="552"/>
        <v>0</v>
      </c>
      <c r="K1062" s="849">
        <f t="shared" si="553"/>
        <v>0</v>
      </c>
      <c r="L1062" s="242">
        <f t="shared" si="547"/>
        <v>0</v>
      </c>
    </row>
    <row r="1063" spans="1:12" ht="15.5">
      <c r="A1063" s="180" t="s">
        <v>13</v>
      </c>
      <c r="B1063" s="242">
        <f t="shared" si="548"/>
        <v>2735144.2889657775</v>
      </c>
      <c r="C1063" s="241">
        <f t="shared" si="549"/>
        <v>0.32944934461879716</v>
      </c>
      <c r="D1063" s="242">
        <v>2735144.2889657775</v>
      </c>
      <c r="E1063" s="242">
        <v>0</v>
      </c>
      <c r="F1063" s="242">
        <v>0</v>
      </c>
      <c r="H1063" s="250">
        <f t="shared" si="550"/>
        <v>0</v>
      </c>
      <c r="I1063" s="241">
        <f t="shared" si="551"/>
        <v>0</v>
      </c>
      <c r="J1063" s="242">
        <f t="shared" si="552"/>
        <v>0</v>
      </c>
      <c r="K1063" s="849">
        <f t="shared" si="553"/>
        <v>0</v>
      </c>
      <c r="L1063" s="242">
        <f t="shared" si="547"/>
        <v>0</v>
      </c>
    </row>
    <row r="1064" spans="1:12" ht="15.5">
      <c r="A1064" s="180"/>
      <c r="B1064" s="242">
        <f>SUM(D1064:E1064)</f>
        <v>0</v>
      </c>
      <c r="C1064" s="241">
        <f t="shared" si="549"/>
        <v>0</v>
      </c>
      <c r="D1064" s="242"/>
      <c r="E1064" s="242"/>
      <c r="F1064" s="242"/>
      <c r="H1064" s="250"/>
      <c r="I1064" s="241">
        <f>+H1064/$H$988</f>
        <v>0</v>
      </c>
      <c r="J1064" s="242"/>
      <c r="K1064" s="242"/>
      <c r="L1064" s="242"/>
    </row>
    <row r="1065" spans="1:12" ht="15.5">
      <c r="A1065" s="180"/>
      <c r="B1065" s="243">
        <f>SUM(B1057:B1064)</f>
        <v>8302169.4644151991</v>
      </c>
      <c r="C1065" s="240">
        <f>SUM(C1057:C1064)</f>
        <v>1</v>
      </c>
      <c r="D1065" s="243">
        <f>SUM(D1057:D1064)</f>
        <v>3730094.1644152002</v>
      </c>
      <c r="E1065" s="243">
        <f>SUM(E1057:E1063)</f>
        <v>2140289.96</v>
      </c>
      <c r="F1065" s="243">
        <f>SUM(F1057:F1063)</f>
        <v>2431785.34</v>
      </c>
      <c r="G1065" s="32">
        <f>+B1065-B1054</f>
        <v>126671.73240789399</v>
      </c>
      <c r="H1065" s="243">
        <f>SUM(H1057:H1064)</f>
        <v>126671.7324078948</v>
      </c>
      <c r="I1065" s="240">
        <f>SUM(I1057:I1064)</f>
        <v>1</v>
      </c>
      <c r="J1065" s="243">
        <f>SUM(J1057:J1064)</f>
        <v>-83363.067592105013</v>
      </c>
      <c r="K1065" s="243">
        <f>SUM(K1057:K1064)</f>
        <v>140557.18999999994</v>
      </c>
      <c r="L1065" s="243">
        <f>SUM(L1057:L1064)</f>
        <v>69477.60999999987</v>
      </c>
    </row>
    <row r="1066" spans="1:12" ht="14.5" thickBot="1">
      <c r="A1066" s="458" t="s">
        <v>169</v>
      </c>
      <c r="B1066" s="459"/>
      <c r="C1066" s="458"/>
      <c r="D1066" s="452"/>
      <c r="H1066" s="254">
        <f>+A1067</f>
        <v>42822</v>
      </c>
      <c r="I1066" s="254"/>
      <c r="J1066" s="254">
        <f>+A1056</f>
        <v>42794</v>
      </c>
    </row>
    <row r="1067" spans="1:12" ht="16" thickBot="1">
      <c r="A1067" s="253">
        <v>42822</v>
      </c>
      <c r="B1067" s="251">
        <v>15.7</v>
      </c>
      <c r="C1067" s="238" t="s">
        <v>3</v>
      </c>
      <c r="D1067" s="238" t="s">
        <v>4</v>
      </c>
      <c r="E1067" s="238" t="s">
        <v>5</v>
      </c>
      <c r="F1067" s="238" t="s">
        <v>114</v>
      </c>
      <c r="H1067" s="251">
        <f>+B1067-B1056</f>
        <v>-0.15000000000000036</v>
      </c>
      <c r="I1067" s="238" t="s">
        <v>3</v>
      </c>
      <c r="J1067" s="238" t="s">
        <v>4</v>
      </c>
      <c r="K1067" s="238" t="s">
        <v>5</v>
      </c>
      <c r="L1067" s="238" t="s">
        <v>114</v>
      </c>
    </row>
    <row r="1068" spans="1:12" ht="15.5">
      <c r="A1068" s="180" t="s">
        <v>7</v>
      </c>
      <c r="B1068" s="250">
        <f>SUM(D1068:F1068)</f>
        <v>4470182.7003821656</v>
      </c>
      <c r="C1068" s="241">
        <f>+B1068/$B$1076</f>
        <v>0.55155054259356673</v>
      </c>
      <c r="D1068" s="242">
        <v>117611.12038216561</v>
      </c>
      <c r="E1068" s="242">
        <v>1899571.58</v>
      </c>
      <c r="F1068" s="242">
        <v>2453000</v>
      </c>
      <c r="H1068" s="250">
        <f>SUM(J1068:L1068)</f>
        <v>-211470.20151057863</v>
      </c>
      <c r="I1068" s="241">
        <f>+H1068/$H$1076</f>
        <v>1.071205839729696</v>
      </c>
      <c r="J1068" s="242">
        <f>+D1068-D1057</f>
        <v>8033.518489421127</v>
      </c>
      <c r="K1068" s="849">
        <f>+E1068-E1057</f>
        <v>-240718.37999999989</v>
      </c>
      <c r="L1068" s="242">
        <f t="shared" ref="L1068:L1074" si="554">+F1068-F1057</f>
        <v>21214.660000000149</v>
      </c>
    </row>
    <row r="1069" spans="1:12" ht="15.5">
      <c r="A1069" s="180" t="s">
        <v>8</v>
      </c>
      <c r="B1069" s="250">
        <f t="shared" ref="B1069:B1074" si="555">SUM(D1069:F1069)</f>
        <v>0</v>
      </c>
      <c r="C1069" s="241">
        <f t="shared" ref="C1069:C1074" si="556">+B1069/$B$1076</f>
        <v>0</v>
      </c>
      <c r="D1069" s="242">
        <v>0</v>
      </c>
      <c r="E1069" s="242"/>
      <c r="F1069" s="242">
        <v>0</v>
      </c>
      <c r="H1069" s="250">
        <f t="shared" ref="H1069:H1074" si="557">SUM(J1069:L1069)</f>
        <v>0</v>
      </c>
      <c r="I1069" s="241">
        <f t="shared" ref="I1069:I1074" si="558">+H1069/$H$1076</f>
        <v>0</v>
      </c>
      <c r="J1069" s="242">
        <f t="shared" ref="J1069:J1074" si="559">+D1069-D1058</f>
        <v>0</v>
      </c>
      <c r="K1069" s="849">
        <f t="shared" ref="K1069:K1074" si="560">+E1069-E1058</f>
        <v>0</v>
      </c>
      <c r="L1069" s="242">
        <f t="shared" si="554"/>
        <v>0</v>
      </c>
    </row>
    <row r="1070" spans="1:12" ht="15.5">
      <c r="A1070" s="180" t="s">
        <v>9</v>
      </c>
      <c r="B1070" s="250">
        <f t="shared" si="555"/>
        <v>803629.24815286626</v>
      </c>
      <c r="C1070" s="241">
        <f t="shared" si="556"/>
        <v>9.9155264464890827E-2</v>
      </c>
      <c r="D1070" s="242">
        <v>803629.24815286626</v>
      </c>
      <c r="E1070" s="242"/>
      <c r="F1070" s="242"/>
      <c r="H1070" s="250">
        <f t="shared" si="557"/>
        <v>14056.974596188171</v>
      </c>
      <c r="I1070" s="241">
        <f t="shared" si="558"/>
        <v>-7.120583972969588E-2</v>
      </c>
      <c r="J1070" s="242">
        <f t="shared" si="559"/>
        <v>14056.974596188171</v>
      </c>
      <c r="K1070" s="849">
        <f t="shared" si="560"/>
        <v>0</v>
      </c>
      <c r="L1070" s="242">
        <f t="shared" si="554"/>
        <v>0</v>
      </c>
    </row>
    <row r="1071" spans="1:12" ht="15.5">
      <c r="A1071" s="180" t="s">
        <v>162</v>
      </c>
      <c r="B1071" s="250">
        <f t="shared" si="555"/>
        <v>0</v>
      </c>
      <c r="C1071" s="241">
        <f t="shared" si="556"/>
        <v>0</v>
      </c>
      <c r="D1071" s="242">
        <v>0</v>
      </c>
      <c r="E1071" s="242"/>
      <c r="F1071" s="242"/>
      <c r="H1071" s="250">
        <f t="shared" si="557"/>
        <v>0</v>
      </c>
      <c r="I1071" s="241">
        <f t="shared" si="558"/>
        <v>0</v>
      </c>
      <c r="J1071" s="242">
        <f t="shared" si="559"/>
        <v>0</v>
      </c>
      <c r="K1071" s="849">
        <f t="shared" si="560"/>
        <v>0</v>
      </c>
      <c r="L1071" s="242">
        <f t="shared" si="554"/>
        <v>0</v>
      </c>
    </row>
    <row r="1072" spans="1:12" ht="15.5">
      <c r="A1072" s="180" t="s">
        <v>11</v>
      </c>
      <c r="B1072" s="250">
        <f t="shared" si="555"/>
        <v>0</v>
      </c>
      <c r="C1072" s="241">
        <f t="shared" si="556"/>
        <v>0</v>
      </c>
      <c r="D1072" s="242">
        <v>0</v>
      </c>
      <c r="E1072" s="242"/>
      <c r="F1072" s="242"/>
      <c r="H1072" s="250">
        <f t="shared" si="557"/>
        <v>0</v>
      </c>
      <c r="I1072" s="241">
        <f t="shared" si="558"/>
        <v>0</v>
      </c>
      <c r="J1072" s="242">
        <f t="shared" si="559"/>
        <v>0</v>
      </c>
      <c r="K1072" s="849">
        <f t="shared" si="560"/>
        <v>0</v>
      </c>
      <c r="L1072" s="242">
        <f t="shared" si="554"/>
        <v>0</v>
      </c>
    </row>
    <row r="1073" spans="1:12" ht="15.5">
      <c r="A1073" s="180" t="s">
        <v>12</v>
      </c>
      <c r="B1073" s="250">
        <f t="shared" si="555"/>
        <v>95800</v>
      </c>
      <c r="C1073" s="241">
        <f t="shared" si="556"/>
        <v>1.1820219781161609E-2</v>
      </c>
      <c r="D1073" s="242">
        <v>95800</v>
      </c>
      <c r="E1073" s="242"/>
      <c r="F1073" s="242"/>
      <c r="H1073" s="250">
        <f t="shared" si="557"/>
        <v>0</v>
      </c>
      <c r="I1073" s="241">
        <f t="shared" si="558"/>
        <v>0</v>
      </c>
      <c r="J1073" s="242">
        <f t="shared" si="559"/>
        <v>0</v>
      </c>
      <c r="K1073" s="849">
        <f t="shared" si="560"/>
        <v>0</v>
      </c>
      <c r="L1073" s="242">
        <f t="shared" si="554"/>
        <v>0</v>
      </c>
    </row>
    <row r="1074" spans="1:12" ht="15.5">
      <c r="A1074" s="180" t="s">
        <v>13</v>
      </c>
      <c r="B1074" s="250">
        <f t="shared" si="555"/>
        <v>2735144.2889657775</v>
      </c>
      <c r="C1074" s="241">
        <f t="shared" si="556"/>
        <v>0.33747397316038086</v>
      </c>
      <c r="D1074" s="242">
        <v>2735144.2889657775</v>
      </c>
      <c r="E1074" s="242">
        <v>0</v>
      </c>
      <c r="F1074" s="242">
        <v>0</v>
      </c>
      <c r="H1074" s="250">
        <f t="shared" si="557"/>
        <v>0</v>
      </c>
      <c r="I1074" s="241">
        <f t="shared" si="558"/>
        <v>0</v>
      </c>
      <c r="J1074" s="242">
        <f t="shared" si="559"/>
        <v>0</v>
      </c>
      <c r="K1074" s="849">
        <f t="shared" si="560"/>
        <v>0</v>
      </c>
      <c r="L1074" s="242">
        <f t="shared" si="554"/>
        <v>0</v>
      </c>
    </row>
    <row r="1075" spans="1:12" ht="15.5">
      <c r="A1075" s="180"/>
      <c r="B1075" s="242">
        <v>0</v>
      </c>
      <c r="C1075" s="241">
        <v>0</v>
      </c>
      <c r="D1075" s="242"/>
      <c r="E1075" s="242"/>
      <c r="F1075" s="242"/>
      <c r="H1075" s="250"/>
      <c r="I1075" s="241">
        <f t="shared" ref="I1075" si="561">+H1075/$H$1076</f>
        <v>0</v>
      </c>
      <c r="J1075" s="242"/>
      <c r="K1075" s="242"/>
      <c r="L1075" s="242"/>
    </row>
    <row r="1076" spans="1:12" ht="15.5">
      <c r="A1076" s="180"/>
      <c r="B1076" s="243">
        <f>SUM(B1068:B1074)</f>
        <v>8104756.2375008091</v>
      </c>
      <c r="C1076" s="240">
        <f>SUM(C1068:C1075)</f>
        <v>1</v>
      </c>
      <c r="D1076" s="243">
        <f>SUM(D1068:D1074)</f>
        <v>3752184.6575008095</v>
      </c>
      <c r="E1076" s="243">
        <f t="shared" ref="E1076:F1076" si="562">SUM(E1068:E1074)</f>
        <v>1899571.58</v>
      </c>
      <c r="F1076" s="243">
        <f t="shared" si="562"/>
        <v>2453000</v>
      </c>
      <c r="G1076" s="32">
        <f>+B1076-B1065</f>
        <v>-197413.22691438999</v>
      </c>
      <c r="H1076" s="243">
        <f>SUM(H1068:H1075)</f>
        <v>-197413.22691439046</v>
      </c>
      <c r="I1076" s="240">
        <f>SUM(I1068:I1075)</f>
        <v>1</v>
      </c>
      <c r="J1076" s="243">
        <f>SUM(J1068:J1075)</f>
        <v>22090.493085609298</v>
      </c>
      <c r="K1076" s="243">
        <f>SUM(K1068:K1075)</f>
        <v>-240718.37999999989</v>
      </c>
      <c r="L1076" s="243">
        <f>SUM(L1068:L1075)</f>
        <v>21214.660000000149</v>
      </c>
    </row>
    <row r="1077" spans="1:12" ht="14.5" thickBot="1">
      <c r="H1077" s="254">
        <f>+A1078</f>
        <v>42853</v>
      </c>
      <c r="I1077" s="254"/>
      <c r="J1077" s="254">
        <f>+A1067</f>
        <v>42822</v>
      </c>
    </row>
    <row r="1078" spans="1:12" ht="16" thickBot="1">
      <c r="A1078" s="253">
        <v>42853</v>
      </c>
      <c r="B1078" s="251">
        <v>15.75</v>
      </c>
      <c r="C1078" s="238" t="s">
        <v>3</v>
      </c>
      <c r="D1078" s="238" t="s">
        <v>4</v>
      </c>
      <c r="E1078" s="238" t="s">
        <v>5</v>
      </c>
      <c r="F1078" s="238" t="s">
        <v>114</v>
      </c>
      <c r="H1078" s="251">
        <f>+B1078-B1067</f>
        <v>5.0000000000000711E-2</v>
      </c>
      <c r="I1078" s="238" t="s">
        <v>3</v>
      </c>
      <c r="J1078" s="238" t="s">
        <v>4</v>
      </c>
      <c r="K1078" s="238" t="s">
        <v>5</v>
      </c>
      <c r="L1078" s="238" t="s">
        <v>114</v>
      </c>
    </row>
    <row r="1079" spans="1:12" ht="15.5">
      <c r="A1079" s="180" t="s">
        <v>7</v>
      </c>
      <c r="B1079" s="250">
        <f>SUM(D1079:F1079)</f>
        <v>4575439.8963694265</v>
      </c>
      <c r="C1079" s="241">
        <f>+B1079/$B$1087</f>
        <v>0.55614787168289848</v>
      </c>
      <c r="D1079" s="242">
        <v>122614.40636942675</v>
      </c>
      <c r="E1079" s="242">
        <v>1977849.53</v>
      </c>
      <c r="F1079" s="242">
        <f>1601382.95+873593.01</f>
        <v>2474975.96</v>
      </c>
      <c r="H1079" s="250">
        <f>SUM(J1079:L1079)</f>
        <v>105257.19598726106</v>
      </c>
      <c r="I1079" s="241">
        <f>+H1079/$H$1087</f>
        <v>0.86089968965503472</v>
      </c>
      <c r="J1079" s="242">
        <f>+D1079-D1068</f>
        <v>5003.2859872611443</v>
      </c>
      <c r="K1079" s="849">
        <f>+E1079-E1068</f>
        <v>78277.949999999953</v>
      </c>
      <c r="L1079" s="242">
        <f>+F1079-F1068</f>
        <v>21975.959999999963</v>
      </c>
    </row>
    <row r="1080" spans="1:12" ht="15.5">
      <c r="A1080" s="180" t="s">
        <v>8</v>
      </c>
      <c r="B1080" s="250">
        <f t="shared" ref="B1080:B1085" si="563">SUM(D1080:F1080)</f>
        <v>0</v>
      </c>
      <c r="C1080" s="241">
        <f t="shared" ref="C1080:C1085" si="564">+B1080/$B$1087</f>
        <v>0</v>
      </c>
      <c r="D1080" s="242">
        <v>0</v>
      </c>
      <c r="E1080" s="242"/>
      <c r="F1080" s="242"/>
      <c r="H1080" s="250">
        <f t="shared" ref="H1080:H1085" si="565">SUM(J1080:L1080)</f>
        <v>0</v>
      </c>
      <c r="I1080" s="241">
        <f t="shared" ref="I1080:I1085" si="566">+H1080/$H$1087</f>
        <v>0</v>
      </c>
      <c r="J1080" s="242">
        <f t="shared" ref="J1080:J1085" si="567">+D1080-D1069</f>
        <v>0</v>
      </c>
      <c r="K1080" s="849">
        <f t="shared" ref="K1080:K1085" si="568">+E1080-E1069</f>
        <v>0</v>
      </c>
      <c r="L1080" s="242">
        <f>+F1080-F1069</f>
        <v>0</v>
      </c>
    </row>
    <row r="1081" spans="1:12" ht="15.5">
      <c r="A1081" s="180" t="s">
        <v>9</v>
      </c>
      <c r="B1081" s="250">
        <f t="shared" si="563"/>
        <v>835969.56708952307</v>
      </c>
      <c r="C1081" s="241">
        <f t="shared" si="564"/>
        <v>0.10161267682642375</v>
      </c>
      <c r="D1081" s="242">
        <v>835969.56708952307</v>
      </c>
      <c r="E1081" s="242"/>
      <c r="F1081" s="242"/>
      <c r="H1081" s="250">
        <f t="shared" si="565"/>
        <v>32340.318936656811</v>
      </c>
      <c r="I1081" s="241">
        <f t="shared" si="566"/>
        <v>0.26451180154259757</v>
      </c>
      <c r="J1081" s="242">
        <f t="shared" si="567"/>
        <v>32340.318936656811</v>
      </c>
      <c r="K1081" s="849">
        <f t="shared" si="568"/>
        <v>0</v>
      </c>
      <c r="L1081" s="242">
        <f t="shared" ref="L1081:L1085" si="569">+F1081-F1070</f>
        <v>0</v>
      </c>
    </row>
    <row r="1082" spans="1:12" ht="15.5">
      <c r="A1082" s="180" t="s">
        <v>162</v>
      </c>
      <c r="B1082" s="250">
        <f t="shared" si="563"/>
        <v>0</v>
      </c>
      <c r="C1082" s="241">
        <f t="shared" si="564"/>
        <v>0</v>
      </c>
      <c r="D1082" s="242">
        <v>0</v>
      </c>
      <c r="E1082" s="242"/>
      <c r="F1082" s="242"/>
      <c r="H1082" s="250">
        <f t="shared" si="565"/>
        <v>0</v>
      </c>
      <c r="I1082" s="241">
        <f t="shared" si="566"/>
        <v>0</v>
      </c>
      <c r="J1082" s="242">
        <f t="shared" si="567"/>
        <v>0</v>
      </c>
      <c r="K1082" s="849">
        <f t="shared" si="568"/>
        <v>0</v>
      </c>
      <c r="L1082" s="242">
        <f t="shared" si="569"/>
        <v>0</v>
      </c>
    </row>
    <row r="1083" spans="1:12" ht="15.5">
      <c r="A1083" s="180" t="s">
        <v>11</v>
      </c>
      <c r="B1083" s="250">
        <f t="shared" si="563"/>
        <v>0</v>
      </c>
      <c r="C1083" s="241">
        <f t="shared" si="564"/>
        <v>0</v>
      </c>
      <c r="D1083" s="242">
        <v>0</v>
      </c>
      <c r="E1083" s="242"/>
      <c r="F1083" s="242"/>
      <c r="H1083" s="250">
        <f t="shared" si="565"/>
        <v>0</v>
      </c>
      <c r="I1083" s="241">
        <f t="shared" si="566"/>
        <v>0</v>
      </c>
      <c r="J1083" s="242">
        <f t="shared" si="567"/>
        <v>0</v>
      </c>
      <c r="K1083" s="849">
        <f t="shared" si="568"/>
        <v>0</v>
      </c>
      <c r="L1083" s="242">
        <f t="shared" si="569"/>
        <v>0</v>
      </c>
    </row>
    <row r="1084" spans="1:12" ht="15.5">
      <c r="A1084" s="180" t="s">
        <v>12</v>
      </c>
      <c r="B1084" s="250">
        <f t="shared" si="563"/>
        <v>80466.666666666672</v>
      </c>
      <c r="C1084" s="241">
        <f t="shared" si="564"/>
        <v>9.7807787713687904E-3</v>
      </c>
      <c r="D1084" s="242">
        <v>80466.666666666672</v>
      </c>
      <c r="E1084" s="242"/>
      <c r="F1084" s="242"/>
      <c r="H1084" s="250">
        <f t="shared" si="565"/>
        <v>-15333.333333333328</v>
      </c>
      <c r="I1084" s="241">
        <f t="shared" si="566"/>
        <v>-0.12541149119763242</v>
      </c>
      <c r="J1084" s="242">
        <f t="shared" si="567"/>
        <v>-15333.333333333328</v>
      </c>
      <c r="K1084" s="849">
        <f t="shared" si="568"/>
        <v>0</v>
      </c>
      <c r="L1084" s="242">
        <f t="shared" si="569"/>
        <v>0</v>
      </c>
    </row>
    <row r="1085" spans="1:12" ht="15.5">
      <c r="A1085" s="180" t="s">
        <v>13</v>
      </c>
      <c r="B1085" s="250">
        <f t="shared" si="563"/>
        <v>2735144.2889657775</v>
      </c>
      <c r="C1085" s="241">
        <f t="shared" si="564"/>
        <v>0.3324586727193089</v>
      </c>
      <c r="D1085" s="242">
        <v>2735144.2889657775</v>
      </c>
      <c r="E1085" s="242">
        <v>0</v>
      </c>
      <c r="F1085" s="242">
        <v>0</v>
      </c>
      <c r="H1085" s="250">
        <f t="shared" si="565"/>
        <v>0</v>
      </c>
      <c r="I1085" s="241">
        <f t="shared" si="566"/>
        <v>0</v>
      </c>
      <c r="J1085" s="242">
        <f t="shared" si="567"/>
        <v>0</v>
      </c>
      <c r="K1085" s="849">
        <f t="shared" si="568"/>
        <v>0</v>
      </c>
      <c r="L1085" s="242">
        <f t="shared" si="569"/>
        <v>0</v>
      </c>
    </row>
    <row r="1086" spans="1:12" ht="15.5">
      <c r="A1086" s="180"/>
      <c r="B1086" s="242">
        <f>SUM(D1086:E1086)</f>
        <v>0</v>
      </c>
      <c r="C1086" s="241">
        <f t="shared" ref="C1086" si="570">+B1086/$B$12</f>
        <v>0</v>
      </c>
      <c r="D1086" s="242"/>
      <c r="E1086" s="242"/>
      <c r="F1086" s="242"/>
      <c r="H1086" s="250"/>
      <c r="I1086" s="241">
        <f t="shared" ref="I1086" si="571">+H1086/$H$1076</f>
        <v>0</v>
      </c>
      <c r="J1086" s="242"/>
      <c r="K1086" s="242"/>
      <c r="L1086" s="242"/>
    </row>
    <row r="1087" spans="1:12" ht="15.5">
      <c r="A1087" s="180"/>
      <c r="B1087" s="243">
        <f>SUM(B1079:B1086)</f>
        <v>8227020.4190913942</v>
      </c>
      <c r="C1087" s="240">
        <f>SUM(C1079:C1086)</f>
        <v>0.99999999999999978</v>
      </c>
      <c r="D1087" s="243">
        <f>SUM(D1079:D1086)</f>
        <v>3774194.9290913939</v>
      </c>
      <c r="E1087" s="243">
        <f>SUM(E1079:E1085)</f>
        <v>1977849.53</v>
      </c>
      <c r="F1087" s="243">
        <f>SUM(F1079:F1085)</f>
        <v>2474975.96</v>
      </c>
      <c r="G1087" s="32">
        <f>+B1087-B1076</f>
        <v>122264.18159058504</v>
      </c>
      <c r="H1087" s="243">
        <f>SUM(H1079:H1086)</f>
        <v>122264.18159058456</v>
      </c>
      <c r="I1087" s="240">
        <f>SUM(I1079:I1086)</f>
        <v>0.99999999999999989</v>
      </c>
      <c r="J1087" s="243">
        <f>SUM(J1079:J1086)</f>
        <v>22010.271590584627</v>
      </c>
      <c r="K1087" s="243">
        <f>SUM(K1079:K1086)</f>
        <v>78277.949999999953</v>
      </c>
      <c r="L1087" s="243">
        <f>SUM(L1079:L1086)</f>
        <v>21975.959999999963</v>
      </c>
    </row>
    <row r="1088" spans="1:12" ht="16" thickBot="1">
      <c r="A1088" s="180"/>
      <c r="B1088" s="334"/>
      <c r="C1088" s="335"/>
      <c r="D1088" s="334"/>
      <c r="E1088" s="334"/>
      <c r="F1088" s="334"/>
      <c r="H1088" s="254">
        <f>+A1089</f>
        <v>42883</v>
      </c>
      <c r="I1088" s="254"/>
      <c r="J1088" s="254">
        <f>+A1078</f>
        <v>42853</v>
      </c>
    </row>
    <row r="1089" spans="1:12" ht="16" thickBot="1">
      <c r="A1089" s="253">
        <v>42883</v>
      </c>
      <c r="B1089" s="251">
        <v>16.399999999999999</v>
      </c>
      <c r="C1089" s="238" t="s">
        <v>3</v>
      </c>
      <c r="D1089" s="238" t="s">
        <v>4</v>
      </c>
      <c r="E1089" s="238" t="s">
        <v>5</v>
      </c>
      <c r="F1089" s="238" t="s">
        <v>114</v>
      </c>
      <c r="H1089" s="251">
        <f>+B1089-B1078</f>
        <v>0.64999999999999858</v>
      </c>
      <c r="I1089" s="238" t="s">
        <v>3</v>
      </c>
      <c r="J1089" s="238" t="s">
        <v>4</v>
      </c>
      <c r="K1089" s="238" t="s">
        <v>5</v>
      </c>
      <c r="L1089" s="238" t="s">
        <v>114</v>
      </c>
    </row>
    <row r="1090" spans="1:12" ht="15.5">
      <c r="A1090" s="180" t="s">
        <v>7</v>
      </c>
      <c r="B1090" s="250">
        <f>SUM(D1090:F1090)</f>
        <v>4647116.7436585361</v>
      </c>
      <c r="C1090" s="241">
        <f>+B1090/$B$1098</f>
        <v>0.5596364871096362</v>
      </c>
      <c r="D1090" s="242">
        <v>127223.55365853659</v>
      </c>
      <c r="E1090" s="242">
        <v>2003345.34</v>
      </c>
      <c r="F1090" s="242">
        <f>2244381.03+272166.82</f>
        <v>2516547.8499999996</v>
      </c>
      <c r="H1090" s="250">
        <f>SUM(J1090:L1090)</f>
        <v>71676.847289109559</v>
      </c>
      <c r="I1090" s="241">
        <f>+H1090/$H$1098</f>
        <v>0.93338230370462738</v>
      </c>
      <c r="J1090" s="242">
        <f>+D1090-D1079</f>
        <v>4609.1472891098383</v>
      </c>
      <c r="K1090" s="849">
        <f>+E1090-E1079</f>
        <v>25495.810000000056</v>
      </c>
      <c r="L1090" s="242">
        <f>+F1090-F1079</f>
        <v>41571.889999999665</v>
      </c>
    </row>
    <row r="1091" spans="1:12" ht="15.5">
      <c r="A1091" s="180" t="s">
        <v>8</v>
      </c>
      <c r="B1091" s="250">
        <f t="shared" ref="B1091:B1096" si="572">SUM(D1091:F1091)</f>
        <v>0</v>
      </c>
      <c r="C1091" s="241">
        <f t="shared" ref="C1091:C1096" si="573">+B1091/$B$1098</f>
        <v>0</v>
      </c>
      <c r="D1091" s="242">
        <v>0</v>
      </c>
      <c r="E1091" s="242"/>
      <c r="F1091" s="242"/>
      <c r="H1091" s="250">
        <f t="shared" ref="H1091:H1096" si="574">SUM(J1091:L1091)</f>
        <v>0</v>
      </c>
      <c r="I1091" s="241">
        <f t="shared" ref="I1091:I1096" si="575">+H1091/$H$1098</f>
        <v>0</v>
      </c>
      <c r="J1091" s="242">
        <f t="shared" ref="J1091:J1096" si="576">+D1091-D1080</f>
        <v>0</v>
      </c>
      <c r="K1091" s="849">
        <f t="shared" ref="K1091:K1096" si="577">+E1091-E1080</f>
        <v>0</v>
      </c>
      <c r="L1091" s="242">
        <f>+F1091-F1080</f>
        <v>0</v>
      </c>
    </row>
    <row r="1092" spans="1:12" ht="15.5">
      <c r="A1092" s="180" t="s">
        <v>9</v>
      </c>
      <c r="B1092" s="250">
        <f t="shared" si="572"/>
        <v>841085.31272254372</v>
      </c>
      <c r="C1092" s="241">
        <f t="shared" si="573"/>
        <v>0.10128904775501391</v>
      </c>
      <c r="D1092" s="242">
        <v>841085.31272254372</v>
      </c>
      <c r="E1092" s="242"/>
      <c r="F1092" s="242"/>
      <c r="H1092" s="250">
        <f t="shared" si="574"/>
        <v>5115.7456330206478</v>
      </c>
      <c r="I1092" s="241">
        <f t="shared" si="575"/>
        <v>6.6617696295372578E-2</v>
      </c>
      <c r="J1092" s="242">
        <f t="shared" si="576"/>
        <v>5115.7456330206478</v>
      </c>
      <c r="K1092" s="849">
        <f t="shared" si="577"/>
        <v>0</v>
      </c>
      <c r="L1092" s="242">
        <f t="shared" ref="L1092:L1096" si="578">+F1092-F1081</f>
        <v>0</v>
      </c>
    </row>
    <row r="1093" spans="1:12" ht="15.5">
      <c r="A1093" s="180" t="s">
        <v>162</v>
      </c>
      <c r="B1093" s="250">
        <f t="shared" si="572"/>
        <v>0</v>
      </c>
      <c r="C1093" s="241">
        <f t="shared" si="573"/>
        <v>0</v>
      </c>
      <c r="D1093" s="242">
        <v>0</v>
      </c>
      <c r="E1093" s="242"/>
      <c r="F1093" s="242"/>
      <c r="H1093" s="250">
        <f t="shared" si="574"/>
        <v>0</v>
      </c>
      <c r="I1093" s="241">
        <f t="shared" si="575"/>
        <v>0</v>
      </c>
      <c r="J1093" s="242">
        <f t="shared" si="576"/>
        <v>0</v>
      </c>
      <c r="K1093" s="849">
        <f t="shared" si="577"/>
        <v>0</v>
      </c>
      <c r="L1093" s="242">
        <f t="shared" si="578"/>
        <v>0</v>
      </c>
    </row>
    <row r="1094" spans="1:12" ht="15.5">
      <c r="A1094" s="180" t="s">
        <v>11</v>
      </c>
      <c r="B1094" s="250">
        <f t="shared" si="572"/>
        <v>0</v>
      </c>
      <c r="C1094" s="241">
        <f t="shared" si="573"/>
        <v>0</v>
      </c>
      <c r="D1094" s="242">
        <v>0</v>
      </c>
      <c r="E1094" s="242"/>
      <c r="F1094" s="242"/>
      <c r="H1094" s="250">
        <f t="shared" si="574"/>
        <v>0</v>
      </c>
      <c r="I1094" s="241">
        <f t="shared" si="575"/>
        <v>0</v>
      </c>
      <c r="J1094" s="242">
        <f t="shared" si="576"/>
        <v>0</v>
      </c>
      <c r="K1094" s="849">
        <f t="shared" si="577"/>
        <v>0</v>
      </c>
      <c r="L1094" s="242">
        <f t="shared" si="578"/>
        <v>0</v>
      </c>
    </row>
    <row r="1095" spans="1:12" ht="15.5">
      <c r="A1095" s="180" t="s">
        <v>12</v>
      </c>
      <c r="B1095" s="250">
        <f t="shared" si="572"/>
        <v>80466.666666666672</v>
      </c>
      <c r="C1095" s="241">
        <f t="shared" si="573"/>
        <v>9.6903273893874636E-3</v>
      </c>
      <c r="D1095" s="242">
        <v>80466.666666666672</v>
      </c>
      <c r="E1095" s="242"/>
      <c r="F1095" s="242"/>
      <c r="H1095" s="250">
        <f t="shared" si="574"/>
        <v>0</v>
      </c>
      <c r="I1095" s="241">
        <f t="shared" si="575"/>
        <v>0</v>
      </c>
      <c r="J1095" s="242">
        <f t="shared" si="576"/>
        <v>0</v>
      </c>
      <c r="K1095" s="849">
        <f t="shared" si="577"/>
        <v>0</v>
      </c>
      <c r="L1095" s="242">
        <f t="shared" si="578"/>
        <v>0</v>
      </c>
    </row>
    <row r="1096" spans="1:12" ht="15.5">
      <c r="A1096" s="180" t="s">
        <v>13</v>
      </c>
      <c r="B1096" s="250">
        <f t="shared" si="572"/>
        <v>2735144.2889657775</v>
      </c>
      <c r="C1096" s="241">
        <f t="shared" si="573"/>
        <v>0.32938413774596237</v>
      </c>
      <c r="D1096" s="242">
        <v>2735144.2889657775</v>
      </c>
      <c r="E1096" s="242">
        <v>0</v>
      </c>
      <c r="F1096" s="242">
        <v>0</v>
      </c>
      <c r="H1096" s="250">
        <f t="shared" si="574"/>
        <v>0</v>
      </c>
      <c r="I1096" s="241">
        <f t="shared" si="575"/>
        <v>0</v>
      </c>
      <c r="J1096" s="242">
        <f t="shared" si="576"/>
        <v>0</v>
      </c>
      <c r="K1096" s="849">
        <f t="shared" si="577"/>
        <v>0</v>
      </c>
      <c r="L1096" s="242">
        <f t="shared" si="578"/>
        <v>0</v>
      </c>
    </row>
    <row r="1097" spans="1:12" ht="15.5">
      <c r="A1097" s="180"/>
      <c r="B1097" s="242">
        <v>0</v>
      </c>
      <c r="C1097" s="241">
        <v>0</v>
      </c>
      <c r="D1097" s="242"/>
      <c r="E1097" s="242"/>
      <c r="F1097" s="242"/>
      <c r="H1097" s="250"/>
      <c r="I1097" s="241">
        <f t="shared" ref="I1097" si="579">+H1097/$H$1076</f>
        <v>0</v>
      </c>
      <c r="J1097" s="242"/>
      <c r="K1097" s="242"/>
      <c r="L1097" s="242"/>
    </row>
    <row r="1098" spans="1:12" ht="15.5">
      <c r="A1098" s="180"/>
      <c r="B1098" s="243">
        <f>SUM(B1090:B1097)</f>
        <v>8303813.0120135248</v>
      </c>
      <c r="C1098" s="240">
        <f>SUM(C1090:C1097)</f>
        <v>1</v>
      </c>
      <c r="D1098" s="243">
        <f>SUM(D1090:D1097)</f>
        <v>3783919.8220135244</v>
      </c>
      <c r="E1098" s="243">
        <f>SUM(E1090:E1096)</f>
        <v>2003345.34</v>
      </c>
      <c r="F1098" s="243">
        <f>SUM(F1090:F1096)</f>
        <v>2516547.8499999996</v>
      </c>
      <c r="G1098" s="32">
        <f>+B1098-B1087</f>
        <v>76792.5929221306</v>
      </c>
      <c r="H1098" s="243">
        <f>SUM(H1090:H1097)</f>
        <v>76792.592922130207</v>
      </c>
      <c r="I1098" s="240">
        <f>SUM(I1090:I1097)</f>
        <v>1</v>
      </c>
      <c r="J1098" s="243">
        <f>SUM(J1090:J1097)</f>
        <v>9724.8929221304861</v>
      </c>
      <c r="K1098" s="243">
        <f>SUM(K1090:K1097)</f>
        <v>25495.810000000056</v>
      </c>
      <c r="L1098" s="243">
        <f>SUM(L1090:L1097)</f>
        <v>41571.889999999665</v>
      </c>
    </row>
    <row r="1099" spans="1:12" ht="14.5" thickBot="1">
      <c r="A1099" s="458" t="s">
        <v>170</v>
      </c>
      <c r="B1099" s="458"/>
      <c r="C1099" s="458"/>
      <c r="D1099" s="458"/>
      <c r="E1099" s="334"/>
      <c r="F1099" s="334"/>
      <c r="H1099" s="254">
        <f>+A1100</f>
        <v>42914</v>
      </c>
      <c r="I1099" s="254"/>
      <c r="J1099" s="254">
        <f>+A1089</f>
        <v>42883</v>
      </c>
      <c r="L1099" s="334"/>
    </row>
    <row r="1100" spans="1:12" ht="16" thickBot="1">
      <c r="A1100" s="253">
        <v>42914</v>
      </c>
      <c r="B1100" s="251">
        <v>16.399999999999999</v>
      </c>
      <c r="C1100" s="238" t="s">
        <v>3</v>
      </c>
      <c r="D1100" s="238" t="s">
        <v>4</v>
      </c>
      <c r="E1100" s="238" t="s">
        <v>5</v>
      </c>
      <c r="F1100" s="238" t="s">
        <v>6</v>
      </c>
      <c r="H1100" s="251">
        <f>+B1100-B1089</f>
        <v>0</v>
      </c>
      <c r="I1100" s="238" t="s">
        <v>3</v>
      </c>
      <c r="J1100" s="238" t="s">
        <v>4</v>
      </c>
      <c r="K1100" s="238" t="s">
        <v>5</v>
      </c>
      <c r="L1100" s="238" t="s">
        <v>114</v>
      </c>
    </row>
    <row r="1101" spans="1:12" ht="15.5">
      <c r="A1101" s="180" t="s">
        <v>7</v>
      </c>
      <c r="B1101" s="250">
        <f>SUM(D1101:F1101)</f>
        <v>4600961.992754491</v>
      </c>
      <c r="C1101" s="241">
        <f>+B1101/$B$1109</f>
        <v>0.55675879170378773</v>
      </c>
      <c r="D1101" s="242">
        <v>116538.62275449102</v>
      </c>
      <c r="E1101" s="242">
        <v>1973292.45</v>
      </c>
      <c r="F1101" s="242">
        <v>2511130.92</v>
      </c>
      <c r="H1101" s="250">
        <f>SUM(J1101:L1101)</f>
        <v>-46154.750904045402</v>
      </c>
      <c r="I1101" s="241">
        <f>+H1101/$H$1109</f>
        <v>1.154462081046095</v>
      </c>
      <c r="J1101" s="242">
        <f>+D1101-D1090</f>
        <v>-10684.93090404557</v>
      </c>
      <c r="K1101" s="849">
        <f>+E1101-E1090</f>
        <v>-30052.89000000013</v>
      </c>
      <c r="L1101" s="242">
        <f>+F1101-F1090</f>
        <v>-5416.929999999702</v>
      </c>
    </row>
    <row r="1102" spans="1:12" ht="15.5">
      <c r="A1102" s="180" t="s">
        <v>8</v>
      </c>
      <c r="B1102" s="242">
        <f t="shared" ref="B1102:B1107" si="580">SUM(D1102:F1102)</f>
        <v>0</v>
      </c>
      <c r="C1102" s="241">
        <f t="shared" ref="C1102:C1107" si="581">+B1102/$B$1109</f>
        <v>0</v>
      </c>
      <c r="D1102" s="242">
        <v>0</v>
      </c>
      <c r="E1102" s="242"/>
      <c r="F1102" s="242"/>
      <c r="G1102" s="32"/>
      <c r="H1102" s="250">
        <f t="shared" ref="H1102:H1107" si="582">SUM(J1102:L1102)</f>
        <v>0</v>
      </c>
      <c r="I1102" s="241">
        <f t="shared" ref="I1102:I1108" si="583">+H1102/$H$1109</f>
        <v>0</v>
      </c>
      <c r="J1102" s="242">
        <f t="shared" ref="J1102:J1107" si="584">+D1102-D1091</f>
        <v>0</v>
      </c>
      <c r="K1102" s="849">
        <f t="shared" ref="K1102:K1107" si="585">+E1102-E1091</f>
        <v>0</v>
      </c>
      <c r="L1102" s="242">
        <f>+F1102-F1091</f>
        <v>0</v>
      </c>
    </row>
    <row r="1103" spans="1:12" ht="15.5">
      <c r="A1103" s="180" t="s">
        <v>9</v>
      </c>
      <c r="B1103" s="242">
        <f t="shared" si="580"/>
        <v>847260.6206792529</v>
      </c>
      <c r="C1103" s="241">
        <f t="shared" si="581"/>
        <v>0.10252634126742138</v>
      </c>
      <c r="D1103" s="242">
        <v>847260.6206792529</v>
      </c>
      <c r="E1103" s="242"/>
      <c r="F1103" s="242"/>
      <c r="H1103" s="250">
        <f t="shared" si="582"/>
        <v>6175.3079567091772</v>
      </c>
      <c r="I1103" s="241">
        <f t="shared" si="583"/>
        <v>-0.15446208104609496</v>
      </c>
      <c r="J1103" s="242">
        <f t="shared" si="584"/>
        <v>6175.3079567091772</v>
      </c>
      <c r="K1103" s="849">
        <f t="shared" si="585"/>
        <v>0</v>
      </c>
      <c r="L1103" s="242">
        <f t="shared" ref="L1103:L1107" si="586">+F1103-F1092</f>
        <v>0</v>
      </c>
    </row>
    <row r="1104" spans="1:12" ht="15.5">
      <c r="A1104" s="180" t="s">
        <v>162</v>
      </c>
      <c r="B1104" s="242">
        <f t="shared" si="580"/>
        <v>0</v>
      </c>
      <c r="C1104" s="241">
        <f t="shared" si="581"/>
        <v>0</v>
      </c>
      <c r="D1104" s="242">
        <v>0</v>
      </c>
      <c r="E1104" s="242"/>
      <c r="F1104" s="242"/>
      <c r="H1104" s="250">
        <f t="shared" si="582"/>
        <v>0</v>
      </c>
      <c r="I1104" s="241">
        <f t="shared" si="583"/>
        <v>0</v>
      </c>
      <c r="J1104" s="242">
        <f t="shared" si="584"/>
        <v>0</v>
      </c>
      <c r="K1104" s="849">
        <f t="shared" si="585"/>
        <v>0</v>
      </c>
      <c r="L1104" s="242">
        <f t="shared" si="586"/>
        <v>0</v>
      </c>
    </row>
    <row r="1105" spans="1:12" ht="15.5">
      <c r="A1105" s="180" t="s">
        <v>11</v>
      </c>
      <c r="B1105" s="242">
        <f t="shared" si="580"/>
        <v>0</v>
      </c>
      <c r="C1105" s="241">
        <f t="shared" si="581"/>
        <v>0</v>
      </c>
      <c r="D1105" s="242">
        <v>0</v>
      </c>
      <c r="E1105" s="242"/>
      <c r="F1105" s="242"/>
      <c r="H1105" s="250">
        <f t="shared" si="582"/>
        <v>0</v>
      </c>
      <c r="I1105" s="241">
        <f t="shared" si="583"/>
        <v>0</v>
      </c>
      <c r="J1105" s="242">
        <f t="shared" si="584"/>
        <v>0</v>
      </c>
      <c r="K1105" s="849">
        <f t="shared" si="585"/>
        <v>0</v>
      </c>
      <c r="L1105" s="242">
        <f t="shared" si="586"/>
        <v>0</v>
      </c>
    </row>
    <row r="1106" spans="1:12" ht="15.5">
      <c r="A1106" s="180" t="s">
        <v>12</v>
      </c>
      <c r="B1106" s="242">
        <f t="shared" si="580"/>
        <v>80466.666666666672</v>
      </c>
      <c r="C1106" s="241">
        <f t="shared" si="581"/>
        <v>9.7372080396047212E-3</v>
      </c>
      <c r="D1106" s="242">
        <v>80466.666666666672</v>
      </c>
      <c r="E1106" s="242"/>
      <c r="F1106" s="242"/>
      <c r="H1106" s="250">
        <f t="shared" si="582"/>
        <v>0</v>
      </c>
      <c r="I1106" s="241">
        <f t="shared" si="583"/>
        <v>0</v>
      </c>
      <c r="J1106" s="242">
        <f t="shared" si="584"/>
        <v>0</v>
      </c>
      <c r="K1106" s="849">
        <f t="shared" si="585"/>
        <v>0</v>
      </c>
      <c r="L1106" s="242">
        <f t="shared" si="586"/>
        <v>0</v>
      </c>
    </row>
    <row r="1107" spans="1:12" ht="15.5">
      <c r="A1107" s="180" t="s">
        <v>13</v>
      </c>
      <c r="B1107" s="242">
        <f t="shared" si="580"/>
        <v>2735144.2889657775</v>
      </c>
      <c r="C1107" s="241">
        <f t="shared" si="581"/>
        <v>0.33097765898918607</v>
      </c>
      <c r="D1107" s="242">
        <v>2735144.2889657775</v>
      </c>
      <c r="E1107" s="242">
        <v>0</v>
      </c>
      <c r="F1107" s="242">
        <v>0</v>
      </c>
      <c r="H1107" s="250">
        <f t="shared" si="582"/>
        <v>0</v>
      </c>
      <c r="I1107" s="241">
        <f t="shared" si="583"/>
        <v>0</v>
      </c>
      <c r="J1107" s="242">
        <f t="shared" si="584"/>
        <v>0</v>
      </c>
      <c r="K1107" s="849">
        <f t="shared" si="585"/>
        <v>0</v>
      </c>
      <c r="L1107" s="242">
        <f t="shared" si="586"/>
        <v>0</v>
      </c>
    </row>
    <row r="1108" spans="1:12" ht="15.5">
      <c r="A1108" s="180"/>
      <c r="B1108" s="242">
        <f>SUM(D1108:E1108)</f>
        <v>0</v>
      </c>
      <c r="C1108" s="241">
        <f t="shared" ref="C1108" si="587">+B1108/$B$12</f>
        <v>0</v>
      </c>
      <c r="D1108" s="242"/>
      <c r="E1108" s="242"/>
      <c r="F1108" s="242"/>
      <c r="H1108" s="250"/>
      <c r="I1108" s="241">
        <f t="shared" si="583"/>
        <v>0</v>
      </c>
      <c r="J1108" s="242"/>
      <c r="K1108" s="242"/>
      <c r="L1108" s="242"/>
    </row>
    <row r="1109" spans="1:12" ht="15.5">
      <c r="A1109" s="180"/>
      <c r="B1109" s="243">
        <f>SUM(B1101:B1108)</f>
        <v>8263833.5690661883</v>
      </c>
      <c r="C1109" s="240">
        <f>SUM(C1101:C1108)</f>
        <v>0.99999999999999989</v>
      </c>
      <c r="D1109" s="243">
        <f>SUM(D1101:D1108)</f>
        <v>3779410.1990661882</v>
      </c>
      <c r="E1109" s="243">
        <f>SUM(E1101:E1107)</f>
        <v>1973292.45</v>
      </c>
      <c r="F1109" s="243">
        <f>SUM(F1101:F1107)</f>
        <v>2511130.92</v>
      </c>
      <c r="G1109" s="32">
        <f>+B1109-B1098</f>
        <v>-39979.442947336473</v>
      </c>
      <c r="H1109" s="243">
        <f>SUM(H1101:H1108)</f>
        <v>-39979.442947336225</v>
      </c>
      <c r="I1109" s="240">
        <f>SUM(I1101:I1108)</f>
        <v>1</v>
      </c>
      <c r="J1109" s="243">
        <f>SUM(J1101:J1108)</f>
        <v>-4509.6229473363928</v>
      </c>
      <c r="K1109" s="243">
        <f>SUM(K1101:K1108)</f>
        <v>-30052.89000000013</v>
      </c>
      <c r="L1109" s="243">
        <f>SUM(L1101:L1108)</f>
        <v>-5416.929999999702</v>
      </c>
    </row>
    <row r="1110" spans="1:12" ht="16" thickBot="1">
      <c r="A1110" s="180"/>
      <c r="B1110" s="334"/>
      <c r="C1110" s="335"/>
      <c r="D1110" s="334"/>
      <c r="E1110" s="334"/>
      <c r="F1110" s="334"/>
      <c r="H1110" s="254">
        <f>+A1111</f>
        <v>42944</v>
      </c>
      <c r="I1110" s="254"/>
      <c r="J1110" s="254">
        <f>+A1100</f>
        <v>42914</v>
      </c>
      <c r="L1110" s="334"/>
    </row>
    <row r="1111" spans="1:12" ht="16" thickBot="1">
      <c r="A1111" s="253">
        <v>42944</v>
      </c>
      <c r="B1111" s="251">
        <v>17.8</v>
      </c>
      <c r="C1111" s="238" t="s">
        <v>3</v>
      </c>
      <c r="D1111" s="238" t="s">
        <v>4</v>
      </c>
      <c r="E1111" s="238" t="s">
        <v>5</v>
      </c>
      <c r="F1111" s="238" t="s">
        <v>6</v>
      </c>
      <c r="H1111" s="251">
        <f>+B1111-B1100</f>
        <v>1.4000000000000021</v>
      </c>
      <c r="I1111" s="238" t="s">
        <v>3</v>
      </c>
      <c r="J1111" s="238" t="s">
        <v>4</v>
      </c>
      <c r="K1111" s="238" t="s">
        <v>5</v>
      </c>
      <c r="L1111" s="238" t="s">
        <v>114</v>
      </c>
    </row>
    <row r="1112" spans="1:12" ht="15.5">
      <c r="A1112" s="180" t="s">
        <v>7</v>
      </c>
      <c r="B1112" s="250">
        <f>SUM(D1112:F1112)</f>
        <v>4679978.1770786513</v>
      </c>
      <c r="C1112" s="241">
        <f>+B1112/$B$1120</f>
        <v>0.56153092999845233</v>
      </c>
      <c r="D1112" s="242">
        <v>109870.33707865168</v>
      </c>
      <c r="E1112" s="242">
        <v>2010666.21</v>
      </c>
      <c r="F1112" s="242">
        <v>2559441.63</v>
      </c>
      <c r="H1112" s="250">
        <f>SUM(J1112:L1112)</f>
        <v>79016.184324160626</v>
      </c>
      <c r="I1112" s="241">
        <f>+H1112/$H$1120</f>
        <v>1.121020728375693</v>
      </c>
      <c r="J1112" s="242">
        <f>+D1112-D1101</f>
        <v>-6668.2856758393464</v>
      </c>
      <c r="K1112" s="849">
        <f>+E1112-E1101</f>
        <v>37373.760000000009</v>
      </c>
      <c r="L1112" s="242">
        <f>+F1112-F1101</f>
        <v>48310.709999999963</v>
      </c>
    </row>
    <row r="1113" spans="1:12" ht="15.5">
      <c r="A1113" s="180" t="s">
        <v>8</v>
      </c>
      <c r="B1113" s="242">
        <f t="shared" ref="B1113:B1118" si="588">SUM(D1113:F1113)</f>
        <v>0</v>
      </c>
      <c r="C1113" s="241">
        <f t="shared" ref="C1113:C1118" si="589">+B1113/$B$1120</f>
        <v>0</v>
      </c>
      <c r="D1113" s="242">
        <v>0</v>
      </c>
      <c r="E1113" s="242"/>
      <c r="F1113" s="242"/>
      <c r="G1113" s="32"/>
      <c r="H1113" s="250">
        <f t="shared" ref="H1113:H1118" si="590">SUM(J1113:L1113)</f>
        <v>0</v>
      </c>
      <c r="I1113" s="241">
        <f t="shared" ref="I1113:I1118" si="591">+H1113/$H$1120</f>
        <v>0</v>
      </c>
      <c r="J1113" s="242">
        <f t="shared" ref="J1113:J1118" si="592">+D1113-D1102</f>
        <v>0</v>
      </c>
      <c r="K1113" s="849">
        <f t="shared" ref="K1113:K1118" si="593">+E1113-E1102</f>
        <v>0</v>
      </c>
      <c r="L1113" s="242">
        <f>+F1113-F1102</f>
        <v>0</v>
      </c>
    </row>
    <row r="1114" spans="1:12" ht="15.5">
      <c r="A1114" s="180" t="s">
        <v>9</v>
      </c>
      <c r="B1114" s="242">
        <f t="shared" si="588"/>
        <v>838730.36255081161</v>
      </c>
      <c r="C1114" s="241">
        <f t="shared" si="589"/>
        <v>0.10063573433051529</v>
      </c>
      <c r="D1114" s="242">
        <v>838730.36255081161</v>
      </c>
      <c r="E1114" s="242"/>
      <c r="F1114" s="242"/>
      <c r="H1114" s="250">
        <f t="shared" si="590"/>
        <v>-8530.2581284412881</v>
      </c>
      <c r="I1114" s="241">
        <f t="shared" si="591"/>
        <v>-0.12102072837569292</v>
      </c>
      <c r="J1114" s="242">
        <f t="shared" si="592"/>
        <v>-8530.2581284412881</v>
      </c>
      <c r="K1114" s="849">
        <f t="shared" si="593"/>
        <v>0</v>
      </c>
      <c r="L1114" s="242">
        <f t="shared" ref="L1114:L1118" si="594">+F1114-F1103</f>
        <v>0</v>
      </c>
    </row>
    <row r="1115" spans="1:12" ht="15.5">
      <c r="A1115" s="180" t="s">
        <v>162</v>
      </c>
      <c r="B1115" s="242">
        <f t="shared" si="588"/>
        <v>0</v>
      </c>
      <c r="C1115" s="241">
        <f t="shared" si="589"/>
        <v>0</v>
      </c>
      <c r="D1115" s="242">
        <v>0</v>
      </c>
      <c r="E1115" s="242"/>
      <c r="F1115" s="242"/>
      <c r="H1115" s="250">
        <f t="shared" si="590"/>
        <v>0</v>
      </c>
      <c r="I1115" s="241">
        <f t="shared" si="591"/>
        <v>0</v>
      </c>
      <c r="J1115" s="242">
        <f t="shared" si="592"/>
        <v>0</v>
      </c>
      <c r="K1115" s="849">
        <f t="shared" si="593"/>
        <v>0</v>
      </c>
      <c r="L1115" s="242">
        <f t="shared" si="594"/>
        <v>0</v>
      </c>
    </row>
    <row r="1116" spans="1:12" ht="15.5">
      <c r="A1116" s="180" t="s">
        <v>11</v>
      </c>
      <c r="B1116" s="242">
        <f t="shared" si="588"/>
        <v>0</v>
      </c>
      <c r="C1116" s="241">
        <f t="shared" si="589"/>
        <v>0</v>
      </c>
      <c r="D1116" s="242">
        <v>0</v>
      </c>
      <c r="E1116" s="242"/>
      <c r="F1116" s="242"/>
      <c r="H1116" s="250">
        <f t="shared" si="590"/>
        <v>0</v>
      </c>
      <c r="I1116" s="241">
        <f t="shared" si="591"/>
        <v>0</v>
      </c>
      <c r="J1116" s="242">
        <f t="shared" si="592"/>
        <v>0</v>
      </c>
      <c r="K1116" s="849">
        <f t="shared" si="593"/>
        <v>0</v>
      </c>
      <c r="L1116" s="242">
        <f t="shared" si="594"/>
        <v>0</v>
      </c>
    </row>
    <row r="1117" spans="1:12" ht="15.5">
      <c r="A1117" s="180" t="s">
        <v>12</v>
      </c>
      <c r="B1117" s="242">
        <f t="shared" si="588"/>
        <v>80466.666666666672</v>
      </c>
      <c r="C1117" s="241">
        <f t="shared" si="589"/>
        <v>9.6548574496588806E-3</v>
      </c>
      <c r="D1117" s="242">
        <v>80466.666666666672</v>
      </c>
      <c r="E1117" s="242"/>
      <c r="F1117" s="242"/>
      <c r="H1117" s="250">
        <f t="shared" si="590"/>
        <v>0</v>
      </c>
      <c r="I1117" s="241">
        <f t="shared" si="591"/>
        <v>0</v>
      </c>
      <c r="J1117" s="242">
        <f t="shared" si="592"/>
        <v>0</v>
      </c>
      <c r="K1117" s="849">
        <f t="shared" si="593"/>
        <v>0</v>
      </c>
      <c r="L1117" s="242">
        <f t="shared" si="594"/>
        <v>0</v>
      </c>
    </row>
    <row r="1118" spans="1:12" ht="15.5">
      <c r="A1118" s="180" t="s">
        <v>13</v>
      </c>
      <c r="B1118" s="242">
        <f t="shared" si="588"/>
        <v>2735144.2889657775</v>
      </c>
      <c r="C1118" s="241">
        <f t="shared" si="589"/>
        <v>0.32817847822137336</v>
      </c>
      <c r="D1118" s="242">
        <v>2735144.2889657775</v>
      </c>
      <c r="E1118" s="242">
        <v>0</v>
      </c>
      <c r="F1118" s="242">
        <v>0</v>
      </c>
      <c r="H1118" s="250">
        <f t="shared" si="590"/>
        <v>0</v>
      </c>
      <c r="I1118" s="241">
        <f t="shared" si="591"/>
        <v>0</v>
      </c>
      <c r="J1118" s="242">
        <f t="shared" si="592"/>
        <v>0</v>
      </c>
      <c r="K1118" s="849">
        <f t="shared" si="593"/>
        <v>0</v>
      </c>
      <c r="L1118" s="242">
        <f t="shared" si="594"/>
        <v>0</v>
      </c>
    </row>
    <row r="1119" spans="1:12" ht="15.5">
      <c r="A1119" s="180"/>
      <c r="B1119" s="242">
        <f>SUM(D1119:E1119)</f>
        <v>0</v>
      </c>
      <c r="C1119" s="241">
        <f t="shared" ref="C1119" si="595">+B1119/$B$12</f>
        <v>0</v>
      </c>
      <c r="D1119" s="242"/>
      <c r="E1119" s="242"/>
      <c r="F1119" s="242"/>
      <c r="H1119" s="250"/>
      <c r="I1119" s="241">
        <f t="shared" ref="I1119" si="596">+H1119/$H$1109</f>
        <v>0</v>
      </c>
      <c r="J1119" s="242"/>
      <c r="K1119" s="242"/>
      <c r="L1119" s="242"/>
    </row>
    <row r="1120" spans="1:12" ht="15.5">
      <c r="A1120" s="180"/>
      <c r="B1120" s="243">
        <f>SUM(B1112:B1119)</f>
        <v>8334319.4952619076</v>
      </c>
      <c r="C1120" s="240">
        <f>SUM(C1112:C1119)</f>
        <v>0.99999999999999989</v>
      </c>
      <c r="D1120" s="243">
        <f>SUM(D1112:D1119)</f>
        <v>3764211.6552619073</v>
      </c>
      <c r="E1120" s="243">
        <f>SUM(E1112:E1118)</f>
        <v>2010666.21</v>
      </c>
      <c r="F1120" s="243">
        <f>SUM(F1112:F1118)</f>
        <v>2559441.63</v>
      </c>
      <c r="G1120" s="32">
        <f>+B1120-B1109</f>
        <v>70485.926195719279</v>
      </c>
      <c r="H1120" s="243">
        <f>SUM(H1112:H1119)</f>
        <v>70485.926195719338</v>
      </c>
      <c r="I1120" s="240">
        <f>SUM(I1112:I1119)</f>
        <v>1</v>
      </c>
      <c r="J1120" s="243">
        <f>SUM(J1112:J1119)</f>
        <v>-15198.543804280635</v>
      </c>
      <c r="K1120" s="243">
        <f>SUM(K1112:K1119)</f>
        <v>37373.760000000009</v>
      </c>
      <c r="L1120" s="243">
        <f>SUM(L1112:L1119)</f>
        <v>48310.709999999963</v>
      </c>
    </row>
    <row r="1121" spans="1:12" ht="16" thickBot="1">
      <c r="A1121" s="180"/>
      <c r="B1121" s="334"/>
      <c r="C1121" s="335"/>
      <c r="D1121" s="334"/>
      <c r="E1121" s="334"/>
      <c r="F1121" s="334"/>
      <c r="H1121" s="254">
        <f>+A1122</f>
        <v>42975</v>
      </c>
      <c r="I1121" s="254"/>
      <c r="J1121" s="254">
        <f>+A1111</f>
        <v>42944</v>
      </c>
      <c r="L1121" s="334"/>
    </row>
    <row r="1122" spans="1:12" ht="16" thickBot="1">
      <c r="A1122" s="253">
        <v>42975</v>
      </c>
      <c r="B1122" s="251">
        <v>17.63</v>
      </c>
      <c r="C1122" s="238" t="s">
        <v>3</v>
      </c>
      <c r="D1122" s="238" t="s">
        <v>4</v>
      </c>
      <c r="E1122" s="238" t="s">
        <v>5</v>
      </c>
      <c r="F1122" s="238" t="s">
        <v>6</v>
      </c>
      <c r="H1122" s="251">
        <f>+B1122-B1111</f>
        <v>-0.17000000000000171</v>
      </c>
      <c r="I1122" s="238" t="s">
        <v>3</v>
      </c>
      <c r="J1122" s="238" t="s">
        <v>4</v>
      </c>
      <c r="K1122" s="238" t="s">
        <v>5</v>
      </c>
      <c r="L1122" s="238" t="s">
        <v>114</v>
      </c>
    </row>
    <row r="1123" spans="1:12" ht="15.5">
      <c r="A1123" s="180" t="s">
        <v>7</v>
      </c>
      <c r="B1123" s="250">
        <f>SUM(D1123:F1123)</f>
        <v>4809684.5955757238</v>
      </c>
      <c r="C1123" s="241">
        <f>+B1123/$B$1131</f>
        <v>0.56564761751233972</v>
      </c>
      <c r="D1123" s="242">
        <v>116781.5955757232</v>
      </c>
      <c r="E1123" s="242">
        <v>2103455.31</v>
      </c>
      <c r="F1123" s="242">
        <v>2589447.69</v>
      </c>
      <c r="H1123" s="250">
        <f>SUM(J1123:L1123)</f>
        <v>129706.41849707167</v>
      </c>
      <c r="I1123" s="241">
        <f>+H1123/$H$1131</f>
        <v>0.76908510277507769</v>
      </c>
      <c r="J1123" s="242">
        <f>+D1123-D1112</f>
        <v>6911.2584970715252</v>
      </c>
      <c r="K1123" s="849">
        <f>+E1123-E1112</f>
        <v>92789.100000000093</v>
      </c>
      <c r="L1123" s="242">
        <f>+F1123-F1112</f>
        <v>30006.060000000056</v>
      </c>
    </row>
    <row r="1124" spans="1:12" ht="15.5">
      <c r="A1124" s="180" t="s">
        <v>8</v>
      </c>
      <c r="B1124" s="242">
        <f t="shared" ref="B1124:B1129" si="597">SUM(D1124:F1124)</f>
        <v>0</v>
      </c>
      <c r="C1124" s="241">
        <f t="shared" ref="C1124:C1129" si="598">+B1124/$B$1131</f>
        <v>0</v>
      </c>
      <c r="D1124" s="242">
        <v>0</v>
      </c>
      <c r="E1124" s="242"/>
      <c r="F1124" s="242"/>
      <c r="G1124" s="32"/>
      <c r="H1124" s="250">
        <f t="shared" ref="H1124:H1129" si="599">SUM(J1124:L1124)</f>
        <v>0</v>
      </c>
      <c r="I1124" s="241">
        <f t="shared" ref="I1124:I1129" si="600">+H1124/$H$1131</f>
        <v>0</v>
      </c>
      <c r="J1124" s="242">
        <f t="shared" ref="J1124:J1129" si="601">+D1124-D1113</f>
        <v>0</v>
      </c>
      <c r="K1124" s="849">
        <f t="shared" ref="K1124:K1129" si="602">+E1124-E1113</f>
        <v>0</v>
      </c>
      <c r="L1124" s="242">
        <f>+F1124-F1113</f>
        <v>0</v>
      </c>
    </row>
    <row r="1125" spans="1:12" ht="15.5">
      <c r="A1125" s="180" t="s">
        <v>9</v>
      </c>
      <c r="B1125" s="242">
        <f t="shared" si="597"/>
        <v>877674.2247951742</v>
      </c>
      <c r="C1125" s="241">
        <f t="shared" si="598"/>
        <v>0.10321972768527329</v>
      </c>
      <c r="D1125" s="242">
        <v>877674.2247951742</v>
      </c>
      <c r="E1125" s="242"/>
      <c r="F1125" s="242"/>
      <c r="H1125" s="250">
        <f t="shared" si="599"/>
        <v>38943.862244362594</v>
      </c>
      <c r="I1125" s="241">
        <f t="shared" si="600"/>
        <v>0.23091489722492237</v>
      </c>
      <c r="J1125" s="242">
        <f t="shared" si="601"/>
        <v>38943.862244362594</v>
      </c>
      <c r="K1125" s="849">
        <f t="shared" si="602"/>
        <v>0</v>
      </c>
      <c r="L1125" s="242">
        <f t="shared" ref="L1125:L1129" si="603">+F1125-F1114</f>
        <v>0</v>
      </c>
    </row>
    <row r="1126" spans="1:12" ht="15.5">
      <c r="A1126" s="180" t="s">
        <v>162</v>
      </c>
      <c r="B1126" s="242">
        <f t="shared" si="597"/>
        <v>0</v>
      </c>
      <c r="C1126" s="241">
        <f t="shared" si="598"/>
        <v>0</v>
      </c>
      <c r="D1126" s="242">
        <v>0</v>
      </c>
      <c r="E1126" s="242"/>
      <c r="F1126" s="242"/>
      <c r="H1126" s="250">
        <f t="shared" si="599"/>
        <v>0</v>
      </c>
      <c r="I1126" s="241">
        <f t="shared" si="600"/>
        <v>0</v>
      </c>
      <c r="J1126" s="242">
        <f t="shared" si="601"/>
        <v>0</v>
      </c>
      <c r="K1126" s="849">
        <f t="shared" si="602"/>
        <v>0</v>
      </c>
      <c r="L1126" s="242">
        <f t="shared" si="603"/>
        <v>0</v>
      </c>
    </row>
    <row r="1127" spans="1:12" ht="15.5">
      <c r="A1127" s="180" t="s">
        <v>11</v>
      </c>
      <c r="B1127" s="242">
        <f t="shared" si="597"/>
        <v>0</v>
      </c>
      <c r="C1127" s="241">
        <f t="shared" si="598"/>
        <v>0</v>
      </c>
      <c r="D1127" s="242">
        <v>0</v>
      </c>
      <c r="E1127" s="242"/>
      <c r="F1127" s="242"/>
      <c r="H1127" s="250">
        <f t="shared" si="599"/>
        <v>0</v>
      </c>
      <c r="I1127" s="241">
        <f t="shared" si="600"/>
        <v>0</v>
      </c>
      <c r="J1127" s="242">
        <f t="shared" si="601"/>
        <v>0</v>
      </c>
      <c r="K1127" s="849">
        <f t="shared" si="602"/>
        <v>0</v>
      </c>
      <c r="L1127" s="242">
        <f t="shared" si="603"/>
        <v>0</v>
      </c>
    </row>
    <row r="1128" spans="1:12" ht="15.5">
      <c r="A1128" s="180" t="s">
        <v>12</v>
      </c>
      <c r="B1128" s="242">
        <f t="shared" si="597"/>
        <v>80466.666666666672</v>
      </c>
      <c r="C1128" s="241">
        <f t="shared" si="598"/>
        <v>9.463360306625538E-3</v>
      </c>
      <c r="D1128" s="242">
        <v>80466.666666666672</v>
      </c>
      <c r="E1128" s="242"/>
      <c r="F1128" s="242"/>
      <c r="H1128" s="250">
        <f t="shared" si="599"/>
        <v>0</v>
      </c>
      <c r="I1128" s="241">
        <f t="shared" si="600"/>
        <v>0</v>
      </c>
      <c r="J1128" s="242">
        <f t="shared" si="601"/>
        <v>0</v>
      </c>
      <c r="K1128" s="849">
        <f t="shared" si="602"/>
        <v>0</v>
      </c>
      <c r="L1128" s="242">
        <f t="shared" si="603"/>
        <v>0</v>
      </c>
    </row>
    <row r="1129" spans="1:12" ht="15.5">
      <c r="A1129" s="180" t="s">
        <v>13</v>
      </c>
      <c r="B1129" s="242">
        <f t="shared" si="597"/>
        <v>2735144.2889657775</v>
      </c>
      <c r="C1129" s="241">
        <f t="shared" si="598"/>
        <v>0.32166929449576143</v>
      </c>
      <c r="D1129" s="242">
        <v>2735144.2889657775</v>
      </c>
      <c r="E1129" s="242">
        <v>0</v>
      </c>
      <c r="F1129" s="242">
        <v>0</v>
      </c>
      <c r="H1129" s="250">
        <f t="shared" si="599"/>
        <v>0</v>
      </c>
      <c r="I1129" s="241">
        <f t="shared" si="600"/>
        <v>0</v>
      </c>
      <c r="J1129" s="242">
        <f t="shared" si="601"/>
        <v>0</v>
      </c>
      <c r="K1129" s="849">
        <f t="shared" si="602"/>
        <v>0</v>
      </c>
      <c r="L1129" s="242">
        <f t="shared" si="603"/>
        <v>0</v>
      </c>
    </row>
    <row r="1130" spans="1:12" ht="15.5">
      <c r="A1130" s="180"/>
      <c r="B1130" s="242">
        <f>SUM(D1130:E1130)</f>
        <v>0</v>
      </c>
      <c r="C1130" s="241">
        <f t="shared" ref="C1130" si="604">+B1130/$B$12</f>
        <v>0</v>
      </c>
      <c r="D1130" s="242"/>
      <c r="E1130" s="242"/>
      <c r="F1130" s="242"/>
      <c r="H1130" s="250"/>
      <c r="I1130" s="241">
        <f t="shared" ref="I1130" si="605">+H1130/$H$1109</f>
        <v>0</v>
      </c>
      <c r="J1130" s="242"/>
      <c r="K1130" s="242"/>
      <c r="L1130" s="242"/>
    </row>
    <row r="1131" spans="1:12" ht="15.5">
      <c r="A1131" s="180"/>
      <c r="B1131" s="243">
        <f>SUM(B1123:B1130)</f>
        <v>8502969.7760033421</v>
      </c>
      <c r="C1131" s="240">
        <f>SUM(C1123:C1130)</f>
        <v>1</v>
      </c>
      <c r="D1131" s="243">
        <f>SUM(D1123:D1130)</f>
        <v>3810066.7760033417</v>
      </c>
      <c r="E1131" s="243">
        <f>SUM(E1123:E1129)</f>
        <v>2103455.31</v>
      </c>
      <c r="F1131" s="243">
        <f>SUM(F1123:F1129)</f>
        <v>2589447.69</v>
      </c>
      <c r="G1131" s="32">
        <f>+B1131-B1120</f>
        <v>168650.28074143454</v>
      </c>
      <c r="H1131" s="243">
        <f>SUM(H1123:H1130)</f>
        <v>168650.28074143425</v>
      </c>
      <c r="I1131" s="240">
        <f>SUM(I1123:I1130)</f>
        <v>1</v>
      </c>
      <c r="J1131" s="243">
        <f>SUM(J1123:J1130)</f>
        <v>45855.120741434119</v>
      </c>
      <c r="K1131" s="243">
        <f>SUM(K1123:K1130)</f>
        <v>92789.100000000093</v>
      </c>
      <c r="L1131" s="243">
        <f>SUM(L1123:L1130)</f>
        <v>30006.060000000056</v>
      </c>
    </row>
    <row r="1132" spans="1:12" ht="14.5" thickBot="1">
      <c r="A1132" s="458" t="s">
        <v>171</v>
      </c>
      <c r="B1132" s="458"/>
      <c r="C1132" s="458"/>
      <c r="D1132" s="334"/>
      <c r="E1132" s="334"/>
      <c r="F1132" s="334"/>
      <c r="H1132" s="254">
        <f>+A1133</f>
        <v>43006</v>
      </c>
      <c r="I1132" s="254"/>
      <c r="J1132" s="254">
        <f>+A1122</f>
        <v>42975</v>
      </c>
      <c r="L1132" s="334"/>
    </row>
    <row r="1133" spans="1:12" ht="16" thickBot="1">
      <c r="A1133" s="253">
        <v>43006</v>
      </c>
      <c r="B1133" s="251">
        <v>17.63</v>
      </c>
      <c r="C1133" s="238" t="s">
        <v>3</v>
      </c>
      <c r="D1133" s="238" t="s">
        <v>4</v>
      </c>
      <c r="E1133" s="238" t="s">
        <v>5</v>
      </c>
      <c r="F1133" s="238" t="s">
        <v>6</v>
      </c>
      <c r="G1133" s="32"/>
      <c r="H1133" s="251">
        <f>+B1133-B1122</f>
        <v>0</v>
      </c>
      <c r="I1133" s="238" t="s">
        <v>3</v>
      </c>
      <c r="J1133" s="238" t="s">
        <v>4</v>
      </c>
      <c r="K1133" s="238" t="s">
        <v>5</v>
      </c>
      <c r="L1133" s="238" t="s">
        <v>114</v>
      </c>
    </row>
    <row r="1134" spans="1:12" ht="15.5">
      <c r="A1134" s="180" t="s">
        <v>7</v>
      </c>
      <c r="B1134" s="250">
        <f>SUM(D1134:F1134)</f>
        <v>4881512.4641576856</v>
      </c>
      <c r="C1134" s="241">
        <f t="shared" ref="C1134:C1141" si="606">+B1134/$B$12</f>
        <v>0.42406087075372612</v>
      </c>
      <c r="D1134" s="242">
        <v>123668.09415768577</v>
      </c>
      <c r="E1134" s="242">
        <v>2835203.25</v>
      </c>
      <c r="F1134" s="242">
        <v>1922641.12</v>
      </c>
      <c r="G1134" s="32"/>
      <c r="H1134" s="250">
        <f>SUM(J1134:L1134)</f>
        <v>71827.868581962655</v>
      </c>
      <c r="I1134" s="241">
        <f>+H1134/$H$1131</f>
        <v>0.42589830426719166</v>
      </c>
      <c r="J1134" s="242">
        <f>+D1134-D1123</f>
        <v>6886.4985819625726</v>
      </c>
      <c r="K1134" s="849">
        <f>+E1134-E1123</f>
        <v>731747.94</v>
      </c>
      <c r="L1134" s="242">
        <f>+F1134-F1123</f>
        <v>-666806.56999999983</v>
      </c>
    </row>
    <row r="1135" spans="1:12" ht="15.5">
      <c r="A1135" s="180" t="s">
        <v>8</v>
      </c>
      <c r="B1135" s="242">
        <f>SUM(D1135:F1135)</f>
        <v>0</v>
      </c>
      <c r="C1135" s="241">
        <f t="shared" si="606"/>
        <v>0</v>
      </c>
      <c r="D1135" s="242">
        <v>0</v>
      </c>
      <c r="F1135" s="242"/>
      <c r="G1135" s="32"/>
      <c r="H1135" s="250">
        <f t="shared" ref="H1135:H1140" si="607">SUM(J1135:L1135)</f>
        <v>0</v>
      </c>
      <c r="I1135" s="241">
        <f t="shared" ref="I1135:I1140" si="608">+H1135/$H$1131</f>
        <v>0</v>
      </c>
      <c r="J1135" s="242">
        <f t="shared" ref="J1135:J1140" si="609">+D1135-D1124</f>
        <v>0</v>
      </c>
      <c r="K1135" s="849">
        <f t="shared" ref="K1135:K1140" si="610">+E1135-E1124</f>
        <v>0</v>
      </c>
      <c r="L1135" s="242">
        <f>+F1135-F1124</f>
        <v>0</v>
      </c>
    </row>
    <row r="1136" spans="1:12" ht="15.5">
      <c r="A1136" s="180" t="s">
        <v>9</v>
      </c>
      <c r="B1136" s="242">
        <f t="shared" ref="B1136:B1140" si="611">SUM(D1136:F1136)</f>
        <v>888023.55709615361</v>
      </c>
      <c r="C1136" s="241">
        <f t="shared" si="606"/>
        <v>7.714331278205494E-2</v>
      </c>
      <c r="D1136" s="242">
        <v>888023.55709615361</v>
      </c>
      <c r="E1136" s="242"/>
      <c r="F1136" s="242"/>
      <c r="G1136" s="32"/>
      <c r="H1136" s="250">
        <f t="shared" si="607"/>
        <v>10349.332300979411</v>
      </c>
      <c r="I1136" s="241">
        <f t="shared" si="608"/>
        <v>6.1365639330577003E-2</v>
      </c>
      <c r="J1136" s="242">
        <f t="shared" si="609"/>
        <v>10349.332300979411</v>
      </c>
      <c r="K1136" s="849">
        <f t="shared" si="610"/>
        <v>0</v>
      </c>
      <c r="L1136" s="242">
        <f t="shared" ref="L1136:L1140" si="612">+F1136-F1125</f>
        <v>0</v>
      </c>
    </row>
    <row r="1137" spans="1:12" ht="15.5">
      <c r="A1137" s="180" t="s">
        <v>162</v>
      </c>
      <c r="B1137" s="242">
        <f t="shared" si="611"/>
        <v>0</v>
      </c>
      <c r="C1137" s="241">
        <f t="shared" si="606"/>
        <v>0</v>
      </c>
      <c r="D1137" s="242">
        <v>0</v>
      </c>
      <c r="E1137" s="242"/>
      <c r="F1137" s="242"/>
      <c r="G1137" s="32"/>
      <c r="H1137" s="250">
        <f t="shared" si="607"/>
        <v>0</v>
      </c>
      <c r="I1137" s="241">
        <f t="shared" si="608"/>
        <v>0</v>
      </c>
      <c r="J1137" s="242">
        <f t="shared" si="609"/>
        <v>0</v>
      </c>
      <c r="K1137" s="849">
        <f t="shared" si="610"/>
        <v>0</v>
      </c>
      <c r="L1137" s="242">
        <f t="shared" si="612"/>
        <v>0</v>
      </c>
    </row>
    <row r="1138" spans="1:12" ht="15.5">
      <c r="A1138" s="180" t="s">
        <v>11</v>
      </c>
      <c r="B1138" s="242">
        <f t="shared" si="611"/>
        <v>0</v>
      </c>
      <c r="C1138" s="241">
        <f t="shared" si="606"/>
        <v>0</v>
      </c>
      <c r="D1138" s="242">
        <v>0</v>
      </c>
      <c r="E1138" s="242"/>
      <c r="F1138" s="242"/>
      <c r="G1138" s="32"/>
      <c r="H1138" s="250">
        <f t="shared" si="607"/>
        <v>0</v>
      </c>
      <c r="I1138" s="241">
        <f t="shared" si="608"/>
        <v>0</v>
      </c>
      <c r="J1138" s="242">
        <f t="shared" si="609"/>
        <v>0</v>
      </c>
      <c r="K1138" s="849">
        <f t="shared" si="610"/>
        <v>0</v>
      </c>
      <c r="L1138" s="242">
        <f t="shared" si="612"/>
        <v>0</v>
      </c>
    </row>
    <row r="1139" spans="1:12" ht="15.5">
      <c r="A1139" s="180" t="s">
        <v>12</v>
      </c>
      <c r="B1139" s="242">
        <f t="shared" si="611"/>
        <v>80466.666666666672</v>
      </c>
      <c r="C1139" s="241">
        <f t="shared" si="606"/>
        <v>6.9902033404322045E-3</v>
      </c>
      <c r="D1139" s="242">
        <v>80466.666666666672</v>
      </c>
      <c r="E1139" s="242"/>
      <c r="F1139" s="242"/>
      <c r="G1139" s="32"/>
      <c r="H1139" s="250">
        <f t="shared" si="607"/>
        <v>0</v>
      </c>
      <c r="I1139" s="241">
        <f t="shared" si="608"/>
        <v>0</v>
      </c>
      <c r="J1139" s="242">
        <f t="shared" si="609"/>
        <v>0</v>
      </c>
      <c r="K1139" s="849">
        <f t="shared" si="610"/>
        <v>0</v>
      </c>
      <c r="L1139" s="242">
        <f t="shared" si="612"/>
        <v>0</v>
      </c>
    </row>
    <row r="1140" spans="1:12" ht="15.5">
      <c r="A1140" s="180" t="s">
        <v>13</v>
      </c>
      <c r="B1140" s="242">
        <f t="shared" si="611"/>
        <v>2735144.2889657775</v>
      </c>
      <c r="C1140" s="241">
        <f t="shared" si="606"/>
        <v>0.23760416004920434</v>
      </c>
      <c r="D1140" s="242">
        <v>2735144.2889657775</v>
      </c>
      <c r="E1140" s="242">
        <v>0</v>
      </c>
      <c r="F1140" s="242">
        <v>0</v>
      </c>
      <c r="G1140" s="32"/>
      <c r="H1140" s="250">
        <f t="shared" si="607"/>
        <v>0</v>
      </c>
      <c r="I1140" s="241">
        <f t="shared" si="608"/>
        <v>0</v>
      </c>
      <c r="J1140" s="242">
        <f t="shared" si="609"/>
        <v>0</v>
      </c>
      <c r="K1140" s="849">
        <f t="shared" si="610"/>
        <v>0</v>
      </c>
      <c r="L1140" s="242">
        <f t="shared" si="612"/>
        <v>0</v>
      </c>
    </row>
    <row r="1141" spans="1:12" ht="15.5">
      <c r="A1141" s="180"/>
      <c r="B1141" s="242">
        <f>SUM(D1141:E1141)</f>
        <v>0</v>
      </c>
      <c r="C1141" s="241">
        <f t="shared" si="606"/>
        <v>0</v>
      </c>
      <c r="D1141" s="242"/>
      <c r="E1141" s="242"/>
      <c r="F1141" s="242"/>
      <c r="G1141" s="32"/>
      <c r="H1141" s="250"/>
      <c r="I1141" s="241">
        <f t="shared" ref="I1141" si="613">+H1141/$H$1109</f>
        <v>0</v>
      </c>
      <c r="J1141" s="242"/>
      <c r="K1141" s="242"/>
      <c r="L1141" s="242"/>
    </row>
    <row r="1142" spans="1:12" ht="15.5">
      <c r="A1142" s="180"/>
      <c r="B1142" s="243">
        <f>SUM(B1134:B1141)</f>
        <v>8585146.9768862836</v>
      </c>
      <c r="C1142" s="240">
        <f>SUM(C1134:C1141)</f>
        <v>0.74579854692541758</v>
      </c>
      <c r="D1142" s="243">
        <f>SUM(D1134:D1141)</f>
        <v>3827302.6068862835</v>
      </c>
      <c r="E1142" s="243">
        <f>SUM(E1134:E1140)</f>
        <v>2835203.25</v>
      </c>
      <c r="F1142" s="243">
        <f>SUM(F1134:F1140)</f>
        <v>1922641.12</v>
      </c>
      <c r="G1142" s="32">
        <f>+B1142-B1131</f>
        <v>82177.200882941484</v>
      </c>
      <c r="H1142" s="243">
        <f>SUM(H1134:H1141)</f>
        <v>82177.200882942067</v>
      </c>
      <c r="I1142" s="240">
        <f>SUM(I1134:I1141)</f>
        <v>0.48726394359776865</v>
      </c>
      <c r="J1142" s="243">
        <f>SUM(J1134:J1141)</f>
        <v>17235.830882941984</v>
      </c>
      <c r="K1142" s="243">
        <f>SUM(K1134:K1141)</f>
        <v>731747.94</v>
      </c>
      <c r="L1142" s="243">
        <f>SUM(L1134:L1141)</f>
        <v>-666806.56999999983</v>
      </c>
    </row>
    <row r="1143" spans="1:12" ht="14.5" thickBot="1">
      <c r="B1143" s="334"/>
      <c r="C1143" s="335"/>
      <c r="D1143" s="334"/>
      <c r="E1143" s="334"/>
      <c r="F1143" s="334"/>
      <c r="H1143" s="254">
        <f>+A1144</f>
        <v>43036</v>
      </c>
      <c r="I1143" s="254"/>
      <c r="J1143" s="254">
        <f>+A1133</f>
        <v>43006</v>
      </c>
      <c r="L1143" s="334"/>
    </row>
    <row r="1144" spans="1:12" ht="16" thickBot="1">
      <c r="A1144" s="253">
        <v>43036</v>
      </c>
      <c r="B1144" s="251">
        <v>17.899999999999999</v>
      </c>
      <c r="C1144" s="238" t="s">
        <v>3</v>
      </c>
      <c r="D1144" s="238" t="s">
        <v>4</v>
      </c>
      <c r="E1144" s="238" t="s">
        <v>5</v>
      </c>
      <c r="F1144" s="238" t="s">
        <v>6</v>
      </c>
      <c r="G1144" s="32"/>
      <c r="H1144" s="251">
        <f>+B1144-B1133</f>
        <v>0.26999999999999957</v>
      </c>
      <c r="I1144" s="238" t="s">
        <v>3</v>
      </c>
      <c r="J1144" s="238" t="s">
        <v>4</v>
      </c>
      <c r="K1144" s="238" t="s">
        <v>5</v>
      </c>
      <c r="L1144" s="238" t="s">
        <v>114</v>
      </c>
    </row>
    <row r="1145" spans="1:12" ht="15.5">
      <c r="A1145" s="180" t="s">
        <v>7</v>
      </c>
      <c r="B1145" s="250">
        <f>SUM(D1145:F1145)</f>
        <v>5008059.0846067416</v>
      </c>
      <c r="C1145" s="241">
        <f t="shared" ref="C1145:C1152" si="614">+B1145/$B$12</f>
        <v>0.43505407633347004</v>
      </c>
      <c r="D1145" s="242">
        <v>131090.56460674157</v>
      </c>
      <c r="E1145" s="242">
        <v>2886700.37</v>
      </c>
      <c r="F1145" s="242">
        <v>1990268.15</v>
      </c>
      <c r="G1145" s="32"/>
      <c r="H1145" s="250">
        <f>SUM(J1145:L1145)</f>
        <v>126546.6204490557</v>
      </c>
      <c r="I1145" s="241">
        <f>+H1145/$H$1131</f>
        <v>0.75034930207480843</v>
      </c>
      <c r="J1145" s="242">
        <f>+D1145-D1134</f>
        <v>7422.4704490557924</v>
      </c>
      <c r="K1145" s="849">
        <f>+E1145-E1134</f>
        <v>51497.120000000112</v>
      </c>
      <c r="L1145" s="242">
        <f>+F1145-F1134</f>
        <v>67627.029999999795</v>
      </c>
    </row>
    <row r="1146" spans="1:12" ht="15.5">
      <c r="A1146" s="180" t="s">
        <v>8</v>
      </c>
      <c r="B1146" s="242">
        <f>SUM(D1146:F1146)</f>
        <v>0</v>
      </c>
      <c r="C1146" s="241">
        <f t="shared" si="614"/>
        <v>0</v>
      </c>
      <c r="D1146" s="242">
        <v>0</v>
      </c>
      <c r="F1146" s="242"/>
      <c r="G1146" s="32"/>
      <c r="H1146" s="250">
        <f t="shared" ref="H1146:H1151" si="615">SUM(J1146:L1146)</f>
        <v>0</v>
      </c>
      <c r="I1146" s="241">
        <f t="shared" ref="I1146:I1151" si="616">+H1146/$H$1131</f>
        <v>0</v>
      </c>
      <c r="J1146" s="242">
        <f t="shared" ref="J1146:J1151" si="617">+D1146-D1135</f>
        <v>0</v>
      </c>
      <c r="K1146" s="849">
        <f t="shared" ref="K1146:K1151" si="618">+E1146-E1135</f>
        <v>0</v>
      </c>
      <c r="L1146" s="242">
        <f>+F1146-F1135</f>
        <v>0</v>
      </c>
    </row>
    <row r="1147" spans="1:12" ht="15.5">
      <c r="A1147" s="180" t="s">
        <v>9</v>
      </c>
      <c r="B1147" s="242">
        <f t="shared" ref="B1147:B1151" si="619">SUM(D1147:F1147)</f>
        <v>898911.80862135312</v>
      </c>
      <c r="C1147" s="241">
        <f t="shared" si="614"/>
        <v>7.8089183853093658E-2</v>
      </c>
      <c r="D1147" s="242">
        <v>898911.80862135312</v>
      </c>
      <c r="E1147" s="242"/>
      <c r="F1147" s="242"/>
      <c r="G1147" s="32"/>
      <c r="H1147" s="250">
        <f t="shared" si="615"/>
        <v>10888.251525199506</v>
      </c>
      <c r="I1147" s="241">
        <f t="shared" si="616"/>
        <v>6.4561123037161147E-2</v>
      </c>
      <c r="J1147" s="242">
        <f t="shared" si="617"/>
        <v>10888.251525199506</v>
      </c>
      <c r="K1147" s="849">
        <f t="shared" si="618"/>
        <v>0</v>
      </c>
      <c r="L1147" s="242">
        <f t="shared" ref="L1147:L1151" si="620">+F1147-F1136</f>
        <v>0</v>
      </c>
    </row>
    <row r="1148" spans="1:12" ht="15.5">
      <c r="A1148" s="180" t="s">
        <v>162</v>
      </c>
      <c r="B1148" s="242">
        <f t="shared" si="619"/>
        <v>0</v>
      </c>
      <c r="C1148" s="241">
        <f t="shared" si="614"/>
        <v>0</v>
      </c>
      <c r="D1148" s="242">
        <v>0</v>
      </c>
      <c r="E1148" s="242"/>
      <c r="F1148" s="242"/>
      <c r="G1148" s="32"/>
      <c r="H1148" s="250">
        <f t="shared" si="615"/>
        <v>0</v>
      </c>
      <c r="I1148" s="241">
        <f t="shared" si="616"/>
        <v>0</v>
      </c>
      <c r="J1148" s="242">
        <f t="shared" si="617"/>
        <v>0</v>
      </c>
      <c r="K1148" s="849">
        <f t="shared" si="618"/>
        <v>0</v>
      </c>
      <c r="L1148" s="242">
        <f t="shared" si="620"/>
        <v>0</v>
      </c>
    </row>
    <row r="1149" spans="1:12" ht="15.5">
      <c r="A1149" s="180" t="s">
        <v>11</v>
      </c>
      <c r="B1149" s="242">
        <f t="shared" si="619"/>
        <v>0</v>
      </c>
      <c r="C1149" s="241">
        <f t="shared" si="614"/>
        <v>0</v>
      </c>
      <c r="D1149" s="242">
        <v>0</v>
      </c>
      <c r="E1149" s="242"/>
      <c r="F1149" s="242"/>
      <c r="G1149" s="32"/>
      <c r="H1149" s="250">
        <f t="shared" si="615"/>
        <v>0</v>
      </c>
      <c r="I1149" s="241">
        <f t="shared" si="616"/>
        <v>0</v>
      </c>
      <c r="J1149" s="242">
        <f t="shared" si="617"/>
        <v>0</v>
      </c>
      <c r="K1149" s="849">
        <f t="shared" si="618"/>
        <v>0</v>
      </c>
      <c r="L1149" s="242">
        <f t="shared" si="620"/>
        <v>0</v>
      </c>
    </row>
    <row r="1150" spans="1:12" ht="15.5">
      <c r="A1150" s="180" t="s">
        <v>12</v>
      </c>
      <c r="B1150" s="242">
        <f t="shared" si="619"/>
        <v>80466.666666666672</v>
      </c>
      <c r="C1150" s="241">
        <f t="shared" si="614"/>
        <v>6.9902033404322045E-3</v>
      </c>
      <c r="D1150" s="242">
        <v>80466.666666666672</v>
      </c>
      <c r="E1150" s="242"/>
      <c r="F1150" s="242"/>
      <c r="G1150" s="32"/>
      <c r="H1150" s="250">
        <f t="shared" si="615"/>
        <v>0</v>
      </c>
      <c r="I1150" s="241">
        <f t="shared" si="616"/>
        <v>0</v>
      </c>
      <c r="J1150" s="242">
        <f t="shared" si="617"/>
        <v>0</v>
      </c>
      <c r="K1150" s="849">
        <f t="shared" si="618"/>
        <v>0</v>
      </c>
      <c r="L1150" s="242">
        <f t="shared" si="620"/>
        <v>0</v>
      </c>
    </row>
    <row r="1151" spans="1:12" ht="15.5">
      <c r="A1151" s="180" t="s">
        <v>13</v>
      </c>
      <c r="B1151" s="242">
        <f t="shared" si="619"/>
        <v>2735144.2889657775</v>
      </c>
      <c r="C1151" s="241">
        <f t="shared" si="614"/>
        <v>0.23760416004920434</v>
      </c>
      <c r="D1151" s="242">
        <v>2735144.2889657775</v>
      </c>
      <c r="E1151" s="242">
        <v>0</v>
      </c>
      <c r="F1151" s="242">
        <v>0</v>
      </c>
      <c r="G1151" s="32"/>
      <c r="H1151" s="250">
        <f t="shared" si="615"/>
        <v>0</v>
      </c>
      <c r="I1151" s="241">
        <f t="shared" si="616"/>
        <v>0</v>
      </c>
      <c r="J1151" s="242">
        <f t="shared" si="617"/>
        <v>0</v>
      </c>
      <c r="K1151" s="849">
        <f t="shared" si="618"/>
        <v>0</v>
      </c>
      <c r="L1151" s="242">
        <f t="shared" si="620"/>
        <v>0</v>
      </c>
    </row>
    <row r="1152" spans="1:12" ht="15.5">
      <c r="A1152" s="180"/>
      <c r="B1152" s="242">
        <f>SUM(D1152:E1152)</f>
        <v>0</v>
      </c>
      <c r="C1152" s="241">
        <f t="shared" si="614"/>
        <v>0</v>
      </c>
      <c r="D1152" s="242"/>
      <c r="E1152" s="242"/>
      <c r="F1152" s="242"/>
      <c r="G1152" s="32"/>
      <c r="H1152" s="250"/>
      <c r="I1152" s="241">
        <f t="shared" ref="I1152" si="621">+H1152/$H$1109</f>
        <v>0</v>
      </c>
      <c r="J1152" s="242"/>
      <c r="K1152" s="242"/>
      <c r="L1152" s="242"/>
    </row>
    <row r="1153" spans="1:12" ht="15.5">
      <c r="A1153" s="180"/>
      <c r="B1153" s="243">
        <f>SUM(B1145:B1152)</f>
        <v>8722581.8488605395</v>
      </c>
      <c r="C1153" s="240">
        <f>SUM(C1145:C1152)</f>
        <v>0.75773762357620034</v>
      </c>
      <c r="D1153" s="243">
        <f>SUM(D1145:D1152)</f>
        <v>3845613.328860539</v>
      </c>
      <c r="E1153" s="243">
        <f>SUM(E1145:E1151)</f>
        <v>2886700.37</v>
      </c>
      <c r="F1153" s="243">
        <f>SUM(F1145:F1151)</f>
        <v>1990268.15</v>
      </c>
      <c r="G1153" s="32">
        <f>+B1153-B1142</f>
        <v>137434.87197425589</v>
      </c>
      <c r="H1153" s="243">
        <f>SUM(H1145:H1152)</f>
        <v>137434.87197425519</v>
      </c>
      <c r="I1153" s="240">
        <f>SUM(I1145:I1152)</f>
        <v>0.81491042511196954</v>
      </c>
      <c r="J1153" s="243">
        <f>SUM(J1145:J1152)</f>
        <v>18310.721974255299</v>
      </c>
      <c r="K1153" s="243">
        <f>SUM(K1145:K1152)</f>
        <v>51497.120000000112</v>
      </c>
      <c r="L1153" s="243">
        <f>SUM(L1145:L1152)</f>
        <v>67627.029999999795</v>
      </c>
    </row>
    <row r="1154" spans="1:12" ht="16" thickBot="1">
      <c r="A1154" s="180"/>
      <c r="B1154" s="334"/>
      <c r="C1154" s="335"/>
      <c r="D1154" s="334"/>
      <c r="E1154" s="334"/>
      <c r="F1154" s="334"/>
      <c r="H1154" s="254">
        <f>+A1155</f>
        <v>43067</v>
      </c>
      <c r="I1154" s="254"/>
      <c r="J1154" s="254">
        <f>+A1144</f>
        <v>43036</v>
      </c>
      <c r="L1154" s="334"/>
    </row>
    <row r="1155" spans="1:12" ht="16" thickBot="1">
      <c r="A1155" s="253">
        <v>43067</v>
      </c>
      <c r="B1155" s="251">
        <v>17.649999999999999</v>
      </c>
      <c r="C1155" s="238" t="s">
        <v>3</v>
      </c>
      <c r="D1155" s="238" t="s">
        <v>4</v>
      </c>
      <c r="E1155" s="238" t="s">
        <v>5</v>
      </c>
      <c r="F1155" s="238" t="s">
        <v>6</v>
      </c>
      <c r="G1155" s="32"/>
      <c r="H1155" s="251">
        <f>+B1155-B1144</f>
        <v>-0.25</v>
      </c>
      <c r="I1155" s="238" t="s">
        <v>3</v>
      </c>
      <c r="J1155" s="238" t="s">
        <v>4</v>
      </c>
      <c r="K1155" s="238" t="s">
        <v>5</v>
      </c>
      <c r="L1155" s="238" t="s">
        <v>114</v>
      </c>
    </row>
    <row r="1156" spans="1:12" ht="15.5">
      <c r="A1156" s="180" t="s">
        <v>7</v>
      </c>
      <c r="B1156" s="250">
        <f>SUM(D1156:F1156)</f>
        <v>5046000.9687818699</v>
      </c>
      <c r="C1156" s="241">
        <f>+B1156/$B$1164</f>
        <v>0.57498402652384117</v>
      </c>
      <c r="D1156" s="242">
        <v>123833.1087818697</v>
      </c>
      <c r="E1156" s="242">
        <v>2893191.64</v>
      </c>
      <c r="F1156" s="242">
        <v>2028976.22</v>
      </c>
      <c r="G1156" s="32"/>
      <c r="H1156" s="250">
        <f>SUM(J1156:L1156)</f>
        <v>37941.884175128216</v>
      </c>
      <c r="I1156" s="241">
        <f>+H1156/$H$1164</f>
        <v>0.71164422843798492</v>
      </c>
      <c r="J1156" s="242">
        <f>+D1156-D1145</f>
        <v>-7257.4558248718677</v>
      </c>
      <c r="K1156" s="849">
        <f>+E1156-E1145</f>
        <v>6491.2700000000186</v>
      </c>
      <c r="L1156" s="242">
        <f>+F1156-F1145</f>
        <v>38708.070000000065</v>
      </c>
    </row>
    <row r="1157" spans="1:12" ht="15.5">
      <c r="A1157" s="180" t="s">
        <v>8</v>
      </c>
      <c r="B1157" s="242">
        <f>SUM(D1157:F1157)</f>
        <v>0</v>
      </c>
      <c r="C1157" s="241">
        <f t="shared" ref="C1157:C1162" si="622">+B1157/$B$1164</f>
        <v>0</v>
      </c>
      <c r="D1157" s="242">
        <v>0</v>
      </c>
      <c r="F1157" s="242"/>
      <c r="G1157" s="32"/>
      <c r="H1157" s="250">
        <f t="shared" ref="H1157:H1162" si="623">SUM(J1157:L1157)</f>
        <v>0</v>
      </c>
      <c r="I1157" s="241">
        <f t="shared" ref="I1157:I1162" si="624">+H1157/$H$1164</f>
        <v>0</v>
      </c>
      <c r="J1157" s="242">
        <f t="shared" ref="J1157:J1162" si="625">+D1157-D1146</f>
        <v>0</v>
      </c>
      <c r="K1157" s="849">
        <f t="shared" ref="K1157:K1162" si="626">+E1157-E1146</f>
        <v>0</v>
      </c>
      <c r="L1157" s="242">
        <f>+F1157-F1146</f>
        <v>0</v>
      </c>
    </row>
    <row r="1158" spans="1:12" ht="15.5">
      <c r="A1158" s="180" t="s">
        <v>9</v>
      </c>
      <c r="B1158" s="242">
        <f t="shared" ref="B1158:B1162" si="627">SUM(D1158:F1158)</f>
        <v>914285.72840968613</v>
      </c>
      <c r="C1158" s="241">
        <f t="shared" si="622"/>
        <v>0.10418144839183234</v>
      </c>
      <c r="D1158" s="242">
        <v>914285.72840968613</v>
      </c>
      <c r="E1158" s="242"/>
      <c r="F1158" s="242"/>
      <c r="G1158" s="32"/>
      <c r="H1158" s="250">
        <f t="shared" si="623"/>
        <v>15373.919788333005</v>
      </c>
      <c r="I1158" s="241">
        <f t="shared" si="624"/>
        <v>0.28835577156201514</v>
      </c>
      <c r="J1158" s="242">
        <f t="shared" si="625"/>
        <v>15373.919788333005</v>
      </c>
      <c r="K1158" s="849">
        <f t="shared" si="626"/>
        <v>0</v>
      </c>
      <c r="L1158" s="242">
        <f t="shared" ref="L1158:L1162" si="628">+F1158-F1147</f>
        <v>0</v>
      </c>
    </row>
    <row r="1159" spans="1:12" ht="15.5">
      <c r="A1159" s="180" t="s">
        <v>162</v>
      </c>
      <c r="B1159" s="242">
        <f t="shared" si="627"/>
        <v>0</v>
      </c>
      <c r="C1159" s="241">
        <f t="shared" si="622"/>
        <v>0</v>
      </c>
      <c r="D1159" s="242">
        <v>0</v>
      </c>
      <c r="E1159" s="242"/>
      <c r="F1159" s="242"/>
      <c r="G1159" s="32"/>
      <c r="H1159" s="250">
        <f t="shared" si="623"/>
        <v>0</v>
      </c>
      <c r="I1159" s="241">
        <f t="shared" si="624"/>
        <v>0</v>
      </c>
      <c r="J1159" s="242">
        <f t="shared" si="625"/>
        <v>0</v>
      </c>
      <c r="K1159" s="849">
        <f t="shared" si="626"/>
        <v>0</v>
      </c>
      <c r="L1159" s="242">
        <f t="shared" si="628"/>
        <v>0</v>
      </c>
    </row>
    <row r="1160" spans="1:12" ht="15.5">
      <c r="A1160" s="180" t="s">
        <v>11</v>
      </c>
      <c r="B1160" s="242">
        <f t="shared" si="627"/>
        <v>0</v>
      </c>
      <c r="C1160" s="241">
        <f t="shared" si="622"/>
        <v>0</v>
      </c>
      <c r="D1160" s="242">
        <v>0</v>
      </c>
      <c r="E1160" s="242"/>
      <c r="F1160" s="242"/>
      <c r="G1160" s="32"/>
      <c r="H1160" s="250">
        <f t="shared" si="623"/>
        <v>0</v>
      </c>
      <c r="I1160" s="241">
        <f t="shared" si="624"/>
        <v>0</v>
      </c>
      <c r="J1160" s="242">
        <f t="shared" si="625"/>
        <v>0</v>
      </c>
      <c r="K1160" s="849">
        <f t="shared" si="626"/>
        <v>0</v>
      </c>
      <c r="L1160" s="242">
        <f t="shared" si="628"/>
        <v>0</v>
      </c>
    </row>
    <row r="1161" spans="1:12" ht="15.5">
      <c r="A1161" s="180" t="s">
        <v>12</v>
      </c>
      <c r="B1161" s="242">
        <f t="shared" si="627"/>
        <v>80466.666666666672</v>
      </c>
      <c r="C1161" s="241">
        <f t="shared" si="622"/>
        <v>9.1690525402576082E-3</v>
      </c>
      <c r="D1161" s="242">
        <v>80466.666666666672</v>
      </c>
      <c r="E1161" s="242"/>
      <c r="F1161" s="242"/>
      <c r="G1161" s="32"/>
      <c r="H1161" s="250">
        <f t="shared" si="623"/>
        <v>0</v>
      </c>
      <c r="I1161" s="241">
        <f t="shared" si="624"/>
        <v>0</v>
      </c>
      <c r="J1161" s="242">
        <f t="shared" si="625"/>
        <v>0</v>
      </c>
      <c r="K1161" s="849">
        <f t="shared" si="626"/>
        <v>0</v>
      </c>
      <c r="L1161" s="242">
        <f t="shared" si="628"/>
        <v>0</v>
      </c>
    </row>
    <row r="1162" spans="1:12" ht="15.5">
      <c r="A1162" s="180" t="s">
        <v>13</v>
      </c>
      <c r="B1162" s="242">
        <f t="shared" si="627"/>
        <v>2735144.2889657775</v>
      </c>
      <c r="C1162" s="241">
        <f t="shared" si="622"/>
        <v>0.31166547254406896</v>
      </c>
      <c r="D1162" s="242">
        <v>2735144.2889657775</v>
      </c>
      <c r="E1162" s="242">
        <v>0</v>
      </c>
      <c r="F1162" s="242">
        <v>0</v>
      </c>
      <c r="G1162" s="32"/>
      <c r="H1162" s="250">
        <f t="shared" si="623"/>
        <v>0</v>
      </c>
      <c r="I1162" s="241">
        <f t="shared" si="624"/>
        <v>0</v>
      </c>
      <c r="J1162" s="242">
        <f t="shared" si="625"/>
        <v>0</v>
      </c>
      <c r="K1162" s="849">
        <f t="shared" si="626"/>
        <v>0</v>
      </c>
      <c r="L1162" s="242">
        <f t="shared" si="628"/>
        <v>0</v>
      </c>
    </row>
    <row r="1163" spans="1:12" ht="15.5">
      <c r="A1163" s="180"/>
      <c r="B1163" s="242">
        <f>SUM(D1163:E1163)</f>
        <v>0</v>
      </c>
      <c r="C1163" s="241">
        <f t="shared" ref="C1163" si="629">+B1163/$B$12</f>
        <v>0</v>
      </c>
      <c r="D1163" s="242"/>
      <c r="E1163" s="242"/>
      <c r="F1163" s="242"/>
      <c r="G1163" s="32"/>
      <c r="H1163" s="250"/>
      <c r="I1163" s="241">
        <f t="shared" ref="I1163" si="630">+H1163/$H$1109</f>
        <v>0</v>
      </c>
      <c r="J1163" s="242"/>
      <c r="K1163" s="242"/>
      <c r="L1163" s="242"/>
    </row>
    <row r="1164" spans="1:12" ht="15.5">
      <c r="A1164" s="180"/>
      <c r="B1164" s="243">
        <f>SUM(B1156:B1163)</f>
        <v>8775897.6528239995</v>
      </c>
      <c r="C1164" s="240">
        <f>SUM(C1156:C1163)</f>
        <v>1</v>
      </c>
      <c r="D1164" s="243">
        <f>SUM(D1156:D1163)</f>
        <v>3853729.7928240001</v>
      </c>
      <c r="E1164" s="243">
        <f>SUM(E1156:E1162)</f>
        <v>2893191.64</v>
      </c>
      <c r="F1164" s="243">
        <f>SUM(F1156:F1162)</f>
        <v>2028976.22</v>
      </c>
      <c r="G1164" s="32">
        <f>+B1164-B1153</f>
        <v>53315.803963460028</v>
      </c>
      <c r="H1164" s="243">
        <f>SUM(H1156:H1163)</f>
        <v>53315.803963461221</v>
      </c>
      <c r="I1164" s="240">
        <f>SUM(I1156:I1163)</f>
        <v>1</v>
      </c>
      <c r="J1164" s="243">
        <f>SUM(J1156:J1163)</f>
        <v>8116.4639634611376</v>
      </c>
      <c r="K1164" s="243">
        <f>SUM(K1156:K1163)</f>
        <v>6491.2700000000186</v>
      </c>
      <c r="L1164" s="243">
        <f>SUM(L1156:L1163)</f>
        <v>38708.070000000065</v>
      </c>
    </row>
    <row r="1165" spans="1:12" ht="16" thickBot="1">
      <c r="A1165" s="180"/>
      <c r="B1165" s="334"/>
      <c r="C1165" s="335"/>
      <c r="D1165" s="334"/>
      <c r="E1165" s="334"/>
      <c r="F1165" s="334"/>
      <c r="H1165" s="254">
        <f>+A1166</f>
        <v>43097</v>
      </c>
      <c r="I1165" s="254"/>
      <c r="J1165" s="254">
        <f>+A1155</f>
        <v>43067</v>
      </c>
      <c r="L1165" s="334"/>
    </row>
    <row r="1166" spans="1:12" ht="16" thickBot="1">
      <c r="A1166" s="253">
        <v>43097</v>
      </c>
      <c r="B1166" s="251">
        <v>19.45</v>
      </c>
      <c r="C1166" s="238" t="s">
        <v>3</v>
      </c>
      <c r="D1166" s="238" t="s">
        <v>4</v>
      </c>
      <c r="E1166" s="238" t="s">
        <v>5</v>
      </c>
      <c r="F1166" s="238" t="s">
        <v>6</v>
      </c>
      <c r="G1166" s="32"/>
      <c r="H1166" s="251">
        <f>+B1166-B1155</f>
        <v>1.8000000000000007</v>
      </c>
      <c r="I1166" s="238" t="s">
        <v>3</v>
      </c>
      <c r="J1166" s="238" t="s">
        <v>4</v>
      </c>
      <c r="K1166" s="238" t="s">
        <v>5</v>
      </c>
      <c r="L1166" s="238" t="s">
        <v>114</v>
      </c>
    </row>
    <row r="1167" spans="1:12" ht="15.5">
      <c r="A1167" s="180" t="s">
        <v>7</v>
      </c>
      <c r="B1167" s="250">
        <f>SUM(D1167:F1167)</f>
        <v>5093331.398829788</v>
      </c>
      <c r="C1167" s="241">
        <f>+B1167/$B$1175</f>
        <v>0.57754025739614079</v>
      </c>
      <c r="D1167" s="242">
        <v>129493.58882978724</v>
      </c>
      <c r="E1167" s="242">
        <v>2903875.64</v>
      </c>
      <c r="F1167" s="242">
        <v>2059962.17</v>
      </c>
      <c r="G1167" s="32"/>
      <c r="H1167" s="250">
        <f>SUM(J1167:L1167)</f>
        <v>47330.4300479175</v>
      </c>
      <c r="I1167" s="241">
        <f>+H1167/$H$1164</f>
        <v>0.88773734107722235</v>
      </c>
      <c r="J1167" s="242">
        <f>+D1167-D1156</f>
        <v>5660.4800479175465</v>
      </c>
      <c r="K1167" s="849">
        <f>+E1167-E1156</f>
        <v>10684</v>
      </c>
      <c r="L1167" s="242">
        <f>+F1167-F1156</f>
        <v>30985.949999999953</v>
      </c>
    </row>
    <row r="1168" spans="1:12" ht="15.5">
      <c r="A1168" s="180" t="s">
        <v>8</v>
      </c>
      <c r="B1168" s="242">
        <f>SUM(D1168:F1168)</f>
        <v>0</v>
      </c>
      <c r="C1168" s="241">
        <f t="shared" ref="C1168:C1173" si="631">+B1168/$B$1175</f>
        <v>0</v>
      </c>
      <c r="D1168" s="242">
        <v>0</v>
      </c>
      <c r="F1168" s="242"/>
      <c r="G1168" s="32"/>
      <c r="H1168" s="250">
        <f t="shared" ref="H1168:H1173" si="632">SUM(J1168:L1168)</f>
        <v>0</v>
      </c>
      <c r="I1168" s="241">
        <f t="shared" ref="I1168:I1173" si="633">+H1168/$H$1164</f>
        <v>0</v>
      </c>
      <c r="J1168" s="242">
        <f t="shared" ref="J1168:J1173" si="634">+D1168-D1157</f>
        <v>0</v>
      </c>
      <c r="K1168" s="849">
        <f t="shared" ref="K1168:K1173" si="635">+E1168-E1157</f>
        <v>0</v>
      </c>
      <c r="L1168" s="242">
        <f>+F1168-F1157</f>
        <v>0</v>
      </c>
    </row>
    <row r="1169" spans="1:12" ht="15.5">
      <c r="A1169" s="180" t="s">
        <v>9</v>
      </c>
      <c r="B1169" s="242">
        <f t="shared" ref="B1169:B1173" si="636">SUM(D1169:F1169)</f>
        <v>913031.01105039811</v>
      </c>
      <c r="C1169" s="241">
        <f t="shared" si="631"/>
        <v>0.10352991467507053</v>
      </c>
      <c r="D1169" s="242">
        <v>913031.01105039811</v>
      </c>
      <c r="E1169" s="242"/>
      <c r="F1169" s="242"/>
      <c r="G1169" s="32"/>
      <c r="H1169" s="250">
        <f t="shared" si="632"/>
        <v>-1254.7173592880135</v>
      </c>
      <c r="I1169" s="241">
        <f t="shared" si="633"/>
        <v>-2.3533685436834182E-2</v>
      </c>
      <c r="J1169" s="242">
        <f t="shared" si="634"/>
        <v>-1254.7173592880135</v>
      </c>
      <c r="K1169" s="849">
        <f t="shared" si="635"/>
        <v>0</v>
      </c>
      <c r="L1169" s="242">
        <f t="shared" ref="L1169:L1173" si="637">+F1169-F1158</f>
        <v>0</v>
      </c>
    </row>
    <row r="1170" spans="1:12" ht="15.5">
      <c r="A1170" s="180" t="s">
        <v>162</v>
      </c>
      <c r="B1170" s="242">
        <f t="shared" si="636"/>
        <v>0</v>
      </c>
      <c r="C1170" s="241">
        <f t="shared" si="631"/>
        <v>0</v>
      </c>
      <c r="D1170" s="242">
        <v>0</v>
      </c>
      <c r="E1170" s="242"/>
      <c r="F1170" s="242"/>
      <c r="G1170" s="32"/>
      <c r="H1170" s="250">
        <f t="shared" si="632"/>
        <v>0</v>
      </c>
      <c r="I1170" s="241">
        <f t="shared" si="633"/>
        <v>0</v>
      </c>
      <c r="J1170" s="242">
        <f t="shared" si="634"/>
        <v>0</v>
      </c>
      <c r="K1170" s="849">
        <f t="shared" si="635"/>
        <v>0</v>
      </c>
      <c r="L1170" s="242">
        <f t="shared" si="637"/>
        <v>0</v>
      </c>
    </row>
    <row r="1171" spans="1:12" ht="15.5">
      <c r="A1171" s="180" t="s">
        <v>11</v>
      </c>
      <c r="B1171" s="242">
        <f t="shared" si="636"/>
        <v>0</v>
      </c>
      <c r="C1171" s="241">
        <f t="shared" si="631"/>
        <v>0</v>
      </c>
      <c r="D1171" s="242">
        <v>0</v>
      </c>
      <c r="E1171" s="242"/>
      <c r="F1171" s="242"/>
      <c r="G1171" s="32"/>
      <c r="H1171" s="250">
        <f t="shared" si="632"/>
        <v>0</v>
      </c>
      <c r="I1171" s="241">
        <f t="shared" si="633"/>
        <v>0</v>
      </c>
      <c r="J1171" s="242">
        <f t="shared" si="634"/>
        <v>0</v>
      </c>
      <c r="K1171" s="849">
        <f t="shared" si="635"/>
        <v>0</v>
      </c>
      <c r="L1171" s="242">
        <f t="shared" si="637"/>
        <v>0</v>
      </c>
    </row>
    <row r="1172" spans="1:12" ht="15.5">
      <c r="A1172" s="180" t="s">
        <v>12</v>
      </c>
      <c r="B1172" s="242">
        <f t="shared" si="636"/>
        <v>77500</v>
      </c>
      <c r="C1172" s="241">
        <f t="shared" si="631"/>
        <v>8.7878377516304052E-3</v>
      </c>
      <c r="D1172" s="242">
        <v>77500</v>
      </c>
      <c r="E1172" s="242"/>
      <c r="F1172" s="242"/>
      <c r="G1172" s="32"/>
      <c r="H1172" s="250">
        <f t="shared" si="632"/>
        <v>-2966.6666666666715</v>
      </c>
      <c r="I1172" s="241">
        <f t="shared" si="633"/>
        <v>-5.5643288596000713E-2</v>
      </c>
      <c r="J1172" s="242">
        <f t="shared" si="634"/>
        <v>-2966.6666666666715</v>
      </c>
      <c r="K1172" s="849">
        <f t="shared" si="635"/>
        <v>0</v>
      </c>
      <c r="L1172" s="242">
        <f t="shared" si="637"/>
        <v>0</v>
      </c>
    </row>
    <row r="1173" spans="1:12" ht="15.5">
      <c r="A1173" s="180" t="s">
        <v>13</v>
      </c>
      <c r="B1173" s="242">
        <f t="shared" si="636"/>
        <v>2735144.2889657775</v>
      </c>
      <c r="C1173" s="241">
        <f t="shared" si="631"/>
        <v>0.31014199017715821</v>
      </c>
      <c r="D1173" s="242">
        <v>2735144.2889657775</v>
      </c>
      <c r="E1173" s="242">
        <v>0</v>
      </c>
      <c r="F1173" s="242">
        <v>0</v>
      </c>
      <c r="G1173" s="32"/>
      <c r="H1173" s="250">
        <f t="shared" si="632"/>
        <v>0</v>
      </c>
      <c r="I1173" s="241">
        <f t="shared" si="633"/>
        <v>0</v>
      </c>
      <c r="J1173" s="242">
        <f t="shared" si="634"/>
        <v>0</v>
      </c>
      <c r="K1173" s="849">
        <f t="shared" si="635"/>
        <v>0</v>
      </c>
      <c r="L1173" s="242">
        <f t="shared" si="637"/>
        <v>0</v>
      </c>
    </row>
    <row r="1174" spans="1:12" ht="15.5">
      <c r="A1174" s="180"/>
      <c r="B1174" s="242">
        <f>SUM(D1174:E1174)</f>
        <v>0</v>
      </c>
      <c r="C1174" s="241">
        <f t="shared" ref="C1174" si="638">+B1174/$B$12</f>
        <v>0</v>
      </c>
      <c r="D1174" s="242"/>
      <c r="E1174" s="242"/>
      <c r="F1174" s="242"/>
      <c r="G1174" s="32"/>
      <c r="H1174" s="250"/>
      <c r="I1174" s="241">
        <f t="shared" ref="I1174" si="639">+H1174/$H$1109</f>
        <v>0</v>
      </c>
      <c r="J1174" s="242"/>
      <c r="K1174" s="242"/>
      <c r="L1174" s="242"/>
    </row>
    <row r="1175" spans="1:12" ht="15.5">
      <c r="A1175" s="180"/>
      <c r="B1175" s="243">
        <f>SUM(B1167:B1174)</f>
        <v>8819006.6988459639</v>
      </c>
      <c r="C1175" s="240">
        <f>SUM(C1167:C1174)</f>
        <v>1</v>
      </c>
      <c r="D1175" s="243">
        <f>SUM(D1167:D1174)</f>
        <v>3855168.8888459629</v>
      </c>
      <c r="E1175" s="243">
        <f>SUM(E1167:E1173)</f>
        <v>2903875.64</v>
      </c>
      <c r="F1175" s="243">
        <f>SUM(F1167:F1173)</f>
        <v>2059962.17</v>
      </c>
      <c r="G1175" s="32">
        <f>+B1175-B1164</f>
        <v>43109.046021964401</v>
      </c>
      <c r="H1175" s="243">
        <f>SUM(H1167:H1174)</f>
        <v>43109.046021962815</v>
      </c>
      <c r="I1175" s="240">
        <f>SUM(I1167:I1174)</f>
        <v>0.80856036704438738</v>
      </c>
      <c r="J1175" s="243">
        <f>SUM(J1167:J1174)</f>
        <v>1439.0960219628614</v>
      </c>
      <c r="K1175" s="243">
        <f>SUM(K1167:K1174)</f>
        <v>10684</v>
      </c>
      <c r="L1175" s="243">
        <f>SUM(L1167:L1174)</f>
        <v>30985.949999999953</v>
      </c>
    </row>
    <row r="1176" spans="1:12" ht="16" thickBot="1">
      <c r="A1176" s="180"/>
      <c r="B1176" s="334"/>
      <c r="C1176" s="335"/>
      <c r="D1176" s="334"/>
      <c r="E1176" s="334"/>
      <c r="F1176" s="334"/>
      <c r="H1176" s="254">
        <f>+A1177</f>
        <v>43128</v>
      </c>
      <c r="I1176" s="254"/>
      <c r="J1176" s="254">
        <f>+A1166</f>
        <v>43097</v>
      </c>
      <c r="L1176" s="334"/>
    </row>
    <row r="1177" spans="1:12" ht="16" thickBot="1">
      <c r="A1177" s="253">
        <v>43128</v>
      </c>
      <c r="B1177" s="251">
        <v>19.899999999999999</v>
      </c>
      <c r="C1177" s="238" t="s">
        <v>3</v>
      </c>
      <c r="D1177" s="238" t="s">
        <v>4</v>
      </c>
      <c r="E1177" s="238" t="s">
        <v>5</v>
      </c>
      <c r="F1177" s="238" t="s">
        <v>6</v>
      </c>
      <c r="G1177" s="32"/>
      <c r="H1177" s="251">
        <f>+B1177-B1166</f>
        <v>0.44999999999999929</v>
      </c>
      <c r="I1177" s="238" t="s">
        <v>3</v>
      </c>
      <c r="J1177" s="238" t="s">
        <v>4</v>
      </c>
      <c r="K1177" s="238" t="s">
        <v>5</v>
      </c>
      <c r="L1177" s="238" t="s">
        <v>114</v>
      </c>
    </row>
    <row r="1178" spans="1:12" ht="15.5">
      <c r="A1178" s="180" t="s">
        <v>7</v>
      </c>
      <c r="B1178" s="250">
        <f>SUM(D1178:F1178)</f>
        <v>5229768.4238693472</v>
      </c>
      <c r="C1178" s="241">
        <f>+B1178/$B$1186</f>
        <v>0.58295320014038621</v>
      </c>
      <c r="D1178" s="242">
        <v>133718.67386934673</v>
      </c>
      <c r="E1178" s="242">
        <v>2918532.93</v>
      </c>
      <c r="F1178" s="242">
        <v>2177516.8199999998</v>
      </c>
      <c r="G1178" s="32"/>
      <c r="H1178" s="250">
        <f>SUM(J1178:L1178)</f>
        <v>136437.02503955943</v>
      </c>
      <c r="I1178" s="241">
        <f>+H1178/$H$1186</f>
        <v>0.89668747616542865</v>
      </c>
      <c r="J1178" s="242">
        <f>+D1178-D1167</f>
        <v>4225.0850395594898</v>
      </c>
      <c r="K1178" s="849">
        <f>+E1178-E1167</f>
        <v>14657.290000000037</v>
      </c>
      <c r="L1178" s="242">
        <f>+F1178-F1167</f>
        <v>117554.64999999991</v>
      </c>
    </row>
    <row r="1179" spans="1:12" ht="15.5">
      <c r="A1179" s="180" t="s">
        <v>8</v>
      </c>
      <c r="B1179" s="242">
        <f>SUM(D1179:F1179)</f>
        <v>0</v>
      </c>
      <c r="C1179" s="241">
        <f t="shared" ref="C1179:C1184" si="640">+B1179/$B$1186</f>
        <v>0</v>
      </c>
      <c r="D1179" s="242">
        <v>0</v>
      </c>
      <c r="F1179" s="242"/>
      <c r="G1179" s="32"/>
      <c r="H1179" s="250">
        <f t="shared" ref="H1179:H1184" si="641">SUM(J1179:L1179)</f>
        <v>0</v>
      </c>
      <c r="I1179" s="241">
        <f t="shared" ref="I1179:I1184" si="642">+H1179/$H$1186</f>
        <v>0</v>
      </c>
      <c r="J1179" s="242">
        <f t="shared" ref="J1179:J1184" si="643">+D1179-D1168</f>
        <v>0</v>
      </c>
      <c r="K1179" s="849">
        <f t="shared" ref="K1179:K1184" si="644">+E1179-E1168</f>
        <v>0</v>
      </c>
      <c r="L1179" s="242">
        <f>+F1179-F1168</f>
        <v>0</v>
      </c>
    </row>
    <row r="1180" spans="1:12" ht="15.5">
      <c r="A1180" s="180" t="s">
        <v>9</v>
      </c>
      <c r="B1180" s="242">
        <f t="shared" ref="B1180:B1184" si="645">SUM(D1180:F1180)</f>
        <v>933034.62538706756</v>
      </c>
      <c r="C1180" s="241">
        <f t="shared" si="640"/>
        <v>0.10400374866096861</v>
      </c>
      <c r="D1180" s="242">
        <v>933034.62538706756</v>
      </c>
      <c r="E1180" s="242"/>
      <c r="F1180" s="242"/>
      <c r="G1180" s="32"/>
      <c r="H1180" s="250">
        <f t="shared" si="641"/>
        <v>20003.614336669445</v>
      </c>
      <c r="I1180" s="241">
        <f t="shared" si="642"/>
        <v>0.13146717651263609</v>
      </c>
      <c r="J1180" s="242">
        <f t="shared" si="643"/>
        <v>20003.614336669445</v>
      </c>
      <c r="K1180" s="849">
        <f t="shared" si="644"/>
        <v>0</v>
      </c>
      <c r="L1180" s="242">
        <f t="shared" ref="L1180:L1184" si="646">+F1180-F1169</f>
        <v>0</v>
      </c>
    </row>
    <row r="1181" spans="1:12" ht="15.5">
      <c r="A1181" s="180" t="s">
        <v>162</v>
      </c>
      <c r="B1181" s="242">
        <f t="shared" si="645"/>
        <v>0</v>
      </c>
      <c r="C1181" s="241">
        <f t="shared" si="640"/>
        <v>0</v>
      </c>
      <c r="D1181" s="242">
        <v>0</v>
      </c>
      <c r="E1181" s="242"/>
      <c r="F1181" s="242"/>
      <c r="G1181" s="32"/>
      <c r="H1181" s="250">
        <f t="shared" si="641"/>
        <v>0</v>
      </c>
      <c r="I1181" s="241">
        <f t="shared" si="642"/>
        <v>0</v>
      </c>
      <c r="J1181" s="242">
        <f t="shared" si="643"/>
        <v>0</v>
      </c>
      <c r="K1181" s="849">
        <f t="shared" si="644"/>
        <v>0</v>
      </c>
      <c r="L1181" s="242">
        <f t="shared" si="646"/>
        <v>0</v>
      </c>
    </row>
    <row r="1182" spans="1:12" ht="15.5">
      <c r="A1182" s="180" t="s">
        <v>11</v>
      </c>
      <c r="B1182" s="242">
        <f t="shared" si="645"/>
        <v>0</v>
      </c>
      <c r="C1182" s="241">
        <f t="shared" si="640"/>
        <v>0</v>
      </c>
      <c r="D1182" s="242">
        <v>0</v>
      </c>
      <c r="E1182" s="242"/>
      <c r="F1182" s="242"/>
      <c r="G1182" s="32"/>
      <c r="H1182" s="250">
        <f t="shared" si="641"/>
        <v>0</v>
      </c>
      <c r="I1182" s="241">
        <f t="shared" si="642"/>
        <v>0</v>
      </c>
      <c r="J1182" s="242">
        <f t="shared" si="643"/>
        <v>0</v>
      </c>
      <c r="K1182" s="849">
        <f t="shared" si="644"/>
        <v>0</v>
      </c>
      <c r="L1182" s="242">
        <f t="shared" si="646"/>
        <v>0</v>
      </c>
    </row>
    <row r="1183" spans="1:12" ht="15.5">
      <c r="A1183" s="180" t="s">
        <v>12</v>
      </c>
      <c r="B1183" s="242">
        <f t="shared" si="645"/>
        <v>73216.080402010062</v>
      </c>
      <c r="C1183" s="241">
        <f t="shared" si="640"/>
        <v>8.1612692786325707E-3</v>
      </c>
      <c r="D1183" s="242">
        <v>73216.080402010062</v>
      </c>
      <c r="E1183" s="242"/>
      <c r="F1183" s="242"/>
      <c r="G1183" s="32"/>
      <c r="H1183" s="250">
        <f t="shared" si="641"/>
        <v>-4283.9195979899378</v>
      </c>
      <c r="I1183" s="241">
        <f t="shared" si="642"/>
        <v>-2.8154652678064718E-2</v>
      </c>
      <c r="J1183" s="242">
        <f t="shared" si="643"/>
        <v>-4283.9195979899378</v>
      </c>
      <c r="K1183" s="849">
        <f t="shared" si="644"/>
        <v>0</v>
      </c>
      <c r="L1183" s="242">
        <f t="shared" si="646"/>
        <v>0</v>
      </c>
    </row>
    <row r="1184" spans="1:12" ht="15.5">
      <c r="A1184" s="180" t="s">
        <v>13</v>
      </c>
      <c r="B1184" s="242">
        <f t="shared" si="645"/>
        <v>2735144.2889657775</v>
      </c>
      <c r="C1184" s="241">
        <f t="shared" si="640"/>
        <v>0.30488178192001242</v>
      </c>
      <c r="D1184" s="242">
        <v>2735144.2889657775</v>
      </c>
      <c r="E1184" s="242">
        <v>0</v>
      </c>
      <c r="F1184" s="242">
        <v>0</v>
      </c>
      <c r="G1184" s="32"/>
      <c r="H1184" s="250">
        <f t="shared" si="641"/>
        <v>0</v>
      </c>
      <c r="I1184" s="241">
        <f t="shared" si="642"/>
        <v>0</v>
      </c>
      <c r="J1184" s="242">
        <f t="shared" si="643"/>
        <v>0</v>
      </c>
      <c r="K1184" s="849">
        <f t="shared" si="644"/>
        <v>0</v>
      </c>
      <c r="L1184" s="242">
        <f t="shared" si="646"/>
        <v>0</v>
      </c>
    </row>
    <row r="1185" spans="1:12" ht="15.5">
      <c r="A1185" s="180"/>
      <c r="B1185" s="242">
        <f>SUM(D1185:E1185)</f>
        <v>0</v>
      </c>
      <c r="C1185" s="241">
        <f t="shared" ref="C1185" si="647">+B1185/$B$12</f>
        <v>0</v>
      </c>
      <c r="D1185" s="242"/>
      <c r="E1185" s="242"/>
      <c r="F1185" s="242"/>
      <c r="G1185" s="32"/>
      <c r="H1185" s="250"/>
      <c r="I1185" s="241">
        <f t="shared" ref="I1185" si="648">+H1185/$H$1109</f>
        <v>0</v>
      </c>
      <c r="J1185" s="242"/>
      <c r="K1185" s="242"/>
      <c r="L1185" s="242"/>
    </row>
    <row r="1186" spans="1:12" ht="15.5">
      <c r="A1186" s="180"/>
      <c r="B1186" s="243">
        <f>SUM(B1178:B1185)</f>
        <v>8971163.4186242037</v>
      </c>
      <c r="C1186" s="240">
        <f>SUM(C1178:C1185)</f>
        <v>0.99999999999999978</v>
      </c>
      <c r="D1186" s="243">
        <f>SUM(D1178:D1185)</f>
        <v>3875113.6686242018</v>
      </c>
      <c r="E1186" s="243">
        <f>SUM(E1178:E1184)</f>
        <v>2918532.93</v>
      </c>
      <c r="F1186" s="243">
        <f>SUM(F1178:F1184)</f>
        <v>2177516.8199999998</v>
      </c>
      <c r="G1186" s="32">
        <f>+B1186-B1175</f>
        <v>152156.71977823973</v>
      </c>
      <c r="H1186" s="243">
        <f>SUM(H1178:H1185)</f>
        <v>152156.71977823894</v>
      </c>
      <c r="I1186" s="240">
        <f>SUM(I1178:I1185)</f>
        <v>1</v>
      </c>
      <c r="J1186" s="243">
        <f>SUM(J1178:J1185)</f>
        <v>19944.779778238997</v>
      </c>
      <c r="K1186" s="243">
        <f>SUM(K1178:K1185)</f>
        <v>14657.290000000037</v>
      </c>
      <c r="L1186" s="243">
        <f>SUM(L1178:L1185)</f>
        <v>117554.64999999991</v>
      </c>
    </row>
    <row r="1187" spans="1:12" ht="16" thickBot="1">
      <c r="A1187" s="180"/>
      <c r="B1187" s="334"/>
      <c r="C1187" s="335"/>
      <c r="D1187" s="334"/>
      <c r="E1187" s="334"/>
      <c r="F1187" s="334"/>
      <c r="H1187" s="254">
        <f>+A1188</f>
        <v>43159</v>
      </c>
      <c r="I1187" s="254"/>
      <c r="J1187" s="254">
        <f>+A1177</f>
        <v>43128</v>
      </c>
      <c r="L1187" s="334"/>
    </row>
    <row r="1188" spans="1:12" ht="16" thickBot="1">
      <c r="A1188" s="253">
        <v>43159</v>
      </c>
      <c r="B1188" s="251">
        <v>20.41</v>
      </c>
      <c r="C1188" s="238" t="s">
        <v>3</v>
      </c>
      <c r="D1188" s="238" t="s">
        <v>4</v>
      </c>
      <c r="E1188" s="238" t="s">
        <v>5</v>
      </c>
      <c r="F1188" s="238" t="s">
        <v>6</v>
      </c>
      <c r="G1188" s="32"/>
      <c r="H1188" s="251">
        <f>+B1188-B1177</f>
        <v>0.51000000000000156</v>
      </c>
      <c r="I1188" s="238" t="s">
        <v>3</v>
      </c>
      <c r="J1188" s="238" t="s">
        <v>4</v>
      </c>
      <c r="K1188" s="238" t="s">
        <v>5</v>
      </c>
      <c r="L1188" s="238" t="s">
        <v>114</v>
      </c>
    </row>
    <row r="1189" spans="1:12" ht="15.5">
      <c r="A1189" s="180" t="s">
        <v>7</v>
      </c>
      <c r="B1189" s="250">
        <f>SUM(D1189:F1189)</f>
        <v>5060906.9965458112</v>
      </c>
      <c r="C1189" s="241">
        <f>+B1189/$B$1197</f>
        <v>0.57469759987897562</v>
      </c>
      <c r="D1189" s="242">
        <v>119494.04654581088</v>
      </c>
      <c r="E1189" s="242">
        <v>2830695.06</v>
      </c>
      <c r="F1189" s="242">
        <v>2110717.89</v>
      </c>
      <c r="H1189" s="250">
        <f>SUM(J1189:L1189)</f>
        <v>-168861.42732353567</v>
      </c>
      <c r="I1189" s="241">
        <f>+H1189/$H$1186</f>
        <v>-1.1097861965586733</v>
      </c>
      <c r="J1189" s="242">
        <f>+D1189-D1178</f>
        <v>-14224.627323535853</v>
      </c>
      <c r="K1189" s="849">
        <f>+E1189-E1178</f>
        <v>-87837.870000000112</v>
      </c>
      <c r="L1189" s="242">
        <f>+F1189-F1178</f>
        <v>-66798.929999999702</v>
      </c>
    </row>
    <row r="1190" spans="1:12" ht="15.5">
      <c r="A1190" s="180" t="s">
        <v>8</v>
      </c>
      <c r="B1190" s="242">
        <f>SUM(D1190:F1190)</f>
        <v>0</v>
      </c>
      <c r="C1190" s="241">
        <f t="shared" ref="C1190:C1195" si="649">+B1190/$B$1197</f>
        <v>0</v>
      </c>
      <c r="D1190" s="242">
        <v>0</v>
      </c>
      <c r="F1190" s="242"/>
      <c r="G1190" s="32"/>
      <c r="H1190" s="250">
        <f t="shared" ref="H1190:H1195" si="650">SUM(J1190:L1190)</f>
        <v>0</v>
      </c>
      <c r="I1190" s="241">
        <f t="shared" ref="I1190:I1195" si="651">+H1190/$H$1186</f>
        <v>0</v>
      </c>
      <c r="J1190" s="242">
        <f t="shared" ref="J1190:J1195" si="652">+D1190-D1179</f>
        <v>0</v>
      </c>
      <c r="K1190" s="849">
        <f t="shared" ref="K1190:K1195" si="653">+E1190-E1179</f>
        <v>0</v>
      </c>
      <c r="L1190" s="242">
        <f>+F1190-F1179</f>
        <v>0</v>
      </c>
    </row>
    <row r="1191" spans="1:12" ht="15.5">
      <c r="A1191" s="180" t="s">
        <v>9</v>
      </c>
      <c r="B1191" s="242">
        <f t="shared" ref="B1191:B1195" si="654">SUM(D1191:F1191)</f>
        <v>938770.82644292014</v>
      </c>
      <c r="C1191" s="241">
        <f t="shared" si="649"/>
        <v>0.10660329090445179</v>
      </c>
      <c r="D1191" s="242">
        <v>938770.82644292014</v>
      </c>
      <c r="E1191" s="242"/>
      <c r="F1191" s="242"/>
      <c r="G1191" s="32"/>
      <c r="H1191" s="250">
        <f t="shared" si="650"/>
        <v>5736.2010558525799</v>
      </c>
      <c r="I1191" s="241">
        <f t="shared" si="651"/>
        <v>3.7699294938881536E-2</v>
      </c>
      <c r="J1191" s="242">
        <f t="shared" si="652"/>
        <v>5736.2010558525799</v>
      </c>
      <c r="K1191" s="849">
        <f t="shared" si="653"/>
        <v>0</v>
      </c>
      <c r="L1191" s="242">
        <f t="shared" ref="L1191:L1195" si="655">+F1191-F1180</f>
        <v>0</v>
      </c>
    </row>
    <row r="1192" spans="1:12" ht="15.5">
      <c r="A1192" s="180" t="s">
        <v>162</v>
      </c>
      <c r="B1192" s="242">
        <f t="shared" si="654"/>
        <v>0</v>
      </c>
      <c r="C1192" s="241">
        <f t="shared" si="649"/>
        <v>0</v>
      </c>
      <c r="D1192" s="242">
        <v>0</v>
      </c>
      <c r="E1192" s="242"/>
      <c r="F1192" s="242"/>
      <c r="G1192" s="32"/>
      <c r="H1192" s="250">
        <f t="shared" si="650"/>
        <v>0</v>
      </c>
      <c r="I1192" s="241">
        <f t="shared" si="651"/>
        <v>0</v>
      </c>
      <c r="J1192" s="242">
        <f t="shared" si="652"/>
        <v>0</v>
      </c>
      <c r="K1192" s="849">
        <f t="shared" si="653"/>
        <v>0</v>
      </c>
      <c r="L1192" s="242">
        <f t="shared" si="655"/>
        <v>0</v>
      </c>
    </row>
    <row r="1193" spans="1:12" ht="15.5">
      <c r="A1193" s="180" t="s">
        <v>11</v>
      </c>
      <c r="B1193" s="242">
        <f t="shared" si="654"/>
        <v>0</v>
      </c>
      <c r="C1193" s="241">
        <f t="shared" si="649"/>
        <v>0</v>
      </c>
      <c r="D1193" s="242">
        <v>0</v>
      </c>
      <c r="E1193" s="242"/>
      <c r="F1193" s="242"/>
      <c r="G1193" s="32"/>
      <c r="H1193" s="250">
        <f t="shared" si="650"/>
        <v>0</v>
      </c>
      <c r="I1193" s="241">
        <f t="shared" si="651"/>
        <v>0</v>
      </c>
      <c r="J1193" s="242">
        <f t="shared" si="652"/>
        <v>0</v>
      </c>
      <c r="K1193" s="849">
        <f t="shared" si="653"/>
        <v>0</v>
      </c>
      <c r="L1193" s="242">
        <f t="shared" si="655"/>
        <v>0</v>
      </c>
    </row>
    <row r="1194" spans="1:12" ht="15.5">
      <c r="A1194" s="180" t="s">
        <v>12</v>
      </c>
      <c r="B1194" s="242">
        <f t="shared" si="654"/>
        <v>71386.575208231254</v>
      </c>
      <c r="C1194" s="241">
        <f t="shared" si="649"/>
        <v>8.1063914953883737E-3</v>
      </c>
      <c r="D1194" s="242">
        <v>71386.575208231254</v>
      </c>
      <c r="E1194" s="242"/>
      <c r="F1194" s="242"/>
      <c r="G1194" s="32"/>
      <c r="H1194" s="250">
        <f t="shared" si="650"/>
        <v>-1829.5051937788085</v>
      </c>
      <c r="I1194" s="241">
        <f t="shared" si="651"/>
        <v>-1.2023821205170719E-2</v>
      </c>
      <c r="J1194" s="242">
        <f t="shared" si="652"/>
        <v>-1829.5051937788085</v>
      </c>
      <c r="K1194" s="849">
        <f t="shared" si="653"/>
        <v>0</v>
      </c>
      <c r="L1194" s="242">
        <f t="shared" si="655"/>
        <v>0</v>
      </c>
    </row>
    <row r="1195" spans="1:12" ht="15.5">
      <c r="A1195" s="180" t="s">
        <v>13</v>
      </c>
      <c r="B1195" s="242">
        <f t="shared" si="654"/>
        <v>2735144.2889657775</v>
      </c>
      <c r="C1195" s="241">
        <f t="shared" si="649"/>
        <v>0.31059271772118424</v>
      </c>
      <c r="D1195" s="242">
        <v>2735144.2889657775</v>
      </c>
      <c r="E1195" s="242">
        <v>0</v>
      </c>
      <c r="F1195" s="242">
        <v>0</v>
      </c>
      <c r="G1195" s="32"/>
      <c r="H1195" s="250">
        <f t="shared" si="650"/>
        <v>0</v>
      </c>
      <c r="I1195" s="241">
        <f t="shared" si="651"/>
        <v>0</v>
      </c>
      <c r="J1195" s="242">
        <f t="shared" si="652"/>
        <v>0</v>
      </c>
      <c r="K1195" s="849">
        <f t="shared" si="653"/>
        <v>0</v>
      </c>
      <c r="L1195" s="242">
        <f t="shared" si="655"/>
        <v>0</v>
      </c>
    </row>
    <row r="1196" spans="1:12" ht="15.5">
      <c r="A1196" s="180"/>
      <c r="B1196" s="242">
        <f>SUM(D1196:E1196)</f>
        <v>0</v>
      </c>
      <c r="C1196" s="241">
        <f t="shared" ref="C1196" si="656">+B1196/$B$12</f>
        <v>0</v>
      </c>
      <c r="D1196" s="242"/>
      <c r="E1196" s="242"/>
      <c r="F1196" s="242"/>
      <c r="G1196" s="32"/>
      <c r="H1196" s="250"/>
      <c r="I1196" s="241">
        <f t="shared" ref="I1196" si="657">+H1196/$H$1109</f>
        <v>0</v>
      </c>
      <c r="J1196" s="242"/>
      <c r="K1196" s="242"/>
      <c r="L1196" s="242"/>
    </row>
    <row r="1197" spans="1:12" ht="15.5">
      <c r="A1197" s="180"/>
      <c r="B1197" s="243">
        <f>SUM(B1189:B1196)</f>
        <v>8806208.6871627402</v>
      </c>
      <c r="C1197" s="240">
        <f>SUM(C1189:C1196)</f>
        <v>1</v>
      </c>
      <c r="D1197" s="243">
        <f>SUM(D1189:D1196)</f>
        <v>3864795.73716274</v>
      </c>
      <c r="E1197" s="243">
        <f>SUM(E1189:E1195)</f>
        <v>2830695.06</v>
      </c>
      <c r="F1197" s="243">
        <f>SUM(F1189:F1195)</f>
        <v>2110717.89</v>
      </c>
      <c r="G1197" s="32">
        <f>+B1197-B1186</f>
        <v>-164954.7314614635</v>
      </c>
      <c r="H1197" s="243">
        <f>SUM(H1189:H1196)</f>
        <v>-164954.7314614619</v>
      </c>
      <c r="I1197" s="240">
        <f>SUM(I1189:I1196)</f>
        <v>-1.0841107228249625</v>
      </c>
      <c r="J1197" s="243">
        <f>SUM(J1189:J1196)</f>
        <v>-10317.931461462082</v>
      </c>
      <c r="K1197" s="243">
        <f>SUM(K1189:K1196)</f>
        <v>-87837.870000000112</v>
      </c>
      <c r="L1197" s="243">
        <f>SUM(L1189:L1196)</f>
        <v>-66798.929999999702</v>
      </c>
    </row>
    <row r="1198" spans="1:12" ht="16" thickBot="1">
      <c r="A1198" s="180"/>
      <c r="B1198" s="334"/>
      <c r="C1198" s="335"/>
      <c r="D1198" s="334"/>
      <c r="E1198" s="334"/>
      <c r="F1198" s="334"/>
      <c r="H1198" s="254">
        <f>+A1199</f>
        <v>43187</v>
      </c>
      <c r="I1198" s="254"/>
      <c r="J1198" s="254">
        <f>+A1188</f>
        <v>43159</v>
      </c>
      <c r="L1198" s="334"/>
    </row>
    <row r="1199" spans="1:12" ht="16" thickBot="1">
      <c r="A1199" s="253">
        <v>43187</v>
      </c>
      <c r="B1199" s="251">
        <v>20.46</v>
      </c>
      <c r="C1199" s="238" t="s">
        <v>3</v>
      </c>
      <c r="D1199" s="238" t="s">
        <v>4</v>
      </c>
      <c r="E1199" s="238" t="s">
        <v>5</v>
      </c>
      <c r="F1199" s="238" t="s">
        <v>6</v>
      </c>
      <c r="G1199" s="32"/>
      <c r="H1199" s="251">
        <f>+B1199-B1188</f>
        <v>5.0000000000000711E-2</v>
      </c>
      <c r="I1199" s="238" t="s">
        <v>3</v>
      </c>
      <c r="J1199" s="238" t="s">
        <v>4</v>
      </c>
      <c r="K1199" s="238" t="s">
        <v>5</v>
      </c>
      <c r="L1199" s="238" t="s">
        <v>114</v>
      </c>
    </row>
    <row r="1200" spans="1:12" ht="15.5">
      <c r="A1200" s="180" t="s">
        <v>7</v>
      </c>
      <c r="B1200" s="250">
        <f>SUM(D1200:F1200)</f>
        <v>5007261.7398533728</v>
      </c>
      <c r="C1200" s="241">
        <f>+B1200/$B$1208</f>
        <v>0.57125535092059965</v>
      </c>
      <c r="D1200" s="242">
        <v>111208.04985337243</v>
      </c>
      <c r="E1200" s="242">
        <v>2829053.66</v>
      </c>
      <c r="F1200" s="242">
        <v>2067000.03</v>
      </c>
      <c r="H1200" s="250">
        <f>SUM(J1200:L1200)</f>
        <v>-53645.256692438459</v>
      </c>
      <c r="I1200" s="241">
        <f>+H1200/$H$1208</f>
        <v>1.3134329015454487</v>
      </c>
      <c r="J1200" s="242">
        <f>+D1200-D1189</f>
        <v>-8285.9966924384498</v>
      </c>
      <c r="K1200" s="849">
        <f>+E1200-E1189</f>
        <v>-1641.3999999999069</v>
      </c>
      <c r="L1200" s="242">
        <f>+F1200-F1189</f>
        <v>-43717.860000000102</v>
      </c>
    </row>
    <row r="1201" spans="1:12" ht="15.5">
      <c r="A1201" s="180" t="s">
        <v>8</v>
      </c>
      <c r="B1201" s="242">
        <f>SUM(D1201:F1201)</f>
        <v>0</v>
      </c>
      <c r="C1201" s="241">
        <f t="shared" ref="C1201:C1206" si="658">+B1201/$B$1208</f>
        <v>0</v>
      </c>
      <c r="D1201" s="242">
        <v>0</v>
      </c>
      <c r="F1201" s="242"/>
      <c r="G1201" s="32"/>
      <c r="H1201" s="250">
        <f t="shared" ref="H1201:H1206" si="659">SUM(J1201:L1201)</f>
        <v>0</v>
      </c>
      <c r="I1201" s="241">
        <f t="shared" ref="I1201:I1206" si="660">+H1201/$H$1208</f>
        <v>0</v>
      </c>
      <c r="J1201" s="242">
        <f t="shared" ref="J1201:J1206" si="661">+D1201-D1190</f>
        <v>0</v>
      </c>
      <c r="K1201" s="849">
        <f t="shared" ref="K1201:K1206" si="662">+E1201-E1190</f>
        <v>0</v>
      </c>
      <c r="L1201" s="242">
        <f>+F1201-F1190</f>
        <v>0</v>
      </c>
    </row>
    <row r="1202" spans="1:12" ht="15.5">
      <c r="A1202" s="180" t="s">
        <v>9</v>
      </c>
      <c r="B1202" s="242">
        <f t="shared" ref="B1202:B1206" si="663">SUM(D1202:F1202)</f>
        <v>951746.99146627565</v>
      </c>
      <c r="C1202" s="241">
        <f t="shared" si="658"/>
        <v>0.10858041577303548</v>
      </c>
      <c r="D1202" s="242">
        <v>951746.99146627565</v>
      </c>
      <c r="E1202" s="242"/>
      <c r="F1202" s="242"/>
      <c r="G1202" s="32"/>
      <c r="H1202" s="250">
        <f t="shared" si="659"/>
        <v>12976.165023355512</v>
      </c>
      <c r="I1202" s="241">
        <f t="shared" si="660"/>
        <v>-0.3177041760704396</v>
      </c>
      <c r="J1202" s="242">
        <f t="shared" si="661"/>
        <v>12976.165023355512</v>
      </c>
      <c r="K1202" s="849">
        <f t="shared" si="662"/>
        <v>0</v>
      </c>
      <c r="L1202" s="242">
        <f t="shared" ref="L1202:L1206" si="664">+F1202-F1191</f>
        <v>0</v>
      </c>
    </row>
    <row r="1203" spans="1:12" ht="15.5">
      <c r="A1203" s="180" t="s">
        <v>162</v>
      </c>
      <c r="B1203" s="242">
        <f t="shared" si="663"/>
        <v>0</v>
      </c>
      <c r="C1203" s="241">
        <f t="shared" si="658"/>
        <v>0</v>
      </c>
      <c r="D1203" s="242">
        <v>0</v>
      </c>
      <c r="E1203" s="242"/>
      <c r="F1203" s="242"/>
      <c r="G1203" s="32"/>
      <c r="H1203" s="250">
        <f t="shared" si="659"/>
        <v>0</v>
      </c>
      <c r="I1203" s="241">
        <f t="shared" si="660"/>
        <v>0</v>
      </c>
      <c r="J1203" s="242">
        <f t="shared" si="661"/>
        <v>0</v>
      </c>
      <c r="K1203" s="849">
        <f t="shared" si="662"/>
        <v>0</v>
      </c>
      <c r="L1203" s="242">
        <f t="shared" si="664"/>
        <v>0</v>
      </c>
    </row>
    <row r="1204" spans="1:12" ht="15.5">
      <c r="A1204" s="180" t="s">
        <v>11</v>
      </c>
      <c r="B1204" s="242">
        <f t="shared" si="663"/>
        <v>0</v>
      </c>
      <c r="C1204" s="241">
        <f t="shared" si="658"/>
        <v>0</v>
      </c>
      <c r="D1204" s="242">
        <v>0</v>
      </c>
      <c r="E1204" s="242"/>
      <c r="F1204" s="242"/>
      <c r="G1204" s="32"/>
      <c r="H1204" s="250">
        <f t="shared" si="659"/>
        <v>0</v>
      </c>
      <c r="I1204" s="241">
        <f t="shared" si="660"/>
        <v>0</v>
      </c>
      <c r="J1204" s="242">
        <f t="shared" si="661"/>
        <v>0</v>
      </c>
      <c r="K1204" s="849">
        <f t="shared" si="662"/>
        <v>0</v>
      </c>
      <c r="L1204" s="242">
        <f t="shared" si="664"/>
        <v>0</v>
      </c>
    </row>
    <row r="1205" spans="1:12" ht="15.5">
      <c r="A1205" s="180" t="s">
        <v>12</v>
      </c>
      <c r="B1205" s="242">
        <f t="shared" si="663"/>
        <v>71212.121212121216</v>
      </c>
      <c r="C1205" s="241">
        <f t="shared" si="658"/>
        <v>8.1242618034226867E-3</v>
      </c>
      <c r="D1205" s="242">
        <v>71212.121212121216</v>
      </c>
      <c r="E1205" s="242"/>
      <c r="F1205" s="242"/>
      <c r="G1205" s="32"/>
      <c r="H1205" s="250">
        <f t="shared" si="659"/>
        <v>-174.45399611003813</v>
      </c>
      <c r="I1205" s="241">
        <f t="shared" si="660"/>
        <v>4.2712745249908228E-3</v>
      </c>
      <c r="J1205" s="242">
        <f t="shared" si="661"/>
        <v>-174.45399611003813</v>
      </c>
      <c r="K1205" s="849">
        <f t="shared" si="662"/>
        <v>0</v>
      </c>
      <c r="L1205" s="242">
        <f t="shared" si="664"/>
        <v>0</v>
      </c>
    </row>
    <row r="1206" spans="1:12" ht="15.5">
      <c r="A1206" s="180" t="s">
        <v>13</v>
      </c>
      <c r="B1206" s="242">
        <f t="shared" si="663"/>
        <v>2735144.2889657775</v>
      </c>
      <c r="C1206" s="241">
        <f t="shared" si="658"/>
        <v>0.31203997150294221</v>
      </c>
      <c r="D1206" s="242">
        <v>2735144.2889657775</v>
      </c>
      <c r="E1206" s="242">
        <v>0</v>
      </c>
      <c r="F1206" s="242">
        <v>0</v>
      </c>
      <c r="G1206" s="32"/>
      <c r="H1206" s="250">
        <f t="shared" si="659"/>
        <v>0</v>
      </c>
      <c r="I1206" s="241">
        <f t="shared" si="660"/>
        <v>0</v>
      </c>
      <c r="J1206" s="242">
        <f t="shared" si="661"/>
        <v>0</v>
      </c>
      <c r="K1206" s="849">
        <f t="shared" si="662"/>
        <v>0</v>
      </c>
      <c r="L1206" s="242">
        <f t="shared" si="664"/>
        <v>0</v>
      </c>
    </row>
    <row r="1207" spans="1:12" ht="15.5">
      <c r="A1207" s="180"/>
      <c r="B1207" s="242">
        <f>SUM(D1207:E1207)</f>
        <v>0</v>
      </c>
      <c r="C1207" s="241">
        <f t="shared" ref="C1207" si="665">+B1207/$B$12</f>
        <v>0</v>
      </c>
      <c r="D1207" s="242"/>
      <c r="E1207" s="242"/>
      <c r="F1207" s="242"/>
      <c r="G1207" s="32"/>
      <c r="H1207" s="250"/>
      <c r="I1207" s="241">
        <f t="shared" ref="I1207" si="666">+H1207/$H$1109</f>
        <v>0</v>
      </c>
      <c r="J1207" s="242"/>
      <c r="K1207" s="242"/>
      <c r="L1207" s="242"/>
    </row>
    <row r="1208" spans="1:12" ht="15.5">
      <c r="A1208" s="180"/>
      <c r="B1208" s="243">
        <f>SUM(B1200:B1207)</f>
        <v>8765365.1414975468</v>
      </c>
      <c r="C1208" s="240">
        <f>SUM(C1200:C1207)</f>
        <v>1</v>
      </c>
      <c r="D1208" s="243">
        <f>SUM(D1200:D1207)</f>
        <v>3869311.4514975469</v>
      </c>
      <c r="E1208" s="243">
        <f>SUM(E1200:E1206)</f>
        <v>2829053.66</v>
      </c>
      <c r="F1208" s="243">
        <f>SUM(F1200:F1206)</f>
        <v>2067000.03</v>
      </c>
      <c r="G1208" s="32">
        <f>+B1208-B1197</f>
        <v>-40843.545665193349</v>
      </c>
      <c r="H1208" s="243">
        <f>SUM(H1200:H1207)</f>
        <v>-40843.545665192985</v>
      </c>
      <c r="I1208" s="240">
        <f>SUM(I1200:I1207)</f>
        <v>1</v>
      </c>
      <c r="J1208" s="243">
        <f>SUM(J1200:J1207)</f>
        <v>4515.714334807024</v>
      </c>
      <c r="K1208" s="243">
        <f>SUM(K1200:K1207)</f>
        <v>-1641.3999999999069</v>
      </c>
      <c r="L1208" s="243">
        <f>SUM(L1200:L1207)</f>
        <v>-43717.860000000102</v>
      </c>
    </row>
    <row r="1209" spans="1:12" ht="16" thickBot="1">
      <c r="A1209" s="180"/>
      <c r="B1209" s="334"/>
      <c r="C1209" s="335"/>
      <c r="D1209" s="334"/>
      <c r="E1209" s="334"/>
      <c r="F1209" s="334"/>
      <c r="H1209" s="254">
        <f>+A1210</f>
        <v>43218</v>
      </c>
      <c r="I1209" s="254"/>
      <c r="J1209" s="254">
        <f>+A1199</f>
        <v>43187</v>
      </c>
      <c r="L1209" s="334"/>
    </row>
    <row r="1210" spans="1:12" ht="16" thickBot="1">
      <c r="A1210" s="253">
        <v>43218</v>
      </c>
      <c r="B1210" s="251">
        <v>20.8</v>
      </c>
      <c r="C1210" s="238" t="s">
        <v>3</v>
      </c>
      <c r="D1210" s="238" t="s">
        <v>4</v>
      </c>
      <c r="E1210" s="238" t="s">
        <v>5</v>
      </c>
      <c r="F1210" s="238" t="s">
        <v>6</v>
      </c>
      <c r="G1210" s="32"/>
      <c r="H1210" s="251">
        <f>+B1210-B1199</f>
        <v>0.33999999999999986</v>
      </c>
      <c r="I1210" s="238" t="s">
        <v>3</v>
      </c>
      <c r="J1210" s="238" t="s">
        <v>4</v>
      </c>
      <c r="K1210" s="238" t="s">
        <v>5</v>
      </c>
      <c r="L1210" s="238" t="s">
        <v>114</v>
      </c>
    </row>
    <row r="1211" spans="1:12" ht="15.5">
      <c r="A1211" s="180" t="s">
        <v>7</v>
      </c>
      <c r="B1211" s="250">
        <f>SUM(D1211:F1211)</f>
        <v>4997503.4849038459</v>
      </c>
      <c r="C1211" s="241">
        <f>+B1211/$B$1219</f>
        <v>0.57016206890628252</v>
      </c>
      <c r="D1211" s="242">
        <v>109099.06490384614</v>
      </c>
      <c r="E1211" s="242">
        <v>2807213.53</v>
      </c>
      <c r="F1211" s="242">
        <v>2081190.89</v>
      </c>
      <c r="H1211" s="250">
        <f>SUM(J1211:L1211)</f>
        <v>-9758.254949526774</v>
      </c>
      <c r="I1211" s="241">
        <f>+H1211/$H$1219</f>
        <v>31.749726252549692</v>
      </c>
      <c r="J1211" s="242">
        <f>+D1211-D1200</f>
        <v>-2108.9849495262897</v>
      </c>
      <c r="K1211" s="849">
        <f>+E1211-E1200</f>
        <v>-21840.130000000354</v>
      </c>
      <c r="L1211" s="242">
        <f>+F1211-F1200</f>
        <v>14190.85999999987</v>
      </c>
    </row>
    <row r="1212" spans="1:12" ht="15.5">
      <c r="A1212" s="180" t="s">
        <v>8</v>
      </c>
      <c r="B1212" s="242">
        <f>SUM(D1212:F1212)</f>
        <v>0</v>
      </c>
      <c r="C1212" s="241">
        <f t="shared" ref="C1212:C1217" si="667">+B1212/$B$1219</f>
        <v>0</v>
      </c>
      <c r="D1212" s="242">
        <v>0</v>
      </c>
      <c r="F1212" s="242"/>
      <c r="G1212" s="32"/>
      <c r="H1212" s="250">
        <f t="shared" ref="H1212:H1217" si="668">SUM(J1212:L1212)</f>
        <v>0</v>
      </c>
      <c r="I1212" s="241">
        <f t="shared" ref="I1212:I1217" si="669">+H1212/$H$1219</f>
        <v>0</v>
      </c>
      <c r="J1212" s="242">
        <f t="shared" ref="J1212:J1217" si="670">+D1212-D1201</f>
        <v>0</v>
      </c>
      <c r="K1212" s="849">
        <f t="shared" ref="K1212:K1217" si="671">+E1212-E1201</f>
        <v>0</v>
      </c>
      <c r="L1212" s="242">
        <f>+F1212-F1201</f>
        <v>0</v>
      </c>
    </row>
    <row r="1213" spans="1:12" ht="15.5">
      <c r="A1213" s="180" t="s">
        <v>9</v>
      </c>
      <c r="B1213" s="242">
        <f t="shared" ref="B1213:B1217" si="672">SUM(D1213:F1213)</f>
        <v>962361.94144230802</v>
      </c>
      <c r="C1213" s="241">
        <f t="shared" si="667"/>
        <v>0.10979527622679994</v>
      </c>
      <c r="D1213" s="242">
        <v>962361.94144230802</v>
      </c>
      <c r="E1213" s="242"/>
      <c r="F1213" s="242"/>
      <c r="G1213" s="32"/>
      <c r="H1213" s="250">
        <f t="shared" si="668"/>
        <v>10614.949976032367</v>
      </c>
      <c r="I1213" s="241">
        <f t="shared" si="669"/>
        <v>-34.53709271450019</v>
      </c>
      <c r="J1213" s="242">
        <f t="shared" si="670"/>
        <v>10614.949976032367</v>
      </c>
      <c r="K1213" s="849">
        <f t="shared" si="671"/>
        <v>0</v>
      </c>
      <c r="L1213" s="242">
        <f t="shared" ref="L1213:L1217" si="673">+F1213-F1202</f>
        <v>0</v>
      </c>
    </row>
    <row r="1214" spans="1:12" ht="15.5">
      <c r="A1214" s="180" t="s">
        <v>162</v>
      </c>
      <c r="B1214" s="242">
        <f t="shared" si="672"/>
        <v>0</v>
      </c>
      <c r="C1214" s="241">
        <f t="shared" si="667"/>
        <v>0</v>
      </c>
      <c r="D1214" s="242">
        <v>0</v>
      </c>
      <c r="E1214" s="242"/>
      <c r="F1214" s="242"/>
      <c r="G1214" s="32"/>
      <c r="H1214" s="250">
        <f t="shared" si="668"/>
        <v>0</v>
      </c>
      <c r="I1214" s="241">
        <f t="shared" si="669"/>
        <v>0</v>
      </c>
      <c r="J1214" s="242">
        <f t="shared" si="670"/>
        <v>0</v>
      </c>
      <c r="K1214" s="849">
        <f t="shared" si="671"/>
        <v>0</v>
      </c>
      <c r="L1214" s="242">
        <f t="shared" si="673"/>
        <v>0</v>
      </c>
    </row>
    <row r="1215" spans="1:12" ht="15.5">
      <c r="A1215" s="180" t="s">
        <v>11</v>
      </c>
      <c r="B1215" s="242">
        <f t="shared" si="672"/>
        <v>0</v>
      </c>
      <c r="C1215" s="241">
        <f t="shared" si="667"/>
        <v>0</v>
      </c>
      <c r="D1215" s="242">
        <v>0</v>
      </c>
      <c r="E1215" s="242"/>
      <c r="F1215" s="242"/>
      <c r="G1215" s="32"/>
      <c r="H1215" s="250">
        <f t="shared" si="668"/>
        <v>0</v>
      </c>
      <c r="I1215" s="241">
        <f t="shared" si="669"/>
        <v>0</v>
      </c>
      <c r="J1215" s="242">
        <f t="shared" si="670"/>
        <v>0</v>
      </c>
      <c r="K1215" s="849">
        <f t="shared" si="671"/>
        <v>0</v>
      </c>
      <c r="L1215" s="242">
        <f t="shared" si="673"/>
        <v>0</v>
      </c>
    </row>
    <row r="1216" spans="1:12" ht="15.5">
      <c r="A1216" s="180" t="s">
        <v>12</v>
      </c>
      <c r="B1216" s="242">
        <f t="shared" si="672"/>
        <v>70048.076923076922</v>
      </c>
      <c r="C1216" s="241">
        <f t="shared" si="667"/>
        <v>7.9917415929798806E-3</v>
      </c>
      <c r="D1216" s="242">
        <v>70048.076923076922</v>
      </c>
      <c r="E1216" s="242"/>
      <c r="F1216" s="242"/>
      <c r="G1216" s="32"/>
      <c r="H1216" s="250">
        <f t="shared" si="668"/>
        <v>-1164.0442890442937</v>
      </c>
      <c r="I1216" s="241">
        <f t="shared" si="669"/>
        <v>3.7873664619504983</v>
      </c>
      <c r="J1216" s="242">
        <f t="shared" si="670"/>
        <v>-1164.0442890442937</v>
      </c>
      <c r="K1216" s="849">
        <f t="shared" si="671"/>
        <v>0</v>
      </c>
      <c r="L1216" s="242">
        <f t="shared" si="673"/>
        <v>0</v>
      </c>
    </row>
    <row r="1217" spans="1:12" ht="15.5">
      <c r="A1217" s="180" t="s">
        <v>13</v>
      </c>
      <c r="B1217" s="242">
        <f t="shared" si="672"/>
        <v>2735144.2889657775</v>
      </c>
      <c r="C1217" s="241">
        <f t="shared" si="667"/>
        <v>0.31205091327393758</v>
      </c>
      <c r="D1217" s="242">
        <v>2735144.2889657775</v>
      </c>
      <c r="E1217" s="242">
        <v>0</v>
      </c>
      <c r="F1217" s="242">
        <v>0</v>
      </c>
      <c r="G1217" s="32"/>
      <c r="H1217" s="250">
        <f t="shared" si="668"/>
        <v>0</v>
      </c>
      <c r="I1217" s="241">
        <f t="shared" si="669"/>
        <v>0</v>
      </c>
      <c r="J1217" s="242">
        <f t="shared" si="670"/>
        <v>0</v>
      </c>
      <c r="K1217" s="849">
        <f t="shared" si="671"/>
        <v>0</v>
      </c>
      <c r="L1217" s="242">
        <f t="shared" si="673"/>
        <v>0</v>
      </c>
    </row>
    <row r="1218" spans="1:12" ht="15.5">
      <c r="A1218" s="180"/>
      <c r="B1218" s="242">
        <f>SUM(D1218:E1218)</f>
        <v>0</v>
      </c>
      <c r="C1218" s="241">
        <f t="shared" ref="C1218" si="674">+B1218/$B$12</f>
        <v>0</v>
      </c>
      <c r="D1218" s="242"/>
      <c r="E1218" s="242"/>
      <c r="F1218" s="242"/>
      <c r="G1218" s="32"/>
      <c r="H1218" s="250"/>
      <c r="I1218" s="241">
        <f t="shared" ref="I1218" si="675">+H1218/$H$1109</f>
        <v>0</v>
      </c>
      <c r="J1218" s="242"/>
      <c r="K1218" s="242"/>
      <c r="L1218" s="242"/>
    </row>
    <row r="1219" spans="1:12" ht="15.5">
      <c r="A1219" s="180"/>
      <c r="B1219" s="243">
        <f>SUM(B1211:B1218)</f>
        <v>8765057.7922350094</v>
      </c>
      <c r="C1219" s="240">
        <f>SUM(C1211:C1218)</f>
        <v>1</v>
      </c>
      <c r="D1219" s="243">
        <f>SUM(D1211:D1218)</f>
        <v>3876653.3722350085</v>
      </c>
      <c r="E1219" s="243">
        <f>SUM(E1211:E1217)</f>
        <v>2807213.53</v>
      </c>
      <c r="F1219" s="243">
        <f>SUM(F1211:F1217)</f>
        <v>2081190.89</v>
      </c>
      <c r="G1219" s="32">
        <f>+B1219-B1208</f>
        <v>-307.3492625374347</v>
      </c>
      <c r="H1219" s="243">
        <f>SUM(H1211:H1218)</f>
        <v>-307.34926253870071</v>
      </c>
      <c r="I1219" s="240">
        <f>SUM(I1211:I1218)</f>
        <v>1.0000000000000004</v>
      </c>
      <c r="J1219" s="243">
        <f>SUM(J1211:J1218)</f>
        <v>7341.9207374617836</v>
      </c>
      <c r="K1219" s="243">
        <f>SUM(K1211:K1218)</f>
        <v>-21840.130000000354</v>
      </c>
      <c r="L1219" s="243">
        <f>SUM(L1211:L1218)</f>
        <v>14190.85999999987</v>
      </c>
    </row>
    <row r="1220" spans="1:12" ht="16" thickBot="1">
      <c r="A1220" s="180"/>
      <c r="B1220" s="334"/>
      <c r="C1220" s="335"/>
      <c r="D1220" s="334"/>
      <c r="E1220" s="334"/>
      <c r="F1220" s="334"/>
      <c r="H1220" s="254">
        <f>+A1221</f>
        <v>43248</v>
      </c>
      <c r="I1220" s="254"/>
      <c r="J1220" s="254">
        <f>+A1210</f>
        <v>43218</v>
      </c>
      <c r="L1220" s="334"/>
    </row>
    <row r="1221" spans="1:12" ht="16" thickBot="1">
      <c r="A1221" s="253">
        <v>43248</v>
      </c>
      <c r="B1221" s="251">
        <v>25</v>
      </c>
      <c r="C1221" s="238" t="s">
        <v>3</v>
      </c>
      <c r="D1221" s="238" t="s">
        <v>4</v>
      </c>
      <c r="E1221" s="238" t="s">
        <v>5</v>
      </c>
      <c r="F1221" s="238" t="s">
        <v>6</v>
      </c>
      <c r="G1221" s="32"/>
      <c r="H1221" s="251">
        <f>+B1221-B1210</f>
        <v>4.1999999999999993</v>
      </c>
      <c r="I1221" s="238" t="s">
        <v>3</v>
      </c>
      <c r="J1221" s="238" t="s">
        <v>4</v>
      </c>
      <c r="K1221" s="238" t="s">
        <v>5</v>
      </c>
      <c r="L1221" s="238" t="s">
        <v>114</v>
      </c>
    </row>
    <row r="1222" spans="1:12" ht="15.5">
      <c r="A1222" s="180" t="s">
        <v>7</v>
      </c>
      <c r="B1222" s="250">
        <f>SUM(D1222:F1222)</f>
        <v>5381541.6875999998</v>
      </c>
      <c r="C1222" s="241">
        <f>+B1222/$B$1230</f>
        <v>0.62811804336493271</v>
      </c>
      <c r="D1222" s="242">
        <v>90592.937600000005</v>
      </c>
      <c r="E1222" s="242">
        <v>3207707.5</v>
      </c>
      <c r="F1222" s="242">
        <v>2083241.25</v>
      </c>
      <c r="H1222" s="250">
        <f>SUM(J1222:L1222)</f>
        <v>384038.20269615419</v>
      </c>
      <c r="I1222" s="241">
        <f>+H1222/$H$1230</f>
        <v>-1.9461295608333977</v>
      </c>
      <c r="J1222" s="242">
        <f>+D1222-D1211</f>
        <v>-18506.127303846137</v>
      </c>
      <c r="K1222" s="849">
        <f>+E1222-E1211</f>
        <v>400493.9700000002</v>
      </c>
      <c r="L1222" s="242">
        <f>+F1222-F1211</f>
        <v>2050.3600000001024</v>
      </c>
    </row>
    <row r="1223" spans="1:12" ht="15.5">
      <c r="A1223" s="180" t="s">
        <v>8</v>
      </c>
      <c r="B1223" s="242">
        <f>SUM(D1223:F1223)</f>
        <v>0</v>
      </c>
      <c r="C1223" s="241">
        <f t="shared" ref="C1223:C1228" si="676">+B1223/$B$1230</f>
        <v>0</v>
      </c>
      <c r="D1223" s="242">
        <v>0</v>
      </c>
      <c r="F1223" s="242"/>
      <c r="G1223" s="32"/>
      <c r="H1223" s="250">
        <f t="shared" ref="H1223:H1228" si="677">SUM(J1223:L1223)</f>
        <v>0</v>
      </c>
      <c r="I1223" s="241">
        <f t="shared" ref="I1223:I1228" si="678">+H1223/$H$1230</f>
        <v>0</v>
      </c>
      <c r="J1223" s="242">
        <f t="shared" ref="J1223:J1228" si="679">+D1223-D1212</f>
        <v>0</v>
      </c>
      <c r="K1223" s="849">
        <f t="shared" ref="K1223:K1228" si="680">+E1223-E1212</f>
        <v>0</v>
      </c>
      <c r="L1223" s="242">
        <f>+F1223-F1212</f>
        <v>0</v>
      </c>
    </row>
    <row r="1224" spans="1:12" ht="15.5">
      <c r="A1224" s="180" t="s">
        <v>9</v>
      </c>
      <c r="B1224" s="242">
        <f t="shared" ref="B1224:B1228" si="681">SUM(D1224:F1224)</f>
        <v>392757.47039999999</v>
      </c>
      <c r="C1224" s="241">
        <f t="shared" si="676"/>
        <v>4.5841520542903774E-2</v>
      </c>
      <c r="D1224" s="242">
        <v>392757.47039999999</v>
      </c>
      <c r="E1224" s="242"/>
      <c r="F1224" s="242"/>
      <c r="G1224" s="32"/>
      <c r="H1224" s="250">
        <f t="shared" si="677"/>
        <v>-569604.47104230803</v>
      </c>
      <c r="I1224" s="241">
        <f t="shared" si="678"/>
        <v>2.8864943416979689</v>
      </c>
      <c r="J1224" s="242">
        <f t="shared" si="679"/>
        <v>-569604.47104230803</v>
      </c>
      <c r="K1224" s="849">
        <f t="shared" si="680"/>
        <v>0</v>
      </c>
      <c r="L1224" s="242">
        <f t="shared" ref="L1224:L1228" si="682">+F1224-F1213</f>
        <v>0</v>
      </c>
    </row>
    <row r="1225" spans="1:12" ht="15.5">
      <c r="A1225" s="180" t="s">
        <v>162</v>
      </c>
      <c r="B1225" s="242">
        <f t="shared" si="681"/>
        <v>0</v>
      </c>
      <c r="C1225" s="241">
        <f t="shared" si="676"/>
        <v>0</v>
      </c>
      <c r="D1225" s="242">
        <v>0</v>
      </c>
      <c r="E1225" s="242"/>
      <c r="F1225" s="242"/>
      <c r="G1225" s="32"/>
      <c r="H1225" s="250">
        <f t="shared" si="677"/>
        <v>0</v>
      </c>
      <c r="I1225" s="241">
        <f t="shared" si="678"/>
        <v>0</v>
      </c>
      <c r="J1225" s="242">
        <f t="shared" si="679"/>
        <v>0</v>
      </c>
      <c r="K1225" s="849">
        <f t="shared" si="680"/>
        <v>0</v>
      </c>
      <c r="L1225" s="242">
        <f t="shared" si="682"/>
        <v>0</v>
      </c>
    </row>
    <row r="1226" spans="1:12" ht="15.5">
      <c r="A1226" s="180" t="s">
        <v>11</v>
      </c>
      <c r="B1226" s="242">
        <f t="shared" si="681"/>
        <v>0</v>
      </c>
      <c r="C1226" s="241">
        <f t="shared" si="676"/>
        <v>0</v>
      </c>
      <c r="D1226" s="242">
        <v>0</v>
      </c>
      <c r="E1226" s="242"/>
      <c r="F1226" s="242"/>
      <c r="G1226" s="32"/>
      <c r="H1226" s="250">
        <f t="shared" si="677"/>
        <v>0</v>
      </c>
      <c r="I1226" s="241">
        <f t="shared" si="678"/>
        <v>0</v>
      </c>
      <c r="J1226" s="242">
        <f t="shared" si="679"/>
        <v>0</v>
      </c>
      <c r="K1226" s="849">
        <f t="shared" si="680"/>
        <v>0</v>
      </c>
      <c r="L1226" s="242">
        <f t="shared" si="682"/>
        <v>0</v>
      </c>
    </row>
    <row r="1227" spans="1:12" ht="15.5">
      <c r="A1227" s="180" t="s">
        <v>12</v>
      </c>
      <c r="B1227" s="242">
        <f t="shared" si="681"/>
        <v>58280</v>
      </c>
      <c r="C1227" s="241">
        <f t="shared" si="676"/>
        <v>6.8022737149201077E-3</v>
      </c>
      <c r="D1227" s="242">
        <v>58280</v>
      </c>
      <c r="E1227" s="242"/>
      <c r="F1227" s="242"/>
      <c r="G1227" s="32"/>
      <c r="H1227" s="250">
        <f t="shared" si="677"/>
        <v>-11768.076923076922</v>
      </c>
      <c r="I1227" s="241">
        <f t="shared" si="678"/>
        <v>5.9635219135428685E-2</v>
      </c>
      <c r="J1227" s="242">
        <f t="shared" si="679"/>
        <v>-11768.076923076922</v>
      </c>
      <c r="K1227" s="849">
        <f t="shared" si="680"/>
        <v>0</v>
      </c>
      <c r="L1227" s="242">
        <f t="shared" si="682"/>
        <v>0</v>
      </c>
    </row>
    <row r="1228" spans="1:12" ht="15.5">
      <c r="A1228" s="180" t="s">
        <v>13</v>
      </c>
      <c r="B1228" s="242">
        <f t="shared" si="681"/>
        <v>2735144.2889657775</v>
      </c>
      <c r="C1228" s="241">
        <f t="shared" si="676"/>
        <v>0.31923816237724356</v>
      </c>
      <c r="D1228" s="242">
        <v>2735144.2889657775</v>
      </c>
      <c r="E1228" s="242">
        <v>0</v>
      </c>
      <c r="F1228" s="242">
        <v>0</v>
      </c>
      <c r="G1228" s="32"/>
      <c r="H1228" s="250">
        <f t="shared" si="677"/>
        <v>0</v>
      </c>
      <c r="I1228" s="241">
        <f t="shared" si="678"/>
        <v>0</v>
      </c>
      <c r="J1228" s="242">
        <f t="shared" si="679"/>
        <v>0</v>
      </c>
      <c r="K1228" s="849">
        <f t="shared" si="680"/>
        <v>0</v>
      </c>
      <c r="L1228" s="242">
        <f t="shared" si="682"/>
        <v>0</v>
      </c>
    </row>
    <row r="1229" spans="1:12" ht="15.5">
      <c r="A1229" s="180"/>
      <c r="B1229" s="242">
        <f>SUM(D1229:E1229)</f>
        <v>0</v>
      </c>
      <c r="C1229" s="241">
        <f t="shared" ref="C1229" si="683">+B1229/$B$12</f>
        <v>0</v>
      </c>
      <c r="D1229" s="242"/>
      <c r="E1229" s="242"/>
      <c r="F1229" s="242"/>
      <c r="G1229" s="32"/>
      <c r="H1229" s="250"/>
      <c r="I1229" s="241">
        <f t="shared" ref="I1229" si="684">+H1229/$H$1109</f>
        <v>0</v>
      </c>
      <c r="J1229" s="242"/>
      <c r="K1229" s="242"/>
      <c r="L1229" s="242"/>
    </row>
    <row r="1230" spans="1:12" ht="15.5">
      <c r="A1230" s="180"/>
      <c r="B1230" s="243">
        <f>SUM(B1222:B1229)</f>
        <v>8567723.4469657764</v>
      </c>
      <c r="C1230" s="240">
        <f>SUM(C1222:C1229)</f>
        <v>1.0000000000000002</v>
      </c>
      <c r="D1230" s="243">
        <f>SUM(D1222:D1229)</f>
        <v>3276774.6969657773</v>
      </c>
      <c r="E1230" s="243">
        <f>SUM(E1222:E1228)</f>
        <v>3207707.5</v>
      </c>
      <c r="F1230" s="243">
        <f>SUM(F1222:F1228)</f>
        <v>2083241.25</v>
      </c>
      <c r="G1230" s="32">
        <f>+B1230-B1219</f>
        <v>-197334.34526923299</v>
      </c>
      <c r="H1230" s="243">
        <f>SUM(H1222:H1229)</f>
        <v>-197334.34526923078</v>
      </c>
      <c r="I1230" s="240">
        <f>SUM(I1222:I1229)</f>
        <v>0.99999999999999989</v>
      </c>
      <c r="J1230" s="243">
        <f>SUM(J1222:J1229)</f>
        <v>-599878.67526923108</v>
      </c>
      <c r="K1230" s="243">
        <f>SUM(K1222:K1229)</f>
        <v>400493.9700000002</v>
      </c>
      <c r="L1230" s="243">
        <f>SUM(L1222:L1229)</f>
        <v>2050.3600000001024</v>
      </c>
    </row>
    <row r="1231" spans="1:12" ht="16" thickBot="1">
      <c r="A1231" s="180"/>
      <c r="B1231" s="334"/>
      <c r="C1231" s="335"/>
      <c r="D1231" s="334"/>
      <c r="E1231" s="334"/>
      <c r="F1231" s="334"/>
      <c r="H1231" s="254">
        <f>+A1232</f>
        <v>43279</v>
      </c>
      <c r="I1231" s="254"/>
      <c r="J1231" s="254">
        <f>+A1221</f>
        <v>43248</v>
      </c>
      <c r="L1231" s="334"/>
    </row>
    <row r="1232" spans="1:12" ht="16" thickBot="1">
      <c r="A1232" s="253">
        <v>43279</v>
      </c>
      <c r="B1232" s="251">
        <v>29.6</v>
      </c>
      <c r="C1232" s="238" t="s">
        <v>3</v>
      </c>
      <c r="D1232" s="238" t="s">
        <v>4</v>
      </c>
      <c r="E1232" s="238" t="s">
        <v>5</v>
      </c>
      <c r="F1232" s="238" t="s">
        <v>6</v>
      </c>
      <c r="G1232" s="32"/>
      <c r="H1232" s="251">
        <f>+B1232-B1221</f>
        <v>4.6000000000000014</v>
      </c>
      <c r="I1232" s="238" t="s">
        <v>3</v>
      </c>
      <c r="J1232" s="238" t="s">
        <v>4</v>
      </c>
      <c r="K1232" s="238" t="s">
        <v>5</v>
      </c>
      <c r="L1232" s="238" t="s">
        <v>114</v>
      </c>
    </row>
    <row r="1233" spans="1:12" ht="15.5">
      <c r="A1233" s="180" t="s">
        <v>7</v>
      </c>
      <c r="B1233" s="250">
        <f>SUM(D1233:F1233)</f>
        <v>5183430.805810811</v>
      </c>
      <c r="C1233" s="241">
        <f>+B1233/$B$1241</f>
        <v>0.62009309161193515</v>
      </c>
      <c r="D1233" s="242">
        <v>71837.285810810819</v>
      </c>
      <c r="E1233" s="242">
        <v>3066196.31</v>
      </c>
      <c r="F1233" s="242">
        <v>2045397.21</v>
      </c>
      <c r="H1233" s="250">
        <f>SUM(J1233:L1233)</f>
        <v>-198110.88178918918</v>
      </c>
      <c r="I1233" s="241">
        <f>+H1233/$H$1241</f>
        <v>0.9496879942731079</v>
      </c>
      <c r="J1233" s="242">
        <f>+D1233-D1222</f>
        <v>-18755.651789189185</v>
      </c>
      <c r="K1233" s="849">
        <f>+E1233-E1222</f>
        <v>-141511.18999999994</v>
      </c>
      <c r="L1233" s="242">
        <f>+F1233-F1222</f>
        <v>-37844.040000000037</v>
      </c>
    </row>
    <row r="1234" spans="1:12" ht="15.5">
      <c r="A1234" s="180" t="s">
        <v>8</v>
      </c>
      <c r="B1234" s="242">
        <f>SUM(D1234:F1234)</f>
        <v>0</v>
      </c>
      <c r="C1234" s="241">
        <f t="shared" ref="C1234:C1239" si="685">+B1234/$B$1241</f>
        <v>0</v>
      </c>
      <c r="D1234" s="242">
        <v>0</v>
      </c>
      <c r="F1234" s="242"/>
      <c r="G1234" s="32"/>
      <c r="H1234" s="250">
        <f t="shared" ref="H1234:H1239" si="686">SUM(J1234:L1234)</f>
        <v>0</v>
      </c>
      <c r="I1234" s="241">
        <f t="shared" ref="I1234:I1239" si="687">+H1234/$H$1241</f>
        <v>0</v>
      </c>
      <c r="J1234" s="242">
        <f t="shared" ref="J1234:J1239" si="688">+D1234-D1223</f>
        <v>0</v>
      </c>
      <c r="K1234" s="849">
        <f t="shared" ref="K1234:K1239" si="689">+E1234-E1223</f>
        <v>0</v>
      </c>
      <c r="L1234" s="242">
        <f>+F1234-F1223</f>
        <v>0</v>
      </c>
    </row>
    <row r="1235" spans="1:12" ht="15.5">
      <c r="A1235" s="180" t="s">
        <v>9</v>
      </c>
      <c r="B1235" s="242">
        <f t="shared" ref="B1235:B1239" si="690">SUM(D1235:F1235)</f>
        <v>391319.09695945942</v>
      </c>
      <c r="C1235" s="241">
        <f t="shared" si="685"/>
        <v>4.6813448029123433E-2</v>
      </c>
      <c r="D1235" s="242">
        <v>391319.09695945942</v>
      </c>
      <c r="E1235" s="242"/>
      <c r="F1235" s="242"/>
      <c r="G1235" s="32"/>
      <c r="H1235" s="250">
        <f t="shared" si="686"/>
        <v>-1438.3734405405703</v>
      </c>
      <c r="I1235" s="241">
        <f t="shared" si="687"/>
        <v>6.8951587889869558E-3</v>
      </c>
      <c r="J1235" s="242">
        <f t="shared" si="688"/>
        <v>-1438.3734405405703</v>
      </c>
      <c r="K1235" s="849">
        <f t="shared" si="689"/>
        <v>0</v>
      </c>
      <c r="L1235" s="242">
        <f t="shared" ref="L1235:L1239" si="691">+F1235-F1224</f>
        <v>0</v>
      </c>
    </row>
    <row r="1236" spans="1:12" ht="15.5">
      <c r="A1236" s="180" t="s">
        <v>162</v>
      </c>
      <c r="B1236" s="242">
        <f t="shared" si="690"/>
        <v>0</v>
      </c>
      <c r="C1236" s="241">
        <f t="shared" si="685"/>
        <v>0</v>
      </c>
      <c r="D1236" s="242">
        <v>0</v>
      </c>
      <c r="E1236" s="242"/>
      <c r="F1236" s="242"/>
      <c r="G1236" s="32"/>
      <c r="H1236" s="250">
        <f t="shared" si="686"/>
        <v>0</v>
      </c>
      <c r="I1236" s="241">
        <f t="shared" si="687"/>
        <v>0</v>
      </c>
      <c r="J1236" s="242">
        <f t="shared" si="688"/>
        <v>0</v>
      </c>
      <c r="K1236" s="849">
        <f t="shared" si="689"/>
        <v>0</v>
      </c>
      <c r="L1236" s="242">
        <f t="shared" si="691"/>
        <v>0</v>
      </c>
    </row>
    <row r="1237" spans="1:12" ht="15.5">
      <c r="A1237" s="180" t="s">
        <v>11</v>
      </c>
      <c r="B1237" s="242">
        <f t="shared" si="690"/>
        <v>0</v>
      </c>
      <c r="C1237" s="241">
        <f t="shared" si="685"/>
        <v>0</v>
      </c>
      <c r="D1237" s="242">
        <v>0</v>
      </c>
      <c r="E1237" s="242"/>
      <c r="F1237" s="242"/>
      <c r="G1237" s="32"/>
      <c r="H1237" s="250">
        <f t="shared" si="686"/>
        <v>0</v>
      </c>
      <c r="I1237" s="241">
        <f t="shared" si="687"/>
        <v>0</v>
      </c>
      <c r="J1237" s="242">
        <f t="shared" si="688"/>
        <v>0</v>
      </c>
      <c r="K1237" s="849">
        <f t="shared" si="689"/>
        <v>0</v>
      </c>
      <c r="L1237" s="242">
        <f t="shared" si="691"/>
        <v>0</v>
      </c>
    </row>
    <row r="1238" spans="1:12" ht="15.5">
      <c r="A1238" s="180" t="s">
        <v>12</v>
      </c>
      <c r="B1238" s="242">
        <f t="shared" si="690"/>
        <v>49222.972972972973</v>
      </c>
      <c r="C1238" s="241">
        <f t="shared" si="685"/>
        <v>5.8885372705128735E-3</v>
      </c>
      <c r="D1238" s="242">
        <v>49222.972972972973</v>
      </c>
      <c r="E1238" s="242"/>
      <c r="F1238" s="242"/>
      <c r="G1238" s="32"/>
      <c r="H1238" s="250">
        <f t="shared" si="686"/>
        <v>-9057.0270270270266</v>
      </c>
      <c r="I1238" s="241">
        <f t="shared" si="687"/>
        <v>4.3416846937905047E-2</v>
      </c>
      <c r="J1238" s="242">
        <f t="shared" si="688"/>
        <v>-9057.0270270270266</v>
      </c>
      <c r="K1238" s="849">
        <f t="shared" si="689"/>
        <v>0</v>
      </c>
      <c r="L1238" s="242">
        <f t="shared" si="691"/>
        <v>0</v>
      </c>
    </row>
    <row r="1239" spans="1:12" ht="15.5">
      <c r="A1239" s="180" t="s">
        <v>13</v>
      </c>
      <c r="B1239" s="242">
        <f t="shared" si="690"/>
        <v>2735144.2889657775</v>
      </c>
      <c r="C1239" s="241">
        <f t="shared" si="685"/>
        <v>0.32720492308842847</v>
      </c>
      <c r="D1239" s="242">
        <v>2735144.2889657775</v>
      </c>
      <c r="E1239" s="242">
        <v>0</v>
      </c>
      <c r="F1239" s="242">
        <v>0</v>
      </c>
      <c r="G1239" s="32"/>
      <c r="H1239" s="250">
        <f t="shared" si="686"/>
        <v>0</v>
      </c>
      <c r="I1239" s="241">
        <f t="shared" si="687"/>
        <v>0</v>
      </c>
      <c r="J1239" s="242">
        <f t="shared" si="688"/>
        <v>0</v>
      </c>
      <c r="K1239" s="849">
        <f t="shared" si="689"/>
        <v>0</v>
      </c>
      <c r="L1239" s="242">
        <f t="shared" si="691"/>
        <v>0</v>
      </c>
    </row>
    <row r="1240" spans="1:12" ht="15.5">
      <c r="A1240" s="180"/>
      <c r="B1240" s="242">
        <v>0</v>
      </c>
      <c r="C1240" s="241">
        <v>0</v>
      </c>
      <c r="D1240" s="242"/>
      <c r="E1240" s="242"/>
      <c r="F1240" s="242"/>
      <c r="G1240" s="32"/>
      <c r="H1240" s="250"/>
      <c r="I1240" s="241">
        <f t="shared" ref="I1240" si="692">+H1240/$H$1109</f>
        <v>0</v>
      </c>
      <c r="J1240" s="242"/>
      <c r="K1240" s="242"/>
      <c r="L1240" s="242"/>
    </row>
    <row r="1241" spans="1:12" ht="15.5">
      <c r="A1241" s="180"/>
      <c r="B1241" s="243">
        <f>SUM(B1233:B1240)</f>
        <v>8359117.1647090213</v>
      </c>
      <c r="C1241" s="240">
        <f>SUM(C1233:C1240)</f>
        <v>1</v>
      </c>
      <c r="D1241" s="243">
        <f>SUM(D1233:D1240)</f>
        <v>3247523.6447090209</v>
      </c>
      <c r="E1241" s="243">
        <f>SUM(E1233:E1239)</f>
        <v>3066196.31</v>
      </c>
      <c r="F1241" s="243">
        <f>SUM(F1233:F1239)</f>
        <v>2045397.21</v>
      </c>
      <c r="G1241" s="32">
        <f>+B1241-B1230</f>
        <v>-208606.28225675505</v>
      </c>
      <c r="H1241" s="243">
        <f>SUM(H1233:H1240)</f>
        <v>-208606.28225675679</v>
      </c>
      <c r="I1241" s="240">
        <f>SUM(I1233:I1240)</f>
        <v>0.99999999999999989</v>
      </c>
      <c r="J1241" s="243">
        <f>SUM(J1233:J1240)</f>
        <v>-29251.052256756782</v>
      </c>
      <c r="K1241" s="243">
        <f>SUM(K1233:K1240)</f>
        <v>-141511.18999999994</v>
      </c>
      <c r="L1241" s="243">
        <f>SUM(L1233:L1240)</f>
        <v>-37844.040000000037</v>
      </c>
    </row>
    <row r="1242" spans="1:12" ht="16" thickBot="1">
      <c r="A1242" s="180"/>
      <c r="B1242" s="334"/>
      <c r="C1242" s="335"/>
      <c r="D1242" s="334"/>
      <c r="E1242" s="334"/>
      <c r="F1242" s="334"/>
      <c r="H1242" s="254">
        <f>+A1243</f>
        <v>43309</v>
      </c>
      <c r="I1242" s="254"/>
      <c r="J1242" s="254">
        <f>+A1232</f>
        <v>43279</v>
      </c>
      <c r="L1242" s="334"/>
    </row>
    <row r="1243" spans="1:12" ht="16" thickBot="1">
      <c r="A1243" s="253">
        <v>43309</v>
      </c>
      <c r="B1243" s="251">
        <v>29.6</v>
      </c>
      <c r="C1243" s="238" t="s">
        <v>3</v>
      </c>
      <c r="D1243" s="238" t="s">
        <v>4</v>
      </c>
      <c r="E1243" s="238" t="s">
        <v>5</v>
      </c>
      <c r="F1243" s="238" t="s">
        <v>6</v>
      </c>
      <c r="G1243" s="32"/>
      <c r="H1243" s="251">
        <f>+B1243-B1232</f>
        <v>0</v>
      </c>
      <c r="I1243" s="238" t="s">
        <v>3</v>
      </c>
      <c r="J1243" s="238" t="s">
        <v>4</v>
      </c>
      <c r="K1243" s="238" t="s">
        <v>5</v>
      </c>
      <c r="L1243" s="238" t="s">
        <v>114</v>
      </c>
    </row>
    <row r="1244" spans="1:12" ht="15.5">
      <c r="A1244" s="180" t="s">
        <v>7</v>
      </c>
      <c r="B1244" s="250">
        <f>SUM(D1244:F1244)</f>
        <v>5423317.7807142856</v>
      </c>
      <c r="C1244" s="241">
        <f>+B1244/$B$1252</f>
        <v>0.63477731787152225</v>
      </c>
      <c r="D1244" s="242">
        <v>159830.6507142857</v>
      </c>
      <c r="E1244" s="242">
        <v>3145716.9</v>
      </c>
      <c r="F1244" s="242">
        <v>2117770.23</v>
      </c>
      <c r="H1244" s="250">
        <f>SUM(J1244:L1244)</f>
        <v>239886.97490347474</v>
      </c>
      <c r="I1244" s="241">
        <f>+H1244/$H$1252</f>
        <v>1.2999407652866559</v>
      </c>
      <c r="J1244" s="242">
        <f>+D1244-D1233</f>
        <v>87993.364903474881</v>
      </c>
      <c r="K1244" s="849">
        <f>+E1244-E1233</f>
        <v>79520.589999999851</v>
      </c>
      <c r="L1244" s="242">
        <f>+F1244-F1233</f>
        <v>72373.020000000019</v>
      </c>
    </row>
    <row r="1245" spans="1:12" ht="15.5">
      <c r="A1245" s="180" t="s">
        <v>8</v>
      </c>
      <c r="B1245" s="242">
        <f>SUM(D1245:F1245)</f>
        <v>0</v>
      </c>
      <c r="C1245" s="241">
        <f t="shared" ref="C1245:C1250" si="693">+B1245/$B$1252</f>
        <v>0</v>
      </c>
      <c r="D1245" s="242">
        <v>0</v>
      </c>
      <c r="F1245" s="242"/>
      <c r="G1245" s="32"/>
      <c r="H1245" s="250">
        <f t="shared" ref="H1245:H1250" si="694">SUM(J1245:L1245)</f>
        <v>0</v>
      </c>
      <c r="I1245" s="241">
        <f t="shared" ref="I1245:I1250" si="695">+H1245/$H$1252</f>
        <v>0</v>
      </c>
      <c r="J1245" s="242">
        <f t="shared" ref="J1245:J1250" si="696">+D1245-D1234</f>
        <v>0</v>
      </c>
      <c r="K1245" s="849">
        <f t="shared" ref="K1245:K1250" si="697">+E1245-E1234</f>
        <v>0</v>
      </c>
      <c r="L1245" s="242">
        <f>+F1245-F1234</f>
        <v>0</v>
      </c>
    </row>
    <row r="1246" spans="1:12" ht="15.5">
      <c r="A1246" s="180" t="s">
        <v>9</v>
      </c>
      <c r="B1246" s="242">
        <f t="shared" ref="B1246:B1250" si="698">SUM(D1246:F1246)</f>
        <v>333156.23142857145</v>
      </c>
      <c r="C1246" s="241">
        <f t="shared" si="693"/>
        <v>3.8994583679099741E-2</v>
      </c>
      <c r="D1246" s="242">
        <v>333156.23142857145</v>
      </c>
      <c r="E1246" s="242"/>
      <c r="F1246" s="242"/>
      <c r="G1246" s="32"/>
      <c r="H1246" s="250">
        <f t="shared" si="694"/>
        <v>-58162.865530887968</v>
      </c>
      <c r="I1246" s="241">
        <f t="shared" si="695"/>
        <v>-0.31518293129466696</v>
      </c>
      <c r="J1246" s="242">
        <f t="shared" si="696"/>
        <v>-58162.865530887968</v>
      </c>
      <c r="K1246" s="849">
        <f t="shared" si="697"/>
        <v>0</v>
      </c>
      <c r="L1246" s="242">
        <f t="shared" ref="L1246:L1250" si="699">+F1246-F1235</f>
        <v>0</v>
      </c>
    </row>
    <row r="1247" spans="1:12" ht="15.5">
      <c r="A1247" s="180" t="s">
        <v>162</v>
      </c>
      <c r="B1247" s="242">
        <f t="shared" si="698"/>
        <v>0</v>
      </c>
      <c r="C1247" s="241">
        <f t="shared" si="693"/>
        <v>0</v>
      </c>
      <c r="D1247" s="242">
        <v>0</v>
      </c>
      <c r="E1247" s="242"/>
      <c r="F1247" s="242"/>
      <c r="G1247" s="32"/>
      <c r="H1247" s="250">
        <f t="shared" si="694"/>
        <v>0</v>
      </c>
      <c r="I1247" s="241">
        <f t="shared" si="695"/>
        <v>0</v>
      </c>
      <c r="J1247" s="242">
        <f t="shared" si="696"/>
        <v>0</v>
      </c>
      <c r="K1247" s="849">
        <f t="shared" si="697"/>
        <v>0</v>
      </c>
      <c r="L1247" s="242">
        <f t="shared" si="699"/>
        <v>0</v>
      </c>
    </row>
    <row r="1248" spans="1:12" ht="15.5">
      <c r="A1248" s="180" t="s">
        <v>11</v>
      </c>
      <c r="B1248" s="242">
        <f t="shared" si="698"/>
        <v>0</v>
      </c>
      <c r="C1248" s="241">
        <f t="shared" si="693"/>
        <v>0</v>
      </c>
      <c r="D1248" s="242">
        <v>0</v>
      </c>
      <c r="E1248" s="242"/>
      <c r="F1248" s="242"/>
      <c r="G1248" s="32"/>
      <c r="H1248" s="250">
        <f t="shared" si="694"/>
        <v>0</v>
      </c>
      <c r="I1248" s="241">
        <f t="shared" si="695"/>
        <v>0</v>
      </c>
      <c r="J1248" s="242">
        <f t="shared" si="696"/>
        <v>0</v>
      </c>
      <c r="K1248" s="849">
        <f t="shared" si="697"/>
        <v>0</v>
      </c>
      <c r="L1248" s="242">
        <f t="shared" si="699"/>
        <v>0</v>
      </c>
    </row>
    <row r="1249" spans="1:12" ht="15.5">
      <c r="A1249" s="180" t="s">
        <v>12</v>
      </c>
      <c r="B1249" s="242">
        <f t="shared" si="698"/>
        <v>52035.714285714283</v>
      </c>
      <c r="C1249" s="241">
        <f t="shared" si="693"/>
        <v>6.0905689991605392E-3</v>
      </c>
      <c r="D1249" s="242">
        <v>52035.714285714283</v>
      </c>
      <c r="E1249" s="242"/>
      <c r="F1249" s="242"/>
      <c r="G1249" s="32"/>
      <c r="H1249" s="250">
        <f t="shared" si="694"/>
        <v>2812.7413127413092</v>
      </c>
      <c r="I1249" s="241">
        <f t="shared" si="695"/>
        <v>1.5242166008011001E-2</v>
      </c>
      <c r="J1249" s="242">
        <f t="shared" si="696"/>
        <v>2812.7413127413092</v>
      </c>
      <c r="K1249" s="849">
        <f t="shared" si="697"/>
        <v>0</v>
      </c>
      <c r="L1249" s="242">
        <f t="shared" si="699"/>
        <v>0</v>
      </c>
    </row>
    <row r="1250" spans="1:12" ht="15.5">
      <c r="A1250" s="180" t="s">
        <v>13</v>
      </c>
      <c r="B1250" s="242">
        <f t="shared" si="698"/>
        <v>2735144.2889657775</v>
      </c>
      <c r="C1250" s="241">
        <f t="shared" si="693"/>
        <v>0.32013752945021751</v>
      </c>
      <c r="D1250" s="242">
        <v>2735144.2889657775</v>
      </c>
      <c r="E1250" s="242">
        <v>0</v>
      </c>
      <c r="F1250" s="242">
        <v>0</v>
      </c>
      <c r="G1250" s="32"/>
      <c r="H1250" s="250">
        <f t="shared" si="694"/>
        <v>0</v>
      </c>
      <c r="I1250" s="241">
        <f t="shared" si="695"/>
        <v>0</v>
      </c>
      <c r="J1250" s="242">
        <f t="shared" si="696"/>
        <v>0</v>
      </c>
      <c r="K1250" s="849">
        <f t="shared" si="697"/>
        <v>0</v>
      </c>
      <c r="L1250" s="242">
        <f t="shared" si="699"/>
        <v>0</v>
      </c>
    </row>
    <row r="1251" spans="1:12" ht="15.5">
      <c r="A1251" s="180"/>
      <c r="B1251" s="242">
        <v>0</v>
      </c>
      <c r="C1251" s="241">
        <v>0</v>
      </c>
      <c r="D1251" s="242"/>
      <c r="E1251" s="242"/>
      <c r="F1251" s="242"/>
      <c r="G1251" s="32"/>
      <c r="H1251" s="250"/>
      <c r="I1251" s="241">
        <f t="shared" ref="I1251" si="700">+H1251/$H$1109</f>
        <v>0</v>
      </c>
      <c r="J1251" s="242"/>
      <c r="K1251" s="242"/>
      <c r="L1251" s="242"/>
    </row>
    <row r="1252" spans="1:12" ht="15.5">
      <c r="A1252" s="180"/>
      <c r="B1252" s="243">
        <f>SUM(B1244:B1251)</f>
        <v>8543654.0153943487</v>
      </c>
      <c r="C1252" s="240">
        <f>SUM(C1244:C1251)</f>
        <v>1</v>
      </c>
      <c r="D1252" s="243">
        <f>SUM(D1244:D1251)</f>
        <v>3280166.8853943488</v>
      </c>
      <c r="E1252" s="243">
        <f>SUM(E1244:E1250)</f>
        <v>3145716.9</v>
      </c>
      <c r="F1252" s="243">
        <f>SUM(F1244:F1250)</f>
        <v>2117770.23</v>
      </c>
      <c r="G1252" s="32">
        <f>+B1252-B1241</f>
        <v>184536.85068532731</v>
      </c>
      <c r="H1252" s="243">
        <f>SUM(H1244:H1251)</f>
        <v>184536.85068532807</v>
      </c>
      <c r="I1252" s="240">
        <f>SUM(I1244:I1251)</f>
        <v>0.99999999999999989</v>
      </c>
      <c r="J1252" s="243">
        <f>SUM(J1244:J1251)</f>
        <v>32643.240685328223</v>
      </c>
      <c r="K1252" s="243">
        <f>SUM(K1244:K1251)</f>
        <v>79520.589999999851</v>
      </c>
      <c r="L1252" s="243">
        <f>SUM(L1244:L1251)</f>
        <v>72373.020000000019</v>
      </c>
    </row>
    <row r="1253" spans="1:12" ht="16" thickBot="1">
      <c r="A1253" s="180"/>
      <c r="B1253" s="334"/>
      <c r="C1253" s="335"/>
      <c r="D1253" s="334"/>
      <c r="E1253" s="334"/>
      <c r="F1253" s="334"/>
    </row>
    <row r="1254" spans="1:12" ht="16" thickBot="1">
      <c r="A1254" s="253">
        <v>43340</v>
      </c>
      <c r="B1254" s="251">
        <v>38</v>
      </c>
      <c r="C1254" s="238" t="s">
        <v>3</v>
      </c>
      <c r="D1254" s="238" t="s">
        <v>4</v>
      </c>
      <c r="E1254" s="238" t="s">
        <v>5</v>
      </c>
      <c r="F1254" s="238" t="s">
        <v>6</v>
      </c>
      <c r="G1254" s="32"/>
      <c r="H1254" s="251">
        <f>+B1254-B1243</f>
        <v>8.3999999999999986</v>
      </c>
      <c r="I1254" s="238" t="s">
        <v>3</v>
      </c>
      <c r="J1254" s="238" t="s">
        <v>4</v>
      </c>
      <c r="K1254" s="238" t="s">
        <v>5</v>
      </c>
      <c r="L1254" s="238" t="s">
        <v>114</v>
      </c>
    </row>
    <row r="1255" spans="1:12" ht="15.5">
      <c r="A1255" s="180" t="s">
        <v>7</v>
      </c>
      <c r="B1255" s="250">
        <f>SUM(D1255:F1255)</f>
        <v>5147001.1523684207</v>
      </c>
      <c r="C1255" s="241">
        <f>+B1255/$B$1263</f>
        <v>0.62366091486001285</v>
      </c>
      <c r="D1255" s="242">
        <v>132813.68236842105</v>
      </c>
      <c r="E1255" s="242">
        <v>2876446.67</v>
      </c>
      <c r="F1255" s="242">
        <v>2137740.7999999998</v>
      </c>
      <c r="H1255" s="250">
        <f>SUM(J1255:L1255)</f>
        <v>-276316.62834586482</v>
      </c>
      <c r="I1255" s="241">
        <f>+H1255/$H$1263</f>
        <v>0.95029254382706496</v>
      </c>
      <c r="J1255" s="242">
        <f>+D1255-D1244</f>
        <v>-27016.968345864647</v>
      </c>
      <c r="K1255" s="849">
        <f>+E1255-E1244</f>
        <v>-269270.23</v>
      </c>
      <c r="L1255" s="242">
        <f>+F1255-F1244</f>
        <v>19970.569999999832</v>
      </c>
    </row>
    <row r="1256" spans="1:12" ht="15.5">
      <c r="A1256" s="180" t="s">
        <v>8</v>
      </c>
      <c r="B1256" s="242">
        <f>SUM(D1256:F1256)</f>
        <v>0</v>
      </c>
      <c r="C1256" s="241">
        <f t="shared" ref="C1256:C1262" si="701">+B1256/$B$1263</f>
        <v>0</v>
      </c>
      <c r="D1256" s="242">
        <v>0</v>
      </c>
      <c r="F1256" s="242"/>
      <c r="G1256" s="32"/>
      <c r="H1256" s="250">
        <f t="shared" ref="H1256:H1261" si="702">SUM(J1256:L1256)</f>
        <v>0</v>
      </c>
      <c r="I1256" s="241">
        <f t="shared" ref="I1256:I1261" si="703">+H1256/$H$1263</f>
        <v>0</v>
      </c>
      <c r="J1256" s="242">
        <f t="shared" ref="J1256:J1261" si="704">+D1256-D1245</f>
        <v>0</v>
      </c>
      <c r="K1256" s="849">
        <f t="shared" ref="K1256:K1261" si="705">+E1256-E1245</f>
        <v>0</v>
      </c>
      <c r="L1256" s="242">
        <f>+F1256-F1245</f>
        <v>0</v>
      </c>
    </row>
    <row r="1257" spans="1:12" ht="15.5">
      <c r="A1257" s="180" t="s">
        <v>9</v>
      </c>
      <c r="B1257" s="242">
        <f t="shared" ref="B1257:B1261" si="706">SUM(D1257:F1257)</f>
        <v>332396.40000000002</v>
      </c>
      <c r="C1257" s="241">
        <f t="shared" si="701"/>
        <v>4.0276393337270448E-2</v>
      </c>
      <c r="D1257" s="242">
        <v>332396.40000000002</v>
      </c>
      <c r="E1257" s="242"/>
      <c r="F1257" s="242"/>
      <c r="G1257" s="32"/>
      <c r="H1257" s="250">
        <f t="shared" si="702"/>
        <v>-759.83142857142957</v>
      </c>
      <c r="I1257" s="241">
        <f t="shared" si="703"/>
        <v>2.6131693393171159E-3</v>
      </c>
      <c r="J1257" s="242">
        <f t="shared" si="704"/>
        <v>-759.83142857142957</v>
      </c>
      <c r="K1257" s="849">
        <f t="shared" si="705"/>
        <v>0</v>
      </c>
      <c r="L1257" s="242">
        <f t="shared" ref="L1257:L1261" si="707">+F1257-F1246</f>
        <v>0</v>
      </c>
    </row>
    <row r="1258" spans="1:12" ht="15.5">
      <c r="A1258" s="180" t="s">
        <v>162</v>
      </c>
      <c r="B1258" s="242">
        <f t="shared" si="706"/>
        <v>0</v>
      </c>
      <c r="C1258" s="241">
        <f t="shared" si="701"/>
        <v>0</v>
      </c>
      <c r="D1258" s="242">
        <v>0</v>
      </c>
      <c r="E1258" s="242"/>
      <c r="F1258" s="242"/>
      <c r="G1258" s="32"/>
      <c r="H1258" s="250">
        <f t="shared" si="702"/>
        <v>0</v>
      </c>
      <c r="I1258" s="241">
        <f t="shared" si="703"/>
        <v>0</v>
      </c>
      <c r="J1258" s="242">
        <f t="shared" si="704"/>
        <v>0</v>
      </c>
      <c r="K1258" s="849">
        <f t="shared" si="705"/>
        <v>0</v>
      </c>
      <c r="L1258" s="242">
        <f t="shared" si="707"/>
        <v>0</v>
      </c>
    </row>
    <row r="1259" spans="1:12" ht="15.5">
      <c r="A1259" s="180" t="s">
        <v>11</v>
      </c>
      <c r="B1259" s="242">
        <f t="shared" si="706"/>
        <v>0</v>
      </c>
      <c r="C1259" s="241">
        <f t="shared" si="701"/>
        <v>0</v>
      </c>
      <c r="D1259" s="242">
        <v>0</v>
      </c>
      <c r="E1259" s="242"/>
      <c r="F1259" s="242"/>
      <c r="G1259" s="32"/>
      <c r="H1259" s="250">
        <f t="shared" si="702"/>
        <v>0</v>
      </c>
      <c r="I1259" s="241">
        <f t="shared" si="703"/>
        <v>0</v>
      </c>
      <c r="J1259" s="242">
        <f t="shared" si="704"/>
        <v>0</v>
      </c>
      <c r="K1259" s="849">
        <f t="shared" si="705"/>
        <v>0</v>
      </c>
      <c r="L1259" s="242">
        <f t="shared" si="707"/>
        <v>0</v>
      </c>
    </row>
    <row r="1260" spans="1:12" ht="15.5">
      <c r="A1260" s="180" t="s">
        <v>12</v>
      </c>
      <c r="B1260" s="242">
        <f t="shared" si="706"/>
        <v>38342.105263157893</v>
      </c>
      <c r="C1260" s="241">
        <f t="shared" si="701"/>
        <v>4.645903845402582E-3</v>
      </c>
      <c r="D1260" s="242">
        <v>38342.105263157893</v>
      </c>
      <c r="E1260" s="242"/>
      <c r="F1260" s="242"/>
      <c r="G1260" s="32"/>
      <c r="H1260" s="250">
        <f t="shared" si="702"/>
        <v>-13693.609022556389</v>
      </c>
      <c r="I1260" s="241">
        <f t="shared" si="703"/>
        <v>4.7094286833617924E-2</v>
      </c>
      <c r="J1260" s="242">
        <f t="shared" si="704"/>
        <v>-13693.609022556389</v>
      </c>
      <c r="K1260" s="849">
        <f t="shared" si="705"/>
        <v>0</v>
      </c>
      <c r="L1260" s="242">
        <f t="shared" si="707"/>
        <v>0</v>
      </c>
    </row>
    <row r="1261" spans="1:12" ht="15.5">
      <c r="A1261" s="180" t="s">
        <v>13</v>
      </c>
      <c r="B1261" s="242">
        <f t="shared" si="706"/>
        <v>2735144.2889657775</v>
      </c>
      <c r="C1261" s="241">
        <f t="shared" si="701"/>
        <v>0.33141678795731411</v>
      </c>
      <c r="D1261" s="242">
        <v>2735144.2889657775</v>
      </c>
      <c r="E1261" s="242">
        <v>0</v>
      </c>
      <c r="F1261" s="242">
        <v>0</v>
      </c>
      <c r="G1261" s="32"/>
      <c r="H1261" s="250">
        <f t="shared" si="702"/>
        <v>0</v>
      </c>
      <c r="I1261" s="241">
        <f t="shared" si="703"/>
        <v>0</v>
      </c>
      <c r="J1261" s="242">
        <f t="shared" si="704"/>
        <v>0</v>
      </c>
      <c r="K1261" s="849">
        <f t="shared" si="705"/>
        <v>0</v>
      </c>
      <c r="L1261" s="242">
        <f t="shared" si="707"/>
        <v>0</v>
      </c>
    </row>
    <row r="1262" spans="1:12" ht="15.5">
      <c r="A1262" s="180"/>
      <c r="B1262" s="242">
        <v>0</v>
      </c>
      <c r="C1262" s="241">
        <f t="shared" si="701"/>
        <v>0</v>
      </c>
      <c r="D1262" s="242"/>
      <c r="E1262" s="242"/>
      <c r="F1262" s="242"/>
      <c r="G1262" s="32"/>
      <c r="H1262" s="250"/>
      <c r="I1262" s="241">
        <f t="shared" ref="I1262" si="708">+H1262/$H$1109</f>
        <v>0</v>
      </c>
      <c r="J1262" s="242"/>
      <c r="K1262" s="242"/>
      <c r="L1262" s="242"/>
    </row>
    <row r="1263" spans="1:12" ht="15.5">
      <c r="A1263" s="180"/>
      <c r="B1263" s="243">
        <f>SUM(B1255:B1262)</f>
        <v>8252883.9465973563</v>
      </c>
      <c r="C1263" s="240">
        <f>SUM(C1255:C1262)</f>
        <v>0.99999999999999989</v>
      </c>
      <c r="D1263" s="243">
        <f>SUM(D1255:D1262)</f>
        <v>3238696.4765973566</v>
      </c>
      <c r="E1263" s="243">
        <f>SUM(E1255:E1261)</f>
        <v>2876446.67</v>
      </c>
      <c r="F1263" s="243">
        <f>SUM(F1255:F1261)</f>
        <v>2137740.7999999998</v>
      </c>
      <c r="G1263" s="32">
        <f>+B1263-B1252</f>
        <v>-290770.0687969923</v>
      </c>
      <c r="H1263" s="243">
        <f>SUM(H1255:H1262)</f>
        <v>-290770.06879699265</v>
      </c>
      <c r="I1263" s="240">
        <f>SUM(I1255:I1262)</f>
        <v>1</v>
      </c>
      <c r="J1263" s="243">
        <f>SUM(J1255:J1262)</f>
        <v>-41470.408796992466</v>
      </c>
      <c r="K1263" s="243">
        <f>SUM(K1255:K1262)</f>
        <v>-269270.23</v>
      </c>
      <c r="L1263" s="243">
        <f>SUM(L1255:L1262)</f>
        <v>19970.569999999832</v>
      </c>
    </row>
    <row r="1265" spans="1:12" ht="16" thickBot="1">
      <c r="A1265" s="253">
        <v>43371</v>
      </c>
      <c r="B1265" s="251">
        <v>41.5</v>
      </c>
      <c r="C1265" s="238" t="s">
        <v>3</v>
      </c>
      <c r="D1265" s="238" t="s">
        <v>4</v>
      </c>
      <c r="E1265" s="238" t="s">
        <v>5</v>
      </c>
      <c r="F1265" s="238" t="s">
        <v>6</v>
      </c>
      <c r="G1265" s="32"/>
      <c r="H1265" s="251">
        <f>+B1265-B1254</f>
        <v>3.5</v>
      </c>
      <c r="I1265" s="238" t="s">
        <v>3</v>
      </c>
      <c r="J1265" s="238" t="s">
        <v>4</v>
      </c>
      <c r="K1265" s="238" t="s">
        <v>5</v>
      </c>
      <c r="L1265" s="238" t="s">
        <v>114</v>
      </c>
    </row>
    <row r="1266" spans="1:12" ht="15.5">
      <c r="A1266" s="180" t="s">
        <v>7</v>
      </c>
      <c r="B1266" s="250">
        <f>SUM(D1266:F1266)</f>
        <v>5366174.7849397585</v>
      </c>
      <c r="C1266" s="241">
        <f>+B1266/$B$1274</f>
        <v>0.63356536570810729</v>
      </c>
      <c r="D1266" s="242">
        <v>141899.76493975904</v>
      </c>
      <c r="E1266" s="242">
        <v>3078325.75</v>
      </c>
      <c r="F1266" s="242">
        <v>2145949.27</v>
      </c>
      <c r="H1266" s="250">
        <f>SUM(J1266:L1266)</f>
        <v>219173.63257133827</v>
      </c>
      <c r="I1266" s="241">
        <f>+H1266/$H$1274</f>
        <v>1.0103866602614811</v>
      </c>
      <c r="J1266" s="242">
        <f>+D1266-D1255</f>
        <v>9086.0825713379891</v>
      </c>
      <c r="K1266" s="849">
        <f>+E1266-E1255</f>
        <v>201879.08000000007</v>
      </c>
      <c r="L1266" s="242">
        <f>+F1266-F1255</f>
        <v>8208.4700000002049</v>
      </c>
    </row>
    <row r="1267" spans="1:12" ht="15.5">
      <c r="A1267" s="180" t="s">
        <v>8</v>
      </c>
      <c r="B1267" s="242">
        <f>SUM(D1267:F1267)</f>
        <v>0</v>
      </c>
      <c r="C1267" s="241">
        <f t="shared" ref="C1267:C1272" si="709">+B1267/$B$1274</f>
        <v>0</v>
      </c>
      <c r="D1267" s="242">
        <v>0</v>
      </c>
      <c r="F1267" s="242"/>
      <c r="G1267" s="32"/>
      <c r="H1267" s="250">
        <f t="shared" ref="H1267:H1272" si="710">SUM(J1267:L1267)</f>
        <v>0</v>
      </c>
      <c r="I1267" s="241">
        <f t="shared" ref="I1267:I1272" si="711">+H1267/$H$1274</f>
        <v>0</v>
      </c>
      <c r="J1267" s="242">
        <f t="shared" ref="J1267:J1272" si="712">+D1267-D1256</f>
        <v>0</v>
      </c>
      <c r="K1267" s="849">
        <f t="shared" ref="K1267:K1272" si="713">+E1267-E1256</f>
        <v>0</v>
      </c>
      <c r="L1267" s="242">
        <f>+F1267-F1256</f>
        <v>0</v>
      </c>
    </row>
    <row r="1268" spans="1:12" ht="15.5">
      <c r="A1268" s="180" t="s">
        <v>9</v>
      </c>
      <c r="B1268" s="242">
        <f t="shared" ref="B1268:B1272" si="714">SUM(D1268:F1268)</f>
        <v>333376.99144578318</v>
      </c>
      <c r="C1268" s="241">
        <f t="shared" si="709"/>
        <v>3.9360647755417331E-2</v>
      </c>
      <c r="D1268" s="242">
        <v>333376.99144578318</v>
      </c>
      <c r="E1268" s="242"/>
      <c r="F1268" s="242"/>
      <c r="G1268" s="32"/>
      <c r="H1268" s="250">
        <f t="shared" si="710"/>
        <v>980.59144578315318</v>
      </c>
      <c r="I1268" s="241">
        <f t="shared" si="711"/>
        <v>4.5205096268290026E-3</v>
      </c>
      <c r="J1268" s="242">
        <f t="shared" si="712"/>
        <v>980.59144578315318</v>
      </c>
      <c r="K1268" s="849">
        <f t="shared" si="713"/>
        <v>0</v>
      </c>
      <c r="L1268" s="242">
        <f t="shared" ref="L1268:L1272" si="715">+F1268-F1257</f>
        <v>0</v>
      </c>
    </row>
    <row r="1269" spans="1:12" ht="15.5">
      <c r="A1269" s="180" t="s">
        <v>162</v>
      </c>
      <c r="B1269" s="242">
        <f t="shared" si="714"/>
        <v>0</v>
      </c>
      <c r="C1269" s="241">
        <f t="shared" si="709"/>
        <v>0</v>
      </c>
      <c r="D1269" s="242">
        <v>0</v>
      </c>
      <c r="E1269" s="242"/>
      <c r="F1269" s="242"/>
      <c r="G1269" s="32"/>
      <c r="H1269" s="250">
        <f t="shared" si="710"/>
        <v>0</v>
      </c>
      <c r="I1269" s="241">
        <f t="shared" si="711"/>
        <v>0</v>
      </c>
      <c r="J1269" s="242">
        <f t="shared" si="712"/>
        <v>0</v>
      </c>
      <c r="K1269" s="849">
        <f t="shared" si="713"/>
        <v>0</v>
      </c>
      <c r="L1269" s="242">
        <f t="shared" si="715"/>
        <v>0</v>
      </c>
    </row>
    <row r="1270" spans="1:12" ht="15.5">
      <c r="A1270" s="180" t="s">
        <v>11</v>
      </c>
      <c r="B1270" s="242">
        <f t="shared" si="714"/>
        <v>0</v>
      </c>
      <c r="C1270" s="241">
        <f t="shared" si="709"/>
        <v>0</v>
      </c>
      <c r="D1270" s="242">
        <v>0</v>
      </c>
      <c r="E1270" s="242"/>
      <c r="F1270" s="242"/>
      <c r="G1270" s="32"/>
      <c r="H1270" s="250">
        <f t="shared" si="710"/>
        <v>0</v>
      </c>
      <c r="I1270" s="241">
        <f t="shared" si="711"/>
        <v>0</v>
      </c>
      <c r="J1270" s="242">
        <f t="shared" si="712"/>
        <v>0</v>
      </c>
      <c r="K1270" s="849">
        <f t="shared" si="713"/>
        <v>0</v>
      </c>
      <c r="L1270" s="242">
        <f t="shared" si="715"/>
        <v>0</v>
      </c>
    </row>
    <row r="1271" spans="1:12" ht="15.5">
      <c r="A1271" s="180" t="s">
        <v>12</v>
      </c>
      <c r="B1271" s="242">
        <f t="shared" si="714"/>
        <v>35108.433734939761</v>
      </c>
      <c r="C1271" s="241">
        <f t="shared" si="709"/>
        <v>4.145129174909213E-3</v>
      </c>
      <c r="D1271" s="242">
        <v>35108.433734939761</v>
      </c>
      <c r="E1271" s="242"/>
      <c r="F1271" s="242"/>
      <c r="G1271" s="32"/>
      <c r="H1271" s="250">
        <f t="shared" si="710"/>
        <v>-3233.6715282181322</v>
      </c>
      <c r="I1271" s="241">
        <f t="shared" si="711"/>
        <v>-1.4907169888309927E-2</v>
      </c>
      <c r="J1271" s="242">
        <f t="shared" si="712"/>
        <v>-3233.6715282181322</v>
      </c>
      <c r="K1271" s="849">
        <f t="shared" si="713"/>
        <v>0</v>
      </c>
      <c r="L1271" s="242">
        <f t="shared" si="715"/>
        <v>0</v>
      </c>
    </row>
    <row r="1272" spans="1:12" ht="15.5">
      <c r="A1272" s="180" t="s">
        <v>13</v>
      </c>
      <c r="B1272" s="242">
        <f t="shared" si="714"/>
        <v>2735144.2889657775</v>
      </c>
      <c r="C1272" s="241">
        <f t="shared" si="709"/>
        <v>0.32292885736156612</v>
      </c>
      <c r="D1272" s="242">
        <v>2735144.2889657775</v>
      </c>
      <c r="E1272" s="242">
        <v>0</v>
      </c>
      <c r="F1272" s="242">
        <v>0</v>
      </c>
      <c r="G1272" s="32"/>
      <c r="H1272" s="250">
        <f t="shared" si="710"/>
        <v>0</v>
      </c>
      <c r="I1272" s="241">
        <f t="shared" si="711"/>
        <v>0</v>
      </c>
      <c r="J1272" s="242">
        <f t="shared" si="712"/>
        <v>0</v>
      </c>
      <c r="K1272" s="849">
        <f t="shared" si="713"/>
        <v>0</v>
      </c>
      <c r="L1272" s="242">
        <f t="shared" si="715"/>
        <v>0</v>
      </c>
    </row>
    <row r="1273" spans="1:12" ht="15.5">
      <c r="A1273" s="180"/>
      <c r="B1273" s="242">
        <v>0</v>
      </c>
      <c r="C1273" s="241">
        <f t="shared" ref="C1273" si="716">+B1273/$B$1263</f>
        <v>0</v>
      </c>
      <c r="D1273" s="242"/>
      <c r="E1273" s="242"/>
      <c r="F1273" s="242"/>
      <c r="G1273" s="32"/>
      <c r="H1273" s="250"/>
      <c r="I1273" s="241">
        <f t="shared" ref="I1273" si="717">+H1273/$H$1109</f>
        <v>0</v>
      </c>
      <c r="J1273" s="242"/>
      <c r="K1273" s="242"/>
      <c r="L1273" s="242"/>
    </row>
    <row r="1274" spans="1:12" ht="15.5">
      <c r="A1274" s="180"/>
      <c r="B1274" s="243">
        <f>SUM(B1266:B1273)</f>
        <v>8469804.4990862589</v>
      </c>
      <c r="C1274" s="240">
        <f>SUM(C1266:C1273)</f>
        <v>1</v>
      </c>
      <c r="D1274" s="243">
        <f>SUM(D1266:D1273)</f>
        <v>3245529.4790862594</v>
      </c>
      <c r="E1274" s="243">
        <f>SUM(E1266:E1272)</f>
        <v>3078325.75</v>
      </c>
      <c r="F1274" s="243">
        <f>SUM(F1266:F1272)</f>
        <v>2145949.27</v>
      </c>
      <c r="G1274" s="32">
        <f>+B1274-B1263</f>
        <v>216920.55248890258</v>
      </c>
      <c r="H1274" s="243">
        <f>SUM(H1266:H1273)</f>
        <v>216920.55248890328</v>
      </c>
      <c r="I1274" s="240">
        <f>SUM(I1266:I1273)</f>
        <v>1.0000000000000002</v>
      </c>
      <c r="J1274" s="243">
        <f>SUM(J1266:J1273)</f>
        <v>6833.0024889030101</v>
      </c>
      <c r="K1274" s="243">
        <f>SUM(K1266:K1273)</f>
        <v>201879.08000000007</v>
      </c>
      <c r="L1274" s="243">
        <f>SUM(L1266:L1273)</f>
        <v>8208.4700000002049</v>
      </c>
    </row>
    <row r="1275" spans="1:12" ht="13" thickBot="1"/>
    <row r="1276" spans="1:12" ht="16" thickBot="1">
      <c r="A1276" s="253">
        <v>43401</v>
      </c>
      <c r="B1276" s="251">
        <v>41.5</v>
      </c>
      <c r="C1276" s="238" t="s">
        <v>3</v>
      </c>
      <c r="D1276" s="238" t="s">
        <v>4</v>
      </c>
      <c r="E1276" s="238" t="s">
        <v>5</v>
      </c>
      <c r="F1276" s="238" t="s">
        <v>6</v>
      </c>
      <c r="G1276" s="32"/>
      <c r="H1276" s="251">
        <f>+B1276-B1265</f>
        <v>0</v>
      </c>
      <c r="I1276" s="238" t="s">
        <v>3</v>
      </c>
      <c r="J1276" s="238" t="s">
        <v>4</v>
      </c>
      <c r="K1276" s="238" t="s">
        <v>5</v>
      </c>
      <c r="L1276" s="238" t="s">
        <v>114</v>
      </c>
    </row>
    <row r="1277" spans="1:12" ht="15.5">
      <c r="A1277" s="180" t="s">
        <v>7</v>
      </c>
      <c r="B1277" s="250">
        <f>SUM(D1277:F1277)</f>
        <v>5164534.9879999999</v>
      </c>
      <c r="C1277" s="241">
        <f t="shared" ref="C1277:C1284" si="718">+B1277/$B$12</f>
        <v>0.44864726252978365</v>
      </c>
      <c r="D1277" s="242">
        <v>135667.818</v>
      </c>
      <c r="E1277" s="242">
        <v>2988914.54</v>
      </c>
      <c r="F1277" s="242">
        <v>2039952.63</v>
      </c>
      <c r="H1277" s="250">
        <f>SUM(J1277:L1277)</f>
        <v>-201639.79693975914</v>
      </c>
      <c r="I1277" s="241">
        <f>+H1277/$H$1274</f>
        <v>-0.92955598087034264</v>
      </c>
      <c r="J1277" s="242">
        <f>+D1277-D1266</f>
        <v>-6231.9469397590437</v>
      </c>
      <c r="K1277" s="849">
        <f>+E1277-E1266</f>
        <v>-89411.209999999963</v>
      </c>
      <c r="L1277" s="242">
        <f>+F1277-F1266</f>
        <v>-105996.64000000013</v>
      </c>
    </row>
    <row r="1278" spans="1:12" ht="15.5">
      <c r="A1278" s="180" t="s">
        <v>8</v>
      </c>
      <c r="B1278" s="242">
        <f>SUM(D1278:F1278)</f>
        <v>0</v>
      </c>
      <c r="C1278" s="241">
        <f t="shared" si="718"/>
        <v>0</v>
      </c>
      <c r="D1278" s="242">
        <v>0</v>
      </c>
      <c r="F1278" s="242"/>
      <c r="G1278" s="32"/>
      <c r="H1278" s="250">
        <f t="shared" ref="H1278:H1283" si="719">SUM(J1278:L1278)</f>
        <v>0</v>
      </c>
      <c r="I1278" s="241">
        <f t="shared" ref="I1278:I1283" si="720">+H1278/$H$1274</f>
        <v>0</v>
      </c>
      <c r="J1278" s="242">
        <f t="shared" ref="J1278:J1283" si="721">+D1278-D1267</f>
        <v>0</v>
      </c>
      <c r="K1278" s="849">
        <f t="shared" ref="K1278:K1283" si="722">+E1278-E1267</f>
        <v>0</v>
      </c>
      <c r="L1278" s="242">
        <f>+F1278-F1267</f>
        <v>0</v>
      </c>
    </row>
    <row r="1279" spans="1:12" ht="15.5">
      <c r="A1279" s="180" t="s">
        <v>9</v>
      </c>
      <c r="B1279" s="242">
        <f t="shared" ref="B1279:B1283" si="723">SUM(D1279:F1279)</f>
        <v>351526.06866666669</v>
      </c>
      <c r="C1279" s="241">
        <f t="shared" si="718"/>
        <v>3.0537349205999178E-2</v>
      </c>
      <c r="D1279" s="242">
        <v>351526.06866666669</v>
      </c>
      <c r="E1279" s="242"/>
      <c r="F1279" s="242"/>
      <c r="G1279" s="32"/>
      <c r="H1279" s="250">
        <f t="shared" si="719"/>
        <v>18149.077220883511</v>
      </c>
      <c r="I1279" s="241">
        <f t="shared" si="720"/>
        <v>8.3666932490465321E-2</v>
      </c>
      <c r="J1279" s="242">
        <f t="shared" si="721"/>
        <v>18149.077220883511</v>
      </c>
      <c r="K1279" s="849">
        <f t="shared" si="722"/>
        <v>0</v>
      </c>
      <c r="L1279" s="242">
        <f t="shared" ref="L1279:L1283" si="724">+F1279-F1268</f>
        <v>0</v>
      </c>
    </row>
    <row r="1280" spans="1:12" ht="15.5">
      <c r="A1280" s="180" t="s">
        <v>162</v>
      </c>
      <c r="B1280" s="242">
        <f t="shared" si="723"/>
        <v>0</v>
      </c>
      <c r="C1280" s="241">
        <f t="shared" si="718"/>
        <v>0</v>
      </c>
      <c r="D1280" s="242">
        <v>0</v>
      </c>
      <c r="E1280" s="242"/>
      <c r="F1280" s="242"/>
      <c r="G1280" s="32"/>
      <c r="H1280" s="250">
        <f t="shared" si="719"/>
        <v>0</v>
      </c>
      <c r="I1280" s="241">
        <f t="shared" si="720"/>
        <v>0</v>
      </c>
      <c r="J1280" s="242">
        <f t="shared" si="721"/>
        <v>0</v>
      </c>
      <c r="K1280" s="849">
        <f t="shared" si="722"/>
        <v>0</v>
      </c>
      <c r="L1280" s="242">
        <f t="shared" si="724"/>
        <v>0</v>
      </c>
    </row>
    <row r="1281" spans="1:12" ht="15.5">
      <c r="A1281" s="180" t="s">
        <v>11</v>
      </c>
      <c r="B1281" s="242">
        <f t="shared" si="723"/>
        <v>0</v>
      </c>
      <c r="C1281" s="241">
        <f t="shared" si="718"/>
        <v>0</v>
      </c>
      <c r="D1281" s="242">
        <v>0</v>
      </c>
      <c r="E1281" s="242"/>
      <c r="F1281" s="242"/>
      <c r="G1281" s="32"/>
      <c r="H1281" s="250">
        <f t="shared" si="719"/>
        <v>0</v>
      </c>
      <c r="I1281" s="241">
        <f t="shared" si="720"/>
        <v>0</v>
      </c>
      <c r="J1281" s="242">
        <f t="shared" si="721"/>
        <v>0</v>
      </c>
      <c r="K1281" s="849">
        <f t="shared" si="722"/>
        <v>0</v>
      </c>
      <c r="L1281" s="242">
        <f t="shared" si="724"/>
        <v>0</v>
      </c>
    </row>
    <row r="1282" spans="1:12" ht="15.5">
      <c r="A1282" s="180" t="s">
        <v>12</v>
      </c>
      <c r="B1282" s="242">
        <f t="shared" si="723"/>
        <v>25520</v>
      </c>
      <c r="C1282" s="241">
        <f t="shared" si="718"/>
        <v>2.2169426998487553E-3</v>
      </c>
      <c r="D1282" s="242">
        <v>25520</v>
      </c>
      <c r="E1282" s="242"/>
      <c r="F1282" s="242"/>
      <c r="G1282" s="32"/>
      <c r="H1282" s="250">
        <f t="shared" si="719"/>
        <v>-9588.4337349397611</v>
      </c>
      <c r="I1282" s="241">
        <f t="shared" si="720"/>
        <v>-4.4202513892408896E-2</v>
      </c>
      <c r="J1282" s="242">
        <f t="shared" si="721"/>
        <v>-9588.4337349397611</v>
      </c>
      <c r="K1282" s="849">
        <f t="shared" si="722"/>
        <v>0</v>
      </c>
      <c r="L1282" s="242">
        <f t="shared" si="724"/>
        <v>0</v>
      </c>
    </row>
    <row r="1283" spans="1:12" ht="15.5">
      <c r="A1283" s="180" t="s">
        <v>13</v>
      </c>
      <c r="B1283" s="242">
        <f t="shared" si="723"/>
        <v>2735144.2889657775</v>
      </c>
      <c r="C1283" s="241">
        <f t="shared" si="718"/>
        <v>0.23760416004920434</v>
      </c>
      <c r="D1283" s="242">
        <v>2735144.2889657775</v>
      </c>
      <c r="E1283" s="242">
        <v>0</v>
      </c>
      <c r="F1283" s="242">
        <v>0</v>
      </c>
      <c r="G1283" s="32"/>
      <c r="H1283" s="250">
        <f t="shared" si="719"/>
        <v>0</v>
      </c>
      <c r="I1283" s="241">
        <f t="shared" si="720"/>
        <v>0</v>
      </c>
      <c r="J1283" s="242">
        <f t="shared" si="721"/>
        <v>0</v>
      </c>
      <c r="K1283" s="849">
        <f t="shared" si="722"/>
        <v>0</v>
      </c>
      <c r="L1283" s="242">
        <f t="shared" si="724"/>
        <v>0</v>
      </c>
    </row>
    <row r="1284" spans="1:12" ht="15.5">
      <c r="A1284" s="180"/>
      <c r="B1284" s="242">
        <f>SUM(D1284:E1284)</f>
        <v>0</v>
      </c>
      <c r="C1284" s="241">
        <f t="shared" si="718"/>
        <v>0</v>
      </c>
      <c r="D1284" s="242"/>
      <c r="E1284" s="242"/>
      <c r="F1284" s="242"/>
      <c r="G1284" s="32"/>
      <c r="H1284" s="250"/>
      <c r="I1284" s="241">
        <f t="shared" ref="I1284" si="725">+H1284/$H$1109</f>
        <v>0</v>
      </c>
      <c r="J1284" s="242"/>
      <c r="K1284" s="242"/>
      <c r="L1284" s="242"/>
    </row>
    <row r="1285" spans="1:12" ht="15.5">
      <c r="A1285" s="180"/>
      <c r="B1285" s="243">
        <f>SUM(B1277:B1284)</f>
        <v>8276725.3456324441</v>
      </c>
      <c r="C1285" s="240">
        <f>SUM(C1277:C1284)</f>
        <v>0.71900571448483586</v>
      </c>
      <c r="D1285" s="243">
        <f>SUM(D1277:D1284)</f>
        <v>3247858.1756324442</v>
      </c>
      <c r="E1285" s="243">
        <f>SUM(E1277:E1283)</f>
        <v>2988914.54</v>
      </c>
      <c r="F1285" s="243">
        <f>SUM(F1277:F1283)</f>
        <v>2039952.63</v>
      </c>
      <c r="G1285" s="32">
        <f>+B1285-B1274</f>
        <v>-193079.1534538148</v>
      </c>
      <c r="H1285" s="243">
        <f>SUM(H1277:H1284)</f>
        <v>-193079.15345381538</v>
      </c>
      <c r="I1285" s="240">
        <f>SUM(I1277:I1284)</f>
        <v>-0.89009156227228625</v>
      </c>
      <c r="J1285" s="243">
        <f>SUM(J1277:J1284)</f>
        <v>2328.6965461847067</v>
      </c>
      <c r="K1285" s="243">
        <f>SUM(K1277:K1284)</f>
        <v>-89411.209999999963</v>
      </c>
      <c r="L1285" s="243">
        <f>SUM(L1277:L1284)</f>
        <v>-105996.64000000013</v>
      </c>
    </row>
    <row r="1286" spans="1:12" ht="13" thickBot="1"/>
    <row r="1287" spans="1:12" ht="16" thickBot="1">
      <c r="A1287" s="253">
        <v>43432</v>
      </c>
      <c r="B1287" s="251">
        <v>37.5</v>
      </c>
      <c r="C1287" s="238" t="s">
        <v>3</v>
      </c>
      <c r="D1287" s="238" t="s">
        <v>4</v>
      </c>
      <c r="E1287" s="238" t="s">
        <v>5</v>
      </c>
      <c r="F1287" s="238" t="s">
        <v>6</v>
      </c>
      <c r="G1287" s="32"/>
      <c r="H1287" s="251">
        <f>+B1287-B1276</f>
        <v>-4</v>
      </c>
      <c r="I1287" s="238" t="s">
        <v>3</v>
      </c>
      <c r="J1287" s="238" t="s">
        <v>4</v>
      </c>
      <c r="K1287" s="238" t="s">
        <v>5</v>
      </c>
      <c r="L1287" s="238" t="s">
        <v>114</v>
      </c>
    </row>
    <row r="1288" spans="1:12" ht="15.5">
      <c r="A1288" s="180" t="s">
        <v>7</v>
      </c>
      <c r="B1288" s="250">
        <f>SUM(D1288:F1288)</f>
        <v>5178809.3478666665</v>
      </c>
      <c r="C1288" s="241">
        <f>+B1288/$B$1296</f>
        <v>0.62430823481368969</v>
      </c>
      <c r="D1288" s="242">
        <v>141508.21786666667</v>
      </c>
      <c r="E1288" s="242">
        <v>2973896.2</v>
      </c>
      <c r="F1288" s="242">
        <v>2063404.93</v>
      </c>
      <c r="H1288" s="250">
        <f>SUM(J1288:L1288)</f>
        <v>14274.359866666869</v>
      </c>
      <c r="I1288" s="241">
        <f>+H1288/$H$1296</f>
        <v>0.76946477773306776</v>
      </c>
      <c r="J1288" s="242">
        <f>+D1288-D1277</f>
        <v>5840.3998666666739</v>
      </c>
      <c r="K1288" s="849">
        <f>+E1288-E1277</f>
        <v>-15018.339999999851</v>
      </c>
      <c r="L1288" s="242">
        <f>+F1288-F1277</f>
        <v>23452.300000000047</v>
      </c>
    </row>
    <row r="1289" spans="1:12" ht="15.5">
      <c r="A1289" s="180" t="s">
        <v>8</v>
      </c>
      <c r="B1289" s="242">
        <f>SUM(D1289:F1289)</f>
        <v>0</v>
      </c>
      <c r="C1289" s="241">
        <f t="shared" ref="C1289:C1294" si="726">+B1289/$B$1296</f>
        <v>0</v>
      </c>
      <c r="D1289" s="242">
        <v>0</v>
      </c>
      <c r="F1289" s="242"/>
      <c r="G1289" s="32"/>
      <c r="H1289" s="250">
        <f t="shared" ref="H1289:H1294" si="727">SUM(J1289:L1289)</f>
        <v>0</v>
      </c>
      <c r="I1289" s="241">
        <f t="shared" ref="I1289:I1294" si="728">+H1289/$H$1296</f>
        <v>0</v>
      </c>
      <c r="J1289" s="242">
        <f t="shared" ref="J1289:J1294" si="729">+D1289-D1278</f>
        <v>0</v>
      </c>
      <c r="K1289" s="849">
        <f t="shared" ref="K1289:K1294" si="730">+E1289-E1278</f>
        <v>0</v>
      </c>
      <c r="L1289" s="242">
        <f>+F1289-F1278</f>
        <v>0</v>
      </c>
    </row>
    <row r="1290" spans="1:12" ht="15.5">
      <c r="A1290" s="180" t="s">
        <v>9</v>
      </c>
      <c r="B1290" s="242">
        <f t="shared" ref="B1290:B1294" si="731">SUM(D1290:F1290)</f>
        <v>355802.73320000002</v>
      </c>
      <c r="C1290" s="241">
        <f t="shared" si="726"/>
        <v>4.2892209653842849E-2</v>
      </c>
      <c r="D1290" s="242">
        <v>355802.73320000002</v>
      </c>
      <c r="E1290" s="242"/>
      <c r="F1290" s="242"/>
      <c r="G1290" s="32"/>
      <c r="H1290" s="250">
        <f t="shared" si="727"/>
        <v>4276.664533333329</v>
      </c>
      <c r="I1290" s="241">
        <f t="shared" si="728"/>
        <v>0.23053522226693224</v>
      </c>
      <c r="J1290" s="242">
        <f t="shared" si="729"/>
        <v>4276.664533333329</v>
      </c>
      <c r="K1290" s="849">
        <f t="shared" si="730"/>
        <v>0</v>
      </c>
      <c r="L1290" s="242">
        <f t="shared" ref="L1290:L1294" si="732">+F1290-F1279</f>
        <v>0</v>
      </c>
    </row>
    <row r="1291" spans="1:12" ht="15.5">
      <c r="A1291" s="180" t="s">
        <v>162</v>
      </c>
      <c r="B1291" s="242">
        <f t="shared" si="731"/>
        <v>0</v>
      </c>
      <c r="C1291" s="241">
        <f t="shared" si="726"/>
        <v>0</v>
      </c>
      <c r="D1291" s="242">
        <v>0</v>
      </c>
      <c r="E1291" s="242"/>
      <c r="F1291" s="242"/>
      <c r="G1291" s="32"/>
      <c r="H1291" s="250">
        <f t="shared" si="727"/>
        <v>0</v>
      </c>
      <c r="I1291" s="241">
        <f t="shared" si="728"/>
        <v>0</v>
      </c>
      <c r="J1291" s="242">
        <f t="shared" si="729"/>
        <v>0</v>
      </c>
      <c r="K1291" s="849">
        <f t="shared" si="730"/>
        <v>0</v>
      </c>
      <c r="L1291" s="242">
        <f t="shared" si="732"/>
        <v>0</v>
      </c>
    </row>
    <row r="1292" spans="1:12" ht="15.5">
      <c r="A1292" s="180" t="s">
        <v>11</v>
      </c>
      <c r="B1292" s="242">
        <f t="shared" si="731"/>
        <v>0</v>
      </c>
      <c r="C1292" s="241">
        <f t="shared" si="726"/>
        <v>0</v>
      </c>
      <c r="D1292" s="242">
        <v>0</v>
      </c>
      <c r="E1292" s="242"/>
      <c r="F1292" s="242"/>
      <c r="G1292" s="32"/>
      <c r="H1292" s="250">
        <f t="shared" si="727"/>
        <v>0</v>
      </c>
      <c r="I1292" s="241">
        <f t="shared" si="728"/>
        <v>0</v>
      </c>
      <c r="J1292" s="242">
        <f t="shared" si="729"/>
        <v>0</v>
      </c>
      <c r="K1292" s="849">
        <f t="shared" si="730"/>
        <v>0</v>
      </c>
      <c r="L1292" s="242">
        <f t="shared" si="732"/>
        <v>0</v>
      </c>
    </row>
    <row r="1293" spans="1:12" ht="15.5">
      <c r="A1293" s="180" t="s">
        <v>12</v>
      </c>
      <c r="B1293" s="242">
        <f t="shared" si="731"/>
        <v>25520</v>
      </c>
      <c r="C1293" s="241">
        <f t="shared" si="726"/>
        <v>3.0764496397243228E-3</v>
      </c>
      <c r="D1293" s="242">
        <v>25520</v>
      </c>
      <c r="E1293" s="242"/>
      <c r="F1293" s="242"/>
      <c r="G1293" s="32"/>
      <c r="H1293" s="250">
        <f t="shared" si="727"/>
        <v>0</v>
      </c>
      <c r="I1293" s="241">
        <f t="shared" si="728"/>
        <v>0</v>
      </c>
      <c r="J1293" s="242">
        <f t="shared" si="729"/>
        <v>0</v>
      </c>
      <c r="K1293" s="849">
        <f t="shared" si="730"/>
        <v>0</v>
      </c>
      <c r="L1293" s="242">
        <f t="shared" si="732"/>
        <v>0</v>
      </c>
    </row>
    <row r="1294" spans="1:12" ht="15.5">
      <c r="A1294" s="180" t="s">
        <v>13</v>
      </c>
      <c r="B1294" s="242">
        <f t="shared" si="731"/>
        <v>2735144.2889657775</v>
      </c>
      <c r="C1294" s="241">
        <f t="shared" si="726"/>
        <v>0.32972310589274317</v>
      </c>
      <c r="D1294" s="242">
        <v>2735144.2889657775</v>
      </c>
      <c r="E1294" s="242">
        <v>0</v>
      </c>
      <c r="F1294" s="242">
        <v>0</v>
      </c>
      <c r="G1294" s="32"/>
      <c r="H1294" s="250">
        <f t="shared" si="727"/>
        <v>0</v>
      </c>
      <c r="I1294" s="241">
        <f t="shared" si="728"/>
        <v>0</v>
      </c>
      <c r="J1294" s="242">
        <f t="shared" si="729"/>
        <v>0</v>
      </c>
      <c r="K1294" s="849">
        <f t="shared" si="730"/>
        <v>0</v>
      </c>
      <c r="L1294" s="242">
        <f t="shared" si="732"/>
        <v>0</v>
      </c>
    </row>
    <row r="1295" spans="1:12" ht="15.5">
      <c r="A1295" s="180"/>
      <c r="B1295" s="242">
        <f>SUM(D1295:E1295)</f>
        <v>0</v>
      </c>
      <c r="C1295" s="241">
        <f t="shared" ref="C1295" si="733">+B1295/$B$12</f>
        <v>0</v>
      </c>
      <c r="D1295" s="242"/>
      <c r="E1295" s="242"/>
      <c r="F1295" s="242"/>
      <c r="G1295" s="32"/>
      <c r="H1295" s="250"/>
      <c r="I1295" s="241">
        <f t="shared" ref="I1295" si="734">+H1295/$H$1109</f>
        <v>0</v>
      </c>
      <c r="J1295" s="242"/>
      <c r="K1295" s="242"/>
      <c r="L1295" s="242"/>
    </row>
    <row r="1296" spans="1:12" ht="15.5">
      <c r="A1296" s="180"/>
      <c r="B1296" s="243">
        <f>SUM(B1288:B1295)</f>
        <v>8295276.3700324437</v>
      </c>
      <c r="C1296" s="240">
        <f>SUM(C1288:C1295)</f>
        <v>1</v>
      </c>
      <c r="D1296" s="243">
        <f>SUM(D1288:D1295)</f>
        <v>3257975.2400324442</v>
      </c>
      <c r="E1296" s="243">
        <f>SUM(E1288:E1294)</f>
        <v>2973896.2</v>
      </c>
      <c r="F1296" s="243">
        <f>SUM(F1288:F1294)</f>
        <v>2063404.93</v>
      </c>
      <c r="G1296" s="32">
        <f>+B1296-B1285</f>
        <v>18551.024399999529</v>
      </c>
      <c r="H1296" s="243">
        <f>SUM(H1288:H1295)</f>
        <v>18551.024400000199</v>
      </c>
      <c r="I1296" s="240">
        <f>SUM(I1288:I1295)</f>
        <v>1</v>
      </c>
      <c r="J1296" s="243">
        <f>SUM(J1288:J1295)</f>
        <v>10117.064400000003</v>
      </c>
      <c r="K1296" s="243">
        <f>SUM(K1288:K1295)</f>
        <v>-15018.339999999851</v>
      </c>
      <c r="L1296" s="243">
        <f>SUM(L1288:L1295)</f>
        <v>23452.300000000047</v>
      </c>
    </row>
    <row r="1298" spans="1:12" ht="16" thickBot="1">
      <c r="A1298" s="253">
        <v>43462</v>
      </c>
      <c r="B1298" s="251">
        <v>38.5</v>
      </c>
      <c r="C1298" s="238" t="s">
        <v>3</v>
      </c>
      <c r="D1298" s="238" t="s">
        <v>4</v>
      </c>
      <c r="E1298" s="238" t="s">
        <v>5</v>
      </c>
      <c r="F1298" s="238" t="s">
        <v>6</v>
      </c>
      <c r="G1298" s="32"/>
      <c r="H1298" s="251">
        <f>+B1298-B1287</f>
        <v>1</v>
      </c>
      <c r="I1298" s="238" t="s">
        <v>3</v>
      </c>
      <c r="J1298" s="238" t="s">
        <v>4</v>
      </c>
      <c r="K1298" s="238" t="s">
        <v>5</v>
      </c>
      <c r="L1298" s="238" t="s">
        <v>114</v>
      </c>
    </row>
    <row r="1299" spans="1:12" ht="15.5">
      <c r="A1299" s="180" t="s">
        <v>7</v>
      </c>
      <c r="B1299" s="250">
        <f>SUM(D1299:F1299)</f>
        <v>4967741.1798701296</v>
      </c>
      <c r="C1299" s="241">
        <f>+B1299/$B$1307</f>
        <v>0.61511927033148894</v>
      </c>
      <c r="D1299" s="242">
        <v>138895.54987012988</v>
      </c>
      <c r="E1299" s="242">
        <v>2903875.64</v>
      </c>
      <c r="F1299" s="242">
        <v>1924969.99</v>
      </c>
      <c r="H1299" s="250">
        <f>SUM(J1299:L1299)</f>
        <v>-211068.16799653679</v>
      </c>
      <c r="I1299" s="241">
        <f>+H1299/$H$1307</f>
        <v>0.96283778669660314</v>
      </c>
      <c r="J1299" s="242">
        <f>+D1299-D1288</f>
        <v>-2612.6679965367948</v>
      </c>
      <c r="K1299" s="849">
        <f>+E1299-E1288</f>
        <v>-70020.560000000056</v>
      </c>
      <c r="L1299" s="242">
        <f>+F1299-F1288</f>
        <v>-138434.93999999994</v>
      </c>
    </row>
    <row r="1300" spans="1:12" ht="15.5">
      <c r="A1300" s="180" t="s">
        <v>8</v>
      </c>
      <c r="B1300" s="242">
        <f>SUM(D1300:F1300)</f>
        <v>0</v>
      </c>
      <c r="C1300" s="241">
        <f t="shared" ref="C1300:C1305" si="735">+B1300/$B$1307</f>
        <v>0</v>
      </c>
      <c r="D1300" s="242">
        <v>0</v>
      </c>
      <c r="F1300" s="242"/>
      <c r="G1300" s="32"/>
      <c r="H1300" s="250">
        <f t="shared" ref="H1300:H1305" si="736">SUM(J1300:L1300)</f>
        <v>0</v>
      </c>
      <c r="I1300" s="241">
        <f t="shared" ref="I1300:I1305" si="737">+H1300/$H$1307</f>
        <v>0</v>
      </c>
      <c r="J1300" s="242">
        <f t="shared" ref="J1300:J1305" si="738">+D1300-D1289</f>
        <v>0</v>
      </c>
      <c r="K1300" s="849">
        <f t="shared" ref="K1300:K1305" si="739">+E1300-E1289</f>
        <v>0</v>
      </c>
      <c r="L1300" s="242">
        <f>+F1300-F1289</f>
        <v>0</v>
      </c>
    </row>
    <row r="1301" spans="1:12" ht="15.5">
      <c r="A1301" s="180" t="s">
        <v>9</v>
      </c>
      <c r="B1301" s="242">
        <f t="shared" ref="B1301:B1305" si="740">SUM(D1301:F1301)</f>
        <v>348319.08800464333</v>
      </c>
      <c r="C1301" s="241">
        <f t="shared" si="735"/>
        <v>4.3129820072781488E-2</v>
      </c>
      <c r="D1301" s="242">
        <v>348319.08800464333</v>
      </c>
      <c r="E1301" s="242"/>
      <c r="F1301" s="242"/>
      <c r="G1301" s="32"/>
      <c r="H1301" s="250">
        <f t="shared" si="736"/>
        <v>-7483.6451953566866</v>
      </c>
      <c r="I1301" s="241">
        <f t="shared" si="737"/>
        <v>3.4138432359151989E-2</v>
      </c>
      <c r="J1301" s="242">
        <f t="shared" si="738"/>
        <v>-7483.6451953566866</v>
      </c>
      <c r="K1301" s="849">
        <f t="shared" si="739"/>
        <v>0</v>
      </c>
      <c r="L1301" s="242">
        <f t="shared" ref="L1301:L1305" si="741">+F1301-F1290</f>
        <v>0</v>
      </c>
    </row>
    <row r="1302" spans="1:12" ht="15.5">
      <c r="A1302" s="180" t="s">
        <v>162</v>
      </c>
      <c r="B1302" s="242">
        <f t="shared" si="740"/>
        <v>0</v>
      </c>
      <c r="C1302" s="241">
        <f t="shared" si="735"/>
        <v>0</v>
      </c>
      <c r="D1302" s="242">
        <v>0</v>
      </c>
      <c r="E1302" s="242"/>
      <c r="F1302" s="242"/>
      <c r="G1302" s="32"/>
      <c r="H1302" s="250">
        <f t="shared" si="736"/>
        <v>0</v>
      </c>
      <c r="I1302" s="241">
        <f t="shared" si="737"/>
        <v>0</v>
      </c>
      <c r="J1302" s="242">
        <f t="shared" si="738"/>
        <v>0</v>
      </c>
      <c r="K1302" s="849">
        <f t="shared" si="739"/>
        <v>0</v>
      </c>
      <c r="L1302" s="242">
        <f t="shared" si="741"/>
        <v>0</v>
      </c>
    </row>
    <row r="1303" spans="1:12" ht="15.5">
      <c r="A1303" s="180" t="s">
        <v>11</v>
      </c>
      <c r="B1303" s="242">
        <f t="shared" si="740"/>
        <v>0</v>
      </c>
      <c r="C1303" s="241">
        <f t="shared" si="735"/>
        <v>0</v>
      </c>
      <c r="D1303" s="242">
        <v>0</v>
      </c>
      <c r="E1303" s="242"/>
      <c r="F1303" s="242"/>
      <c r="G1303" s="32"/>
      <c r="H1303" s="250">
        <f t="shared" si="736"/>
        <v>0</v>
      </c>
      <c r="I1303" s="241">
        <f t="shared" si="737"/>
        <v>0</v>
      </c>
      <c r="J1303" s="242">
        <f t="shared" si="738"/>
        <v>0</v>
      </c>
      <c r="K1303" s="849">
        <f t="shared" si="739"/>
        <v>0</v>
      </c>
      <c r="L1303" s="242">
        <f t="shared" si="741"/>
        <v>0</v>
      </c>
    </row>
    <row r="1304" spans="1:12" ht="15.5">
      <c r="A1304" s="180" t="s">
        <v>12</v>
      </c>
      <c r="B1304" s="242">
        <f t="shared" si="740"/>
        <v>24857.142857142859</v>
      </c>
      <c r="C1304" s="241">
        <f t="shared" si="735"/>
        <v>3.0778792660874944E-3</v>
      </c>
      <c r="D1304" s="242">
        <v>24857.142857142859</v>
      </c>
      <c r="E1304" s="242"/>
      <c r="F1304" s="242"/>
      <c r="G1304" s="32"/>
      <c r="H1304" s="250">
        <f t="shared" si="736"/>
        <v>-662.8571428571413</v>
      </c>
      <c r="I1304" s="241">
        <f t="shared" si="737"/>
        <v>3.0237809442448756E-3</v>
      </c>
      <c r="J1304" s="242">
        <f t="shared" si="738"/>
        <v>-662.8571428571413</v>
      </c>
      <c r="K1304" s="849">
        <f t="shared" si="739"/>
        <v>0</v>
      </c>
      <c r="L1304" s="242">
        <f t="shared" si="741"/>
        <v>0</v>
      </c>
    </row>
    <row r="1305" spans="1:12" ht="15.5">
      <c r="A1305" s="180" t="s">
        <v>13</v>
      </c>
      <c r="B1305" s="242">
        <f t="shared" si="740"/>
        <v>2735144.2889657775</v>
      </c>
      <c r="C1305" s="241">
        <f t="shared" si="735"/>
        <v>0.33867303032964208</v>
      </c>
      <c r="D1305" s="242">
        <v>2735144.2889657775</v>
      </c>
      <c r="E1305" s="242">
        <v>0</v>
      </c>
      <c r="F1305" s="242">
        <v>0</v>
      </c>
      <c r="G1305" s="32"/>
      <c r="H1305" s="250">
        <f t="shared" si="736"/>
        <v>0</v>
      </c>
      <c r="I1305" s="241">
        <f t="shared" si="737"/>
        <v>0</v>
      </c>
      <c r="J1305" s="242">
        <f t="shared" si="738"/>
        <v>0</v>
      </c>
      <c r="K1305" s="849">
        <f t="shared" si="739"/>
        <v>0</v>
      </c>
      <c r="L1305" s="242">
        <f t="shared" si="741"/>
        <v>0</v>
      </c>
    </row>
    <row r="1306" spans="1:12" ht="15.5">
      <c r="A1306" s="180"/>
      <c r="B1306" s="242">
        <f>SUM(D1306:E1306)</f>
        <v>0</v>
      </c>
      <c r="C1306" s="241">
        <f t="shared" ref="C1306" si="742">+B1306/$B$12</f>
        <v>0</v>
      </c>
      <c r="D1306" s="242"/>
      <c r="E1306" s="242"/>
      <c r="F1306" s="242"/>
      <c r="G1306" s="32"/>
      <c r="H1306" s="250"/>
      <c r="I1306" s="241">
        <f t="shared" ref="I1306" si="743">+H1306/$H$1109</f>
        <v>0</v>
      </c>
      <c r="J1306" s="242"/>
      <c r="K1306" s="242"/>
      <c r="L1306" s="242"/>
    </row>
    <row r="1307" spans="1:12" ht="15.5">
      <c r="A1307" s="180"/>
      <c r="B1307" s="243">
        <f>SUM(B1299:B1306)</f>
        <v>8076061.6996976929</v>
      </c>
      <c r="C1307" s="240">
        <f>SUM(C1299:C1306)</f>
        <v>1</v>
      </c>
      <c r="D1307" s="243">
        <f>SUM(D1299:D1306)</f>
        <v>3247216.0696976935</v>
      </c>
      <c r="E1307" s="243">
        <f>SUM(E1299:E1305)</f>
        <v>2903875.64</v>
      </c>
      <c r="F1307" s="243">
        <f>SUM(F1299:F1305)</f>
        <v>1924969.99</v>
      </c>
      <c r="G1307" s="32">
        <f>+B1307-B1296</f>
        <v>-219214.67033475079</v>
      </c>
      <c r="H1307" s="243">
        <f>SUM(H1299:H1306)</f>
        <v>-219214.67033475061</v>
      </c>
      <c r="I1307" s="240">
        <f>SUM(I1299:I1306)</f>
        <v>1</v>
      </c>
      <c r="J1307" s="243">
        <f>SUM(J1299:J1306)</f>
        <v>-10759.170334750623</v>
      </c>
      <c r="K1307" s="243">
        <f>SUM(K1299:K1306)</f>
        <v>-70020.560000000056</v>
      </c>
      <c r="L1307" s="243">
        <f>SUM(L1299:L1306)</f>
        <v>-138434.93999999994</v>
      </c>
    </row>
    <row r="1308" spans="1:12" ht="13" thickBot="1"/>
    <row r="1309" spans="1:12" ht="16" thickBot="1">
      <c r="A1309" s="253">
        <v>43493</v>
      </c>
      <c r="B1309" s="251">
        <v>38.299999999999997</v>
      </c>
      <c r="C1309" s="238" t="s">
        <v>3</v>
      </c>
      <c r="D1309" s="238" t="s">
        <v>4</v>
      </c>
      <c r="E1309" s="238" t="s">
        <v>5</v>
      </c>
      <c r="F1309" s="238" t="s">
        <v>6</v>
      </c>
      <c r="G1309" s="32"/>
      <c r="H1309" s="251">
        <f>+B1309-B1298</f>
        <v>-0.20000000000000284</v>
      </c>
      <c r="I1309" s="238" t="s">
        <v>3</v>
      </c>
      <c r="J1309" s="238" t="s">
        <v>4</v>
      </c>
      <c r="K1309" s="238" t="s">
        <v>5</v>
      </c>
      <c r="L1309" s="238" t="s">
        <v>114</v>
      </c>
    </row>
    <row r="1310" spans="1:12" ht="15.5">
      <c r="A1310" s="180" t="s">
        <v>7</v>
      </c>
      <c r="B1310" s="250">
        <f>SUM(D1310:F1310)</f>
        <v>5318236.7947780676</v>
      </c>
      <c r="C1310" s="241">
        <f>+B1310/$B$1318</f>
        <v>0.63207665678223068</v>
      </c>
      <c r="D1310" s="242">
        <v>154761.1947780679</v>
      </c>
      <c r="E1310" s="242">
        <v>3102854.87</v>
      </c>
      <c r="F1310" s="242">
        <v>2060620.73</v>
      </c>
      <c r="H1310" s="250">
        <f>SUM(J1310:L1310)</f>
        <v>350495.614907938</v>
      </c>
      <c r="I1310" s="241">
        <f>+H1310/$H$1318</f>
        <v>1.0374315324718379</v>
      </c>
      <c r="J1310" s="242">
        <f>+D1310-D1299</f>
        <v>15865.644907938025</v>
      </c>
      <c r="K1310" s="849">
        <f>+E1310-E1299</f>
        <v>198979.22999999998</v>
      </c>
      <c r="L1310" s="242">
        <f>+F1310-F1299</f>
        <v>135650.74</v>
      </c>
    </row>
    <row r="1311" spans="1:12" ht="15.5">
      <c r="A1311" s="180" t="s">
        <v>8</v>
      </c>
      <c r="B1311" s="242">
        <f>SUM(D1311:F1311)</f>
        <v>0</v>
      </c>
      <c r="C1311" s="241">
        <f t="shared" ref="C1311:C1316" si="744">+B1311/$B$1318</f>
        <v>0</v>
      </c>
      <c r="D1311" s="242">
        <v>0</v>
      </c>
      <c r="F1311" s="242"/>
      <c r="G1311" s="32"/>
      <c r="H1311" s="250">
        <f t="shared" ref="H1311:H1316" si="745">SUM(J1311:L1311)</f>
        <v>0</v>
      </c>
      <c r="I1311" s="241">
        <f t="shared" ref="I1311:I1316" si="746">+H1311/$H$1318</f>
        <v>0</v>
      </c>
      <c r="J1311" s="242">
        <f t="shared" ref="J1311:J1316" si="747">+D1311-D1300</f>
        <v>0</v>
      </c>
      <c r="K1311" s="849">
        <f t="shared" ref="K1311:K1316" si="748">+E1311-E1300</f>
        <v>0</v>
      </c>
      <c r="L1311" s="242">
        <f>+F1311-F1300</f>
        <v>0</v>
      </c>
    </row>
    <row r="1312" spans="1:12" ht="15.5">
      <c r="A1312" s="180" t="s">
        <v>9</v>
      </c>
      <c r="B1312" s="242">
        <f t="shared" ref="B1312:B1316" si="749">SUM(D1312:F1312)</f>
        <v>335543.0651174935</v>
      </c>
      <c r="C1312" s="241">
        <f t="shared" si="744"/>
        <v>3.9879559145274614E-2</v>
      </c>
      <c r="D1312" s="242">
        <v>335543.0651174935</v>
      </c>
      <c r="E1312" s="242"/>
      <c r="F1312" s="242"/>
      <c r="G1312" s="32"/>
      <c r="H1312" s="250">
        <f t="shared" si="745"/>
        <v>-12776.022887149826</v>
      </c>
      <c r="I1312" s="241">
        <f t="shared" si="746"/>
        <v>-3.7815734174570237E-2</v>
      </c>
      <c r="J1312" s="242">
        <f t="shared" si="747"/>
        <v>-12776.022887149826</v>
      </c>
      <c r="K1312" s="849">
        <f t="shared" si="748"/>
        <v>0</v>
      </c>
      <c r="L1312" s="242">
        <f t="shared" ref="L1312:L1316" si="750">+F1312-F1301</f>
        <v>0</v>
      </c>
    </row>
    <row r="1313" spans="1:12" ht="15.5">
      <c r="A1313" s="180" t="s">
        <v>162</v>
      </c>
      <c r="B1313" s="242">
        <f t="shared" si="749"/>
        <v>0</v>
      </c>
      <c r="C1313" s="241">
        <f t="shared" si="744"/>
        <v>0</v>
      </c>
      <c r="D1313" s="242">
        <v>0</v>
      </c>
      <c r="E1313" s="242"/>
      <c r="F1313" s="242"/>
      <c r="G1313" s="32"/>
      <c r="H1313" s="250">
        <f t="shared" si="745"/>
        <v>0</v>
      </c>
      <c r="I1313" s="241">
        <f t="shared" si="746"/>
        <v>0</v>
      </c>
      <c r="J1313" s="242">
        <f t="shared" si="747"/>
        <v>0</v>
      </c>
      <c r="K1313" s="849">
        <f t="shared" si="748"/>
        <v>0</v>
      </c>
      <c r="L1313" s="242">
        <f t="shared" si="750"/>
        <v>0</v>
      </c>
    </row>
    <row r="1314" spans="1:12" ht="15.5">
      <c r="A1314" s="180" t="s">
        <v>11</v>
      </c>
      <c r="B1314" s="242">
        <f t="shared" si="749"/>
        <v>0</v>
      </c>
      <c r="C1314" s="241">
        <f t="shared" si="744"/>
        <v>0</v>
      </c>
      <c r="D1314" s="242">
        <v>0</v>
      </c>
      <c r="E1314" s="242"/>
      <c r="F1314" s="242"/>
      <c r="G1314" s="32"/>
      <c r="H1314" s="250">
        <f t="shared" si="745"/>
        <v>0</v>
      </c>
      <c r="I1314" s="241">
        <f t="shared" si="746"/>
        <v>0</v>
      </c>
      <c r="J1314" s="242">
        <f t="shared" si="747"/>
        <v>0</v>
      </c>
      <c r="K1314" s="849">
        <f t="shared" si="748"/>
        <v>0</v>
      </c>
      <c r="L1314" s="242">
        <f t="shared" si="750"/>
        <v>0</v>
      </c>
    </row>
    <row r="1315" spans="1:12" ht="15.5">
      <c r="A1315" s="180" t="s">
        <v>12</v>
      </c>
      <c r="B1315" s="242">
        <f t="shared" si="749"/>
        <v>24986.945169712795</v>
      </c>
      <c r="C1315" s="241">
        <f t="shared" si="744"/>
        <v>2.9697182309709564E-3</v>
      </c>
      <c r="D1315" s="242">
        <v>24986.945169712795</v>
      </c>
      <c r="E1315" s="242"/>
      <c r="F1315" s="242"/>
      <c r="G1315" s="32"/>
      <c r="H1315" s="250">
        <f t="shared" si="745"/>
        <v>129.80231256993648</v>
      </c>
      <c r="I1315" s="241">
        <f t="shared" si="746"/>
        <v>3.8420170273225274E-4</v>
      </c>
      <c r="J1315" s="242">
        <f t="shared" si="747"/>
        <v>129.80231256993648</v>
      </c>
      <c r="K1315" s="849">
        <f t="shared" si="748"/>
        <v>0</v>
      </c>
      <c r="L1315" s="242">
        <f t="shared" si="750"/>
        <v>0</v>
      </c>
    </row>
    <row r="1316" spans="1:12" ht="15.5">
      <c r="A1316" s="180" t="s">
        <v>13</v>
      </c>
      <c r="B1316" s="242">
        <f t="shared" si="749"/>
        <v>2735144.2889657775</v>
      </c>
      <c r="C1316" s="241">
        <f t="shared" si="744"/>
        <v>0.32507406584152382</v>
      </c>
      <c r="D1316" s="242">
        <v>2735144.2889657775</v>
      </c>
      <c r="E1316" s="242">
        <v>0</v>
      </c>
      <c r="F1316" s="242">
        <v>0</v>
      </c>
      <c r="G1316" s="32"/>
      <c r="H1316" s="250">
        <f t="shared" si="745"/>
        <v>0</v>
      </c>
      <c r="I1316" s="241">
        <f t="shared" si="746"/>
        <v>0</v>
      </c>
      <c r="J1316" s="242">
        <f t="shared" si="747"/>
        <v>0</v>
      </c>
      <c r="K1316" s="849">
        <f t="shared" si="748"/>
        <v>0</v>
      </c>
      <c r="L1316" s="242">
        <f t="shared" si="750"/>
        <v>0</v>
      </c>
    </row>
    <row r="1317" spans="1:12" ht="15.5">
      <c r="A1317" s="180"/>
      <c r="B1317" s="242">
        <f>SUM(D1317:E1317)</f>
        <v>0</v>
      </c>
      <c r="C1317" s="241">
        <f t="shared" ref="C1317" si="751">+B1317/$B$12</f>
        <v>0</v>
      </c>
      <c r="D1317" s="242"/>
      <c r="E1317" s="242"/>
      <c r="F1317" s="242"/>
      <c r="G1317" s="32"/>
      <c r="H1317" s="250"/>
      <c r="I1317" s="241">
        <f t="shared" ref="I1317" si="752">+H1317/$H$1109</f>
        <v>0</v>
      </c>
      <c r="J1317" s="242"/>
      <c r="K1317" s="242"/>
      <c r="L1317" s="242"/>
    </row>
    <row r="1318" spans="1:12" ht="15.5">
      <c r="A1318" s="180"/>
      <c r="B1318" s="243">
        <f>SUM(B1310:B1317)</f>
        <v>8413911.0940310508</v>
      </c>
      <c r="C1318" s="240">
        <f>SUM(C1310:C1317)</f>
        <v>1</v>
      </c>
      <c r="D1318" s="243">
        <f>SUM(D1310:D1317)</f>
        <v>3250435.4940310516</v>
      </c>
      <c r="E1318" s="243">
        <f>SUM(E1310:E1316)</f>
        <v>3102854.87</v>
      </c>
      <c r="F1318" s="243">
        <f>SUM(F1310:F1316)</f>
        <v>2060620.73</v>
      </c>
      <c r="G1318" s="32">
        <f>+B1318-B1307</f>
        <v>337849.39433335792</v>
      </c>
      <c r="H1318" s="243">
        <f>SUM(H1310:H1317)</f>
        <v>337849.3943333581</v>
      </c>
      <c r="I1318" s="240">
        <f>SUM(I1310:I1317)</f>
        <v>1</v>
      </c>
      <c r="J1318" s="243">
        <f>SUM(J1310:J1317)</f>
        <v>3219.4243333581362</v>
      </c>
      <c r="K1318" s="243">
        <f>SUM(K1310:K1317)</f>
        <v>198979.22999999998</v>
      </c>
      <c r="L1318" s="243">
        <f>SUM(L1310:L1317)</f>
        <v>135650.74</v>
      </c>
    </row>
    <row r="1319" spans="1:12" ht="13" thickBot="1"/>
    <row r="1320" spans="1:12" ht="16" thickBot="1">
      <c r="A1320" s="253">
        <v>43524</v>
      </c>
      <c r="B1320" s="251">
        <v>39.5</v>
      </c>
      <c r="C1320" s="238" t="s">
        <v>3</v>
      </c>
      <c r="D1320" s="238" t="s">
        <v>4</v>
      </c>
      <c r="E1320" s="238" t="s">
        <v>5</v>
      </c>
      <c r="F1320" s="238" t="s">
        <v>6</v>
      </c>
      <c r="G1320" s="32"/>
      <c r="H1320" s="251">
        <f>+B1320-B1309</f>
        <v>1.2000000000000028</v>
      </c>
      <c r="I1320" s="238" t="s">
        <v>3</v>
      </c>
      <c r="J1320" s="238" t="s">
        <v>4</v>
      </c>
      <c r="K1320" s="238" t="s">
        <v>5</v>
      </c>
      <c r="L1320" s="238" t="s">
        <v>114</v>
      </c>
    </row>
    <row r="1321" spans="1:12" ht="15.5">
      <c r="A1321" s="180" t="s">
        <v>7</v>
      </c>
      <c r="B1321" s="250">
        <f>SUM(D1321:F1321)</f>
        <v>5340128.3517000005</v>
      </c>
      <c r="C1321" s="241">
        <f>+B1321/$B$1329</f>
        <v>0.63290442470197084</v>
      </c>
      <c r="D1321" s="242">
        <v>149470.64000000001</v>
      </c>
      <c r="E1321" s="242">
        <v>3071473.7116999999</v>
      </c>
      <c r="F1321" s="242">
        <v>2119184</v>
      </c>
      <c r="H1321" s="250">
        <f>SUM(J1321:L1321)</f>
        <v>21891.556921931886</v>
      </c>
      <c r="I1321" s="241">
        <f>+H1321/$H$1329</f>
        <v>0.92821444461153191</v>
      </c>
      <c r="J1321" s="242">
        <f>+D1321-D1310</f>
        <v>-5290.5547780678899</v>
      </c>
      <c r="K1321" s="849">
        <f>+E1321-E1310</f>
        <v>-31381.158300000243</v>
      </c>
      <c r="L1321" s="242">
        <f>+F1321-F1310</f>
        <v>58563.270000000019</v>
      </c>
    </row>
    <row r="1322" spans="1:12" ht="15.5">
      <c r="A1322" s="180" t="s">
        <v>8</v>
      </c>
      <c r="B1322" s="242">
        <f>SUM(D1322:F1322)</f>
        <v>0</v>
      </c>
      <c r="C1322" s="241">
        <f t="shared" ref="C1322:C1327" si="753">+B1322/$B$1329</f>
        <v>0</v>
      </c>
      <c r="D1322" s="242">
        <v>0</v>
      </c>
      <c r="F1322" s="242"/>
      <c r="G1322" s="32"/>
      <c r="H1322" s="250">
        <f t="shared" ref="H1322:H1327" si="754">SUM(J1322:L1322)</f>
        <v>0</v>
      </c>
      <c r="I1322" s="241">
        <f t="shared" ref="I1322:I1327" si="755">+H1322/$H$1329</f>
        <v>0</v>
      </c>
      <c r="J1322" s="242">
        <f t="shared" ref="J1322:J1327" si="756">+D1322-D1311</f>
        <v>0</v>
      </c>
      <c r="K1322" s="849">
        <f t="shared" ref="K1322:K1327" si="757">+E1322-E1311</f>
        <v>0</v>
      </c>
      <c r="L1322" s="242">
        <f>+F1322-F1311</f>
        <v>0</v>
      </c>
    </row>
    <row r="1323" spans="1:12" ht="15.5">
      <c r="A1323" s="180" t="s">
        <v>9</v>
      </c>
      <c r="B1323" s="242">
        <f t="shared" ref="B1323:B1327" si="758">SUM(D1323:F1323)</f>
        <v>337995.19506329118</v>
      </c>
      <c r="C1323" s="241">
        <f t="shared" si="753"/>
        <v>4.0058710277153332E-2</v>
      </c>
      <c r="D1323" s="242">
        <v>337995.19506329118</v>
      </c>
      <c r="E1323" s="242"/>
      <c r="F1323" s="242"/>
      <c r="G1323" s="32"/>
      <c r="H1323" s="250">
        <f t="shared" si="754"/>
        <v>2452.1299457976711</v>
      </c>
      <c r="I1323" s="241">
        <f t="shared" si="755"/>
        <v>0.10397170214392544</v>
      </c>
      <c r="J1323" s="242">
        <f t="shared" si="756"/>
        <v>2452.1299457976711</v>
      </c>
      <c r="K1323" s="849">
        <f t="shared" si="757"/>
        <v>0</v>
      </c>
      <c r="L1323" s="242">
        <f t="shared" ref="L1323:L1327" si="759">+F1323-F1312</f>
        <v>0</v>
      </c>
    </row>
    <row r="1324" spans="1:12" ht="15.5">
      <c r="A1324" s="180" t="s">
        <v>162</v>
      </c>
      <c r="B1324" s="242">
        <f t="shared" si="758"/>
        <v>0</v>
      </c>
      <c r="C1324" s="241">
        <f t="shared" si="753"/>
        <v>0</v>
      </c>
      <c r="D1324" s="242">
        <v>0</v>
      </c>
      <c r="E1324" s="242"/>
      <c r="F1324" s="242"/>
      <c r="G1324" s="32"/>
      <c r="H1324" s="250">
        <f t="shared" si="754"/>
        <v>0</v>
      </c>
      <c r="I1324" s="241">
        <f t="shared" si="755"/>
        <v>0</v>
      </c>
      <c r="J1324" s="242">
        <f t="shared" si="756"/>
        <v>0</v>
      </c>
      <c r="K1324" s="849">
        <f t="shared" si="757"/>
        <v>0</v>
      </c>
      <c r="L1324" s="242">
        <f t="shared" si="759"/>
        <v>0</v>
      </c>
    </row>
    <row r="1325" spans="1:12" ht="15.5">
      <c r="A1325" s="180" t="s">
        <v>11</v>
      </c>
      <c r="B1325" s="242">
        <f t="shared" si="758"/>
        <v>0</v>
      </c>
      <c r="C1325" s="241">
        <f t="shared" si="753"/>
        <v>0</v>
      </c>
      <c r="D1325" s="242">
        <v>0</v>
      </c>
      <c r="E1325" s="242"/>
      <c r="F1325" s="242"/>
      <c r="G1325" s="32"/>
      <c r="H1325" s="250">
        <f t="shared" si="754"/>
        <v>0</v>
      </c>
      <c r="I1325" s="241">
        <f t="shared" si="755"/>
        <v>0</v>
      </c>
      <c r="J1325" s="242">
        <f t="shared" si="756"/>
        <v>0</v>
      </c>
      <c r="K1325" s="849">
        <f t="shared" si="757"/>
        <v>0</v>
      </c>
      <c r="L1325" s="242">
        <f t="shared" si="759"/>
        <v>0</v>
      </c>
    </row>
    <row r="1326" spans="1:12" ht="15.5">
      <c r="A1326" s="180" t="s">
        <v>12</v>
      </c>
      <c r="B1326" s="242">
        <f t="shared" si="758"/>
        <v>24227.848101265823</v>
      </c>
      <c r="C1326" s="241">
        <f t="shared" si="753"/>
        <v>2.8714501327326554E-3</v>
      </c>
      <c r="D1326" s="242">
        <v>24227.848101265823</v>
      </c>
      <c r="E1326" s="242"/>
      <c r="F1326" s="242"/>
      <c r="G1326" s="32"/>
      <c r="H1326" s="250">
        <f t="shared" si="754"/>
        <v>-759.09706844697212</v>
      </c>
      <c r="I1326" s="241">
        <f t="shared" si="755"/>
        <v>-3.2186146755457369E-2</v>
      </c>
      <c r="J1326" s="242">
        <f t="shared" si="756"/>
        <v>-759.09706844697212</v>
      </c>
      <c r="K1326" s="849">
        <f t="shared" si="757"/>
        <v>0</v>
      </c>
      <c r="L1326" s="242">
        <f t="shared" si="759"/>
        <v>0</v>
      </c>
    </row>
    <row r="1327" spans="1:12" ht="15.5">
      <c r="A1327" s="180" t="s">
        <v>13</v>
      </c>
      <c r="B1327" s="242">
        <f t="shared" si="758"/>
        <v>2735144.2889657775</v>
      </c>
      <c r="C1327" s="241">
        <f t="shared" si="753"/>
        <v>0.3241654148881431</v>
      </c>
      <c r="D1327" s="242">
        <v>2735144.2889657775</v>
      </c>
      <c r="E1327" s="242">
        <v>0</v>
      </c>
      <c r="F1327" s="242">
        <v>0</v>
      </c>
      <c r="G1327" s="32"/>
      <c r="H1327" s="250">
        <f t="shared" si="754"/>
        <v>0</v>
      </c>
      <c r="I1327" s="241">
        <f t="shared" si="755"/>
        <v>0</v>
      </c>
      <c r="J1327" s="242">
        <f t="shared" si="756"/>
        <v>0</v>
      </c>
      <c r="K1327" s="849">
        <f t="shared" si="757"/>
        <v>0</v>
      </c>
      <c r="L1327" s="242">
        <f t="shared" si="759"/>
        <v>0</v>
      </c>
    </row>
    <row r="1328" spans="1:12" ht="15.5">
      <c r="A1328" s="180"/>
      <c r="B1328" s="242">
        <f>SUM(D1328:E1328)</f>
        <v>0</v>
      </c>
      <c r="C1328" s="241">
        <f t="shared" ref="C1328" si="760">+B1328/$B$12</f>
        <v>0</v>
      </c>
      <c r="D1328" s="242"/>
      <c r="E1328" s="242"/>
      <c r="F1328" s="242"/>
      <c r="G1328" s="32"/>
      <c r="H1328" s="250"/>
      <c r="I1328" s="241">
        <f t="shared" ref="I1328" si="761">+H1328/$H$1109</f>
        <v>0</v>
      </c>
      <c r="J1328" s="242"/>
      <c r="K1328" s="242"/>
      <c r="L1328" s="242"/>
    </row>
    <row r="1329" spans="1:12" ht="15.5">
      <c r="A1329" s="180"/>
      <c r="B1329" s="243">
        <f>SUM(B1321:B1328)</f>
        <v>8437495.6838303357</v>
      </c>
      <c r="C1329" s="240">
        <f>SUM(C1321:C1328)</f>
        <v>0.99999999999999989</v>
      </c>
      <c r="D1329" s="243">
        <f>SUM(D1321:D1328)</f>
        <v>3246837.9721303345</v>
      </c>
      <c r="E1329" s="243">
        <f>SUM(E1321:E1327)</f>
        <v>3071473.7116999999</v>
      </c>
      <c r="F1329" s="243">
        <f>SUM(F1321:F1327)</f>
        <v>2119184</v>
      </c>
      <c r="G1329" s="32">
        <f>+B1329-B1318</f>
        <v>23584.589799284935</v>
      </c>
      <c r="H1329" s="243">
        <f>SUM(H1321:H1328)</f>
        <v>23584.589799282585</v>
      </c>
      <c r="I1329" s="240">
        <f>SUM(I1321:I1328)</f>
        <v>1</v>
      </c>
      <c r="J1329" s="243">
        <f>SUM(J1321:J1328)</f>
        <v>-3597.5219007171909</v>
      </c>
      <c r="K1329" s="243">
        <f>SUM(K1321:K1328)</f>
        <v>-31381.158300000243</v>
      </c>
      <c r="L1329" s="243">
        <f>SUM(L1321:L1328)</f>
        <v>58563.270000000019</v>
      </c>
    </row>
    <row r="1330" spans="1:12" ht="13" thickBot="1"/>
    <row r="1331" spans="1:12" ht="16" thickBot="1">
      <c r="A1331" s="253">
        <v>43552</v>
      </c>
      <c r="B1331" s="251">
        <v>44</v>
      </c>
      <c r="C1331" s="238" t="s">
        <v>3</v>
      </c>
      <c r="D1331" s="238" t="s">
        <v>4</v>
      </c>
      <c r="E1331" s="238" t="s">
        <v>5</v>
      </c>
      <c r="F1331" s="238" t="s">
        <v>6</v>
      </c>
      <c r="G1331" s="32"/>
      <c r="H1331" s="251">
        <f>+B1331-B1320</f>
        <v>4.5</v>
      </c>
      <c r="I1331" s="238" t="s">
        <v>3</v>
      </c>
      <c r="J1331" s="238" t="s">
        <v>4</v>
      </c>
      <c r="K1331" s="238" t="s">
        <v>5</v>
      </c>
      <c r="L1331" s="238" t="s">
        <v>114</v>
      </c>
    </row>
    <row r="1332" spans="1:12" ht="15.5">
      <c r="A1332" s="180" t="s">
        <v>7</v>
      </c>
      <c r="B1332" s="250">
        <f>SUM(D1332:F1332)</f>
        <v>5251396.3027272727</v>
      </c>
      <c r="C1332" s="241">
        <f>+B1332/$B$1340</f>
        <v>0.62947811955645638</v>
      </c>
      <c r="D1332" s="242">
        <v>140770.27272727274</v>
      </c>
      <c r="E1332" s="242">
        <v>2977063.65</v>
      </c>
      <c r="F1332" s="242">
        <v>2133562.38</v>
      </c>
      <c r="H1332" s="250">
        <f>SUM(J1332:L1332)</f>
        <v>-88732.048972727353</v>
      </c>
      <c r="I1332" s="241">
        <f>+H1332/$H$1340</f>
        <v>0.93367506879832673</v>
      </c>
      <c r="J1332" s="242">
        <f>+D1332-D1321</f>
        <v>-8700.3672727272788</v>
      </c>
      <c r="K1332" s="849">
        <f>+E1332-E1321</f>
        <v>-94410.061699999962</v>
      </c>
      <c r="L1332" s="242">
        <f>+F1332-F1321</f>
        <v>14378.379999999888</v>
      </c>
    </row>
    <row r="1333" spans="1:12" ht="15.5">
      <c r="A1333" s="180" t="s">
        <v>8</v>
      </c>
      <c r="B1333" s="242">
        <f>SUM(D1333:F1333)</f>
        <v>0</v>
      </c>
      <c r="C1333" s="241">
        <f t="shared" ref="C1333:C1339" si="762">+B1333/$B$1340</f>
        <v>0</v>
      </c>
      <c r="D1333" s="242">
        <v>0</v>
      </c>
      <c r="F1333" s="242"/>
      <c r="G1333" s="32"/>
      <c r="H1333" s="250">
        <f t="shared" ref="H1333:H1338" si="763">SUM(J1333:L1333)</f>
        <v>0</v>
      </c>
      <c r="I1333" s="241">
        <f t="shared" ref="I1333:I1338" si="764">+H1333/$H$1340</f>
        <v>0</v>
      </c>
      <c r="J1333" s="242">
        <f t="shared" ref="J1333:J1338" si="765">+D1333-D1322</f>
        <v>0</v>
      </c>
      <c r="K1333" s="849">
        <f t="shared" ref="K1333:K1338" si="766">+E1333-E1322</f>
        <v>0</v>
      </c>
      <c r="L1333" s="242">
        <f>+F1333-F1322</f>
        <v>0</v>
      </c>
    </row>
    <row r="1334" spans="1:12" ht="15.5">
      <c r="A1334" s="180" t="s">
        <v>9</v>
      </c>
      <c r="B1334" s="242">
        <f t="shared" ref="B1334:B1338" si="767">SUM(D1334:F1334)</f>
        <v>334169.83636363636</v>
      </c>
      <c r="C1334" s="241">
        <f t="shared" si="762"/>
        <v>4.0056508418042175E-2</v>
      </c>
      <c r="D1334" s="242">
        <v>334169.83636363636</v>
      </c>
      <c r="E1334" s="242"/>
      <c r="F1334" s="242"/>
      <c r="G1334" s="32"/>
      <c r="H1334" s="250">
        <f t="shared" si="763"/>
        <v>-3825.3586996548111</v>
      </c>
      <c r="I1334" s="241">
        <f t="shared" si="764"/>
        <v>4.0251995625349098E-2</v>
      </c>
      <c r="J1334" s="242">
        <f t="shared" si="765"/>
        <v>-3825.3586996548111</v>
      </c>
      <c r="K1334" s="849">
        <f t="shared" si="766"/>
        <v>0</v>
      </c>
      <c r="L1334" s="242">
        <f t="shared" ref="L1334:L1338" si="768">+F1334-F1323</f>
        <v>0</v>
      </c>
    </row>
    <row r="1335" spans="1:12" ht="15.5">
      <c r="A1335" s="180" t="s">
        <v>162</v>
      </c>
      <c r="B1335" s="242">
        <f t="shared" si="767"/>
        <v>0</v>
      </c>
      <c r="C1335" s="241">
        <f t="shared" si="762"/>
        <v>0</v>
      </c>
      <c r="D1335" s="242">
        <v>0</v>
      </c>
      <c r="E1335" s="242"/>
      <c r="F1335" s="242"/>
      <c r="G1335" s="32"/>
      <c r="H1335" s="250">
        <f t="shared" si="763"/>
        <v>0</v>
      </c>
      <c r="I1335" s="241">
        <f t="shared" si="764"/>
        <v>0</v>
      </c>
      <c r="J1335" s="242">
        <f t="shared" si="765"/>
        <v>0</v>
      </c>
      <c r="K1335" s="849">
        <f t="shared" si="766"/>
        <v>0</v>
      </c>
      <c r="L1335" s="242">
        <f t="shared" si="768"/>
        <v>0</v>
      </c>
    </row>
    <row r="1336" spans="1:12" ht="15.5">
      <c r="A1336" s="180" t="s">
        <v>11</v>
      </c>
      <c r="B1336" s="242">
        <f t="shared" si="767"/>
        <v>0</v>
      </c>
      <c r="C1336" s="241">
        <f t="shared" si="762"/>
        <v>0</v>
      </c>
      <c r="D1336" s="242">
        <v>0</v>
      </c>
      <c r="E1336" s="242"/>
      <c r="F1336" s="242"/>
      <c r="G1336" s="32"/>
      <c r="H1336" s="250">
        <f t="shared" si="763"/>
        <v>0</v>
      </c>
      <c r="I1336" s="241">
        <f t="shared" si="764"/>
        <v>0</v>
      </c>
      <c r="J1336" s="242">
        <f t="shared" si="765"/>
        <v>0</v>
      </c>
      <c r="K1336" s="849">
        <f t="shared" si="766"/>
        <v>0</v>
      </c>
      <c r="L1336" s="242">
        <f t="shared" si="768"/>
        <v>0</v>
      </c>
    </row>
    <row r="1337" spans="1:12" ht="15.5">
      <c r="A1337" s="180" t="s">
        <v>12</v>
      </c>
      <c r="B1337" s="242">
        <f t="shared" si="767"/>
        <v>21750</v>
      </c>
      <c r="C1337" s="241">
        <f t="shared" si="762"/>
        <v>2.6071445213994861E-3</v>
      </c>
      <c r="D1337" s="242">
        <v>21750</v>
      </c>
      <c r="E1337" s="242"/>
      <c r="F1337" s="242"/>
      <c r="G1337" s="32"/>
      <c r="H1337" s="250">
        <f t="shared" si="763"/>
        <v>-2477.8481012658231</v>
      </c>
      <c r="I1337" s="241">
        <f t="shared" si="764"/>
        <v>2.6072935576324272E-2</v>
      </c>
      <c r="J1337" s="242">
        <f t="shared" si="765"/>
        <v>-2477.8481012658231</v>
      </c>
      <c r="K1337" s="849">
        <f t="shared" si="766"/>
        <v>0</v>
      </c>
      <c r="L1337" s="242">
        <f t="shared" si="768"/>
        <v>0</v>
      </c>
    </row>
    <row r="1338" spans="1:12" ht="15.5">
      <c r="A1338" s="180" t="s">
        <v>13</v>
      </c>
      <c r="B1338" s="242">
        <f t="shared" si="767"/>
        <v>2735144.2889657775</v>
      </c>
      <c r="C1338" s="241">
        <f t="shared" si="762"/>
        <v>0.32785822750410204</v>
      </c>
      <c r="D1338" s="242">
        <v>2735144.2889657775</v>
      </c>
      <c r="E1338" s="242">
        <v>0</v>
      </c>
      <c r="F1338" s="242">
        <v>0</v>
      </c>
      <c r="G1338" s="32"/>
      <c r="H1338" s="250">
        <f t="shared" si="763"/>
        <v>0</v>
      </c>
      <c r="I1338" s="241">
        <f t="shared" si="764"/>
        <v>0</v>
      </c>
      <c r="J1338" s="242">
        <f t="shared" si="765"/>
        <v>0</v>
      </c>
      <c r="K1338" s="849">
        <f t="shared" si="766"/>
        <v>0</v>
      </c>
      <c r="L1338" s="242">
        <f t="shared" si="768"/>
        <v>0</v>
      </c>
    </row>
    <row r="1339" spans="1:12" ht="15.5">
      <c r="A1339" s="180"/>
      <c r="B1339" s="242">
        <f>SUM(D1339:E1339)</f>
        <v>0</v>
      </c>
      <c r="C1339" s="241">
        <f t="shared" si="762"/>
        <v>0</v>
      </c>
      <c r="D1339" s="242"/>
      <c r="E1339" s="242"/>
      <c r="F1339" s="242"/>
      <c r="G1339" s="32"/>
      <c r="H1339" s="250"/>
      <c r="I1339" s="241">
        <f t="shared" ref="I1339" si="769">+H1339/$H$1109</f>
        <v>0</v>
      </c>
      <c r="J1339" s="242"/>
      <c r="K1339" s="242"/>
      <c r="L1339" s="242"/>
    </row>
    <row r="1340" spans="1:12" ht="15.5">
      <c r="A1340" s="180"/>
      <c r="B1340" s="243">
        <f>SUM(B1332:B1339)</f>
        <v>8342460.4280566862</v>
      </c>
      <c r="C1340" s="240">
        <f>SUM(C1332:C1339)</f>
        <v>1.0000000000000002</v>
      </c>
      <c r="D1340" s="243">
        <f>SUM(D1332:D1339)</f>
        <v>3231834.3980566869</v>
      </c>
      <c r="E1340" s="243">
        <f>SUM(E1332:E1338)</f>
        <v>2977063.65</v>
      </c>
      <c r="F1340" s="243">
        <f>SUM(F1332:F1338)</f>
        <v>2133562.38</v>
      </c>
      <c r="G1340" s="32">
        <f>+B1340-B1329</f>
        <v>-95035.255773649551</v>
      </c>
      <c r="H1340" s="243">
        <f>SUM(H1332:H1339)</f>
        <v>-95035.255773647979</v>
      </c>
      <c r="I1340" s="240">
        <f>SUM(I1332:I1339)</f>
        <v>1</v>
      </c>
      <c r="J1340" s="243">
        <f>SUM(J1332:J1339)</f>
        <v>-15003.574073647913</v>
      </c>
      <c r="K1340" s="243">
        <f>SUM(K1332:K1339)</f>
        <v>-94410.061699999962</v>
      </c>
      <c r="L1340" s="243">
        <f>SUM(L1332:L1339)</f>
        <v>14378.379999999888</v>
      </c>
    </row>
    <row r="1341" spans="1:12" ht="13" thickBot="1"/>
    <row r="1342" spans="1:12" ht="16" thickBot="1">
      <c r="A1342" s="253">
        <v>43583</v>
      </c>
      <c r="B1342" s="251">
        <v>44</v>
      </c>
      <c r="C1342" s="238" t="s">
        <v>3</v>
      </c>
      <c r="D1342" s="238" t="s">
        <v>4</v>
      </c>
      <c r="E1342" s="238" t="s">
        <v>5</v>
      </c>
      <c r="F1342" s="238" t="s">
        <v>6</v>
      </c>
      <c r="G1342" s="32"/>
      <c r="H1342" s="251">
        <f>+B1342-B1331</f>
        <v>0</v>
      </c>
      <c r="I1342" s="238" t="s">
        <v>3</v>
      </c>
      <c r="J1342" s="238" t="s">
        <v>4</v>
      </c>
      <c r="K1342" s="238" t="s">
        <v>5</v>
      </c>
      <c r="L1342" s="238" t="s">
        <v>114</v>
      </c>
    </row>
    <row r="1343" spans="1:12" ht="15.5">
      <c r="A1343" s="180" t="s">
        <v>7</v>
      </c>
      <c r="B1343" s="250">
        <f>SUM(D1343:F1343)</f>
        <v>5114219.4163876651</v>
      </c>
      <c r="C1343" s="241">
        <f>+B1343/$B$1351</f>
        <v>0.6229858892961706</v>
      </c>
      <c r="D1343" s="242">
        <v>134521.30638766519</v>
      </c>
      <c r="E1343" s="242">
        <v>2777237.27</v>
      </c>
      <c r="F1343" s="242">
        <v>2202460.84</v>
      </c>
      <c r="H1343" s="250">
        <f>SUM(J1343:L1343)</f>
        <v>-137176.88633960747</v>
      </c>
      <c r="I1343" s="241">
        <f>+H1343/$H$1351</f>
        <v>1.0294348160850562</v>
      </c>
      <c r="J1343" s="242">
        <f>+D1343-D1332</f>
        <v>-6248.9663396075484</v>
      </c>
      <c r="K1343" s="849">
        <f>+E1343-E1332</f>
        <v>-199826.37999999989</v>
      </c>
      <c r="L1343" s="242">
        <f>+F1343-F1332</f>
        <v>68898.459999999963</v>
      </c>
    </row>
    <row r="1344" spans="1:12" ht="15.5">
      <c r="A1344" s="180" t="s">
        <v>8</v>
      </c>
      <c r="B1344" s="242">
        <f>SUM(D1344:F1344)</f>
        <v>0</v>
      </c>
      <c r="C1344" s="241">
        <f t="shared" ref="C1344:C1350" si="770">+B1344/$B$1351</f>
        <v>0</v>
      </c>
      <c r="D1344" s="242">
        <v>0</v>
      </c>
      <c r="F1344" s="242"/>
      <c r="G1344" s="32"/>
      <c r="H1344" s="250">
        <f t="shared" ref="H1344:H1349" si="771">SUM(J1344:L1344)</f>
        <v>0</v>
      </c>
      <c r="I1344" s="241">
        <f t="shared" ref="I1344:I1349" si="772">+H1344/$H$1351</f>
        <v>0</v>
      </c>
      <c r="J1344" s="242">
        <f t="shared" ref="J1344:J1349" si="773">+D1344-D1333</f>
        <v>0</v>
      </c>
      <c r="K1344" s="849">
        <f t="shared" ref="K1344:K1349" si="774">+E1344-E1333</f>
        <v>0</v>
      </c>
      <c r="L1344" s="242">
        <f>+F1344-F1333</f>
        <v>0</v>
      </c>
    </row>
    <row r="1345" spans="1:12" ht="15.5">
      <c r="A1345" s="180" t="s">
        <v>9</v>
      </c>
      <c r="B1345" s="242">
        <f t="shared" ref="B1345:B1349" si="775">SUM(D1345:F1345)</f>
        <v>338762.86475770926</v>
      </c>
      <c r="C1345" s="241">
        <f t="shared" si="770"/>
        <v>4.1266216284217866E-2</v>
      </c>
      <c r="D1345" s="242">
        <v>338762.86475770926</v>
      </c>
      <c r="E1345" s="242"/>
      <c r="F1345" s="242"/>
      <c r="G1345" s="32"/>
      <c r="H1345" s="250">
        <f t="shared" si="771"/>
        <v>4593.0283940728987</v>
      </c>
      <c r="I1345" s="241">
        <f t="shared" si="772"/>
        <v>-3.4468075973238366E-2</v>
      </c>
      <c r="J1345" s="242">
        <f t="shared" si="773"/>
        <v>4593.0283940728987</v>
      </c>
      <c r="K1345" s="849">
        <f t="shared" si="774"/>
        <v>0</v>
      </c>
      <c r="L1345" s="242">
        <f t="shared" ref="L1345:L1349" si="776">+F1345-F1334</f>
        <v>0</v>
      </c>
    </row>
    <row r="1346" spans="1:12" ht="15.5">
      <c r="A1346" s="180" t="s">
        <v>162</v>
      </c>
      <c r="B1346" s="242">
        <f t="shared" si="775"/>
        <v>0</v>
      </c>
      <c r="C1346" s="241">
        <f t="shared" si="770"/>
        <v>0</v>
      </c>
      <c r="D1346" s="242">
        <v>0</v>
      </c>
      <c r="E1346" s="242"/>
      <c r="F1346" s="242"/>
      <c r="G1346" s="32"/>
      <c r="H1346" s="250">
        <f t="shared" si="771"/>
        <v>0</v>
      </c>
      <c r="I1346" s="241">
        <f t="shared" si="772"/>
        <v>0</v>
      </c>
      <c r="J1346" s="242">
        <f t="shared" si="773"/>
        <v>0</v>
      </c>
      <c r="K1346" s="849">
        <f t="shared" si="774"/>
        <v>0</v>
      </c>
      <c r="L1346" s="242">
        <f t="shared" si="776"/>
        <v>0</v>
      </c>
    </row>
    <row r="1347" spans="1:12" ht="15.5">
      <c r="A1347" s="180" t="s">
        <v>11</v>
      </c>
      <c r="B1347" s="242">
        <f t="shared" si="775"/>
        <v>0</v>
      </c>
      <c r="C1347" s="241">
        <f t="shared" si="770"/>
        <v>0</v>
      </c>
      <c r="D1347" s="242">
        <v>0</v>
      </c>
      <c r="E1347" s="242"/>
      <c r="F1347" s="242"/>
      <c r="G1347" s="32"/>
      <c r="H1347" s="250">
        <f t="shared" si="771"/>
        <v>0</v>
      </c>
      <c r="I1347" s="241">
        <f t="shared" si="772"/>
        <v>0</v>
      </c>
      <c r="J1347" s="242">
        <f t="shared" si="773"/>
        <v>0</v>
      </c>
      <c r="K1347" s="849">
        <f t="shared" si="774"/>
        <v>0</v>
      </c>
      <c r="L1347" s="242">
        <f t="shared" si="776"/>
        <v>0</v>
      </c>
    </row>
    <row r="1348" spans="1:12" ht="15.5">
      <c r="A1348" s="180" t="s">
        <v>12</v>
      </c>
      <c r="B1348" s="242">
        <f t="shared" si="775"/>
        <v>21079.295154185023</v>
      </c>
      <c r="C1348" s="241">
        <f t="shared" si="770"/>
        <v>2.5677630090110673E-3</v>
      </c>
      <c r="D1348" s="242">
        <v>21079.295154185023</v>
      </c>
      <c r="E1348" s="242"/>
      <c r="F1348" s="242"/>
      <c r="G1348" s="32"/>
      <c r="H1348" s="250">
        <f t="shared" si="771"/>
        <v>-670.70484581497658</v>
      </c>
      <c r="I1348" s="241">
        <f t="shared" si="772"/>
        <v>5.0332598881823549E-3</v>
      </c>
      <c r="J1348" s="242">
        <f t="shared" si="773"/>
        <v>-670.70484581497658</v>
      </c>
      <c r="K1348" s="849">
        <f t="shared" si="774"/>
        <v>0</v>
      </c>
      <c r="L1348" s="242">
        <f t="shared" si="776"/>
        <v>0</v>
      </c>
    </row>
    <row r="1349" spans="1:12" ht="15.5">
      <c r="A1349" s="180" t="s">
        <v>13</v>
      </c>
      <c r="B1349" s="242">
        <f t="shared" si="775"/>
        <v>2735144.2889657775</v>
      </c>
      <c r="C1349" s="241">
        <f t="shared" si="770"/>
        <v>0.33318013141060054</v>
      </c>
      <c r="D1349" s="242">
        <v>2735144.2889657775</v>
      </c>
      <c r="E1349" s="242">
        <v>0</v>
      </c>
      <c r="F1349" s="242">
        <v>0</v>
      </c>
      <c r="G1349" s="32"/>
      <c r="H1349" s="250">
        <f t="shared" si="771"/>
        <v>0</v>
      </c>
      <c r="I1349" s="241">
        <f t="shared" si="772"/>
        <v>0</v>
      </c>
      <c r="J1349" s="242">
        <f t="shared" si="773"/>
        <v>0</v>
      </c>
      <c r="K1349" s="849">
        <f t="shared" si="774"/>
        <v>0</v>
      </c>
      <c r="L1349" s="242">
        <f t="shared" si="776"/>
        <v>0</v>
      </c>
    </row>
    <row r="1350" spans="1:12" ht="15.5">
      <c r="A1350" s="180"/>
      <c r="B1350" s="242">
        <f>SUM(D1350:E1350)</f>
        <v>0</v>
      </c>
      <c r="C1350" s="241">
        <f t="shared" si="770"/>
        <v>0</v>
      </c>
      <c r="D1350" s="242"/>
      <c r="E1350" s="242"/>
      <c r="F1350" s="242"/>
      <c r="G1350" s="32"/>
      <c r="H1350" s="250"/>
      <c r="I1350" s="241">
        <f t="shared" ref="I1350" si="777">+H1350/$H$1109</f>
        <v>0</v>
      </c>
      <c r="J1350" s="242"/>
      <c r="K1350" s="242"/>
      <c r="L1350" s="242"/>
    </row>
    <row r="1351" spans="1:12" ht="15.5">
      <c r="A1351" s="180"/>
      <c r="B1351" s="243">
        <f>SUM(B1343:B1350)</f>
        <v>8209205.8652653368</v>
      </c>
      <c r="C1351" s="240">
        <f>SUM(C1343:C1350)</f>
        <v>1</v>
      </c>
      <c r="D1351" s="243">
        <f>SUM(D1343:D1350)</f>
        <v>3229507.7552653369</v>
      </c>
      <c r="E1351" s="243">
        <f>SUM(E1343:E1349)</f>
        <v>2777237.27</v>
      </c>
      <c r="F1351" s="243">
        <f>SUM(F1343:F1349)</f>
        <v>2202460.84</v>
      </c>
      <c r="G1351" s="32">
        <f>+B1351-B1340</f>
        <v>-133254.56279134937</v>
      </c>
      <c r="H1351" s="243">
        <f>SUM(H1343:H1350)</f>
        <v>-133254.56279134954</v>
      </c>
      <c r="I1351" s="240">
        <f>SUM(I1343:I1350)</f>
        <v>1.0000000000000002</v>
      </c>
      <c r="J1351" s="243">
        <f>SUM(J1343:J1350)</f>
        <v>-2326.6427913496263</v>
      </c>
      <c r="K1351" s="243">
        <f>SUM(K1343:K1350)</f>
        <v>-199826.37999999989</v>
      </c>
      <c r="L1351" s="243">
        <f>SUM(L1343:L1350)</f>
        <v>68898.459999999963</v>
      </c>
    </row>
    <row r="1352" spans="1:12" ht="13" thickBot="1"/>
    <row r="1353" spans="1:12" ht="16" thickBot="1">
      <c r="A1353" s="253">
        <v>43613</v>
      </c>
      <c r="B1353" s="251">
        <v>44</v>
      </c>
      <c r="C1353" s="238" t="s">
        <v>3</v>
      </c>
      <c r="D1353" s="238" t="s">
        <v>4</v>
      </c>
      <c r="E1353" s="238" t="s">
        <v>5</v>
      </c>
      <c r="F1353" s="238" t="s">
        <v>6</v>
      </c>
      <c r="G1353" s="32"/>
      <c r="H1353" s="251">
        <f>+B1353-B1342</f>
        <v>0</v>
      </c>
      <c r="I1353" s="238" t="s">
        <v>3</v>
      </c>
      <c r="J1353" s="238" t="s">
        <v>4</v>
      </c>
      <c r="K1353" s="238" t="s">
        <v>5</v>
      </c>
      <c r="L1353" s="238" t="s">
        <v>114</v>
      </c>
    </row>
    <row r="1354" spans="1:12" ht="15.5">
      <c r="A1354" s="180" t="s">
        <v>7</v>
      </c>
      <c r="B1354" s="250">
        <f>SUM(D1354:F1354)</f>
        <v>5051659.1399999997</v>
      </c>
      <c r="C1354" s="241">
        <f>+B1354/$B$1362</f>
        <v>0.61953022485412412</v>
      </c>
      <c r="D1354" s="242">
        <v>135501.35</v>
      </c>
      <c r="E1354" s="242">
        <v>2829470.78</v>
      </c>
      <c r="F1354" s="242">
        <v>2086687.01</v>
      </c>
      <c r="H1354" s="250">
        <f>SUM(J1354:L1354)</f>
        <v>-62560.276387665246</v>
      </c>
      <c r="I1354" s="241">
        <f>+H1354/$H$1362</f>
        <v>1.1335389692034108</v>
      </c>
      <c r="J1354" s="242">
        <f>+D1354-D1343</f>
        <v>980.04361233481904</v>
      </c>
      <c r="K1354" s="849">
        <f>+E1354-E1343</f>
        <v>52233.509999999776</v>
      </c>
      <c r="L1354" s="242">
        <f>+F1354-F1343</f>
        <v>-115773.82999999984</v>
      </c>
    </row>
    <row r="1355" spans="1:12" ht="15.5">
      <c r="A1355" s="180" t="s">
        <v>8</v>
      </c>
      <c r="B1355" s="242">
        <f>SUM(D1355:F1355)</f>
        <v>0</v>
      </c>
      <c r="C1355" s="241">
        <f t="shared" ref="C1355:C1360" si="778">+B1355/$B$1362</f>
        <v>0</v>
      </c>
      <c r="D1355" s="242">
        <v>0</v>
      </c>
      <c r="F1355" s="242"/>
      <c r="G1355" s="32"/>
      <c r="H1355" s="250">
        <f t="shared" ref="H1355:H1360" si="779">SUM(J1355:L1355)</f>
        <v>0</v>
      </c>
      <c r="I1355" s="241">
        <f t="shared" ref="I1355:I1360" si="780">+H1355/$H$1362</f>
        <v>0</v>
      </c>
      <c r="J1355" s="242">
        <f t="shared" ref="J1355:J1360" si="781">+D1355-D1344</f>
        <v>0</v>
      </c>
      <c r="K1355" s="849">
        <f t="shared" ref="K1355:K1360" si="782">+E1355-E1344</f>
        <v>0</v>
      </c>
      <c r="L1355" s="242">
        <f>+F1355-F1344</f>
        <v>0</v>
      </c>
    </row>
    <row r="1356" spans="1:12" ht="15.5">
      <c r="A1356" s="180" t="s">
        <v>9</v>
      </c>
      <c r="B1356" s="242">
        <f t="shared" ref="B1356:B1360" si="783">SUM(D1356:F1356)</f>
        <v>346317.00982532749</v>
      </c>
      <c r="C1356" s="241">
        <f t="shared" si="778"/>
        <v>4.24719580284059E-2</v>
      </c>
      <c r="D1356" s="242">
        <v>346317.00982532749</v>
      </c>
      <c r="E1356" s="242"/>
      <c r="F1356" s="242"/>
      <c r="G1356" s="32"/>
      <c r="H1356" s="250">
        <f t="shared" si="779"/>
        <v>7554.1450676182285</v>
      </c>
      <c r="I1356" s="241">
        <f t="shared" si="780"/>
        <v>-0.13687468003017506</v>
      </c>
      <c r="J1356" s="242">
        <f t="shared" si="781"/>
        <v>7554.1450676182285</v>
      </c>
      <c r="K1356" s="849">
        <f t="shared" si="782"/>
        <v>0</v>
      </c>
      <c r="L1356" s="242">
        <f t="shared" ref="L1356:L1360" si="784">+F1356-F1345</f>
        <v>0</v>
      </c>
    </row>
    <row r="1357" spans="1:12" ht="15.5">
      <c r="A1357" s="180" t="s">
        <v>162</v>
      </c>
      <c r="B1357" s="242">
        <f t="shared" si="783"/>
        <v>0</v>
      </c>
      <c r="C1357" s="241">
        <f t="shared" si="778"/>
        <v>0</v>
      </c>
      <c r="D1357" s="242">
        <v>0</v>
      </c>
      <c r="E1357" s="242"/>
      <c r="F1357" s="242"/>
      <c r="G1357" s="32"/>
      <c r="H1357" s="250">
        <f t="shared" si="779"/>
        <v>0</v>
      </c>
      <c r="I1357" s="241">
        <f t="shared" si="780"/>
        <v>0</v>
      </c>
      <c r="J1357" s="242">
        <f t="shared" si="781"/>
        <v>0</v>
      </c>
      <c r="K1357" s="849">
        <f t="shared" si="782"/>
        <v>0</v>
      </c>
      <c r="L1357" s="242">
        <f t="shared" si="784"/>
        <v>0</v>
      </c>
    </row>
    <row r="1358" spans="1:12" ht="15.5">
      <c r="A1358" s="180" t="s">
        <v>11</v>
      </c>
      <c r="B1358" s="242">
        <f t="shared" si="783"/>
        <v>0</v>
      </c>
      <c r="C1358" s="241">
        <f t="shared" si="778"/>
        <v>0</v>
      </c>
      <c r="D1358" s="242">
        <v>0</v>
      </c>
      <c r="E1358" s="242"/>
      <c r="F1358" s="242"/>
      <c r="G1358" s="32"/>
      <c r="H1358" s="250">
        <f t="shared" si="779"/>
        <v>0</v>
      </c>
      <c r="I1358" s="241">
        <f t="shared" si="780"/>
        <v>0</v>
      </c>
      <c r="J1358" s="242">
        <f t="shared" si="781"/>
        <v>0</v>
      </c>
      <c r="K1358" s="849">
        <f t="shared" si="782"/>
        <v>0</v>
      </c>
      <c r="L1358" s="242">
        <f t="shared" si="784"/>
        <v>0</v>
      </c>
    </row>
    <row r="1359" spans="1:12" ht="15.5">
      <c r="A1359" s="180" t="s">
        <v>12</v>
      </c>
      <c r="B1359" s="242">
        <f t="shared" si="783"/>
        <v>20895.196506550219</v>
      </c>
      <c r="C1359" s="241">
        <f t="shared" si="778"/>
        <v>2.5625651753839762E-3</v>
      </c>
      <c r="D1359" s="242">
        <v>20895.196506550219</v>
      </c>
      <c r="E1359" s="242"/>
      <c r="F1359" s="242"/>
      <c r="G1359" s="32"/>
      <c r="H1359" s="250">
        <f t="shared" si="779"/>
        <v>-184.09864763480437</v>
      </c>
      <c r="I1359" s="241">
        <f t="shared" si="780"/>
        <v>3.3357108267642382E-3</v>
      </c>
      <c r="J1359" s="242">
        <f t="shared" si="781"/>
        <v>-184.09864763480437</v>
      </c>
      <c r="K1359" s="849">
        <f t="shared" si="782"/>
        <v>0</v>
      </c>
      <c r="L1359" s="242">
        <f t="shared" si="784"/>
        <v>0</v>
      </c>
    </row>
    <row r="1360" spans="1:12" ht="15.5">
      <c r="A1360" s="180" t="s">
        <v>13</v>
      </c>
      <c r="B1360" s="242">
        <f t="shared" si="783"/>
        <v>2735144.2889657775</v>
      </c>
      <c r="C1360" s="241">
        <f t="shared" si="778"/>
        <v>0.33543525194208601</v>
      </c>
      <c r="D1360" s="242">
        <v>2735144.2889657775</v>
      </c>
      <c r="E1360" s="242">
        <v>0</v>
      </c>
      <c r="F1360" s="242">
        <v>0</v>
      </c>
      <c r="G1360" s="32"/>
      <c r="H1360" s="250">
        <f t="shared" si="779"/>
        <v>0</v>
      </c>
      <c r="I1360" s="241">
        <f t="shared" si="780"/>
        <v>0</v>
      </c>
      <c r="J1360" s="242">
        <f t="shared" si="781"/>
        <v>0</v>
      </c>
      <c r="K1360" s="849">
        <f t="shared" si="782"/>
        <v>0</v>
      </c>
      <c r="L1360" s="242">
        <f t="shared" si="784"/>
        <v>0</v>
      </c>
    </row>
    <row r="1361" spans="1:12" ht="15.5">
      <c r="A1361" s="180"/>
      <c r="B1361" s="242">
        <f>SUM(D1361:E1361)</f>
        <v>0</v>
      </c>
      <c r="C1361" s="241">
        <f t="shared" ref="C1361" si="785">+B1361/$B$1351</f>
        <v>0</v>
      </c>
      <c r="D1361" s="242"/>
      <c r="E1361" s="242"/>
      <c r="F1361" s="242"/>
      <c r="G1361" s="32"/>
      <c r="H1361" s="250"/>
      <c r="I1361" s="241">
        <f t="shared" ref="I1361" si="786">+H1361/$H$1109</f>
        <v>0</v>
      </c>
      <c r="J1361" s="242"/>
      <c r="K1361" s="242"/>
      <c r="L1361" s="242"/>
    </row>
    <row r="1362" spans="1:12" ht="15.5">
      <c r="A1362" s="180"/>
      <c r="B1362" s="243">
        <f>SUM(B1354:B1361)</f>
        <v>8154015.6352976551</v>
      </c>
      <c r="C1362" s="240">
        <f>SUM(C1354:C1361)</f>
        <v>1</v>
      </c>
      <c r="D1362" s="243">
        <f>SUM(D1354:D1361)</f>
        <v>3237857.8452976551</v>
      </c>
      <c r="E1362" s="243">
        <f>SUM(E1354:E1360)</f>
        <v>2829470.78</v>
      </c>
      <c r="F1362" s="243">
        <f>SUM(F1354:F1360)</f>
        <v>2086687.01</v>
      </c>
      <c r="G1362" s="32">
        <f>+B1362-B1351</f>
        <v>-55190.229967681691</v>
      </c>
      <c r="H1362" s="243">
        <f>SUM(H1354:H1361)</f>
        <v>-55190.229967681822</v>
      </c>
      <c r="I1362" s="240">
        <f>SUM(I1354:I1361)</f>
        <v>1</v>
      </c>
      <c r="J1362" s="243">
        <f>SUM(J1354:J1361)</f>
        <v>8350.0900323182432</v>
      </c>
      <c r="K1362" s="243">
        <f>SUM(K1354:K1361)</f>
        <v>52233.509999999776</v>
      </c>
      <c r="L1362" s="243">
        <f>SUM(L1354:L1361)</f>
        <v>-115773.82999999984</v>
      </c>
    </row>
    <row r="1363" spans="1:12" ht="13" thickBot="1"/>
    <row r="1364" spans="1:12" ht="16" thickBot="1">
      <c r="A1364" s="253">
        <v>43644</v>
      </c>
      <c r="B1364" s="251">
        <v>44</v>
      </c>
      <c r="C1364" s="238" t="s">
        <v>3</v>
      </c>
      <c r="D1364" s="238" t="s">
        <v>4</v>
      </c>
      <c r="E1364" s="238" t="s">
        <v>5</v>
      </c>
      <c r="F1364" s="238" t="s">
        <v>6</v>
      </c>
      <c r="G1364" s="32"/>
      <c r="H1364" s="251">
        <f>+B1364-B1353</f>
        <v>0</v>
      </c>
      <c r="I1364" s="238" t="s">
        <v>3</v>
      </c>
      <c r="J1364" s="238" t="s">
        <v>4</v>
      </c>
      <c r="K1364" s="238" t="s">
        <v>5</v>
      </c>
      <c r="L1364" s="238" t="s">
        <v>114</v>
      </c>
    </row>
    <row r="1365" spans="1:12" ht="15.5">
      <c r="A1365" s="180" t="s">
        <v>7</v>
      </c>
      <c r="B1365" s="250">
        <f>SUM(D1365:F1365)</f>
        <v>5375688.8227272723</v>
      </c>
      <c r="C1365" s="241">
        <f t="shared" ref="C1365:C1371" si="787">+B1365/$B$1373</f>
        <v>0.63360329491542466</v>
      </c>
      <c r="D1365" s="242">
        <v>65703.522727272721</v>
      </c>
      <c r="E1365" s="242">
        <v>3099433.4</v>
      </c>
      <c r="F1365" s="242">
        <v>2210551.9</v>
      </c>
      <c r="H1365" s="250">
        <f>SUM(J1365:L1365)</f>
        <v>324029.68272727274</v>
      </c>
      <c r="I1365" s="241">
        <f t="shared" ref="I1365:I1371" si="788">+H1365/$H$1373</f>
        <v>0.98102341652073277</v>
      </c>
      <c r="J1365" s="242">
        <f>+D1365-D1354</f>
        <v>-69797.827272727285</v>
      </c>
      <c r="K1365" s="849">
        <f>+E1365-E1354</f>
        <v>269962.62000000011</v>
      </c>
      <c r="L1365" s="242">
        <f>+F1365-F1354</f>
        <v>123864.8899999999</v>
      </c>
    </row>
    <row r="1366" spans="1:12" ht="15.5">
      <c r="A1366" s="180" t="s">
        <v>8</v>
      </c>
      <c r="B1366" s="242">
        <f>SUM(D1366:F1366)</f>
        <v>0</v>
      </c>
      <c r="C1366" s="241">
        <f t="shared" si="787"/>
        <v>0</v>
      </c>
      <c r="D1366" s="242">
        <v>0</v>
      </c>
      <c r="F1366" s="242"/>
      <c r="G1366" s="32"/>
      <c r="H1366" s="250">
        <f t="shared" ref="H1366:H1371" si="789">SUM(J1366:L1366)</f>
        <v>0</v>
      </c>
      <c r="I1366" s="241">
        <f t="shared" si="788"/>
        <v>0</v>
      </c>
      <c r="J1366" s="242">
        <f t="shared" ref="J1366:J1371" si="790">+D1366-D1355</f>
        <v>0</v>
      </c>
      <c r="K1366" s="849">
        <f t="shared" ref="K1366:K1371" si="791">+E1366-E1355</f>
        <v>0</v>
      </c>
      <c r="L1366" s="242">
        <f>+F1366-F1355</f>
        <v>0</v>
      </c>
    </row>
    <row r="1367" spans="1:12" ht="15.5">
      <c r="A1367" s="180" t="s">
        <v>9</v>
      </c>
      <c r="B1367" s="242">
        <f t="shared" ref="B1367:B1371" si="792">SUM(D1367:F1367)</f>
        <v>351730.12636363634</v>
      </c>
      <c r="C1367" s="241">
        <f t="shared" si="787"/>
        <v>4.145652293764196E-2</v>
      </c>
      <c r="D1367" s="242">
        <v>351730.12636363634</v>
      </c>
      <c r="E1367" s="242"/>
      <c r="F1367" s="242"/>
      <c r="G1367" s="32"/>
      <c r="H1367" s="250">
        <f t="shared" si="789"/>
        <v>5413.1165383088519</v>
      </c>
      <c r="I1367" s="241">
        <f t="shared" si="788"/>
        <v>1.6388603771544753E-2</v>
      </c>
      <c r="J1367" s="242">
        <f t="shared" si="790"/>
        <v>5413.1165383088519</v>
      </c>
      <c r="K1367" s="849">
        <f t="shared" si="791"/>
        <v>0</v>
      </c>
      <c r="L1367" s="242">
        <f t="shared" ref="L1367:L1371" si="793">+F1367-F1356</f>
        <v>0</v>
      </c>
    </row>
    <row r="1368" spans="1:12" ht="15.5">
      <c r="A1368" s="180" t="s">
        <v>162</v>
      </c>
      <c r="B1368" s="242">
        <f t="shared" si="792"/>
        <v>0</v>
      </c>
      <c r="C1368" s="241">
        <f t="shared" si="787"/>
        <v>0</v>
      </c>
      <c r="D1368" s="242">
        <v>0</v>
      </c>
      <c r="E1368" s="242"/>
      <c r="F1368" s="242"/>
      <c r="G1368" s="32"/>
      <c r="H1368" s="250">
        <f t="shared" si="789"/>
        <v>0</v>
      </c>
      <c r="I1368" s="241">
        <f t="shared" si="788"/>
        <v>0</v>
      </c>
      <c r="J1368" s="242">
        <f t="shared" si="790"/>
        <v>0</v>
      </c>
      <c r="K1368" s="849">
        <f t="shared" si="791"/>
        <v>0</v>
      </c>
      <c r="L1368" s="242">
        <f t="shared" si="793"/>
        <v>0</v>
      </c>
    </row>
    <row r="1369" spans="1:12" ht="15.5">
      <c r="A1369" s="180" t="s">
        <v>11</v>
      </c>
      <c r="B1369" s="242">
        <f t="shared" si="792"/>
        <v>0</v>
      </c>
      <c r="C1369" s="241">
        <f t="shared" si="787"/>
        <v>0</v>
      </c>
      <c r="D1369" s="242">
        <v>0</v>
      </c>
      <c r="E1369" s="242"/>
      <c r="F1369" s="242"/>
      <c r="G1369" s="32"/>
      <c r="H1369" s="250">
        <f t="shared" si="789"/>
        <v>0</v>
      </c>
      <c r="I1369" s="241">
        <f t="shared" si="788"/>
        <v>0</v>
      </c>
      <c r="J1369" s="242">
        <f t="shared" si="790"/>
        <v>0</v>
      </c>
      <c r="K1369" s="849">
        <f t="shared" si="791"/>
        <v>0</v>
      </c>
      <c r="L1369" s="242">
        <f t="shared" si="793"/>
        <v>0</v>
      </c>
    </row>
    <row r="1370" spans="1:12" ht="15.5">
      <c r="A1370" s="180" t="s">
        <v>12</v>
      </c>
      <c r="B1370" s="242">
        <f t="shared" si="792"/>
        <v>21750</v>
      </c>
      <c r="C1370" s="241">
        <f t="shared" si="787"/>
        <v>2.5635545729782356E-3</v>
      </c>
      <c r="D1370" s="242">
        <v>21750</v>
      </c>
      <c r="E1370" s="242"/>
      <c r="F1370" s="242"/>
      <c r="G1370" s="32"/>
      <c r="H1370" s="250">
        <f t="shared" si="789"/>
        <v>854.80349344978094</v>
      </c>
      <c r="I1370" s="241">
        <f t="shared" si="788"/>
        <v>2.5879797077225622E-3</v>
      </c>
      <c r="J1370" s="242">
        <f t="shared" si="790"/>
        <v>854.80349344978094</v>
      </c>
      <c r="K1370" s="849">
        <f t="shared" si="791"/>
        <v>0</v>
      </c>
      <c r="L1370" s="242">
        <f t="shared" si="793"/>
        <v>0</v>
      </c>
    </row>
    <row r="1371" spans="1:12" ht="15.5">
      <c r="A1371" s="180" t="s">
        <v>13</v>
      </c>
      <c r="B1371" s="242">
        <f t="shared" si="792"/>
        <v>2735144.2889657775</v>
      </c>
      <c r="C1371" s="241">
        <f t="shared" si="787"/>
        <v>0.32237662757395513</v>
      </c>
      <c r="D1371" s="242">
        <v>2735144.2889657775</v>
      </c>
      <c r="E1371" s="242">
        <v>0</v>
      </c>
      <c r="F1371" s="242">
        <v>0</v>
      </c>
      <c r="G1371" s="32"/>
      <c r="H1371" s="250">
        <f t="shared" si="789"/>
        <v>0</v>
      </c>
      <c r="I1371" s="241">
        <f t="shared" si="788"/>
        <v>0</v>
      </c>
      <c r="J1371" s="242">
        <f t="shared" si="790"/>
        <v>0</v>
      </c>
      <c r="K1371" s="849">
        <f t="shared" si="791"/>
        <v>0</v>
      </c>
      <c r="L1371" s="242">
        <f t="shared" si="793"/>
        <v>0</v>
      </c>
    </row>
    <row r="1372" spans="1:12" ht="15.5">
      <c r="A1372" s="180"/>
      <c r="B1372" s="242">
        <f>SUM(D1372:E1372)</f>
        <v>0</v>
      </c>
      <c r="C1372" s="241">
        <f t="shared" ref="C1372" si="794">+B1372/$B$1351</f>
        <v>0</v>
      </c>
      <c r="D1372" s="242"/>
      <c r="E1372" s="242"/>
      <c r="F1372" s="242"/>
      <c r="G1372" s="32"/>
      <c r="H1372" s="250"/>
      <c r="I1372" s="241">
        <f t="shared" ref="I1372" si="795">+H1372/$H$1109</f>
        <v>0</v>
      </c>
      <c r="J1372" s="242"/>
      <c r="K1372" s="242"/>
      <c r="L1372" s="242"/>
    </row>
    <row r="1373" spans="1:12" ht="15.5">
      <c r="A1373" s="180"/>
      <c r="B1373" s="243">
        <f>SUM(B1365:B1372)</f>
        <v>8484313.2380566858</v>
      </c>
      <c r="C1373" s="240">
        <f>SUM(C1365:C1372)</f>
        <v>1</v>
      </c>
      <c r="D1373" s="243">
        <f>SUM(D1365:D1372)</f>
        <v>3174327.9380566864</v>
      </c>
      <c r="E1373" s="243">
        <f>SUM(E1365:E1371)</f>
        <v>3099433.4</v>
      </c>
      <c r="F1373" s="243">
        <f>SUM(F1365:F1371)</f>
        <v>2210551.9</v>
      </c>
      <c r="G1373" s="32">
        <f>+B1373-B1362</f>
        <v>330297.60275903065</v>
      </c>
      <c r="H1373" s="243">
        <f>SUM(H1365:H1372)</f>
        <v>330297.60275903135</v>
      </c>
      <c r="I1373" s="240">
        <f>SUM(I1365:I1372)</f>
        <v>1</v>
      </c>
      <c r="J1373" s="243">
        <f>SUM(J1365:J1372)</f>
        <v>-63529.907240968649</v>
      </c>
      <c r="K1373" s="243">
        <f>SUM(K1365:K1372)</f>
        <v>269962.62000000011</v>
      </c>
      <c r="L1373" s="243">
        <f>SUM(L1365:L1372)</f>
        <v>123864.8899999999</v>
      </c>
    </row>
    <row r="1374" spans="1:12" ht="13" thickBot="1"/>
    <row r="1375" spans="1:12" ht="16" thickBot="1">
      <c r="A1375" s="253">
        <v>43674</v>
      </c>
      <c r="B1375" s="251">
        <v>45</v>
      </c>
      <c r="C1375" s="238" t="s">
        <v>3</v>
      </c>
      <c r="D1375" s="238" t="s">
        <v>4</v>
      </c>
      <c r="E1375" s="238" t="s">
        <v>5</v>
      </c>
      <c r="F1375" s="238" t="s">
        <v>6</v>
      </c>
      <c r="G1375" s="32"/>
      <c r="H1375" s="251">
        <f>+B1375-B1364</f>
        <v>1</v>
      </c>
      <c r="I1375" s="238" t="s">
        <v>3</v>
      </c>
      <c r="J1375" s="238" t="s">
        <v>4</v>
      </c>
      <c r="K1375" s="238" t="s">
        <v>5</v>
      </c>
      <c r="L1375" s="238" t="s">
        <v>114</v>
      </c>
    </row>
    <row r="1376" spans="1:12" ht="15.5">
      <c r="A1376" s="180" t="s">
        <v>7</v>
      </c>
      <c r="B1376" s="250">
        <f>SUM(D1376:F1376)</f>
        <v>5491356.2851111107</v>
      </c>
      <c r="C1376" s="241">
        <f>+B1376/$B$1384</f>
        <v>0.63805134963944876</v>
      </c>
      <c r="D1376" s="242">
        <v>66814.835111111111</v>
      </c>
      <c r="E1376" s="242">
        <v>3186135.32</v>
      </c>
      <c r="F1376" s="242">
        <v>2238406.13</v>
      </c>
      <c r="H1376" s="250">
        <f>SUM(J1376:L1376)</f>
        <v>115667.4623838383</v>
      </c>
      <c r="I1376" s="241">
        <f t="shared" ref="I1376:I1382" si="796">+H1376/$H$1373</f>
        <v>0.35019164964458888</v>
      </c>
      <c r="J1376" s="242">
        <f>+D1376-D1365</f>
        <v>1111.3123838383908</v>
      </c>
      <c r="K1376" s="849">
        <f>+E1376-E1365</f>
        <v>86701.919999999925</v>
      </c>
      <c r="L1376" s="242">
        <f>+F1376-F1365</f>
        <v>27854.229999999981</v>
      </c>
    </row>
    <row r="1377" spans="1:12" ht="15.5">
      <c r="A1377" s="180" t="s">
        <v>8</v>
      </c>
      <c r="B1377" s="242">
        <f>SUM(D1377:F1377)</f>
        <v>0</v>
      </c>
      <c r="C1377" s="241">
        <f t="shared" ref="C1377:C1382" si="797">+B1377/$B$1384</f>
        <v>0</v>
      </c>
      <c r="D1377" s="242">
        <v>0</v>
      </c>
      <c r="F1377" s="242"/>
      <c r="G1377" s="32"/>
      <c r="H1377" s="250">
        <f t="shared" ref="H1377:H1382" si="798">SUM(J1377:L1377)</f>
        <v>0</v>
      </c>
      <c r="I1377" s="241">
        <f t="shared" si="796"/>
        <v>0</v>
      </c>
      <c r="J1377" s="242">
        <f t="shared" ref="J1377:J1382" si="799">+D1377-D1366</f>
        <v>0</v>
      </c>
      <c r="K1377" s="849">
        <f t="shared" ref="K1377:K1382" si="800">+E1377-E1366</f>
        <v>0</v>
      </c>
      <c r="L1377" s="242">
        <f>+F1377-F1366</f>
        <v>0</v>
      </c>
    </row>
    <row r="1378" spans="1:12" ht="15.5">
      <c r="A1378" s="180" t="s">
        <v>9</v>
      </c>
      <c r="B1378" s="242">
        <f t="shared" ref="B1378:B1382" si="801">SUM(D1378:F1378)</f>
        <v>358681.57911111112</v>
      </c>
      <c r="C1378" s="241">
        <f t="shared" si="797"/>
        <v>4.1675909148922129E-2</v>
      </c>
      <c r="D1378" s="242">
        <v>358681.57911111112</v>
      </c>
      <c r="E1378" s="242"/>
      <c r="F1378" s="242"/>
      <c r="G1378" s="32"/>
      <c r="H1378" s="250">
        <f t="shared" si="798"/>
        <v>6951.4527474747738</v>
      </c>
      <c r="I1378" s="241">
        <f t="shared" si="796"/>
        <v>2.104602845860255E-2</v>
      </c>
      <c r="J1378" s="242">
        <f t="shared" si="799"/>
        <v>6951.4527474747738</v>
      </c>
      <c r="K1378" s="849">
        <f t="shared" si="800"/>
        <v>0</v>
      </c>
      <c r="L1378" s="242">
        <f t="shared" ref="L1378:L1382" si="802">+F1378-F1367</f>
        <v>0</v>
      </c>
    </row>
    <row r="1379" spans="1:12" ht="15.5">
      <c r="A1379" s="180" t="s">
        <v>162</v>
      </c>
      <c r="B1379" s="242">
        <f t="shared" si="801"/>
        <v>0</v>
      </c>
      <c r="C1379" s="241">
        <f t="shared" si="797"/>
        <v>0</v>
      </c>
      <c r="D1379" s="242">
        <v>0</v>
      </c>
      <c r="E1379" s="242"/>
      <c r="F1379" s="242"/>
      <c r="G1379" s="32"/>
      <c r="H1379" s="250">
        <f t="shared" si="798"/>
        <v>0</v>
      </c>
      <c r="I1379" s="241">
        <f t="shared" si="796"/>
        <v>0</v>
      </c>
      <c r="J1379" s="242">
        <f t="shared" si="799"/>
        <v>0</v>
      </c>
      <c r="K1379" s="849">
        <f t="shared" si="800"/>
        <v>0</v>
      </c>
      <c r="L1379" s="242">
        <f t="shared" si="802"/>
        <v>0</v>
      </c>
    </row>
    <row r="1380" spans="1:12" ht="15.5">
      <c r="A1380" s="180" t="s">
        <v>11</v>
      </c>
      <c r="B1380" s="242">
        <f t="shared" si="801"/>
        <v>0</v>
      </c>
      <c r="C1380" s="241">
        <f t="shared" si="797"/>
        <v>0</v>
      </c>
      <c r="D1380" s="242">
        <v>0</v>
      </c>
      <c r="E1380" s="242"/>
      <c r="F1380" s="242"/>
      <c r="G1380" s="32"/>
      <c r="H1380" s="250">
        <f t="shared" si="798"/>
        <v>0</v>
      </c>
      <c r="I1380" s="241">
        <f t="shared" si="796"/>
        <v>0</v>
      </c>
      <c r="J1380" s="242">
        <f t="shared" si="799"/>
        <v>0</v>
      </c>
      <c r="K1380" s="849">
        <f t="shared" si="800"/>
        <v>0</v>
      </c>
      <c r="L1380" s="242">
        <f t="shared" si="802"/>
        <v>0</v>
      </c>
    </row>
    <row r="1381" spans="1:12" ht="15.5">
      <c r="A1381" s="180" t="s">
        <v>12</v>
      </c>
      <c r="B1381" s="242">
        <f t="shared" si="801"/>
        <v>21266.666666666668</v>
      </c>
      <c r="C1381" s="241">
        <f t="shared" si="797"/>
        <v>2.4710152946713034E-3</v>
      </c>
      <c r="D1381" s="242">
        <v>21266.666666666668</v>
      </c>
      <c r="E1381" s="242"/>
      <c r="F1381" s="242"/>
      <c r="G1381" s="32"/>
      <c r="H1381" s="250">
        <f t="shared" si="798"/>
        <v>-483.33333333333212</v>
      </c>
      <c r="I1381" s="241">
        <f t="shared" si="796"/>
        <v>-1.4633267976999155E-3</v>
      </c>
      <c r="J1381" s="242">
        <f t="shared" si="799"/>
        <v>-483.33333333333212</v>
      </c>
      <c r="K1381" s="849">
        <f t="shared" si="800"/>
        <v>0</v>
      </c>
      <c r="L1381" s="242">
        <f t="shared" si="802"/>
        <v>0</v>
      </c>
    </row>
    <row r="1382" spans="1:12" ht="15.5">
      <c r="A1382" s="180" t="s">
        <v>13</v>
      </c>
      <c r="B1382" s="242">
        <f t="shared" si="801"/>
        <v>2735144.2889657775</v>
      </c>
      <c r="C1382" s="241">
        <f t="shared" si="797"/>
        <v>0.31780172591695782</v>
      </c>
      <c r="D1382" s="242">
        <v>2735144.2889657775</v>
      </c>
      <c r="E1382" s="242">
        <v>0</v>
      </c>
      <c r="F1382" s="242">
        <v>0</v>
      </c>
      <c r="G1382" s="32"/>
      <c r="H1382" s="250">
        <f t="shared" si="798"/>
        <v>0</v>
      </c>
      <c r="I1382" s="241">
        <f t="shared" si="796"/>
        <v>0</v>
      </c>
      <c r="J1382" s="242">
        <f t="shared" si="799"/>
        <v>0</v>
      </c>
      <c r="K1382" s="849">
        <f t="shared" si="800"/>
        <v>0</v>
      </c>
      <c r="L1382" s="242">
        <f t="shared" si="802"/>
        <v>0</v>
      </c>
    </row>
    <row r="1383" spans="1:12" ht="15.5">
      <c r="A1383" s="180"/>
      <c r="B1383" s="242">
        <f>SUM(D1383:E1383)</f>
        <v>0</v>
      </c>
      <c r="C1383" s="241">
        <f t="shared" ref="C1383" si="803">+B1383/$B$1351</f>
        <v>0</v>
      </c>
      <c r="D1383" s="242"/>
      <c r="E1383" s="242"/>
      <c r="F1383" s="242"/>
      <c r="G1383" s="32"/>
      <c r="H1383" s="250"/>
      <c r="I1383" s="241">
        <f t="shared" ref="I1383" si="804">+H1383/$H$1109</f>
        <v>0</v>
      </c>
      <c r="J1383" s="242"/>
      <c r="K1383" s="242"/>
      <c r="L1383" s="242"/>
    </row>
    <row r="1384" spans="1:12" ht="15.5">
      <c r="A1384" s="180"/>
      <c r="B1384" s="243">
        <f>SUM(B1376:B1383)</f>
        <v>8606448.8198546655</v>
      </c>
      <c r="C1384" s="240">
        <f>SUM(C1376:C1383)</f>
        <v>1</v>
      </c>
      <c r="D1384" s="243">
        <f>SUM(D1376:D1383)</f>
        <v>3181907.3698546663</v>
      </c>
      <c r="E1384" s="243">
        <f>SUM(E1376:E1382)</f>
        <v>3186135.32</v>
      </c>
      <c r="F1384" s="243">
        <f>SUM(F1376:F1382)</f>
        <v>2238406.13</v>
      </c>
      <c r="G1384" s="32">
        <f>+B1384-B1373</f>
        <v>122135.58179797977</v>
      </c>
      <c r="H1384" s="243">
        <f>SUM(H1376:H1383)</f>
        <v>122135.58179797974</v>
      </c>
      <c r="I1384" s="240">
        <f>SUM(I1376:I1383)</f>
        <v>0.36977435130549152</v>
      </c>
      <c r="J1384" s="243">
        <f>SUM(J1376:J1383)</f>
        <v>7579.4317979798325</v>
      </c>
      <c r="K1384" s="243">
        <f>SUM(K1376:K1383)</f>
        <v>86701.919999999925</v>
      </c>
      <c r="L1384" s="243">
        <f>SUM(L1376:L1383)</f>
        <v>27854.229999999981</v>
      </c>
    </row>
    <row r="1385" spans="1:12" ht="16" thickBot="1">
      <c r="A1385" s="453" t="s">
        <v>172</v>
      </c>
    </row>
    <row r="1386" spans="1:12" ht="16" thickBot="1">
      <c r="A1386" s="253">
        <v>43705</v>
      </c>
      <c r="B1386" s="251">
        <v>62</v>
      </c>
      <c r="C1386" s="238" t="s">
        <v>3</v>
      </c>
      <c r="D1386" s="238" t="s">
        <v>4</v>
      </c>
      <c r="E1386" s="238" t="s">
        <v>5</v>
      </c>
      <c r="F1386" s="238" t="s">
        <v>6</v>
      </c>
      <c r="G1386" s="32"/>
      <c r="H1386" s="251">
        <f>+B1386-B1375</f>
        <v>17</v>
      </c>
      <c r="I1386" s="238" t="s">
        <v>3</v>
      </c>
      <c r="J1386" s="238" t="s">
        <v>4</v>
      </c>
      <c r="K1386" s="238" t="s">
        <v>5</v>
      </c>
      <c r="L1386" s="238" t="s">
        <v>114</v>
      </c>
    </row>
    <row r="1387" spans="1:12" ht="15.5">
      <c r="A1387" s="180" t="s">
        <v>7</v>
      </c>
      <c r="B1387" s="250">
        <f>SUM(D1387:F1387)</f>
        <v>4105264.6567741935</v>
      </c>
      <c r="C1387" s="241">
        <f>+B1387/$B$1395</f>
        <v>0.56918682490229022</v>
      </c>
      <c r="D1387" s="242">
        <v>33869.376774193544</v>
      </c>
      <c r="E1387" s="242">
        <v>1917326.68</v>
      </c>
      <c r="F1387" s="242">
        <v>2154068.6</v>
      </c>
      <c r="H1387" s="250">
        <f>SUM(J1387:L1387)</f>
        <v>-1386091.6283369171</v>
      </c>
      <c r="I1387" s="241">
        <f>+H1387/$H$1395</f>
        <v>0.99436922528108285</v>
      </c>
      <c r="J1387" s="242">
        <f>+D1387-D1376</f>
        <v>-32945.458336917567</v>
      </c>
      <c r="K1387" s="849">
        <f>+E1387-E1376</f>
        <v>-1268808.6399999999</v>
      </c>
      <c r="L1387" s="242">
        <f>+F1387-F1376</f>
        <v>-84337.529999999795</v>
      </c>
    </row>
    <row r="1388" spans="1:12" ht="15.5">
      <c r="A1388" s="180" t="s">
        <v>8</v>
      </c>
      <c r="B1388" s="242">
        <f>SUM(D1388:F1388)</f>
        <v>0</v>
      </c>
      <c r="C1388" s="241">
        <f t="shared" ref="C1388:C1394" si="805">+B1388/$B$1395</f>
        <v>0</v>
      </c>
      <c r="D1388" s="242">
        <v>0</v>
      </c>
      <c r="F1388" s="242"/>
      <c r="G1388" s="32"/>
      <c r="H1388" s="250">
        <f t="shared" ref="H1388:H1393" si="806">SUM(J1388:L1388)</f>
        <v>0</v>
      </c>
      <c r="I1388" s="241">
        <f t="shared" ref="I1388:I1394" si="807">+H1388/$H$1395</f>
        <v>0</v>
      </c>
      <c r="J1388" s="242">
        <f t="shared" ref="J1388:J1393" si="808">+D1388-D1377</f>
        <v>0</v>
      </c>
      <c r="K1388" s="849">
        <f t="shared" ref="K1388:K1393" si="809">+E1388-E1377</f>
        <v>0</v>
      </c>
      <c r="L1388" s="242">
        <f>+F1388-F1377</f>
        <v>0</v>
      </c>
    </row>
    <row r="1389" spans="1:12" ht="15.5">
      <c r="A1389" s="180" t="s">
        <v>9</v>
      </c>
      <c r="B1389" s="242">
        <f t="shared" ref="B1389:B1393" si="810">SUM(D1389:F1389)</f>
        <v>356663.79645161296</v>
      </c>
      <c r="C1389" s="241">
        <f t="shared" si="805"/>
        <v>4.9450729936473523E-2</v>
      </c>
      <c r="D1389" s="242">
        <v>356663.79645161296</v>
      </c>
      <c r="E1389" s="242"/>
      <c r="F1389" s="242"/>
      <c r="G1389" s="32"/>
      <c r="H1389" s="250">
        <f t="shared" si="806"/>
        <v>-2017.7826594981598</v>
      </c>
      <c r="I1389" s="241">
        <f t="shared" si="807"/>
        <v>1.4475384879989244E-3</v>
      </c>
      <c r="J1389" s="242">
        <f t="shared" si="808"/>
        <v>-2017.7826594981598</v>
      </c>
      <c r="K1389" s="849">
        <f t="shared" si="809"/>
        <v>0</v>
      </c>
      <c r="L1389" s="242">
        <f t="shared" ref="L1389:L1393" si="811">+F1389-F1378</f>
        <v>0</v>
      </c>
    </row>
    <row r="1390" spans="1:12" ht="15.5">
      <c r="A1390" s="180" t="s">
        <v>162</v>
      </c>
      <c r="B1390" s="242">
        <f t="shared" si="810"/>
        <v>0</v>
      </c>
      <c r="C1390" s="241">
        <f t="shared" si="805"/>
        <v>0</v>
      </c>
      <c r="D1390" s="242">
        <v>0</v>
      </c>
      <c r="E1390" s="242"/>
      <c r="F1390" s="242"/>
      <c r="G1390" s="32"/>
      <c r="H1390" s="250">
        <f t="shared" si="806"/>
        <v>0</v>
      </c>
      <c r="I1390" s="241">
        <f t="shared" si="807"/>
        <v>0</v>
      </c>
      <c r="J1390" s="242">
        <f t="shared" si="808"/>
        <v>0</v>
      </c>
      <c r="K1390" s="849">
        <f t="shared" si="809"/>
        <v>0</v>
      </c>
      <c r="L1390" s="242">
        <f t="shared" si="811"/>
        <v>0</v>
      </c>
    </row>
    <row r="1391" spans="1:12" ht="15.5">
      <c r="A1391" s="180" t="s">
        <v>11</v>
      </c>
      <c r="B1391" s="242">
        <f t="shared" si="810"/>
        <v>0</v>
      </c>
      <c r="C1391" s="241">
        <f t="shared" si="805"/>
        <v>0</v>
      </c>
      <c r="D1391" s="242">
        <v>0</v>
      </c>
      <c r="E1391" s="242"/>
      <c r="F1391" s="242"/>
      <c r="G1391" s="32"/>
      <c r="H1391" s="250">
        <f t="shared" si="806"/>
        <v>0</v>
      </c>
      <c r="I1391" s="241">
        <f t="shared" si="807"/>
        <v>0</v>
      </c>
      <c r="J1391" s="242">
        <f t="shared" si="808"/>
        <v>0</v>
      </c>
      <c r="K1391" s="849">
        <f t="shared" si="809"/>
        <v>0</v>
      </c>
      <c r="L1391" s="242">
        <f t="shared" si="811"/>
        <v>0</v>
      </c>
    </row>
    <row r="1392" spans="1:12" ht="15.5">
      <c r="A1392" s="180" t="s">
        <v>12</v>
      </c>
      <c r="B1392" s="242">
        <f t="shared" si="810"/>
        <v>15435.483870967742</v>
      </c>
      <c r="C1392" s="241">
        <f t="shared" si="805"/>
        <v>2.1400993090297344E-3</v>
      </c>
      <c r="D1392" s="242">
        <v>15435.483870967742</v>
      </c>
      <c r="E1392" s="242"/>
      <c r="F1392" s="242"/>
      <c r="G1392" s="32"/>
      <c r="H1392" s="250">
        <f t="shared" si="806"/>
        <v>-5831.1827956989255</v>
      </c>
      <c r="I1392" s="241">
        <f t="shared" si="807"/>
        <v>4.1832362309182887E-3</v>
      </c>
      <c r="J1392" s="242">
        <f t="shared" si="808"/>
        <v>-5831.1827956989255</v>
      </c>
      <c r="K1392" s="849">
        <f t="shared" si="809"/>
        <v>0</v>
      </c>
      <c r="L1392" s="242">
        <f t="shared" si="811"/>
        <v>0</v>
      </c>
    </row>
    <row r="1393" spans="1:12" ht="15.5">
      <c r="A1393" s="180" t="s">
        <v>13</v>
      </c>
      <c r="B1393" s="242">
        <f t="shared" si="810"/>
        <v>2735144.2889657775</v>
      </c>
      <c r="C1393" s="241">
        <f t="shared" si="805"/>
        <v>0.37922234585220654</v>
      </c>
      <c r="D1393" s="242">
        <v>2735144.2889657775</v>
      </c>
      <c r="E1393" s="242">
        <v>0</v>
      </c>
      <c r="F1393" s="242">
        <v>0</v>
      </c>
      <c r="G1393" s="32"/>
      <c r="H1393" s="250">
        <f t="shared" si="806"/>
        <v>0</v>
      </c>
      <c r="I1393" s="241">
        <f t="shared" si="807"/>
        <v>0</v>
      </c>
      <c r="J1393" s="242">
        <f t="shared" si="808"/>
        <v>0</v>
      </c>
      <c r="K1393" s="849">
        <f t="shared" si="809"/>
        <v>0</v>
      </c>
      <c r="L1393" s="242">
        <f t="shared" si="811"/>
        <v>0</v>
      </c>
    </row>
    <row r="1394" spans="1:12" ht="15.5">
      <c r="A1394" s="180"/>
      <c r="B1394" s="242">
        <f>SUM(D1394:E1394)</f>
        <v>0</v>
      </c>
      <c r="C1394" s="241">
        <f t="shared" si="805"/>
        <v>0</v>
      </c>
      <c r="D1394" s="242"/>
      <c r="E1394" s="242"/>
      <c r="F1394" s="242"/>
      <c r="G1394" s="32"/>
      <c r="H1394" s="250"/>
      <c r="I1394" s="241">
        <f t="shared" si="807"/>
        <v>0</v>
      </c>
      <c r="J1394" s="242"/>
      <c r="K1394" s="242"/>
      <c r="L1394" s="242"/>
    </row>
    <row r="1395" spans="1:12" ht="15.5">
      <c r="A1395" s="180"/>
      <c r="B1395" s="243">
        <f>SUM(B1387:B1394)</f>
        <v>7212508.2260625511</v>
      </c>
      <c r="C1395" s="240">
        <f>SUM(C1387:C1394)</f>
        <v>1</v>
      </c>
      <c r="D1395" s="243">
        <f>SUM(D1387:D1394)</f>
        <v>3141112.9460625518</v>
      </c>
      <c r="E1395" s="243">
        <f>SUM(E1387:E1393)</f>
        <v>1917326.68</v>
      </c>
      <c r="F1395" s="243">
        <f>SUM(F1387:F1393)</f>
        <v>2154068.6</v>
      </c>
      <c r="G1395" s="32">
        <f>+B1395-B1384</f>
        <v>-1393940.5937921144</v>
      </c>
      <c r="H1395" s="243">
        <f>SUM(H1387:H1394)</f>
        <v>-1393940.5937921142</v>
      </c>
      <c r="I1395" s="240">
        <f>SUM(I1387:I1394)</f>
        <v>1</v>
      </c>
      <c r="J1395" s="243">
        <f>SUM(J1387:J1394)</f>
        <v>-40794.423792114656</v>
      </c>
      <c r="K1395" s="243">
        <f>SUM(K1387:K1394)</f>
        <v>-1268808.6399999999</v>
      </c>
      <c r="L1395" s="243">
        <f>SUM(L1387:L1394)</f>
        <v>-84337.529999999795</v>
      </c>
    </row>
    <row r="1396" spans="1:12" ht="13" thickBot="1"/>
    <row r="1397" spans="1:12" ht="16" thickBot="1">
      <c r="A1397" s="253">
        <v>43736</v>
      </c>
      <c r="B1397" s="251">
        <v>60</v>
      </c>
      <c r="C1397" s="238" t="s">
        <v>3</v>
      </c>
      <c r="D1397" s="238" t="s">
        <v>4</v>
      </c>
      <c r="E1397" s="238" t="s">
        <v>5</v>
      </c>
      <c r="F1397" s="238" t="s">
        <v>6</v>
      </c>
      <c r="G1397" s="32"/>
      <c r="H1397" s="251">
        <f>+B1397-B1386</f>
        <v>-2</v>
      </c>
      <c r="I1397" s="238" t="s">
        <v>3</v>
      </c>
      <c r="J1397" s="238" t="s">
        <v>4</v>
      </c>
      <c r="K1397" s="238" t="s">
        <v>5</v>
      </c>
      <c r="L1397" s="238" t="s">
        <v>114</v>
      </c>
    </row>
    <row r="1398" spans="1:12" ht="15.5">
      <c r="A1398" s="180" t="s">
        <v>7</v>
      </c>
      <c r="B1398" s="250">
        <f>SUM(D1398:F1398)</f>
        <v>4309738.2873333339</v>
      </c>
      <c r="C1398" s="241">
        <f>+B1398/$B$1406</f>
        <v>0.58130240559709856</v>
      </c>
      <c r="D1398" s="242">
        <v>40320.207333333332</v>
      </c>
      <c r="E1398" s="242">
        <v>2065793.32</v>
      </c>
      <c r="F1398" s="242">
        <v>2203624.7599999998</v>
      </c>
      <c r="H1398" s="250">
        <f>SUM(J1398:L1398)</f>
        <v>204473.63055913959</v>
      </c>
      <c r="I1398" s="241">
        <f>+H1398/$H$1406</f>
        <v>1.0151260536837738</v>
      </c>
      <c r="J1398" s="242">
        <f>+D1398-D1387</f>
        <v>6450.8305591397875</v>
      </c>
      <c r="K1398" s="849">
        <f>+E1398-E1387</f>
        <v>148466.64000000013</v>
      </c>
      <c r="L1398" s="242">
        <f>+F1398-F1387</f>
        <v>49556.159999999683</v>
      </c>
    </row>
    <row r="1399" spans="1:12" ht="15.5">
      <c r="A1399" s="180" t="s">
        <v>8</v>
      </c>
      <c r="B1399" s="242">
        <f>SUM(D1399:F1399)</f>
        <v>0</v>
      </c>
      <c r="C1399" s="241">
        <f t="shared" ref="C1399:C1404" si="812">+B1399/$B$1406</f>
        <v>0</v>
      </c>
      <c r="D1399" s="242">
        <v>0</v>
      </c>
      <c r="F1399" s="242"/>
      <c r="G1399" s="32"/>
      <c r="H1399" s="250">
        <f t="shared" ref="H1399:H1404" si="813">SUM(J1399:L1399)</f>
        <v>0</v>
      </c>
      <c r="I1399" s="241">
        <f t="shared" ref="I1399:I1405" si="814">+H1399/$H$1406</f>
        <v>0</v>
      </c>
      <c r="J1399" s="242">
        <f t="shared" ref="J1399:J1404" si="815">+D1399-D1388</f>
        <v>0</v>
      </c>
      <c r="K1399" s="849">
        <f t="shared" ref="K1399:K1404" si="816">+E1399-E1388</f>
        <v>0</v>
      </c>
      <c r="L1399" s="242">
        <f>+F1399-F1388</f>
        <v>0</v>
      </c>
    </row>
    <row r="1400" spans="1:12" ht="15.5">
      <c r="A1400" s="180" t="s">
        <v>9</v>
      </c>
      <c r="B1400" s="242">
        <f t="shared" ref="B1400:B1404" si="817">SUM(D1400:F1400)</f>
        <v>353102.48716666672</v>
      </c>
      <c r="C1400" s="241">
        <f t="shared" si="812"/>
        <v>4.7626865374998655E-2</v>
      </c>
      <c r="D1400" s="242">
        <v>353102.48716666672</v>
      </c>
      <c r="E1400" s="242"/>
      <c r="F1400" s="242"/>
      <c r="G1400" s="32"/>
      <c r="H1400" s="250">
        <f t="shared" si="813"/>
        <v>-3561.309284946241</v>
      </c>
      <c r="I1400" s="241">
        <f t="shared" si="814"/>
        <v>-1.7680411065666719E-2</v>
      </c>
      <c r="J1400" s="242">
        <f t="shared" si="815"/>
        <v>-3561.309284946241</v>
      </c>
      <c r="K1400" s="849">
        <f t="shared" si="816"/>
        <v>0</v>
      </c>
      <c r="L1400" s="242">
        <f t="shared" ref="L1400:L1404" si="818">+F1400-F1389</f>
        <v>0</v>
      </c>
    </row>
    <row r="1401" spans="1:12" ht="15.5">
      <c r="A1401" s="180" t="s">
        <v>162</v>
      </c>
      <c r="B1401" s="242">
        <f t="shared" si="817"/>
        <v>0</v>
      </c>
      <c r="C1401" s="241">
        <f t="shared" si="812"/>
        <v>0</v>
      </c>
      <c r="D1401" s="242">
        <v>0</v>
      </c>
      <c r="E1401" s="242"/>
      <c r="F1401" s="242"/>
      <c r="G1401" s="32"/>
      <c r="H1401" s="250">
        <f t="shared" si="813"/>
        <v>0</v>
      </c>
      <c r="I1401" s="241">
        <f t="shared" si="814"/>
        <v>0</v>
      </c>
      <c r="J1401" s="242">
        <f t="shared" si="815"/>
        <v>0</v>
      </c>
      <c r="K1401" s="849">
        <f t="shared" si="816"/>
        <v>0</v>
      </c>
      <c r="L1401" s="242">
        <f t="shared" si="818"/>
        <v>0</v>
      </c>
    </row>
    <row r="1402" spans="1:12" ht="15.5">
      <c r="A1402" s="180" t="s">
        <v>11</v>
      </c>
      <c r="B1402" s="242">
        <f t="shared" si="817"/>
        <v>0</v>
      </c>
      <c r="C1402" s="241">
        <f t="shared" si="812"/>
        <v>0</v>
      </c>
      <c r="D1402" s="242">
        <v>0</v>
      </c>
      <c r="E1402" s="242"/>
      <c r="F1402" s="242"/>
      <c r="G1402" s="32"/>
      <c r="H1402" s="250">
        <f t="shared" si="813"/>
        <v>0</v>
      </c>
      <c r="I1402" s="241">
        <f t="shared" si="814"/>
        <v>0</v>
      </c>
      <c r="J1402" s="242">
        <f t="shared" si="815"/>
        <v>0</v>
      </c>
      <c r="K1402" s="849">
        <f t="shared" si="816"/>
        <v>0</v>
      </c>
      <c r="L1402" s="242">
        <f t="shared" si="818"/>
        <v>0</v>
      </c>
    </row>
    <row r="1403" spans="1:12" ht="15.5">
      <c r="A1403" s="180" t="s">
        <v>12</v>
      </c>
      <c r="B1403" s="242">
        <f t="shared" si="817"/>
        <v>15950</v>
      </c>
      <c r="C1403" s="241">
        <f t="shared" si="812"/>
        <v>2.151354154502654E-3</v>
      </c>
      <c r="D1403" s="242">
        <v>15950</v>
      </c>
      <c r="E1403" s="242"/>
      <c r="F1403" s="242"/>
      <c r="G1403" s="32"/>
      <c r="H1403" s="250">
        <f t="shared" si="813"/>
        <v>514.5161290322576</v>
      </c>
      <c r="I1403" s="241">
        <f t="shared" si="814"/>
        <v>2.5543573818928374E-3</v>
      </c>
      <c r="J1403" s="242">
        <f t="shared" si="815"/>
        <v>514.5161290322576</v>
      </c>
      <c r="K1403" s="849">
        <f t="shared" si="816"/>
        <v>0</v>
      </c>
      <c r="L1403" s="242">
        <f t="shared" si="818"/>
        <v>0</v>
      </c>
    </row>
    <row r="1404" spans="1:12" ht="15.5">
      <c r="A1404" s="180" t="s">
        <v>13</v>
      </c>
      <c r="B1404" s="242">
        <f t="shared" si="817"/>
        <v>2735144.2889657775</v>
      </c>
      <c r="C1404" s="241">
        <f t="shared" si="812"/>
        <v>0.36891937487340021</v>
      </c>
      <c r="D1404" s="242">
        <v>2735144.2889657775</v>
      </c>
      <c r="E1404" s="242">
        <v>0</v>
      </c>
      <c r="F1404" s="242">
        <v>0</v>
      </c>
      <c r="G1404" s="32"/>
      <c r="H1404" s="250">
        <f t="shared" si="813"/>
        <v>0</v>
      </c>
      <c r="I1404" s="241">
        <f t="shared" si="814"/>
        <v>0</v>
      </c>
      <c r="J1404" s="242">
        <f t="shared" si="815"/>
        <v>0</v>
      </c>
      <c r="K1404" s="849">
        <f t="shared" si="816"/>
        <v>0</v>
      </c>
      <c r="L1404" s="242">
        <f t="shared" si="818"/>
        <v>0</v>
      </c>
    </row>
    <row r="1405" spans="1:12" ht="15.5">
      <c r="A1405" s="180"/>
      <c r="B1405" s="242">
        <f>SUM(D1405:E1405)</f>
        <v>0</v>
      </c>
      <c r="C1405" s="241">
        <f t="shared" ref="C1405" si="819">+B1405/$B$1395</f>
        <v>0</v>
      </c>
      <c r="D1405" s="242"/>
      <c r="E1405" s="242"/>
      <c r="F1405" s="242"/>
      <c r="G1405" s="32"/>
      <c r="H1405" s="250"/>
      <c r="I1405" s="241">
        <f t="shared" si="814"/>
        <v>0</v>
      </c>
      <c r="J1405" s="242"/>
      <c r="K1405" s="242"/>
      <c r="L1405" s="242"/>
    </row>
    <row r="1406" spans="1:12" ht="15.5">
      <c r="A1406" s="180"/>
      <c r="B1406" s="243">
        <f>SUM(B1398:B1405)</f>
        <v>7413935.0634657778</v>
      </c>
      <c r="C1406" s="240">
        <f>SUM(C1398:C1405)</f>
        <v>1</v>
      </c>
      <c r="D1406" s="243">
        <f>SUM(D1398:D1405)</f>
        <v>3144516.9834657777</v>
      </c>
      <c r="E1406" s="243">
        <f>SUM(E1398:E1404)</f>
        <v>2065793.32</v>
      </c>
      <c r="F1406" s="243">
        <f>SUM(F1398:F1404)</f>
        <v>2203624.7599999998</v>
      </c>
      <c r="G1406" s="32">
        <f>+B1406-B1395</f>
        <v>201426.83740322664</v>
      </c>
      <c r="H1406" s="243">
        <f>SUM(H1398:H1405)</f>
        <v>201426.8374032256</v>
      </c>
      <c r="I1406" s="240">
        <f>SUM(I1398:I1405)</f>
        <v>0.99999999999999989</v>
      </c>
      <c r="J1406" s="243">
        <f>SUM(J1398:J1405)</f>
        <v>3404.0374032258042</v>
      </c>
      <c r="K1406" s="243">
        <f>SUM(K1398:K1405)</f>
        <v>148466.64000000013</v>
      </c>
      <c r="L1406" s="243">
        <f>SUM(L1398:L1405)</f>
        <v>49556.159999999683</v>
      </c>
    </row>
    <row r="1407" spans="1:12" ht="13" thickBot="1"/>
    <row r="1408" spans="1:12" ht="16" thickBot="1">
      <c r="A1408" s="253">
        <v>43766</v>
      </c>
      <c r="B1408" s="251">
        <v>63</v>
      </c>
      <c r="C1408" s="238" t="s">
        <v>3</v>
      </c>
      <c r="D1408" s="238" t="s">
        <v>4</v>
      </c>
      <c r="E1408" s="238" t="s">
        <v>5</v>
      </c>
      <c r="F1408" s="238" t="s">
        <v>6</v>
      </c>
      <c r="G1408" s="32"/>
      <c r="H1408" s="251">
        <f>+B1408-B1397</f>
        <v>3</v>
      </c>
      <c r="I1408" s="238" t="s">
        <v>3</v>
      </c>
      <c r="J1408" s="238" t="s">
        <v>4</v>
      </c>
      <c r="K1408" s="238" t="s">
        <v>5</v>
      </c>
      <c r="L1408" s="238" t="s">
        <v>114</v>
      </c>
    </row>
    <row r="1409" spans="1:12" ht="15.5">
      <c r="A1409" s="180" t="s">
        <v>7</v>
      </c>
      <c r="B1409" s="250">
        <f>SUM(D1409:F1409)</f>
        <v>4435966.9374603182</v>
      </c>
      <c r="C1409" s="241">
        <f>+B1409/$B$1417</f>
        <v>0.58850124774823598</v>
      </c>
      <c r="D1409" s="242">
        <v>38400.19746031746</v>
      </c>
      <c r="E1409" s="242">
        <v>2139718.89</v>
      </c>
      <c r="F1409" s="242">
        <v>2257847.85</v>
      </c>
      <c r="H1409" s="250">
        <f>SUM(J1409:L1409)</f>
        <v>126228.65012698452</v>
      </c>
      <c r="I1409" s="241">
        <f>+H1409/$H$1417</f>
        <v>1.0196112678140514</v>
      </c>
      <c r="J1409" s="242">
        <f>+D1409-D1398</f>
        <v>-1920.0098730158716</v>
      </c>
      <c r="K1409" s="849">
        <f>+E1409-E1398</f>
        <v>73925.570000000065</v>
      </c>
      <c r="L1409" s="242">
        <f>+F1409-F1398</f>
        <v>54223.090000000317</v>
      </c>
    </row>
    <row r="1410" spans="1:12" ht="15.5">
      <c r="A1410" s="180" t="s">
        <v>8</v>
      </c>
      <c r="B1410" s="242">
        <f>SUM(D1410:F1410)</f>
        <v>0</v>
      </c>
      <c r="C1410" s="241">
        <f t="shared" ref="C1410:C1415" si="820">+B1410/$B$1417</f>
        <v>0</v>
      </c>
      <c r="D1410" s="242">
        <v>0</v>
      </c>
      <c r="F1410" s="242"/>
      <c r="G1410" s="32"/>
      <c r="H1410" s="250">
        <f t="shared" ref="H1410:H1415" si="821">SUM(J1410:L1410)</f>
        <v>0</v>
      </c>
      <c r="I1410" s="241">
        <f t="shared" ref="I1410:I1415" si="822">+H1410/$H$1417</f>
        <v>0</v>
      </c>
      <c r="J1410" s="242">
        <f t="shared" ref="J1410:J1415" si="823">+D1410-D1399</f>
        <v>0</v>
      </c>
      <c r="K1410" s="849">
        <f t="shared" ref="K1410:K1415" si="824">+E1410-E1399</f>
        <v>0</v>
      </c>
      <c r="L1410" s="242">
        <f>+F1410-F1399</f>
        <v>0</v>
      </c>
    </row>
    <row r="1411" spans="1:12" ht="15.5">
      <c r="A1411" s="180" t="s">
        <v>9</v>
      </c>
      <c r="B1411" s="242">
        <f t="shared" ref="B1411:B1415" si="825">SUM(D1411:F1411)</f>
        <v>351434.12111111113</v>
      </c>
      <c r="C1411" s="241">
        <f t="shared" si="820"/>
        <v>4.6623300329105229E-2</v>
      </c>
      <c r="D1411" s="242">
        <v>351434.12111111113</v>
      </c>
      <c r="E1411" s="242"/>
      <c r="F1411" s="242"/>
      <c r="G1411" s="32"/>
      <c r="H1411" s="250">
        <f t="shared" si="821"/>
        <v>-1668.3660555555834</v>
      </c>
      <c r="I1411" s="241">
        <f t="shared" si="822"/>
        <v>-1.3476218175284974E-2</v>
      </c>
      <c r="J1411" s="242">
        <f>+D1411-D1400</f>
        <v>-1668.3660555555834</v>
      </c>
      <c r="K1411" s="849">
        <f t="shared" si="824"/>
        <v>0</v>
      </c>
      <c r="L1411" s="242">
        <f t="shared" ref="L1411:L1415" si="826">+F1411-F1400</f>
        <v>0</v>
      </c>
    </row>
    <row r="1412" spans="1:12" ht="15.5">
      <c r="A1412" s="180" t="s">
        <v>162</v>
      </c>
      <c r="B1412" s="242">
        <f t="shared" si="825"/>
        <v>0</v>
      </c>
      <c r="C1412" s="241">
        <f t="shared" si="820"/>
        <v>0</v>
      </c>
      <c r="D1412" s="242">
        <v>0</v>
      </c>
      <c r="E1412" s="242"/>
      <c r="F1412" s="242"/>
      <c r="G1412" s="32"/>
      <c r="H1412" s="250">
        <f t="shared" si="821"/>
        <v>0</v>
      </c>
      <c r="I1412" s="241">
        <f t="shared" si="822"/>
        <v>0</v>
      </c>
      <c r="J1412" s="242">
        <f t="shared" si="823"/>
        <v>0</v>
      </c>
      <c r="K1412" s="849">
        <f t="shared" si="824"/>
        <v>0</v>
      </c>
      <c r="L1412" s="242">
        <f t="shared" si="826"/>
        <v>0</v>
      </c>
    </row>
    <row r="1413" spans="1:12" ht="15.5">
      <c r="A1413" s="180" t="s">
        <v>11</v>
      </c>
      <c r="B1413" s="242">
        <f t="shared" si="825"/>
        <v>0</v>
      </c>
      <c r="C1413" s="241">
        <f t="shared" si="820"/>
        <v>0</v>
      </c>
      <c r="D1413" s="242">
        <v>0</v>
      </c>
      <c r="E1413" s="242"/>
      <c r="F1413" s="242"/>
      <c r="G1413" s="32"/>
      <c r="H1413" s="250">
        <f t="shared" si="821"/>
        <v>0</v>
      </c>
      <c r="I1413" s="241">
        <f t="shared" si="822"/>
        <v>0</v>
      </c>
      <c r="J1413" s="242">
        <f t="shared" si="823"/>
        <v>0</v>
      </c>
      <c r="K1413" s="849">
        <f t="shared" si="824"/>
        <v>0</v>
      </c>
      <c r="L1413" s="242">
        <f t="shared" si="826"/>
        <v>0</v>
      </c>
    </row>
    <row r="1414" spans="1:12" ht="15.5">
      <c r="A1414" s="180" t="s">
        <v>12</v>
      </c>
      <c r="B1414" s="242">
        <f t="shared" si="825"/>
        <v>15190.476190476191</v>
      </c>
      <c r="C1414" s="241">
        <f t="shared" si="820"/>
        <v>2.0152571734682991E-3</v>
      </c>
      <c r="D1414" s="242">
        <v>15190.476190476191</v>
      </c>
      <c r="E1414" s="242"/>
      <c r="F1414" s="242"/>
      <c r="G1414" s="32"/>
      <c r="H1414" s="250">
        <f t="shared" si="821"/>
        <v>-759.52380952380918</v>
      </c>
      <c r="I1414" s="241">
        <f t="shared" si="822"/>
        <v>-6.13504963876642E-3</v>
      </c>
      <c r="J1414" s="242">
        <f t="shared" si="823"/>
        <v>-759.52380952380918</v>
      </c>
      <c r="K1414" s="849">
        <f t="shared" si="824"/>
        <v>0</v>
      </c>
      <c r="L1414" s="242">
        <f t="shared" si="826"/>
        <v>0</v>
      </c>
    </row>
    <row r="1415" spans="1:12" ht="15.5">
      <c r="A1415" s="180" t="s">
        <v>13</v>
      </c>
      <c r="B1415" s="242">
        <f t="shared" si="825"/>
        <v>2735144.2889657775</v>
      </c>
      <c r="C1415" s="241">
        <f t="shared" si="820"/>
        <v>0.36286019474919062</v>
      </c>
      <c r="D1415" s="242">
        <v>2735144.2889657775</v>
      </c>
      <c r="E1415" s="242">
        <v>0</v>
      </c>
      <c r="F1415" s="242">
        <v>0</v>
      </c>
      <c r="G1415" s="32"/>
      <c r="H1415" s="250">
        <f t="shared" si="821"/>
        <v>0</v>
      </c>
      <c r="I1415" s="241">
        <f t="shared" si="822"/>
        <v>0</v>
      </c>
      <c r="J1415" s="242">
        <f t="shared" si="823"/>
        <v>0</v>
      </c>
      <c r="K1415" s="849">
        <f t="shared" si="824"/>
        <v>0</v>
      </c>
      <c r="L1415" s="242">
        <f t="shared" si="826"/>
        <v>0</v>
      </c>
    </row>
    <row r="1416" spans="1:12" ht="15.5">
      <c r="A1416" s="180"/>
      <c r="B1416" s="242">
        <f>SUM(D1416:E1416)</f>
        <v>0</v>
      </c>
      <c r="C1416" s="241">
        <f t="shared" ref="C1416" si="827">+B1416/$B$12</f>
        <v>0</v>
      </c>
      <c r="D1416" s="242"/>
      <c r="E1416" s="242"/>
      <c r="F1416" s="242"/>
      <c r="G1416" s="32"/>
      <c r="H1416" s="250"/>
      <c r="I1416" s="241">
        <f t="shared" ref="I1416" si="828">+H1416/$H$1395</f>
        <v>0</v>
      </c>
      <c r="J1416" s="242"/>
      <c r="K1416" s="242"/>
      <c r="L1416" s="242"/>
    </row>
    <row r="1417" spans="1:12" ht="15.5">
      <c r="A1417" s="180"/>
      <c r="B1417" s="243">
        <f>SUM(B1409:B1416)</f>
        <v>7537735.8237276822</v>
      </c>
      <c r="C1417" s="240">
        <f>SUM(C1409:C1416)</f>
        <v>1</v>
      </c>
      <c r="D1417" s="243">
        <f>SUM(D1409:D1416)</f>
        <v>3140169.0837276825</v>
      </c>
      <c r="E1417" s="243">
        <f>SUM(E1409:E1415)</f>
        <v>2139718.89</v>
      </c>
      <c r="F1417" s="243">
        <f>SUM(F1409:F1415)</f>
        <v>2257847.85</v>
      </c>
      <c r="G1417" s="32">
        <f>+B1417-B1406</f>
        <v>123800.76026190445</v>
      </c>
      <c r="H1417" s="243">
        <f>SUM(H1409:H1416)</f>
        <v>123800.76026190512</v>
      </c>
      <c r="I1417" s="240">
        <f>SUM(I1409:I1416)</f>
        <v>1</v>
      </c>
      <c r="J1417" s="243">
        <f>SUM(J1409:J1416)</f>
        <v>-4347.8997380952642</v>
      </c>
      <c r="K1417" s="243">
        <f>SUM(K1409:K1416)</f>
        <v>73925.570000000065</v>
      </c>
      <c r="L1417" s="243">
        <f>SUM(L1409:L1416)</f>
        <v>54223.090000000317</v>
      </c>
    </row>
    <row r="1418" spans="1:12" ht="13" thickBot="1"/>
    <row r="1419" spans="1:12" ht="16" thickBot="1">
      <c r="A1419" s="253">
        <v>43797</v>
      </c>
      <c r="B1419" s="251">
        <v>63</v>
      </c>
      <c r="C1419" s="238" t="s">
        <v>3</v>
      </c>
      <c r="D1419" s="238" t="s">
        <v>4</v>
      </c>
      <c r="E1419" s="238" t="s">
        <v>5</v>
      </c>
      <c r="F1419" s="238" t="s">
        <v>6</v>
      </c>
      <c r="G1419" s="32"/>
      <c r="H1419" s="251">
        <f>+B1419-B1408</f>
        <v>0</v>
      </c>
      <c r="I1419" s="238" t="s">
        <v>3</v>
      </c>
      <c r="J1419" s="238" t="s">
        <v>4</v>
      </c>
      <c r="K1419" s="238" t="s">
        <v>5</v>
      </c>
      <c r="L1419" s="238" t="s">
        <v>114</v>
      </c>
    </row>
    <row r="1420" spans="1:12" ht="15.5">
      <c r="A1420" s="180" t="s">
        <v>7</v>
      </c>
      <c r="B1420" s="250">
        <f>SUM(D1420:F1420)</f>
        <v>4522443.9331746036</v>
      </c>
      <c r="C1420" s="241">
        <f>+B1420/$B$1428</f>
        <v>0.59188379348682674</v>
      </c>
      <c r="D1420" s="242">
        <v>46635.673174603173</v>
      </c>
      <c r="E1420" s="242">
        <v>2160520.35</v>
      </c>
      <c r="F1420" s="242">
        <v>2315287.91</v>
      </c>
      <c r="H1420" s="250">
        <f>SUM(J1420:L1420)</f>
        <v>86476.995714285731</v>
      </c>
      <c r="I1420" s="241">
        <f>+H1420/$H$1428</f>
        <v>0.83935904293155017</v>
      </c>
      <c r="J1420" s="242">
        <f>+D1420-D1409</f>
        <v>8235.4757142857125</v>
      </c>
      <c r="K1420" s="849">
        <f>+E1420-E1409</f>
        <v>20801.459999999963</v>
      </c>
      <c r="L1420" s="242">
        <f>+F1420-F1409</f>
        <v>57440.060000000056</v>
      </c>
    </row>
    <row r="1421" spans="1:12" ht="15.5">
      <c r="A1421" s="180" t="s">
        <v>8</v>
      </c>
      <c r="B1421" s="242">
        <f>SUM(D1421:F1421)</f>
        <v>0</v>
      </c>
      <c r="C1421" s="241">
        <f t="shared" ref="C1421:C1426" si="829">+B1421/$B$1428</f>
        <v>0</v>
      </c>
      <c r="D1421" s="242">
        <v>0</v>
      </c>
      <c r="F1421" s="242"/>
      <c r="G1421" s="32"/>
      <c r="H1421" s="250">
        <f t="shared" ref="H1421:H1426" si="830">SUM(J1421:L1421)</f>
        <v>0</v>
      </c>
      <c r="I1421" s="241">
        <f t="shared" ref="I1421:I1426" si="831">+H1421/$H$1428</f>
        <v>0</v>
      </c>
      <c r="J1421" s="242">
        <f t="shared" ref="J1421" si="832">+D1421-D1410</f>
        <v>0</v>
      </c>
      <c r="K1421" s="849">
        <f t="shared" ref="K1421:K1426" si="833">+E1421-E1410</f>
        <v>0</v>
      </c>
      <c r="L1421" s="242">
        <f>+F1421-F1410</f>
        <v>0</v>
      </c>
    </row>
    <row r="1422" spans="1:12" ht="15.5">
      <c r="A1422" s="180" t="s">
        <v>9</v>
      </c>
      <c r="B1422" s="242">
        <f t="shared" ref="B1422:B1426" si="834">SUM(D1422:F1422)</f>
        <v>367984.54428571434</v>
      </c>
      <c r="C1422" s="241">
        <f t="shared" si="829"/>
        <v>4.8160704971627728E-2</v>
      </c>
      <c r="D1422" s="242">
        <v>367984.54428571434</v>
      </c>
      <c r="E1422" s="242"/>
      <c r="F1422" s="242"/>
      <c r="G1422" s="32"/>
      <c r="H1422" s="250">
        <f t="shared" si="830"/>
        <v>16550.423174603202</v>
      </c>
      <c r="I1422" s="241">
        <f t="shared" si="831"/>
        <v>0.1606409570684498</v>
      </c>
      <c r="J1422" s="242">
        <f>+D1422-D1411</f>
        <v>16550.423174603202</v>
      </c>
      <c r="K1422" s="849">
        <f t="shared" si="833"/>
        <v>0</v>
      </c>
      <c r="L1422" s="242">
        <f t="shared" ref="L1422:L1426" si="835">+F1422-F1411</f>
        <v>0</v>
      </c>
    </row>
    <row r="1423" spans="1:12" ht="15.5">
      <c r="A1423" s="180" t="s">
        <v>162</v>
      </c>
      <c r="B1423" s="242">
        <f t="shared" si="834"/>
        <v>0</v>
      </c>
      <c r="C1423" s="241">
        <f t="shared" si="829"/>
        <v>0</v>
      </c>
      <c r="D1423" s="242">
        <v>0</v>
      </c>
      <c r="E1423" s="242"/>
      <c r="F1423" s="242"/>
      <c r="G1423" s="32"/>
      <c r="H1423" s="250">
        <f t="shared" si="830"/>
        <v>0</v>
      </c>
      <c r="I1423" s="241">
        <f t="shared" si="831"/>
        <v>0</v>
      </c>
      <c r="J1423" s="242">
        <f t="shared" ref="J1423:J1426" si="836">+D1423-D1412</f>
        <v>0</v>
      </c>
      <c r="K1423" s="849">
        <f t="shared" si="833"/>
        <v>0</v>
      </c>
      <c r="L1423" s="242">
        <f t="shared" si="835"/>
        <v>0</v>
      </c>
    </row>
    <row r="1424" spans="1:12" ht="15.5">
      <c r="A1424" s="180" t="s">
        <v>11</v>
      </c>
      <c r="B1424" s="242">
        <f t="shared" si="834"/>
        <v>0</v>
      </c>
      <c r="C1424" s="241">
        <f t="shared" si="829"/>
        <v>0</v>
      </c>
      <c r="D1424" s="242">
        <v>0</v>
      </c>
      <c r="E1424" s="242"/>
      <c r="F1424" s="242"/>
      <c r="G1424" s="32"/>
      <c r="H1424" s="250">
        <f t="shared" si="830"/>
        <v>0</v>
      </c>
      <c r="I1424" s="241">
        <f t="shared" si="831"/>
        <v>0</v>
      </c>
      <c r="J1424" s="242">
        <f t="shared" si="836"/>
        <v>0</v>
      </c>
      <c r="K1424" s="849">
        <f t="shared" si="833"/>
        <v>0</v>
      </c>
      <c r="L1424" s="242">
        <f t="shared" si="835"/>
        <v>0</v>
      </c>
    </row>
    <row r="1425" spans="1:12" ht="15.5">
      <c r="A1425" s="180" t="s">
        <v>12</v>
      </c>
      <c r="B1425" s="242">
        <f t="shared" si="834"/>
        <v>15190.476190476191</v>
      </c>
      <c r="C1425" s="241">
        <f t="shared" si="829"/>
        <v>1.9880836126096517E-3</v>
      </c>
      <c r="D1425" s="242">
        <v>15190.476190476191</v>
      </c>
      <c r="E1425" s="242"/>
      <c r="F1425" s="242"/>
      <c r="G1425" s="32"/>
      <c r="H1425" s="250">
        <f t="shared" si="830"/>
        <v>0</v>
      </c>
      <c r="I1425" s="241">
        <f t="shared" si="831"/>
        <v>0</v>
      </c>
      <c r="J1425" s="242">
        <f t="shared" si="836"/>
        <v>0</v>
      </c>
      <c r="K1425" s="849">
        <f t="shared" si="833"/>
        <v>0</v>
      </c>
      <c r="L1425" s="242">
        <f t="shared" si="835"/>
        <v>0</v>
      </c>
    </row>
    <row r="1426" spans="1:12" ht="15.5">
      <c r="A1426" s="180" t="s">
        <v>13</v>
      </c>
      <c r="B1426" s="242">
        <f t="shared" si="834"/>
        <v>2735144.2889657775</v>
      </c>
      <c r="C1426" s="241">
        <f t="shared" si="829"/>
        <v>0.35796741792893588</v>
      </c>
      <c r="D1426" s="242">
        <v>2735144.2889657775</v>
      </c>
      <c r="E1426" s="242">
        <v>0</v>
      </c>
      <c r="F1426" s="242">
        <v>0</v>
      </c>
      <c r="G1426" s="32"/>
      <c r="H1426" s="250">
        <f t="shared" si="830"/>
        <v>0</v>
      </c>
      <c r="I1426" s="241">
        <f t="shared" si="831"/>
        <v>0</v>
      </c>
      <c r="J1426" s="242">
        <f t="shared" si="836"/>
        <v>0</v>
      </c>
      <c r="K1426" s="849">
        <f t="shared" si="833"/>
        <v>0</v>
      </c>
      <c r="L1426" s="242">
        <f t="shared" si="835"/>
        <v>0</v>
      </c>
    </row>
    <row r="1427" spans="1:12" ht="15.5">
      <c r="A1427" s="180"/>
      <c r="B1427" s="242">
        <f>SUM(D1427:E1427)</f>
        <v>0</v>
      </c>
      <c r="C1427" s="241">
        <f t="shared" ref="C1427" si="837">+B1427/$B$12</f>
        <v>0</v>
      </c>
      <c r="D1427" s="242"/>
      <c r="E1427" s="242"/>
      <c r="F1427" s="242"/>
      <c r="G1427" s="32"/>
      <c r="H1427" s="250"/>
      <c r="I1427" s="241">
        <f t="shared" ref="I1427" si="838">+H1427/$H$1395</f>
        <v>0</v>
      </c>
      <c r="J1427" s="242"/>
      <c r="K1427" s="242"/>
      <c r="L1427" s="242"/>
    </row>
    <row r="1428" spans="1:12" ht="15.5">
      <c r="A1428" s="180"/>
      <c r="B1428" s="243">
        <f>SUM(B1420:B1427)</f>
        <v>7640763.2426165715</v>
      </c>
      <c r="C1428" s="240">
        <f>SUM(C1420:C1427)</f>
        <v>1</v>
      </c>
      <c r="D1428" s="243">
        <f>SUM(D1420:D1427)</f>
        <v>3164954.9826165712</v>
      </c>
      <c r="E1428" s="243">
        <f>SUM(E1420:E1426)</f>
        <v>2160520.35</v>
      </c>
      <c r="F1428" s="243">
        <f>SUM(F1420:F1426)</f>
        <v>2315287.91</v>
      </c>
      <c r="G1428" s="32">
        <f>+B1428-B1417</f>
        <v>103027.41888888925</v>
      </c>
      <c r="H1428" s="243">
        <f>SUM(H1420:H1427)</f>
        <v>103027.41888888893</v>
      </c>
      <c r="I1428" s="240">
        <f>SUM(I1420:I1427)</f>
        <v>1</v>
      </c>
      <c r="J1428" s="243">
        <f>SUM(J1420:J1427)</f>
        <v>24785.898888888914</v>
      </c>
      <c r="K1428" s="243">
        <f>SUM(K1420:K1427)</f>
        <v>20801.459999999963</v>
      </c>
      <c r="L1428" s="243">
        <f>SUM(L1420:L1427)</f>
        <v>57440.060000000056</v>
      </c>
    </row>
    <row r="1429" spans="1:12" ht="16" thickBot="1">
      <c r="A1429" s="180"/>
      <c r="B1429" s="334"/>
      <c r="C1429" s="335"/>
      <c r="D1429" s="334"/>
      <c r="E1429" s="334"/>
      <c r="F1429" s="334"/>
      <c r="G1429" s="32"/>
      <c r="H1429" s="334"/>
      <c r="I1429" s="335"/>
      <c r="J1429" s="334"/>
      <c r="K1429" s="334"/>
      <c r="L1429" s="334"/>
    </row>
    <row r="1430" spans="1:12" ht="16" thickBot="1">
      <c r="A1430" s="253">
        <v>43827</v>
      </c>
      <c r="B1430" s="251">
        <v>63</v>
      </c>
      <c r="C1430" s="238" t="s">
        <v>3</v>
      </c>
      <c r="D1430" s="238" t="s">
        <v>4</v>
      </c>
      <c r="E1430" s="238" t="s">
        <v>5</v>
      </c>
      <c r="F1430" s="238" t="s">
        <v>6</v>
      </c>
      <c r="G1430" s="32"/>
      <c r="H1430" s="251">
        <f>+B1430-B1419</f>
        <v>0</v>
      </c>
      <c r="I1430" s="238" t="s">
        <v>3</v>
      </c>
      <c r="J1430" s="238" t="s">
        <v>4</v>
      </c>
      <c r="K1430" s="238" t="s">
        <v>5</v>
      </c>
      <c r="L1430" s="238" t="s">
        <v>114</v>
      </c>
    </row>
    <row r="1431" spans="1:12" ht="15.5">
      <c r="A1431" s="180" t="s">
        <v>7</v>
      </c>
      <c r="B1431" s="250">
        <f>SUM(D1431:F1431)</f>
        <v>4783631.8106349204</v>
      </c>
      <c r="C1431" s="241">
        <f>+B1431/$B$1439</f>
        <v>0.60457800801054984</v>
      </c>
      <c r="D1431" s="242">
        <v>51911.870634920633</v>
      </c>
      <c r="E1431" s="242">
        <v>2350010.9900000002</v>
      </c>
      <c r="F1431" s="242">
        <v>2381708.9500000002</v>
      </c>
      <c r="H1431" s="250">
        <f>SUM(J1431:L1431)</f>
        <v>261187.87746031763</v>
      </c>
      <c r="I1431" s="241">
        <f>+H1431/$H$1439</f>
        <v>0.96171645649828696</v>
      </c>
      <c r="J1431" s="242">
        <f>+D1431-D1420</f>
        <v>5276.1974603174604</v>
      </c>
      <c r="K1431" s="849">
        <f>+E1431-E1420</f>
        <v>189490.64000000013</v>
      </c>
      <c r="L1431" s="242">
        <f>+F1431-F1420</f>
        <v>66421.040000000037</v>
      </c>
    </row>
    <row r="1432" spans="1:12" ht="15.5">
      <c r="A1432" s="180" t="s">
        <v>8</v>
      </c>
      <c r="B1432" s="242">
        <f>SUM(D1432:F1432)</f>
        <v>0</v>
      </c>
      <c r="C1432" s="241">
        <f t="shared" ref="C1432:C1437" si="839">+B1432/$B$1439</f>
        <v>0</v>
      </c>
      <c r="D1432" s="242">
        <v>0</v>
      </c>
      <c r="F1432" s="242"/>
      <c r="G1432" s="32"/>
      <c r="H1432" s="250">
        <f t="shared" ref="H1432:H1437" si="840">SUM(J1432:L1432)</f>
        <v>0</v>
      </c>
      <c r="I1432" s="241">
        <f t="shared" ref="I1432:I1437" si="841">+H1432/$H$1439</f>
        <v>0</v>
      </c>
      <c r="J1432" s="242">
        <f t="shared" ref="J1432" si="842">+D1432-D1421</f>
        <v>0</v>
      </c>
      <c r="K1432" s="849">
        <f t="shared" ref="K1432:K1437" si="843">+E1432-E1421</f>
        <v>0</v>
      </c>
      <c r="L1432" s="242">
        <f>+F1432-F1421</f>
        <v>0</v>
      </c>
    </row>
    <row r="1433" spans="1:12" ht="15.5">
      <c r="A1433" s="180" t="s">
        <v>9</v>
      </c>
      <c r="B1433" s="242">
        <f t="shared" ref="B1433:B1437" si="844">SUM(D1433:F1433)</f>
        <v>378381.78497064585</v>
      </c>
      <c r="C1433" s="241">
        <f t="shared" si="839"/>
        <v>4.7821679192877997E-2</v>
      </c>
      <c r="D1433" s="242">
        <v>378381.78497064585</v>
      </c>
      <c r="E1433" s="242"/>
      <c r="F1433" s="242"/>
      <c r="G1433" s="32"/>
      <c r="H1433" s="250">
        <f t="shared" si="840"/>
        <v>10397.240684931516</v>
      </c>
      <c r="I1433" s="241">
        <f t="shared" si="841"/>
        <v>3.8283543501713022E-2</v>
      </c>
      <c r="J1433" s="242">
        <f>+D1433-D1422</f>
        <v>10397.240684931516</v>
      </c>
      <c r="K1433" s="849">
        <f t="shared" si="843"/>
        <v>0</v>
      </c>
      <c r="L1433" s="242">
        <f t="shared" ref="L1433:L1437" si="845">+F1433-F1422</f>
        <v>0</v>
      </c>
    </row>
    <row r="1434" spans="1:12" ht="15.5">
      <c r="A1434" s="180" t="s">
        <v>162</v>
      </c>
      <c r="B1434" s="242">
        <f t="shared" si="844"/>
        <v>0</v>
      </c>
      <c r="C1434" s="241">
        <f t="shared" si="839"/>
        <v>0</v>
      </c>
      <c r="D1434" s="242">
        <v>0</v>
      </c>
      <c r="E1434" s="242"/>
      <c r="F1434" s="242"/>
      <c r="G1434" s="32"/>
      <c r="H1434" s="250">
        <f t="shared" si="840"/>
        <v>0</v>
      </c>
      <c r="I1434" s="241">
        <f t="shared" si="841"/>
        <v>0</v>
      </c>
      <c r="J1434" s="242">
        <f t="shared" ref="J1434:J1437" si="846">+D1434-D1423</f>
        <v>0</v>
      </c>
      <c r="K1434" s="849">
        <f t="shared" si="843"/>
        <v>0</v>
      </c>
      <c r="L1434" s="242">
        <f t="shared" si="845"/>
        <v>0</v>
      </c>
    </row>
    <row r="1435" spans="1:12" ht="15.5">
      <c r="A1435" s="180" t="s">
        <v>11</v>
      </c>
      <c r="B1435" s="242">
        <f t="shared" si="844"/>
        <v>0</v>
      </c>
      <c r="C1435" s="241">
        <f t="shared" si="839"/>
        <v>0</v>
      </c>
      <c r="D1435" s="242">
        <v>0</v>
      </c>
      <c r="E1435" s="242"/>
      <c r="F1435" s="242"/>
      <c r="G1435" s="32"/>
      <c r="H1435" s="250">
        <f t="shared" si="840"/>
        <v>0</v>
      </c>
      <c r="I1435" s="241">
        <f t="shared" si="841"/>
        <v>0</v>
      </c>
      <c r="J1435" s="242">
        <f t="shared" si="846"/>
        <v>0</v>
      </c>
      <c r="K1435" s="849">
        <f t="shared" si="843"/>
        <v>0</v>
      </c>
      <c r="L1435" s="242">
        <f t="shared" si="845"/>
        <v>0</v>
      </c>
    </row>
    <row r="1436" spans="1:12" ht="15.5">
      <c r="A1436" s="180" t="s">
        <v>12</v>
      </c>
      <c r="B1436" s="242">
        <f t="shared" si="844"/>
        <v>15190.476190476191</v>
      </c>
      <c r="C1436" s="241">
        <f t="shared" si="839"/>
        <v>1.919844210324129E-3</v>
      </c>
      <c r="D1436" s="242">
        <v>15190.476190476191</v>
      </c>
      <c r="E1436" s="242"/>
      <c r="F1436" s="242"/>
      <c r="G1436" s="32"/>
      <c r="H1436" s="250">
        <f t="shared" si="840"/>
        <v>0</v>
      </c>
      <c r="I1436" s="241">
        <f t="shared" si="841"/>
        <v>0</v>
      </c>
      <c r="J1436" s="242">
        <f t="shared" si="846"/>
        <v>0</v>
      </c>
      <c r="K1436" s="849">
        <f t="shared" si="843"/>
        <v>0</v>
      </c>
      <c r="L1436" s="242">
        <f t="shared" si="845"/>
        <v>0</v>
      </c>
    </row>
    <row r="1437" spans="1:12" ht="15.5">
      <c r="A1437" s="180" t="s">
        <v>13</v>
      </c>
      <c r="B1437" s="242">
        <f t="shared" si="844"/>
        <v>2735144.2889657775</v>
      </c>
      <c r="C1437" s="241">
        <f t="shared" si="839"/>
        <v>0.34568046858624807</v>
      </c>
      <c r="D1437" s="242">
        <v>2735144.2889657775</v>
      </c>
      <c r="E1437" s="242">
        <v>0</v>
      </c>
      <c r="F1437" s="242">
        <v>0</v>
      </c>
      <c r="G1437" s="32"/>
      <c r="H1437" s="250">
        <f t="shared" si="840"/>
        <v>0</v>
      </c>
      <c r="I1437" s="241">
        <f t="shared" si="841"/>
        <v>0</v>
      </c>
      <c r="J1437" s="242">
        <f t="shared" si="846"/>
        <v>0</v>
      </c>
      <c r="K1437" s="849">
        <f t="shared" si="843"/>
        <v>0</v>
      </c>
      <c r="L1437" s="242">
        <f t="shared" si="845"/>
        <v>0</v>
      </c>
    </row>
    <row r="1438" spans="1:12" ht="15.5">
      <c r="A1438" s="180"/>
      <c r="B1438" s="242">
        <f>SUM(D1438:E1438)</f>
        <v>0</v>
      </c>
      <c r="C1438" s="241">
        <f t="shared" ref="C1438" si="847">+B1438/$B$12</f>
        <v>0</v>
      </c>
      <c r="D1438" s="242"/>
      <c r="E1438" s="242"/>
      <c r="F1438" s="242"/>
      <c r="G1438" s="32"/>
      <c r="H1438" s="250"/>
      <c r="I1438" s="241">
        <f t="shared" ref="I1438" si="848">+H1438/$H$1395</f>
        <v>0</v>
      </c>
      <c r="J1438" s="242"/>
      <c r="K1438" s="242"/>
      <c r="L1438" s="242"/>
    </row>
    <row r="1439" spans="1:12" ht="15.5">
      <c r="A1439" s="180"/>
      <c r="B1439" s="243">
        <f>SUM(B1431:B1438)</f>
        <v>7912348.3607618194</v>
      </c>
      <c r="C1439" s="240">
        <f>SUM(C1431:C1438)</f>
        <v>1</v>
      </c>
      <c r="D1439" s="243">
        <f>SUM(D1431:D1438)</f>
        <v>3180628.4207618199</v>
      </c>
      <c r="E1439" s="243">
        <f>SUM(E1431:E1437)</f>
        <v>2350010.9900000002</v>
      </c>
      <c r="F1439" s="243">
        <f>SUM(F1431:F1437)</f>
        <v>2381708.9500000002</v>
      </c>
      <c r="G1439" s="32">
        <f>+B1439-B1428</f>
        <v>271585.11814524792</v>
      </c>
      <c r="H1439" s="243">
        <f>SUM(H1431:H1438)</f>
        <v>271585.11814524914</v>
      </c>
      <c r="I1439" s="240">
        <f>SUM(I1431:I1438)</f>
        <v>1</v>
      </c>
      <c r="J1439" s="243">
        <f>SUM(J1431:J1438)</f>
        <v>15673.438145248976</v>
      </c>
      <c r="K1439" s="243">
        <f>SUM(K1431:K1438)</f>
        <v>189490.64000000013</v>
      </c>
      <c r="L1439" s="243">
        <f>SUM(L1431:L1438)</f>
        <v>66421.040000000037</v>
      </c>
    </row>
    <row r="1440" spans="1:12" ht="16" thickBot="1">
      <c r="A1440" s="417" t="s">
        <v>173</v>
      </c>
      <c r="B1440" s="334"/>
      <c r="C1440" s="335"/>
      <c r="D1440" s="334"/>
      <c r="E1440" s="334"/>
      <c r="F1440" s="334"/>
      <c r="G1440" s="32"/>
      <c r="H1440" s="334"/>
      <c r="I1440" s="335"/>
      <c r="J1440" s="334"/>
      <c r="K1440" s="334"/>
      <c r="L1440" s="334"/>
    </row>
    <row r="1441" spans="1:12" ht="16" thickBot="1">
      <c r="A1441" s="253">
        <v>43858</v>
      </c>
      <c r="B1441" s="251">
        <v>63</v>
      </c>
      <c r="C1441" s="238" t="s">
        <v>3</v>
      </c>
      <c r="D1441" s="238" t="s">
        <v>4</v>
      </c>
      <c r="E1441" s="238" t="s">
        <v>5</v>
      </c>
      <c r="F1441" s="238" t="s">
        <v>6</v>
      </c>
      <c r="G1441" s="32"/>
      <c r="H1441" s="251">
        <f>+B1441-B1430</f>
        <v>0</v>
      </c>
      <c r="I1441" s="238" t="s">
        <v>3</v>
      </c>
      <c r="J1441" s="238" t="s">
        <v>4</v>
      </c>
      <c r="K1441" s="238" t="s">
        <v>5</v>
      </c>
      <c r="L1441" s="238" t="s">
        <v>114</v>
      </c>
    </row>
    <row r="1442" spans="1:12" ht="15.5">
      <c r="A1442" s="180" t="s">
        <v>7</v>
      </c>
      <c r="B1442" s="250">
        <f>SUM(D1442:F1442)</f>
        <v>4833094.7012499999</v>
      </c>
      <c r="C1442" s="241">
        <f>+B1442/$B$1450</f>
        <v>0.60596134078337538</v>
      </c>
      <c r="D1442" s="242">
        <v>45276.78125</v>
      </c>
      <c r="E1442" s="242">
        <v>2403573.6800000002</v>
      </c>
      <c r="F1442" s="242">
        <v>2384244.2400000002</v>
      </c>
      <c r="H1442" s="250">
        <f>SUM(J1442:L1442)</f>
        <v>49462.890615079348</v>
      </c>
      <c r="I1442" s="241">
        <f>+H1442/$H$1450</f>
        <v>0.77815577909174205</v>
      </c>
      <c r="J1442" s="242">
        <f>+D1442-D1431</f>
        <v>-6635.0893849206332</v>
      </c>
      <c r="K1442" s="849">
        <f>+E1442-E1431</f>
        <v>53562.689999999944</v>
      </c>
      <c r="L1442" s="242">
        <f>+F1442-F1431</f>
        <v>2535.2900000000373</v>
      </c>
    </row>
    <row r="1443" spans="1:12" ht="15.5">
      <c r="A1443" s="180" t="s">
        <v>8</v>
      </c>
      <c r="B1443" s="242">
        <f>SUM(D1443:F1443)</f>
        <v>0</v>
      </c>
      <c r="C1443" s="241">
        <f t="shared" ref="C1443:C1448" si="849">+B1443/$B$1450</f>
        <v>0</v>
      </c>
      <c r="D1443" s="242">
        <v>0</v>
      </c>
      <c r="F1443" s="242"/>
      <c r="G1443" s="32"/>
      <c r="H1443" s="250">
        <f t="shared" ref="H1443:H1448" si="850">SUM(J1443:L1443)</f>
        <v>0</v>
      </c>
      <c r="I1443" s="241">
        <f t="shared" ref="I1443:I1449" si="851">+H1443/$H$1450</f>
        <v>0</v>
      </c>
      <c r="J1443" s="242">
        <f t="shared" ref="J1443" si="852">+D1443-D1432</f>
        <v>0</v>
      </c>
      <c r="K1443" s="849">
        <f t="shared" ref="K1443:K1448" si="853">+E1443-E1432</f>
        <v>0</v>
      </c>
      <c r="L1443" s="242">
        <f>+F1443-F1432</f>
        <v>0</v>
      </c>
    </row>
    <row r="1444" spans="1:12" ht="15.5">
      <c r="A1444" s="180" t="s">
        <v>9</v>
      </c>
      <c r="B1444" s="242">
        <f t="shared" ref="B1444:B1448" si="854">SUM(D1444:F1444)</f>
        <v>392720.49828835618</v>
      </c>
      <c r="C1444" s="241">
        <f t="shared" si="849"/>
        <v>4.9238315076751894E-2</v>
      </c>
      <c r="D1444" s="242">
        <v>392720.49828835618</v>
      </c>
      <c r="E1444" s="242"/>
      <c r="F1444" s="242"/>
      <c r="G1444" s="32"/>
      <c r="H1444" s="250">
        <f t="shared" si="850"/>
        <v>14338.713317710324</v>
      </c>
      <c r="I1444" s="241">
        <f t="shared" si="851"/>
        <v>0.22557825663173922</v>
      </c>
      <c r="J1444" s="242">
        <f>+D1444-D1433</f>
        <v>14338.713317710324</v>
      </c>
      <c r="K1444" s="849">
        <f t="shared" si="853"/>
        <v>0</v>
      </c>
      <c r="L1444" s="242">
        <f t="shared" ref="L1444:L1448" si="855">+F1444-F1433</f>
        <v>0</v>
      </c>
    </row>
    <row r="1445" spans="1:12" ht="15.5">
      <c r="A1445" s="180" t="s">
        <v>162</v>
      </c>
      <c r="B1445" s="242">
        <f t="shared" si="854"/>
        <v>0</v>
      </c>
      <c r="C1445" s="241">
        <f t="shared" si="849"/>
        <v>0</v>
      </c>
      <c r="D1445" s="242">
        <v>0</v>
      </c>
      <c r="E1445" s="242"/>
      <c r="F1445" s="242"/>
      <c r="G1445" s="32"/>
      <c r="H1445" s="250">
        <f t="shared" si="850"/>
        <v>0</v>
      </c>
      <c r="I1445" s="241">
        <f t="shared" si="851"/>
        <v>0</v>
      </c>
      <c r="J1445" s="242">
        <f t="shared" ref="J1445:J1448" si="856">+D1445-D1434</f>
        <v>0</v>
      </c>
      <c r="K1445" s="849">
        <f t="shared" si="853"/>
        <v>0</v>
      </c>
      <c r="L1445" s="242">
        <f t="shared" si="855"/>
        <v>0</v>
      </c>
    </row>
    <row r="1446" spans="1:12" ht="15.5">
      <c r="A1446" s="180" t="s">
        <v>11</v>
      </c>
      <c r="B1446" s="242">
        <f t="shared" si="854"/>
        <v>0</v>
      </c>
      <c r="C1446" s="241">
        <f t="shared" si="849"/>
        <v>0</v>
      </c>
      <c r="D1446" s="242">
        <v>0</v>
      </c>
      <c r="E1446" s="242"/>
      <c r="F1446" s="242"/>
      <c r="G1446" s="32"/>
      <c r="H1446" s="250">
        <f t="shared" si="850"/>
        <v>0</v>
      </c>
      <c r="I1446" s="241">
        <f t="shared" si="851"/>
        <v>0</v>
      </c>
      <c r="J1446" s="242">
        <f t="shared" si="856"/>
        <v>0</v>
      </c>
      <c r="K1446" s="849">
        <f t="shared" si="853"/>
        <v>0</v>
      </c>
      <c r="L1446" s="242">
        <f t="shared" si="855"/>
        <v>0</v>
      </c>
    </row>
    <row r="1447" spans="1:12" ht="15.5">
      <c r="A1447" s="180" t="s">
        <v>12</v>
      </c>
      <c r="B1447" s="242">
        <f t="shared" si="854"/>
        <v>14953.125</v>
      </c>
      <c r="C1447" s="241">
        <f t="shared" si="849"/>
        <v>1.8747854602472259E-3</v>
      </c>
      <c r="D1447" s="242">
        <v>14953.125</v>
      </c>
      <c r="E1447" s="242"/>
      <c r="F1447" s="242"/>
      <c r="G1447" s="32"/>
      <c r="H1447" s="250">
        <f t="shared" si="850"/>
        <v>-237.35119047619082</v>
      </c>
      <c r="I1447" s="241">
        <f t="shared" si="851"/>
        <v>-3.7340357234812698E-3</v>
      </c>
      <c r="J1447" s="242">
        <f t="shared" si="856"/>
        <v>-237.35119047619082</v>
      </c>
      <c r="K1447" s="849">
        <f t="shared" si="853"/>
        <v>0</v>
      </c>
      <c r="L1447" s="242">
        <f t="shared" si="855"/>
        <v>0</v>
      </c>
    </row>
    <row r="1448" spans="1:12" ht="15.5">
      <c r="A1448" s="180" t="s">
        <v>13</v>
      </c>
      <c r="B1448" s="242">
        <f t="shared" si="854"/>
        <v>2735144.2889657775</v>
      </c>
      <c r="C1448" s="241">
        <f t="shared" si="849"/>
        <v>0.3429255586796256</v>
      </c>
      <c r="D1448" s="242">
        <v>2735144.2889657775</v>
      </c>
      <c r="E1448" s="242">
        <v>0</v>
      </c>
      <c r="F1448" s="242">
        <v>0</v>
      </c>
      <c r="G1448" s="32"/>
      <c r="H1448" s="250">
        <f t="shared" si="850"/>
        <v>0</v>
      </c>
      <c r="I1448" s="241">
        <f t="shared" si="851"/>
        <v>0</v>
      </c>
      <c r="J1448" s="242">
        <f t="shared" si="856"/>
        <v>0</v>
      </c>
      <c r="K1448" s="849">
        <f t="shared" si="853"/>
        <v>0</v>
      </c>
      <c r="L1448" s="242">
        <f t="shared" si="855"/>
        <v>0</v>
      </c>
    </row>
    <row r="1449" spans="1:12" ht="15.5">
      <c r="A1449" s="180"/>
      <c r="B1449" s="242">
        <f>SUM(D1449:E1449)</f>
        <v>0</v>
      </c>
      <c r="C1449" s="241">
        <f t="shared" ref="C1449" si="857">+B1449/$B$12</f>
        <v>0</v>
      </c>
      <c r="D1449" s="242"/>
      <c r="E1449" s="242"/>
      <c r="F1449" s="242"/>
      <c r="G1449" s="32"/>
      <c r="H1449" s="250"/>
      <c r="I1449" s="241">
        <f t="shared" si="851"/>
        <v>0</v>
      </c>
      <c r="J1449" s="242"/>
      <c r="K1449" s="242"/>
      <c r="L1449" s="242"/>
    </row>
    <row r="1450" spans="1:12" ht="15.5">
      <c r="A1450" s="180"/>
      <c r="B1450" s="243">
        <f>SUM(B1442:B1449)</f>
        <v>7975912.6135041332</v>
      </c>
      <c r="C1450" s="240">
        <f>SUM(C1442:C1449)</f>
        <v>1</v>
      </c>
      <c r="D1450" s="243">
        <f>SUM(D1442:D1449)</f>
        <v>3188094.6935041337</v>
      </c>
      <c r="E1450" s="243">
        <f>SUM(E1442:E1448)</f>
        <v>2403573.6800000002</v>
      </c>
      <c r="F1450" s="243">
        <f>SUM(F1442:F1448)</f>
        <v>2384244.2400000002</v>
      </c>
      <c r="G1450" s="32">
        <f>+B1450-B1439</f>
        <v>63564.25274231378</v>
      </c>
      <c r="H1450" s="243">
        <f>SUM(H1442:H1449)</f>
        <v>63564.252742313482</v>
      </c>
      <c r="I1450" s="240">
        <f>SUM(I1442:I1449)</f>
        <v>0.99999999999999989</v>
      </c>
      <c r="J1450" s="243">
        <f>SUM(J1442:J1449)</f>
        <v>7466.2727423135002</v>
      </c>
      <c r="K1450" s="243">
        <f>SUM(K1442:K1449)</f>
        <v>53562.689999999944</v>
      </c>
      <c r="L1450" s="243">
        <f>SUM(L1442:L1449)</f>
        <v>2535.2900000000373</v>
      </c>
    </row>
    <row r="1451" spans="1:12" ht="13" thickBot="1"/>
    <row r="1452" spans="1:12" ht="16" thickBot="1">
      <c r="A1452" s="253">
        <v>43889</v>
      </c>
      <c r="B1452" s="251">
        <v>64</v>
      </c>
      <c r="C1452" s="238" t="s">
        <v>3</v>
      </c>
      <c r="D1452" s="238" t="s">
        <v>4</v>
      </c>
      <c r="E1452" s="238" t="s">
        <v>5</v>
      </c>
      <c r="F1452" s="238" t="s">
        <v>6</v>
      </c>
      <c r="G1452" s="32"/>
      <c r="H1452" s="251">
        <f>+B1452-B1441</f>
        <v>1</v>
      </c>
      <c r="I1452" s="238" t="s">
        <v>3</v>
      </c>
      <c r="J1452" s="238" t="s">
        <v>4</v>
      </c>
      <c r="K1452" s="238" t="s">
        <v>5</v>
      </c>
      <c r="L1452" s="238" t="s">
        <v>114</v>
      </c>
    </row>
    <row r="1453" spans="1:12" ht="15.5">
      <c r="A1453" s="180" t="s">
        <v>7</v>
      </c>
      <c r="B1453" s="250">
        <f>SUM(D1453:F1453)</f>
        <v>4566772.2531249998</v>
      </c>
      <c r="C1453" s="241">
        <f>+B1453/$B$1461</f>
        <v>0.59234954844067522</v>
      </c>
      <c r="D1453" s="242">
        <v>50488.453125</v>
      </c>
      <c r="E1453" s="242">
        <v>2298292.15</v>
      </c>
      <c r="F1453" s="242">
        <v>2217991.65</v>
      </c>
      <c r="H1453" s="250">
        <f>SUM(J1453:L1453)</f>
        <v>-266322.44812500058</v>
      </c>
      <c r="I1453" s="241">
        <f>+H1453/$H$1461</f>
        <v>1</v>
      </c>
      <c r="J1453" s="242">
        <f>+D1453-D1442</f>
        <v>5211.671875</v>
      </c>
      <c r="K1453" s="849">
        <f>+E1453-E1442</f>
        <v>-105281.53000000026</v>
      </c>
      <c r="L1453" s="242">
        <f>+F1453-F1442</f>
        <v>-166252.59000000032</v>
      </c>
    </row>
    <row r="1454" spans="1:12" ht="15.5">
      <c r="A1454" s="180" t="s">
        <v>8</v>
      </c>
      <c r="B1454" s="242">
        <f>SUM(D1454:F1454)</f>
        <v>0</v>
      </c>
      <c r="C1454" s="241">
        <f t="shared" ref="C1454:C1459" si="858">+B1454/$B$1461</f>
        <v>0</v>
      </c>
      <c r="D1454" s="242">
        <v>0</v>
      </c>
      <c r="F1454" s="242"/>
      <c r="G1454" s="32"/>
      <c r="H1454" s="250">
        <f t="shared" ref="H1454:H1459" si="859">SUM(J1454:L1454)</f>
        <v>0</v>
      </c>
      <c r="I1454" s="241">
        <f t="shared" ref="I1454:I1459" si="860">+H1454/$H$1461</f>
        <v>0</v>
      </c>
      <c r="J1454" s="242">
        <f t="shared" ref="J1454" si="861">+D1454-D1443</f>
        <v>0</v>
      </c>
      <c r="K1454" s="849">
        <f t="shared" ref="K1454:K1459" si="862">+E1454-E1443</f>
        <v>0</v>
      </c>
      <c r="L1454" s="242">
        <f>+F1454-F1443</f>
        <v>0</v>
      </c>
    </row>
    <row r="1455" spans="1:12" ht="15.5">
      <c r="A1455" s="180" t="s">
        <v>9</v>
      </c>
      <c r="B1455" s="242">
        <f t="shared" ref="B1455:B1459" si="863">SUM(D1455:F1455)</f>
        <v>392720.49828835618</v>
      </c>
      <c r="C1455" s="241">
        <f t="shared" si="858"/>
        <v>5.0939218540035511E-2</v>
      </c>
      <c r="D1455" s="242">
        <v>392720.49828835618</v>
      </c>
      <c r="E1455" s="242"/>
      <c r="F1455" s="242"/>
      <c r="G1455" s="32"/>
      <c r="H1455" s="250">
        <f t="shared" si="859"/>
        <v>0</v>
      </c>
      <c r="I1455" s="241">
        <f t="shared" si="860"/>
        <v>0</v>
      </c>
      <c r="J1455" s="242">
        <f>+D1455-D1444</f>
        <v>0</v>
      </c>
      <c r="K1455" s="849">
        <f t="shared" si="862"/>
        <v>0</v>
      </c>
      <c r="L1455" s="242">
        <f t="shared" ref="L1455:L1459" si="864">+F1455-F1444</f>
        <v>0</v>
      </c>
    </row>
    <row r="1456" spans="1:12" ht="15.5">
      <c r="A1456" s="180" t="s">
        <v>162</v>
      </c>
      <c r="B1456" s="242">
        <f t="shared" si="863"/>
        <v>0</v>
      </c>
      <c r="C1456" s="241">
        <f t="shared" si="858"/>
        <v>0</v>
      </c>
      <c r="D1456" s="242">
        <v>0</v>
      </c>
      <c r="E1456" s="242"/>
      <c r="F1456" s="242"/>
      <c r="G1456" s="32"/>
      <c r="H1456" s="250">
        <f t="shared" si="859"/>
        <v>0</v>
      </c>
      <c r="I1456" s="241">
        <f t="shared" si="860"/>
        <v>0</v>
      </c>
      <c r="J1456" s="242">
        <f t="shared" ref="J1456:J1459" si="865">+D1456-D1445</f>
        <v>0</v>
      </c>
      <c r="K1456" s="849">
        <f t="shared" si="862"/>
        <v>0</v>
      </c>
      <c r="L1456" s="242">
        <f t="shared" si="864"/>
        <v>0</v>
      </c>
    </row>
    <row r="1457" spans="1:12" ht="15.5">
      <c r="A1457" s="180" t="s">
        <v>11</v>
      </c>
      <c r="B1457" s="242">
        <f t="shared" si="863"/>
        <v>0</v>
      </c>
      <c r="C1457" s="241">
        <f t="shared" si="858"/>
        <v>0</v>
      </c>
      <c r="D1457" s="242">
        <v>0</v>
      </c>
      <c r="E1457" s="242"/>
      <c r="F1457" s="242"/>
      <c r="G1457" s="32"/>
      <c r="H1457" s="250">
        <f t="shared" si="859"/>
        <v>0</v>
      </c>
      <c r="I1457" s="241">
        <f t="shared" si="860"/>
        <v>0</v>
      </c>
      <c r="J1457" s="242">
        <f t="shared" si="865"/>
        <v>0</v>
      </c>
      <c r="K1457" s="849">
        <f t="shared" si="862"/>
        <v>0</v>
      </c>
      <c r="L1457" s="242">
        <f t="shared" si="864"/>
        <v>0</v>
      </c>
    </row>
    <row r="1458" spans="1:12" ht="15.5">
      <c r="A1458" s="180" t="s">
        <v>12</v>
      </c>
      <c r="B1458" s="242">
        <f t="shared" si="863"/>
        <v>14953.125</v>
      </c>
      <c r="C1458" s="241">
        <f t="shared" si="858"/>
        <v>1.9395486244066324E-3</v>
      </c>
      <c r="D1458" s="242">
        <v>14953.125</v>
      </c>
      <c r="E1458" s="242"/>
      <c r="F1458" s="242"/>
      <c r="G1458" s="32"/>
      <c r="H1458" s="250">
        <f t="shared" si="859"/>
        <v>0</v>
      </c>
      <c r="I1458" s="241">
        <f t="shared" si="860"/>
        <v>0</v>
      </c>
      <c r="J1458" s="242">
        <f t="shared" si="865"/>
        <v>0</v>
      </c>
      <c r="K1458" s="849">
        <f t="shared" si="862"/>
        <v>0</v>
      </c>
      <c r="L1458" s="242">
        <f t="shared" si="864"/>
        <v>0</v>
      </c>
    </row>
    <row r="1459" spans="1:12" ht="15.5">
      <c r="A1459" s="180" t="s">
        <v>13</v>
      </c>
      <c r="B1459" s="242">
        <f t="shared" si="863"/>
        <v>2735144.2889657775</v>
      </c>
      <c r="C1459" s="241">
        <f t="shared" si="858"/>
        <v>0.35477168439488271</v>
      </c>
      <c r="D1459" s="242">
        <v>2735144.2889657775</v>
      </c>
      <c r="E1459" s="242">
        <v>0</v>
      </c>
      <c r="F1459" s="242">
        <v>0</v>
      </c>
      <c r="G1459" s="32"/>
      <c r="H1459" s="250">
        <f t="shared" si="859"/>
        <v>0</v>
      </c>
      <c r="I1459" s="241">
        <f t="shared" si="860"/>
        <v>0</v>
      </c>
      <c r="J1459" s="242">
        <f t="shared" si="865"/>
        <v>0</v>
      </c>
      <c r="K1459" s="849">
        <f t="shared" si="862"/>
        <v>0</v>
      </c>
      <c r="L1459" s="242">
        <f t="shared" si="864"/>
        <v>0</v>
      </c>
    </row>
    <row r="1460" spans="1:12" ht="15.5">
      <c r="A1460" s="180"/>
      <c r="B1460" s="242">
        <f>SUM(D1460:E1460)</f>
        <v>0</v>
      </c>
      <c r="C1460" s="241">
        <f t="shared" ref="C1460" si="866">+B1460/$B$12</f>
        <v>0</v>
      </c>
      <c r="D1460" s="242"/>
      <c r="E1460" s="242"/>
      <c r="F1460" s="242"/>
      <c r="G1460" s="32"/>
      <c r="H1460" s="250"/>
      <c r="I1460" s="241">
        <f t="shared" ref="I1460" si="867">+H1460/$H$1450</f>
        <v>0</v>
      </c>
      <c r="J1460" s="242"/>
      <c r="K1460" s="242"/>
      <c r="L1460" s="242"/>
    </row>
    <row r="1461" spans="1:12" ht="15.5">
      <c r="A1461" s="180"/>
      <c r="B1461" s="243">
        <f>SUM(B1453:B1460)</f>
        <v>7709590.1653791331</v>
      </c>
      <c r="C1461" s="240">
        <f>SUM(C1453:C1460)</f>
        <v>1</v>
      </c>
      <c r="D1461" s="243">
        <f>SUM(D1453:D1460)</f>
        <v>3193306.3653791337</v>
      </c>
      <c r="E1461" s="243">
        <f>SUM(E1453:E1459)</f>
        <v>2298292.15</v>
      </c>
      <c r="F1461" s="243">
        <f>SUM(F1453:F1459)</f>
        <v>2217991.65</v>
      </c>
      <c r="G1461" s="32">
        <f>+B1461-B1450</f>
        <v>-266322.44812500011</v>
      </c>
      <c r="H1461" s="243">
        <f>SUM(H1453:H1460)</f>
        <v>-266322.44812500058</v>
      </c>
      <c r="I1461" s="240">
        <f>SUM(I1453:I1460)</f>
        <v>1</v>
      </c>
      <c r="J1461" s="243">
        <f>SUM(J1453:J1460)</f>
        <v>5211.671875</v>
      </c>
      <c r="K1461" s="243">
        <f>SUM(K1453:K1460)</f>
        <v>-105281.53000000026</v>
      </c>
      <c r="L1461" s="243">
        <f>SUM(L1453:L1460)</f>
        <v>-166252.59000000032</v>
      </c>
    </row>
    <row r="1462" spans="1:12" ht="16" thickBot="1">
      <c r="A1462" s="417" t="s">
        <v>174</v>
      </c>
    </row>
    <row r="1463" spans="1:12" ht="16" thickBot="1">
      <c r="A1463" s="253">
        <v>43918</v>
      </c>
      <c r="B1463" s="251">
        <v>65</v>
      </c>
      <c r="C1463" s="238" t="s">
        <v>3</v>
      </c>
      <c r="D1463" s="238" t="s">
        <v>4</v>
      </c>
      <c r="E1463" s="238" t="s">
        <v>5</v>
      </c>
      <c r="F1463" s="238" t="s">
        <v>6</v>
      </c>
      <c r="G1463" s="32"/>
      <c r="H1463" s="251">
        <f>+B1463-B1452</f>
        <v>1</v>
      </c>
      <c r="I1463" s="238" t="s">
        <v>3</v>
      </c>
      <c r="J1463" s="238" t="s">
        <v>4</v>
      </c>
      <c r="K1463" s="238" t="s">
        <v>5</v>
      </c>
      <c r="L1463" s="238" t="s">
        <v>114</v>
      </c>
    </row>
    <row r="1464" spans="1:12" ht="15.5">
      <c r="A1464" s="180" t="s">
        <v>7</v>
      </c>
      <c r="B1464" s="250">
        <f>SUM(D1464:F1464)</f>
        <v>3507885.9553846153</v>
      </c>
      <c r="C1464" s="241">
        <f>+B1464/$B$1472</f>
        <v>0.51596971912402545</v>
      </c>
      <c r="D1464" s="242">
        <v>44580.215384615381</v>
      </c>
      <c r="E1464" s="242">
        <v>1485252.64</v>
      </c>
      <c r="F1464" s="242">
        <v>1978053.1</v>
      </c>
      <c r="H1464" s="250">
        <f>SUM(J1464:L1464)</f>
        <v>-1058886.2977403845</v>
      </c>
      <c r="I1464" s="241">
        <f>+H1464/$H$1472</f>
        <v>1.1623817463488213</v>
      </c>
      <c r="J1464" s="242">
        <f>+D1464-D1453</f>
        <v>-5908.2377403846185</v>
      </c>
      <c r="K1464" s="849">
        <f>+E1464-E1453</f>
        <v>-813039.51</v>
      </c>
      <c r="L1464" s="242">
        <f>+F1464-F1453</f>
        <v>-239938.54999999981</v>
      </c>
    </row>
    <row r="1465" spans="1:12" ht="15.5">
      <c r="A1465" s="180" t="s">
        <v>8</v>
      </c>
      <c r="B1465" s="242">
        <f>SUM(D1465:F1465)</f>
        <v>0</v>
      </c>
      <c r="C1465" s="241">
        <f t="shared" ref="C1465:C1470" si="868">+B1465/$B$1472</f>
        <v>0</v>
      </c>
      <c r="D1465" s="242">
        <v>0</v>
      </c>
      <c r="F1465" s="242"/>
      <c r="G1465" s="32"/>
      <c r="H1465" s="250">
        <f t="shared" ref="H1465:H1470" si="869">SUM(J1465:L1465)</f>
        <v>0</v>
      </c>
      <c r="I1465" s="241">
        <f t="shared" ref="I1465:I1470" si="870">+H1465/$H$1472</f>
        <v>0</v>
      </c>
      <c r="J1465" s="242">
        <f t="shared" ref="J1465" si="871">+D1465-D1454</f>
        <v>0</v>
      </c>
      <c r="K1465" s="849">
        <f t="shared" ref="K1465:K1470" si="872">+E1465-E1454</f>
        <v>0</v>
      </c>
      <c r="L1465" s="242">
        <f>+F1465-F1454</f>
        <v>0</v>
      </c>
    </row>
    <row r="1466" spans="1:12" ht="15.5">
      <c r="A1466" s="180" t="s">
        <v>9</v>
      </c>
      <c r="B1466" s="242">
        <f t="shared" ref="B1466:B1470" si="873">SUM(D1466:F1466)</f>
        <v>540874.2441969231</v>
      </c>
      <c r="C1466" s="241">
        <f t="shared" si="868"/>
        <v>7.9556386783705274E-2</v>
      </c>
      <c r="D1466" s="242">
        <v>540874.2441969231</v>
      </c>
      <c r="E1466" s="242"/>
      <c r="F1466" s="242"/>
      <c r="G1466" s="32"/>
      <c r="H1466" s="250">
        <f t="shared" si="869"/>
        <v>148153.74590856693</v>
      </c>
      <c r="I1466" s="241">
        <f t="shared" si="870"/>
        <v>-0.162634279303463</v>
      </c>
      <c r="J1466" s="242">
        <f>+D1466-D1455</f>
        <v>148153.74590856693</v>
      </c>
      <c r="K1466" s="849">
        <f t="shared" si="872"/>
        <v>0</v>
      </c>
      <c r="L1466" s="242">
        <f t="shared" ref="L1466:L1470" si="874">+F1466-F1455</f>
        <v>0</v>
      </c>
    </row>
    <row r="1467" spans="1:12" ht="15.5">
      <c r="A1467" s="180" t="s">
        <v>162</v>
      </c>
      <c r="B1467" s="242">
        <f t="shared" si="873"/>
        <v>0</v>
      </c>
      <c r="C1467" s="241">
        <f t="shared" si="868"/>
        <v>0</v>
      </c>
      <c r="D1467" s="242">
        <v>0</v>
      </c>
      <c r="E1467" s="242"/>
      <c r="F1467" s="242"/>
      <c r="G1467" s="32"/>
      <c r="H1467" s="250">
        <f t="shared" si="869"/>
        <v>0</v>
      </c>
      <c r="I1467" s="241">
        <f t="shared" si="870"/>
        <v>0</v>
      </c>
      <c r="J1467" s="242">
        <f t="shared" ref="J1467:J1470" si="875">+D1467-D1456</f>
        <v>0</v>
      </c>
      <c r="K1467" s="849">
        <f t="shared" si="872"/>
        <v>0</v>
      </c>
      <c r="L1467" s="242">
        <f t="shared" si="874"/>
        <v>0</v>
      </c>
    </row>
    <row r="1468" spans="1:12" ht="15.5">
      <c r="A1468" s="180" t="s">
        <v>11</v>
      </c>
      <c r="B1468" s="242">
        <f t="shared" si="873"/>
        <v>0</v>
      </c>
      <c r="C1468" s="241">
        <f t="shared" si="868"/>
        <v>0</v>
      </c>
      <c r="D1468" s="242">
        <v>0</v>
      </c>
      <c r="E1468" s="242"/>
      <c r="F1468" s="242"/>
      <c r="G1468" s="32"/>
      <c r="H1468" s="250">
        <f t="shared" si="869"/>
        <v>0</v>
      </c>
      <c r="I1468" s="241">
        <f t="shared" si="870"/>
        <v>0</v>
      </c>
      <c r="J1468" s="242">
        <f t="shared" si="875"/>
        <v>0</v>
      </c>
      <c r="K1468" s="849">
        <f t="shared" si="872"/>
        <v>0</v>
      </c>
      <c r="L1468" s="242">
        <f t="shared" si="874"/>
        <v>0</v>
      </c>
    </row>
    <row r="1469" spans="1:12" ht="15.5">
      <c r="A1469" s="180" t="s">
        <v>12</v>
      </c>
      <c r="B1469" s="242">
        <f t="shared" si="873"/>
        <v>14723.076923076924</v>
      </c>
      <c r="C1469" s="241">
        <f t="shared" si="868"/>
        <v>2.1655954501543936E-3</v>
      </c>
      <c r="D1469" s="242">
        <v>14723.076923076924</v>
      </c>
      <c r="E1469" s="242"/>
      <c r="F1469" s="242"/>
      <c r="G1469" s="32"/>
      <c r="H1469" s="250">
        <f t="shared" si="869"/>
        <v>-230.04807692307622</v>
      </c>
      <c r="I1469" s="241">
        <f t="shared" si="870"/>
        <v>2.5253295464174074E-4</v>
      </c>
      <c r="J1469" s="242">
        <f t="shared" si="875"/>
        <v>-230.04807692307622</v>
      </c>
      <c r="K1469" s="849">
        <f t="shared" si="872"/>
        <v>0</v>
      </c>
      <c r="L1469" s="242">
        <f t="shared" si="874"/>
        <v>0</v>
      </c>
    </row>
    <row r="1470" spans="1:12" ht="15.5">
      <c r="A1470" s="180" t="s">
        <v>13</v>
      </c>
      <c r="B1470" s="242">
        <f t="shared" si="873"/>
        <v>2735144.2889657775</v>
      </c>
      <c r="C1470" s="241">
        <f t="shared" si="868"/>
        <v>0.40230829864211493</v>
      </c>
      <c r="D1470" s="242">
        <v>2735144.2889657775</v>
      </c>
      <c r="E1470" s="242">
        <v>0</v>
      </c>
      <c r="F1470" s="242">
        <v>0</v>
      </c>
      <c r="G1470" s="32"/>
      <c r="H1470" s="250">
        <f t="shared" si="869"/>
        <v>0</v>
      </c>
      <c r="I1470" s="241">
        <f t="shared" si="870"/>
        <v>0</v>
      </c>
      <c r="J1470" s="242">
        <f t="shared" si="875"/>
        <v>0</v>
      </c>
      <c r="K1470" s="849">
        <f t="shared" si="872"/>
        <v>0</v>
      </c>
      <c r="L1470" s="242">
        <f t="shared" si="874"/>
        <v>0</v>
      </c>
    </row>
    <row r="1471" spans="1:12" ht="15.5">
      <c r="A1471" s="180"/>
      <c r="B1471" s="242">
        <f>SUM(D1471:E1471)</f>
        <v>0</v>
      </c>
      <c r="C1471" s="241">
        <f t="shared" ref="C1471" si="876">+B1471/$B$12</f>
        <v>0</v>
      </c>
      <c r="D1471" s="242"/>
      <c r="E1471" s="242"/>
      <c r="F1471" s="242"/>
      <c r="G1471" s="32"/>
      <c r="H1471" s="250"/>
      <c r="I1471" s="241">
        <f t="shared" ref="I1471" si="877">+H1471/$H$1450</f>
        <v>0</v>
      </c>
      <c r="J1471" s="242"/>
      <c r="K1471" s="242"/>
      <c r="L1471" s="242"/>
    </row>
    <row r="1472" spans="1:12" ht="15.5">
      <c r="A1472" s="180"/>
      <c r="B1472" s="243">
        <f>SUM(B1464:B1471)</f>
        <v>6798627.5654703928</v>
      </c>
      <c r="C1472" s="240">
        <f>SUM(C1464:C1471)</f>
        <v>1</v>
      </c>
      <c r="D1472" s="243">
        <f>SUM(D1464:D1471)</f>
        <v>3335321.8254703926</v>
      </c>
      <c r="E1472" s="243">
        <f>SUM(E1464:E1470)</f>
        <v>1485252.64</v>
      </c>
      <c r="F1472" s="243">
        <f>SUM(F1464:F1470)</f>
        <v>1978053.1</v>
      </c>
      <c r="G1472" s="32">
        <f>+B1472-B1461</f>
        <v>-910962.59990874026</v>
      </c>
      <c r="H1472" s="243">
        <f>SUM(H1464:H1471)</f>
        <v>-910962.59990874061</v>
      </c>
      <c r="I1472" s="240">
        <f>SUM(I1464:I1471)</f>
        <v>1</v>
      </c>
      <c r="J1472" s="243">
        <f>SUM(J1464:J1471)</f>
        <v>142015.46009125924</v>
      </c>
      <c r="K1472" s="243">
        <f>SUM(K1464:K1471)</f>
        <v>-813039.51</v>
      </c>
      <c r="L1472" s="243">
        <f>SUM(L1464:L1471)</f>
        <v>-239938.54999999981</v>
      </c>
    </row>
    <row r="1474" spans="1:12" ht="16" thickBot="1">
      <c r="A1474" s="253">
        <v>43949</v>
      </c>
      <c r="B1474" s="251">
        <v>69</v>
      </c>
      <c r="C1474" s="238" t="s">
        <v>3</v>
      </c>
      <c r="D1474" s="238" t="s">
        <v>4</v>
      </c>
      <c r="E1474" s="238" t="s">
        <v>5</v>
      </c>
      <c r="F1474" s="238" t="s">
        <v>6</v>
      </c>
      <c r="H1474" s="251">
        <f>+B1474-B1463</f>
        <v>4</v>
      </c>
      <c r="I1474" s="238" t="s">
        <v>3</v>
      </c>
      <c r="J1474" s="238" t="s">
        <v>4</v>
      </c>
      <c r="K1474" s="238" t="s">
        <v>5</v>
      </c>
      <c r="L1474" s="238" t="s">
        <v>114</v>
      </c>
    </row>
    <row r="1475" spans="1:12" ht="15.5">
      <c r="A1475" s="180" t="s">
        <v>7</v>
      </c>
      <c r="B1475" s="250">
        <f>SUM(D1475:F1475)</f>
        <v>3754281.4314492755</v>
      </c>
      <c r="C1475" s="241">
        <f>+B1475/$B$1483</f>
        <v>0.53305582440541799</v>
      </c>
      <c r="D1475" s="242">
        <v>40714.161449275365</v>
      </c>
      <c r="E1475" s="242">
        <v>1537318.33</v>
      </c>
      <c r="F1475" s="242">
        <v>2176248.94</v>
      </c>
      <c r="H1475" s="250">
        <f>SUM(J1475:L1475)</f>
        <v>246395.47606466</v>
      </c>
      <c r="I1475" s="241">
        <f>+H1475/$H$1483</f>
        <v>1.008516508273952</v>
      </c>
      <c r="J1475" s="242">
        <f>+D1475-D1464</f>
        <v>-3866.0539353400163</v>
      </c>
      <c r="K1475" s="849">
        <f>+E1475-E1464</f>
        <v>52065.690000000177</v>
      </c>
      <c r="L1475" s="242">
        <f>+F1475-F1464</f>
        <v>198195.83999999985</v>
      </c>
    </row>
    <row r="1476" spans="1:12" ht="15.5">
      <c r="A1476" s="180" t="s">
        <v>8</v>
      </c>
      <c r="B1476" s="242">
        <f>SUM(D1476:F1476)</f>
        <v>0</v>
      </c>
      <c r="C1476" s="241">
        <f t="shared" ref="C1476:C1481" si="878">+B1476/$B$1483</f>
        <v>0</v>
      </c>
      <c r="D1476" s="242">
        <v>0</v>
      </c>
      <c r="F1476" s="242"/>
      <c r="G1476" s="32"/>
      <c r="H1476" s="250">
        <f t="shared" ref="H1476:H1481" si="879">SUM(J1476:L1476)</f>
        <v>0</v>
      </c>
      <c r="I1476" s="241">
        <f t="shared" ref="I1476:I1481" si="880">+H1476/$H$1483</f>
        <v>0</v>
      </c>
      <c r="J1476" s="242">
        <f t="shared" ref="J1476" si="881">+D1476-D1465</f>
        <v>0</v>
      </c>
      <c r="K1476" s="849">
        <f t="shared" ref="K1476:K1481" si="882">+E1476-E1465</f>
        <v>0</v>
      </c>
      <c r="L1476" s="242">
        <f>+F1476-F1465</f>
        <v>0</v>
      </c>
    </row>
    <row r="1477" spans="1:12" ht="15.5">
      <c r="A1477" s="180" t="s">
        <v>9</v>
      </c>
      <c r="B1477" s="242">
        <f t="shared" ref="B1477:B1481" si="883">SUM(D1477:F1477)</f>
        <v>539647.04716521734</v>
      </c>
      <c r="C1477" s="241">
        <f t="shared" si="878"/>
        <v>7.6622386165535142E-2</v>
      </c>
      <c r="D1477" s="242">
        <v>539647.04716521734</v>
      </c>
      <c r="E1477" s="242"/>
      <c r="F1477" s="242"/>
      <c r="H1477" s="250">
        <f t="shared" si="879"/>
        <v>-1227.1970317057567</v>
      </c>
      <c r="I1477" s="241">
        <f t="shared" si="880"/>
        <v>-5.0230161898559373E-3</v>
      </c>
      <c r="J1477" s="242">
        <f>+D1477-D1466</f>
        <v>-1227.1970317057567</v>
      </c>
      <c r="K1477" s="849">
        <f t="shared" si="882"/>
        <v>0</v>
      </c>
      <c r="L1477" s="242">
        <f t="shared" ref="L1477:L1481" si="884">+F1477-F1466</f>
        <v>0</v>
      </c>
    </row>
    <row r="1478" spans="1:12" ht="15.5">
      <c r="A1478" s="180" t="s">
        <v>162</v>
      </c>
      <c r="B1478" s="242">
        <f t="shared" si="883"/>
        <v>0</v>
      </c>
      <c r="C1478" s="241">
        <f t="shared" si="878"/>
        <v>0</v>
      </c>
      <c r="D1478" s="242">
        <v>0</v>
      </c>
      <c r="E1478" s="242"/>
      <c r="F1478" s="242"/>
      <c r="H1478" s="250">
        <f t="shared" si="879"/>
        <v>0</v>
      </c>
      <c r="I1478" s="241">
        <f t="shared" si="880"/>
        <v>0</v>
      </c>
      <c r="J1478" s="242">
        <f t="shared" ref="J1478:J1481" si="885">+D1478-D1467</f>
        <v>0</v>
      </c>
      <c r="K1478" s="849">
        <f t="shared" si="882"/>
        <v>0</v>
      </c>
      <c r="L1478" s="242">
        <f t="shared" si="884"/>
        <v>0</v>
      </c>
    </row>
    <row r="1479" spans="1:12" ht="15.5">
      <c r="A1479" s="180" t="s">
        <v>11</v>
      </c>
      <c r="B1479" s="242">
        <f t="shared" si="883"/>
        <v>0</v>
      </c>
      <c r="C1479" s="241">
        <f t="shared" si="878"/>
        <v>0</v>
      </c>
      <c r="D1479" s="242">
        <v>0</v>
      </c>
      <c r="E1479" s="242"/>
      <c r="F1479" s="242"/>
      <c r="H1479" s="250">
        <f t="shared" si="879"/>
        <v>0</v>
      </c>
      <c r="I1479" s="241">
        <f t="shared" si="880"/>
        <v>0</v>
      </c>
      <c r="J1479" s="242">
        <f t="shared" si="885"/>
        <v>0</v>
      </c>
      <c r="K1479" s="849">
        <f t="shared" si="882"/>
        <v>0</v>
      </c>
      <c r="L1479" s="242">
        <f t="shared" si="884"/>
        <v>0</v>
      </c>
    </row>
    <row r="1480" spans="1:12" ht="15.5">
      <c r="A1480" s="180" t="s">
        <v>12</v>
      </c>
      <c r="B1480" s="242">
        <f t="shared" si="883"/>
        <v>13869.565217391304</v>
      </c>
      <c r="C1480" s="241">
        <f t="shared" si="878"/>
        <v>1.9692856425649464E-3</v>
      </c>
      <c r="D1480" s="242">
        <v>13869.565217391304</v>
      </c>
      <c r="E1480" s="242"/>
      <c r="F1480" s="242"/>
      <c r="H1480" s="250">
        <f t="shared" si="879"/>
        <v>-853.51170568561975</v>
      </c>
      <c r="I1480" s="241">
        <f t="shared" si="880"/>
        <v>-3.4934920840962074E-3</v>
      </c>
      <c r="J1480" s="242">
        <f t="shared" si="885"/>
        <v>-853.51170568561975</v>
      </c>
      <c r="K1480" s="849">
        <f t="shared" si="882"/>
        <v>0</v>
      </c>
      <c r="L1480" s="242">
        <f t="shared" si="884"/>
        <v>0</v>
      </c>
    </row>
    <row r="1481" spans="1:12" ht="15.5">
      <c r="A1481" s="180" t="s">
        <v>13</v>
      </c>
      <c r="B1481" s="242">
        <f t="shared" si="883"/>
        <v>2735144.2889657775</v>
      </c>
      <c r="C1481" s="241">
        <f t="shared" si="878"/>
        <v>0.3883525037864819</v>
      </c>
      <c r="D1481" s="242">
        <v>2735144.2889657775</v>
      </c>
      <c r="E1481" s="242">
        <v>0</v>
      </c>
      <c r="F1481" s="242">
        <v>0</v>
      </c>
      <c r="H1481" s="250">
        <f t="shared" si="879"/>
        <v>0</v>
      </c>
      <c r="I1481" s="241">
        <f t="shared" si="880"/>
        <v>0</v>
      </c>
      <c r="J1481" s="242">
        <f t="shared" si="885"/>
        <v>0</v>
      </c>
      <c r="K1481" s="849">
        <f t="shared" si="882"/>
        <v>0</v>
      </c>
      <c r="L1481" s="242">
        <f t="shared" si="884"/>
        <v>0</v>
      </c>
    </row>
    <row r="1482" spans="1:12" ht="15.5">
      <c r="A1482" s="180"/>
      <c r="B1482" s="242">
        <f>SUM(D1482:E1482)</f>
        <v>0</v>
      </c>
      <c r="C1482" s="241">
        <f t="shared" ref="C1482" si="886">+B1482/$B$12</f>
        <v>0</v>
      </c>
      <c r="D1482" s="242"/>
      <c r="E1482" s="242"/>
      <c r="F1482" s="242"/>
      <c r="H1482" s="250"/>
      <c r="I1482" s="241">
        <f t="shared" ref="I1482" si="887">+H1482/$H$1450</f>
        <v>0</v>
      </c>
      <c r="J1482" s="242"/>
      <c r="K1482" s="242"/>
      <c r="L1482" s="242"/>
    </row>
    <row r="1483" spans="1:12" ht="15.5">
      <c r="A1483" s="180"/>
      <c r="B1483" s="243">
        <f>SUM(B1475:B1482)</f>
        <v>7042942.3327976614</v>
      </c>
      <c r="C1483" s="240">
        <f>SUM(C1475:C1482)</f>
        <v>1</v>
      </c>
      <c r="D1483" s="243">
        <f>SUM(D1475:D1482)</f>
        <v>3329375.0627976614</v>
      </c>
      <c r="E1483" s="243">
        <f>SUM(E1475:E1481)</f>
        <v>1537318.33</v>
      </c>
      <c r="F1483" s="243">
        <f>SUM(F1475:F1481)</f>
        <v>2176248.94</v>
      </c>
      <c r="G1483" s="32">
        <f>+B1483-B1472</f>
        <v>244314.76732726861</v>
      </c>
      <c r="H1483" s="243">
        <f>SUM(H1475:H1482)</f>
        <v>244314.76732726864</v>
      </c>
      <c r="I1483" s="240">
        <f>SUM(I1475:I1482)</f>
        <v>0.99999999999999989</v>
      </c>
      <c r="J1483" s="243">
        <f>SUM(J1475:J1482)</f>
        <v>-5946.7626727313927</v>
      </c>
      <c r="K1483" s="243">
        <f>SUM(K1475:K1482)</f>
        <v>52065.690000000177</v>
      </c>
      <c r="L1483" s="243">
        <f>SUM(L1475:L1482)</f>
        <v>198195.83999999985</v>
      </c>
    </row>
    <row r="1484" spans="1:12" ht="13" thickBot="1"/>
    <row r="1485" spans="1:12" ht="16" thickBot="1">
      <c r="A1485" s="253">
        <v>43979</v>
      </c>
      <c r="B1485" s="251">
        <v>90</v>
      </c>
      <c r="C1485" s="238" t="s">
        <v>3</v>
      </c>
      <c r="D1485" s="238" t="s">
        <v>4</v>
      </c>
      <c r="E1485" s="238" t="s">
        <v>5</v>
      </c>
      <c r="F1485" s="238" t="s">
        <v>6</v>
      </c>
      <c r="H1485" s="251">
        <f>+B1485-B1474</f>
        <v>21</v>
      </c>
      <c r="I1485" s="238" t="s">
        <v>3</v>
      </c>
      <c r="J1485" s="238" t="s">
        <v>4</v>
      </c>
      <c r="K1485" s="238" t="s">
        <v>5</v>
      </c>
      <c r="L1485" s="238" t="s">
        <v>114</v>
      </c>
    </row>
    <row r="1486" spans="1:12" ht="15.5">
      <c r="A1486" s="180" t="s">
        <v>7</v>
      </c>
      <c r="B1486" s="250">
        <f>SUM(D1486:F1486)</f>
        <v>4127924.2199999997</v>
      </c>
      <c r="C1486" s="241">
        <f>+B1486/$B$1494</f>
        <v>0.55686743088291268</v>
      </c>
      <c r="D1486" s="242">
        <v>35084</v>
      </c>
      <c r="E1486" s="242">
        <v>1817977.84</v>
      </c>
      <c r="F1486" s="242">
        <v>2274862.38</v>
      </c>
      <c r="H1486" s="250">
        <f>SUM(J1486:L1486)</f>
        <v>373642.78855072457</v>
      </c>
      <c r="I1486" s="241">
        <f>+H1486/$H$1494</f>
        <v>1.0103452103339401</v>
      </c>
      <c r="J1486" s="242">
        <f>+D1486-D1475</f>
        <v>-5630.1614492753652</v>
      </c>
      <c r="K1486" s="849">
        <f>+E1486-E1475</f>
        <v>280659.51</v>
      </c>
      <c r="L1486" s="242">
        <f>+F1486-F1475</f>
        <v>98613.439999999944</v>
      </c>
    </row>
    <row r="1487" spans="1:12" ht="15.5">
      <c r="A1487" s="180" t="s">
        <v>8</v>
      </c>
      <c r="B1487" s="242">
        <f>SUM(D1487:F1487)</f>
        <v>0</v>
      </c>
      <c r="C1487" s="241">
        <f t="shared" ref="C1487:C1493" si="888">+B1487/$B$1494</f>
        <v>0</v>
      </c>
      <c r="D1487" s="242">
        <v>0</v>
      </c>
      <c r="F1487" s="242"/>
      <c r="G1487" s="32"/>
      <c r="H1487" s="250">
        <f t="shared" ref="H1487:H1492" si="889">SUM(J1487:L1487)</f>
        <v>0</v>
      </c>
      <c r="I1487" s="241">
        <f t="shared" ref="I1487:I1493" si="890">+H1487/$H$1494</f>
        <v>0</v>
      </c>
      <c r="J1487" s="242">
        <f t="shared" ref="J1487" si="891">+D1487-D1476</f>
        <v>0</v>
      </c>
      <c r="K1487" s="849">
        <f t="shared" ref="K1487:K1492" si="892">+E1487-E1476</f>
        <v>0</v>
      </c>
      <c r="L1487" s="242">
        <f>+F1487-F1476</f>
        <v>0</v>
      </c>
    </row>
    <row r="1488" spans="1:12" ht="15.5">
      <c r="A1488" s="180" t="s">
        <v>9</v>
      </c>
      <c r="B1488" s="242">
        <f t="shared" ref="B1488:B1492" si="893">SUM(D1488:F1488)</f>
        <v>539057.44487123284</v>
      </c>
      <c r="C1488" s="241">
        <f t="shared" si="888"/>
        <v>7.2720214428682206E-2</v>
      </c>
      <c r="D1488" s="242">
        <v>539057.44487123284</v>
      </c>
      <c r="E1488" s="242"/>
      <c r="F1488" s="242"/>
      <c r="H1488" s="250">
        <f t="shared" si="889"/>
        <v>-589.60229398449883</v>
      </c>
      <c r="I1488" s="241">
        <f t="shared" si="890"/>
        <v>-1.5943084464167877E-3</v>
      </c>
      <c r="J1488" s="242">
        <f>+D1488-D1477</f>
        <v>-589.60229398449883</v>
      </c>
      <c r="K1488" s="849">
        <f t="shared" si="892"/>
        <v>0</v>
      </c>
      <c r="L1488" s="242">
        <f t="shared" ref="L1488:L1492" si="894">+F1488-F1477</f>
        <v>0</v>
      </c>
    </row>
    <row r="1489" spans="1:12" ht="15.5">
      <c r="A1489" s="180" t="s">
        <v>162</v>
      </c>
      <c r="B1489" s="242">
        <f t="shared" si="893"/>
        <v>0</v>
      </c>
      <c r="C1489" s="241">
        <f t="shared" si="888"/>
        <v>0</v>
      </c>
      <c r="D1489" s="242">
        <v>0</v>
      </c>
      <c r="E1489" s="242"/>
      <c r="F1489" s="242"/>
      <c r="H1489" s="250">
        <f t="shared" si="889"/>
        <v>0</v>
      </c>
      <c r="I1489" s="241">
        <f t="shared" si="890"/>
        <v>0</v>
      </c>
      <c r="J1489" s="242">
        <f t="shared" ref="J1489:J1492" si="895">+D1489-D1478</f>
        <v>0</v>
      </c>
      <c r="K1489" s="849">
        <f t="shared" si="892"/>
        <v>0</v>
      </c>
      <c r="L1489" s="242">
        <f t="shared" si="894"/>
        <v>0</v>
      </c>
    </row>
    <row r="1490" spans="1:12" ht="15.5">
      <c r="A1490" s="180" t="s">
        <v>11</v>
      </c>
      <c r="B1490" s="242">
        <f t="shared" si="893"/>
        <v>0</v>
      </c>
      <c r="C1490" s="241">
        <f t="shared" si="888"/>
        <v>0</v>
      </c>
      <c r="D1490" s="242">
        <v>0</v>
      </c>
      <c r="E1490" s="242"/>
      <c r="F1490" s="242"/>
      <c r="H1490" s="250">
        <f t="shared" si="889"/>
        <v>0</v>
      </c>
      <c r="I1490" s="241">
        <f t="shared" si="890"/>
        <v>0</v>
      </c>
      <c r="J1490" s="242">
        <f t="shared" si="895"/>
        <v>0</v>
      </c>
      <c r="K1490" s="849">
        <f t="shared" si="892"/>
        <v>0</v>
      </c>
      <c r="L1490" s="242">
        <f t="shared" si="894"/>
        <v>0</v>
      </c>
    </row>
    <row r="1491" spans="1:12" ht="15.5">
      <c r="A1491" s="180" t="s">
        <v>12</v>
      </c>
      <c r="B1491" s="242">
        <f t="shared" si="893"/>
        <v>10633.333333333334</v>
      </c>
      <c r="C1491" s="241">
        <f t="shared" si="888"/>
        <v>1.4344635946478136E-3</v>
      </c>
      <c r="D1491" s="242">
        <v>10633.333333333334</v>
      </c>
      <c r="E1491" s="242"/>
      <c r="F1491" s="242"/>
      <c r="H1491" s="250">
        <f t="shared" si="889"/>
        <v>-3236.2318840579701</v>
      </c>
      <c r="I1491" s="241">
        <f t="shared" si="890"/>
        <v>-8.750901887523161E-3</v>
      </c>
      <c r="J1491" s="242">
        <f t="shared" si="895"/>
        <v>-3236.2318840579701</v>
      </c>
      <c r="K1491" s="849">
        <f t="shared" si="892"/>
        <v>0</v>
      </c>
      <c r="L1491" s="242">
        <f t="shared" si="894"/>
        <v>0</v>
      </c>
    </row>
    <row r="1492" spans="1:12" ht="15.5">
      <c r="A1492" s="180" t="s">
        <v>13</v>
      </c>
      <c r="B1492" s="242">
        <f t="shared" si="893"/>
        <v>2735144.2889657775</v>
      </c>
      <c r="C1492" s="241">
        <f t="shared" si="888"/>
        <v>0.36897789109375739</v>
      </c>
      <c r="D1492" s="242">
        <v>2735144.2889657775</v>
      </c>
      <c r="E1492" s="242">
        <v>0</v>
      </c>
      <c r="F1492" s="242">
        <v>0</v>
      </c>
      <c r="H1492" s="250">
        <f t="shared" si="889"/>
        <v>0</v>
      </c>
      <c r="I1492" s="241">
        <f t="shared" si="890"/>
        <v>0</v>
      </c>
      <c r="J1492" s="242">
        <f t="shared" si="895"/>
        <v>0</v>
      </c>
      <c r="K1492" s="849">
        <f t="shared" si="892"/>
        <v>0</v>
      </c>
      <c r="L1492" s="242">
        <f t="shared" si="894"/>
        <v>0</v>
      </c>
    </row>
    <row r="1493" spans="1:12" ht="15.5">
      <c r="A1493" s="180"/>
      <c r="B1493" s="242">
        <f>SUM(D1493:E1493)</f>
        <v>0</v>
      </c>
      <c r="C1493" s="241">
        <f t="shared" si="888"/>
        <v>0</v>
      </c>
      <c r="D1493" s="242"/>
      <c r="E1493" s="242"/>
      <c r="F1493" s="242"/>
      <c r="H1493" s="250"/>
      <c r="I1493" s="241">
        <f t="shared" si="890"/>
        <v>0</v>
      </c>
      <c r="J1493" s="242"/>
      <c r="K1493" s="242"/>
      <c r="L1493" s="242"/>
    </row>
    <row r="1494" spans="1:12" ht="15.5">
      <c r="A1494" s="180"/>
      <c r="B1494" s="243">
        <f>SUM(B1486:B1493)</f>
        <v>7412759.2871703431</v>
      </c>
      <c r="C1494" s="240">
        <f>SUM(C1486:C1493)</f>
        <v>1.0000000000000002</v>
      </c>
      <c r="D1494" s="243">
        <f>SUM(D1486:D1493)</f>
        <v>3319919.0671703438</v>
      </c>
      <c r="E1494" s="243">
        <f>SUM(E1486:E1492)</f>
        <v>1817977.84</v>
      </c>
      <c r="F1494" s="243">
        <f>SUM(F1486:F1492)</f>
        <v>2274862.38</v>
      </c>
      <c r="G1494" s="32">
        <f>+B1494-B1483</f>
        <v>369816.95437268168</v>
      </c>
      <c r="H1494" s="243">
        <f>SUM(H1486:H1493)</f>
        <v>369816.95437268208</v>
      </c>
      <c r="I1494" s="240">
        <f>SUM(I1486:I1493)</f>
        <v>1.0000000000000002</v>
      </c>
      <c r="J1494" s="243">
        <f>SUM(J1486:J1493)</f>
        <v>-9455.9956273178341</v>
      </c>
      <c r="K1494" s="243">
        <f>SUM(K1486:K1493)</f>
        <v>280659.51</v>
      </c>
      <c r="L1494" s="243">
        <f>SUM(L1486:L1493)</f>
        <v>98613.439999999944</v>
      </c>
    </row>
    <row r="1495" spans="1:12" ht="13" thickBot="1"/>
    <row r="1496" spans="1:12" ht="16" thickBot="1">
      <c r="A1496" s="253">
        <v>44010</v>
      </c>
      <c r="B1496" s="251">
        <v>94</v>
      </c>
      <c r="C1496" s="238" t="s">
        <v>3</v>
      </c>
      <c r="D1496" s="238" t="s">
        <v>4</v>
      </c>
      <c r="E1496" s="238" t="s">
        <v>5</v>
      </c>
      <c r="F1496" s="238" t="s">
        <v>6</v>
      </c>
      <c r="H1496" s="251">
        <f>+B1496-B1485</f>
        <v>4</v>
      </c>
      <c r="I1496" s="238" t="s">
        <v>3</v>
      </c>
      <c r="J1496" s="238" t="s">
        <v>4</v>
      </c>
      <c r="K1496" s="238" t="s">
        <v>5</v>
      </c>
      <c r="L1496" s="238" t="s">
        <v>114</v>
      </c>
    </row>
    <row r="1497" spans="1:12" ht="15.5">
      <c r="A1497" s="180" t="s">
        <v>7</v>
      </c>
      <c r="B1497" s="250">
        <f>SUM(D1497:F1497)</f>
        <v>4243920.7793617025</v>
      </c>
      <c r="C1497" s="241">
        <f>+B1497/$B$1505</f>
        <v>0.56354688662848307</v>
      </c>
      <c r="D1497" s="242">
        <v>34015.98936170213</v>
      </c>
      <c r="E1497" s="242">
        <v>1875271.8</v>
      </c>
      <c r="F1497" s="242">
        <v>2334632.9900000002</v>
      </c>
      <c r="H1497" s="250">
        <f>SUM(J1497:L1497)</f>
        <v>115996.55936170243</v>
      </c>
      <c r="I1497" s="241">
        <f>+H1497/$H$1505</f>
        <v>0.98324600571856291</v>
      </c>
      <c r="J1497" s="242">
        <f>+D1497-D1486</f>
        <v>-1068.0106382978702</v>
      </c>
      <c r="K1497" s="849">
        <f>+E1497-E1486</f>
        <v>57293.959999999963</v>
      </c>
      <c r="L1497" s="242">
        <f>+F1497-F1486</f>
        <v>59770.610000000335</v>
      </c>
    </row>
    <row r="1498" spans="1:12" ht="15.5">
      <c r="A1498" s="180" t="s">
        <v>8</v>
      </c>
      <c r="B1498" s="242">
        <f>SUM(D1498:F1498)</f>
        <v>0</v>
      </c>
      <c r="C1498" s="241">
        <f t="shared" ref="C1498:C1503" si="896">+B1498/$B$1505</f>
        <v>0</v>
      </c>
      <c r="D1498" s="242">
        <v>0</v>
      </c>
      <c r="F1498" s="242"/>
      <c r="G1498" s="32"/>
      <c r="H1498" s="250">
        <f t="shared" ref="H1498:H1503" si="897">SUM(J1498:L1498)</f>
        <v>0</v>
      </c>
      <c r="I1498" s="241">
        <f t="shared" ref="I1498:I1503" si="898">+H1498/$H$1505</f>
        <v>0</v>
      </c>
      <c r="J1498" s="242">
        <f t="shared" ref="J1498" si="899">+D1498-D1487</f>
        <v>0</v>
      </c>
      <c r="K1498" s="849">
        <f t="shared" ref="K1498:K1503" si="900">+E1498-E1487</f>
        <v>0</v>
      </c>
      <c r="L1498" s="242">
        <f>+F1498-F1487</f>
        <v>0</v>
      </c>
    </row>
    <row r="1499" spans="1:12" ht="15.5">
      <c r="A1499" s="180" t="s">
        <v>9</v>
      </c>
      <c r="B1499" s="242">
        <f t="shared" ref="B1499:B1503" si="901">SUM(D1499:F1499)</f>
        <v>541486.44744278642</v>
      </c>
      <c r="C1499" s="241">
        <f t="shared" si="896"/>
        <v>7.1903557458439613E-2</v>
      </c>
      <c r="D1499" s="242">
        <v>541486.44744278642</v>
      </c>
      <c r="E1499" s="242"/>
      <c r="F1499" s="242"/>
      <c r="H1499" s="250">
        <f t="shared" si="897"/>
        <v>2429.0025715535739</v>
      </c>
      <c r="I1499" s="241">
        <f t="shared" si="898"/>
        <v>2.0589464803976727E-2</v>
      </c>
      <c r="J1499" s="242">
        <f>+D1499-D1488</f>
        <v>2429.0025715535739</v>
      </c>
      <c r="K1499" s="849">
        <f t="shared" si="900"/>
        <v>0</v>
      </c>
      <c r="L1499" s="242">
        <f t="shared" ref="L1499:L1503" si="902">+F1499-F1488</f>
        <v>0</v>
      </c>
    </row>
    <row r="1500" spans="1:12" ht="15.5">
      <c r="A1500" s="180" t="s">
        <v>162</v>
      </c>
      <c r="B1500" s="242">
        <f t="shared" si="901"/>
        <v>0</v>
      </c>
      <c r="C1500" s="241">
        <f t="shared" si="896"/>
        <v>0</v>
      </c>
      <c r="D1500" s="242">
        <v>0</v>
      </c>
      <c r="E1500" s="242"/>
      <c r="F1500" s="242"/>
      <c r="H1500" s="250">
        <f t="shared" si="897"/>
        <v>0</v>
      </c>
      <c r="I1500" s="241">
        <f t="shared" si="898"/>
        <v>0</v>
      </c>
      <c r="J1500" s="242">
        <f t="shared" ref="J1500:J1503" si="903">+D1500-D1489</f>
        <v>0</v>
      </c>
      <c r="K1500" s="849">
        <f t="shared" si="900"/>
        <v>0</v>
      </c>
      <c r="L1500" s="242">
        <f t="shared" si="902"/>
        <v>0</v>
      </c>
    </row>
    <row r="1501" spans="1:12" ht="15.5">
      <c r="A1501" s="180" t="s">
        <v>11</v>
      </c>
      <c r="B1501" s="242">
        <f t="shared" si="901"/>
        <v>0</v>
      </c>
      <c r="C1501" s="241">
        <f t="shared" si="896"/>
        <v>0</v>
      </c>
      <c r="D1501" s="242">
        <v>0</v>
      </c>
      <c r="E1501" s="242"/>
      <c r="F1501" s="242"/>
      <c r="H1501" s="250">
        <f t="shared" si="897"/>
        <v>0</v>
      </c>
      <c r="I1501" s="241">
        <f t="shared" si="898"/>
        <v>0</v>
      </c>
      <c r="J1501" s="242">
        <f t="shared" si="903"/>
        <v>0</v>
      </c>
      <c r="K1501" s="849">
        <f t="shared" si="900"/>
        <v>0</v>
      </c>
      <c r="L1501" s="242">
        <f t="shared" si="902"/>
        <v>0</v>
      </c>
    </row>
    <row r="1502" spans="1:12" ht="15.5">
      <c r="A1502" s="180" t="s">
        <v>12</v>
      </c>
      <c r="B1502" s="242">
        <f t="shared" si="901"/>
        <v>10180.851063829787</v>
      </c>
      <c r="C1502" s="241">
        <f t="shared" si="896"/>
        <v>1.351907167577354E-3</v>
      </c>
      <c r="D1502" s="242">
        <v>10180.851063829787</v>
      </c>
      <c r="E1502" s="242"/>
      <c r="F1502" s="242"/>
      <c r="H1502" s="250">
        <f t="shared" si="897"/>
        <v>-452.48226950354729</v>
      </c>
      <c r="I1502" s="241">
        <f t="shared" si="898"/>
        <v>-3.8354705225396744E-3</v>
      </c>
      <c r="J1502" s="242">
        <f t="shared" si="903"/>
        <v>-452.48226950354729</v>
      </c>
      <c r="K1502" s="849">
        <f t="shared" si="900"/>
        <v>0</v>
      </c>
      <c r="L1502" s="242">
        <f t="shared" si="902"/>
        <v>0</v>
      </c>
    </row>
    <row r="1503" spans="1:12" ht="15.5">
      <c r="A1503" s="180" t="s">
        <v>13</v>
      </c>
      <c r="B1503" s="242">
        <f t="shared" si="901"/>
        <v>2735144.2889657775</v>
      </c>
      <c r="C1503" s="241">
        <f t="shared" si="896"/>
        <v>0.36319764874549992</v>
      </c>
      <c r="D1503" s="242">
        <v>2735144.2889657775</v>
      </c>
      <c r="E1503" s="242">
        <v>0</v>
      </c>
      <c r="F1503" s="242">
        <v>0</v>
      </c>
      <c r="H1503" s="250">
        <f t="shared" si="897"/>
        <v>0</v>
      </c>
      <c r="I1503" s="241">
        <f t="shared" si="898"/>
        <v>0</v>
      </c>
      <c r="J1503" s="242">
        <f t="shared" si="903"/>
        <v>0</v>
      </c>
      <c r="K1503" s="849">
        <f t="shared" si="900"/>
        <v>0</v>
      </c>
      <c r="L1503" s="242">
        <f t="shared" si="902"/>
        <v>0</v>
      </c>
    </row>
    <row r="1504" spans="1:12" ht="15.5">
      <c r="A1504" s="180"/>
      <c r="B1504" s="242">
        <f>SUM(D1504:E1504)</f>
        <v>0</v>
      </c>
      <c r="C1504" s="241">
        <f t="shared" ref="C1504" si="904">+B1504/$B$12</f>
        <v>0</v>
      </c>
      <c r="D1504" s="242"/>
      <c r="E1504" s="242"/>
      <c r="F1504" s="242"/>
      <c r="H1504" s="250"/>
      <c r="I1504" s="241">
        <f t="shared" ref="I1504" si="905">+H1504/$H$1494</f>
        <v>0</v>
      </c>
      <c r="J1504" s="242"/>
      <c r="K1504" s="242"/>
      <c r="L1504" s="242"/>
    </row>
    <row r="1505" spans="1:12" ht="15.5">
      <c r="A1505" s="180"/>
      <c r="B1505" s="243">
        <f>SUM(B1497:B1504)</f>
        <v>7530732.3668340966</v>
      </c>
      <c r="C1505" s="240">
        <f>SUM(C1497:C1504)</f>
        <v>1</v>
      </c>
      <c r="D1505" s="243">
        <f>SUM(D1497:D1504)</f>
        <v>3320827.5768340956</v>
      </c>
      <c r="E1505" s="243">
        <f>SUM(E1497:E1503)</f>
        <v>1875271.8</v>
      </c>
      <c r="F1505" s="243">
        <f>SUM(F1497:F1503)</f>
        <v>2334632.9900000002</v>
      </c>
      <c r="G1505" s="32">
        <f>+B1505-B1494</f>
        <v>117973.07966375351</v>
      </c>
      <c r="H1505" s="243">
        <f>SUM(H1497:H1504)</f>
        <v>117973.07966375246</v>
      </c>
      <c r="I1505" s="240">
        <f>SUM(I1497:I1504)</f>
        <v>1</v>
      </c>
      <c r="J1505" s="243">
        <f>SUM(J1497:J1504)</f>
        <v>908.50966375215648</v>
      </c>
      <c r="K1505" s="243">
        <f>SUM(K1497:K1504)</f>
        <v>57293.959999999963</v>
      </c>
      <c r="L1505" s="243">
        <f>SUM(L1497:L1504)</f>
        <v>59770.610000000335</v>
      </c>
    </row>
    <row r="1506" spans="1:12" ht="13" thickBot="1"/>
    <row r="1507" spans="1:12" ht="16" thickBot="1">
      <c r="A1507" s="253">
        <v>44040</v>
      </c>
      <c r="B1507" s="251">
        <v>97</v>
      </c>
      <c r="C1507" s="238" t="s">
        <v>3</v>
      </c>
      <c r="D1507" s="238" t="s">
        <v>4</v>
      </c>
      <c r="E1507" s="238" t="s">
        <v>5</v>
      </c>
      <c r="F1507" s="238" t="s">
        <v>6</v>
      </c>
      <c r="H1507" s="251">
        <f>+B1507-B1496</f>
        <v>3</v>
      </c>
      <c r="I1507" s="238" t="s">
        <v>3</v>
      </c>
      <c r="J1507" s="238" t="s">
        <v>4</v>
      </c>
      <c r="K1507" s="238" t="s">
        <v>5</v>
      </c>
      <c r="L1507" s="238" t="s">
        <v>114</v>
      </c>
    </row>
    <row r="1508" spans="1:12" ht="15.5">
      <c r="A1508" s="180" t="s">
        <v>7</v>
      </c>
      <c r="B1508" s="250">
        <f>SUM(D1508:F1508)</f>
        <v>4440825.6595876291</v>
      </c>
      <c r="C1508" s="241">
        <f>+B1508/$B$1516</f>
        <v>0.57475254910499496</v>
      </c>
      <c r="D1508" s="242">
        <v>40841.309587628864</v>
      </c>
      <c r="E1508" s="242">
        <f>1539890.68+679655*0.47*1.4</f>
        <v>1987103.67</v>
      </c>
      <c r="F1508" s="242">
        <v>2412880.6800000002</v>
      </c>
      <c r="H1508" s="250">
        <f>SUM(J1508:L1508)</f>
        <v>196904.88022592655</v>
      </c>
      <c r="I1508" s="241">
        <f>+H1508/$H$1516</f>
        <v>1.0058083730142853</v>
      </c>
      <c r="J1508" s="242">
        <f>+D1508-D1497</f>
        <v>6825.3202259267346</v>
      </c>
      <c r="K1508" s="849">
        <f>+E1508-E1497</f>
        <v>111831.86999999988</v>
      </c>
      <c r="L1508" s="242">
        <f>+F1508-F1497</f>
        <v>78247.689999999944</v>
      </c>
    </row>
    <row r="1509" spans="1:12" ht="15.5">
      <c r="A1509" s="180" t="s">
        <v>8</v>
      </c>
      <c r="B1509" s="242">
        <f>SUM(D1509:F1509)</f>
        <v>0</v>
      </c>
      <c r="C1509" s="241">
        <f t="shared" ref="C1509:C1515" si="906">+B1509/$B$1516</f>
        <v>0</v>
      </c>
      <c r="D1509" s="242">
        <v>0</v>
      </c>
      <c r="F1509" s="242"/>
      <c r="G1509" s="32"/>
      <c r="H1509" s="250">
        <f t="shared" ref="H1509:H1514" si="907">SUM(J1509:L1509)</f>
        <v>0</v>
      </c>
      <c r="I1509" s="241">
        <f t="shared" ref="I1509:I1515" si="908">+H1509/$H$1516</f>
        <v>0</v>
      </c>
      <c r="J1509" s="242">
        <f t="shared" ref="J1509" si="909">+D1509-D1498</f>
        <v>0</v>
      </c>
      <c r="K1509" s="849">
        <f t="shared" ref="K1509:K1514" si="910">+E1509-E1498</f>
        <v>0</v>
      </c>
      <c r="L1509" s="242">
        <f>+F1509-F1498</f>
        <v>0</v>
      </c>
    </row>
    <row r="1510" spans="1:12" ht="15.5">
      <c r="A1510" s="180" t="s">
        <v>9</v>
      </c>
      <c r="B1510" s="242">
        <f t="shared" ref="B1510:B1514" si="911">SUM(D1510:F1510)</f>
        <v>540664.22678892815</v>
      </c>
      <c r="C1510" s="241">
        <f t="shared" si="906"/>
        <v>6.9975307831758773E-2</v>
      </c>
      <c r="D1510" s="242">
        <v>540664.22678892815</v>
      </c>
      <c r="E1510" s="242"/>
      <c r="F1510" s="242"/>
      <c r="H1510" s="250">
        <f t="shared" si="907"/>
        <v>-822.22065385826863</v>
      </c>
      <c r="I1510" s="241">
        <f t="shared" si="908"/>
        <v>-4.1999792852622049E-3</v>
      </c>
      <c r="J1510" s="242">
        <f>+D1510-D1499</f>
        <v>-822.22065385826863</v>
      </c>
      <c r="K1510" s="849">
        <f t="shared" si="910"/>
        <v>0</v>
      </c>
      <c r="L1510" s="242">
        <f t="shared" ref="L1510:L1514" si="912">+F1510-F1499</f>
        <v>0</v>
      </c>
    </row>
    <row r="1511" spans="1:12" ht="15.5">
      <c r="A1511" s="180" t="s">
        <v>162</v>
      </c>
      <c r="B1511" s="242">
        <f t="shared" si="911"/>
        <v>0</v>
      </c>
      <c r="C1511" s="241">
        <f t="shared" si="906"/>
        <v>0</v>
      </c>
      <c r="D1511" s="242">
        <v>0</v>
      </c>
      <c r="E1511" s="242"/>
      <c r="F1511" s="242"/>
      <c r="H1511" s="250">
        <f t="shared" si="907"/>
        <v>0</v>
      </c>
      <c r="I1511" s="241">
        <f t="shared" si="908"/>
        <v>0</v>
      </c>
      <c r="J1511" s="242">
        <f t="shared" ref="J1511:J1514" si="913">+D1511-D1500</f>
        <v>0</v>
      </c>
      <c r="K1511" s="849">
        <f t="shared" si="910"/>
        <v>0</v>
      </c>
      <c r="L1511" s="242">
        <f t="shared" si="912"/>
        <v>0</v>
      </c>
    </row>
    <row r="1512" spans="1:12" ht="15.5">
      <c r="A1512" s="180" t="s">
        <v>11</v>
      </c>
      <c r="B1512" s="242">
        <f t="shared" si="911"/>
        <v>0</v>
      </c>
      <c r="C1512" s="241">
        <f t="shared" si="906"/>
        <v>0</v>
      </c>
      <c r="D1512" s="242">
        <v>0</v>
      </c>
      <c r="E1512" s="242"/>
      <c r="F1512" s="242"/>
      <c r="H1512" s="250">
        <f t="shared" si="907"/>
        <v>0</v>
      </c>
      <c r="I1512" s="241">
        <f t="shared" si="908"/>
        <v>0</v>
      </c>
      <c r="J1512" s="242">
        <f t="shared" si="913"/>
        <v>0</v>
      </c>
      <c r="K1512" s="849">
        <f t="shared" si="910"/>
        <v>0</v>
      </c>
      <c r="L1512" s="242">
        <f t="shared" si="912"/>
        <v>0</v>
      </c>
    </row>
    <row r="1513" spans="1:12" ht="15.5">
      <c r="A1513" s="180" t="s">
        <v>12</v>
      </c>
      <c r="B1513" s="242">
        <f t="shared" si="911"/>
        <v>9865.9793814432996</v>
      </c>
      <c r="C1513" s="241">
        <f t="shared" si="906"/>
        <v>1.2769014668836188E-3</v>
      </c>
      <c r="D1513" s="242">
        <v>9865.9793814432996</v>
      </c>
      <c r="E1513" s="242"/>
      <c r="F1513" s="242"/>
      <c r="H1513" s="250">
        <f t="shared" si="907"/>
        <v>-314.87168238648701</v>
      </c>
      <c r="I1513" s="241">
        <f t="shared" si="908"/>
        <v>-1.608393729023092E-3</v>
      </c>
      <c r="J1513" s="242">
        <f t="shared" si="913"/>
        <v>-314.87168238648701</v>
      </c>
      <c r="K1513" s="849">
        <f t="shared" si="910"/>
        <v>0</v>
      </c>
      <c r="L1513" s="242">
        <f t="shared" si="912"/>
        <v>0</v>
      </c>
    </row>
    <row r="1514" spans="1:12" ht="15.5">
      <c r="A1514" s="180" t="s">
        <v>13</v>
      </c>
      <c r="B1514" s="242">
        <f t="shared" si="911"/>
        <v>2735144.2889657775</v>
      </c>
      <c r="C1514" s="241">
        <f t="shared" si="906"/>
        <v>0.3539952415963627</v>
      </c>
      <c r="D1514" s="242">
        <v>2735144.2889657775</v>
      </c>
      <c r="E1514" s="242">
        <v>0</v>
      </c>
      <c r="F1514" s="242">
        <v>0</v>
      </c>
      <c r="H1514" s="250">
        <f t="shared" si="907"/>
        <v>0</v>
      </c>
      <c r="I1514" s="241">
        <f t="shared" si="908"/>
        <v>0</v>
      </c>
      <c r="J1514" s="242">
        <f t="shared" si="913"/>
        <v>0</v>
      </c>
      <c r="K1514" s="849">
        <f t="shared" si="910"/>
        <v>0</v>
      </c>
      <c r="L1514" s="242">
        <f t="shared" si="912"/>
        <v>0</v>
      </c>
    </row>
    <row r="1515" spans="1:12" ht="15.5">
      <c r="A1515" s="180"/>
      <c r="B1515" s="242">
        <f>SUM(D1515:E1515)</f>
        <v>0</v>
      </c>
      <c r="C1515" s="241">
        <f t="shared" si="906"/>
        <v>0</v>
      </c>
      <c r="D1515" s="242"/>
      <c r="E1515" s="242"/>
      <c r="F1515" s="242"/>
      <c r="H1515" s="250"/>
      <c r="I1515" s="241">
        <f t="shared" si="908"/>
        <v>0</v>
      </c>
      <c r="J1515" s="242"/>
      <c r="K1515" s="242"/>
      <c r="L1515" s="242"/>
    </row>
    <row r="1516" spans="1:12" ht="15.5">
      <c r="A1516" s="180"/>
      <c r="B1516" s="243">
        <f>SUM(B1508:B1515)</f>
        <v>7726500.1547237774</v>
      </c>
      <c r="C1516" s="240">
        <f>SUM(C1508:C1515)</f>
        <v>1</v>
      </c>
      <c r="D1516" s="243">
        <f>SUM(D1508:D1515)</f>
        <v>3326515.8047237778</v>
      </c>
      <c r="E1516" s="243">
        <f>SUM(E1508:E1514)</f>
        <v>1987103.67</v>
      </c>
      <c r="F1516" s="243">
        <f>SUM(F1508:F1514)</f>
        <v>2412880.6800000002</v>
      </c>
      <c r="G1516" s="32">
        <f>+B1516-B1505</f>
        <v>195767.78788968083</v>
      </c>
      <c r="H1516" s="243">
        <f>SUM(H1508:H1515)</f>
        <v>195767.78788968179</v>
      </c>
      <c r="I1516" s="240">
        <f>SUM(I1508:I1515)</f>
        <v>0.99999999999999989</v>
      </c>
      <c r="J1516" s="243">
        <f>SUM(J1508:J1515)</f>
        <v>5688.2278896819789</v>
      </c>
      <c r="K1516" s="243">
        <f>SUM(K1508:K1515)</f>
        <v>111831.86999999988</v>
      </c>
      <c r="L1516" s="243">
        <f>SUM(L1508:L1515)</f>
        <v>78247.689999999944</v>
      </c>
    </row>
    <row r="1517" spans="1:12" ht="13" thickBot="1"/>
    <row r="1518" spans="1:12" ht="16" thickBot="1">
      <c r="A1518" s="253">
        <v>44071</v>
      </c>
      <c r="B1518" s="251">
        <v>101</v>
      </c>
      <c r="C1518" s="238" t="s">
        <v>3</v>
      </c>
      <c r="D1518" s="238" t="s">
        <v>4</v>
      </c>
      <c r="E1518" s="238" t="s">
        <v>5</v>
      </c>
      <c r="F1518" s="238" t="s">
        <v>6</v>
      </c>
      <c r="H1518" s="251">
        <f>+B1518-B1507</f>
        <v>4</v>
      </c>
      <c r="I1518" s="238" t="s">
        <v>3</v>
      </c>
      <c r="J1518" s="238" t="s">
        <v>4</v>
      </c>
      <c r="K1518" s="238" t="s">
        <v>5</v>
      </c>
      <c r="L1518" s="238" t="s">
        <v>114</v>
      </c>
    </row>
    <row r="1519" spans="1:12" ht="15.5">
      <c r="A1519" s="180" t="s">
        <v>7</v>
      </c>
      <c r="B1519" s="250">
        <f>SUM(D1519:F1519)</f>
        <v>4595083.6213861387</v>
      </c>
      <c r="C1519" s="241">
        <f>+B1519/$B$1527</f>
        <v>0.58292862101267084</v>
      </c>
      <c r="D1519" s="242">
        <v>38742.441386138613</v>
      </c>
      <c r="E1519" s="242">
        <v>1999646.15</v>
      </c>
      <c r="F1519" s="442">
        <v>2556695.0299999998</v>
      </c>
      <c r="H1519" s="250">
        <f>SUM(J1519:L1519)</f>
        <v>154257.96179850935</v>
      </c>
      <c r="I1519" s="241">
        <f>+H1519/$H$1527</f>
        <v>0.98721904733298471</v>
      </c>
      <c r="J1519" s="242">
        <f>+D1519-D1508</f>
        <v>-2098.8682014902515</v>
      </c>
      <c r="K1519" s="849">
        <f>+E1519-E1508</f>
        <v>12542.479999999981</v>
      </c>
      <c r="L1519" s="242">
        <f>+F1519-F1508</f>
        <v>143814.34999999963</v>
      </c>
    </row>
    <row r="1520" spans="1:12" ht="15.5">
      <c r="A1520" s="180" t="s">
        <v>8</v>
      </c>
      <c r="B1520" s="242">
        <f>SUM(D1520:F1520)</f>
        <v>0</v>
      </c>
      <c r="C1520" s="241">
        <f t="shared" ref="C1520:C1526" si="914">+B1520/$B$1527</f>
        <v>0</v>
      </c>
      <c r="D1520" s="242">
        <v>0</v>
      </c>
      <c r="F1520" s="242"/>
      <c r="G1520" s="32"/>
      <c r="H1520" s="250">
        <f t="shared" ref="H1520:H1525" si="915">SUM(J1520:L1520)</f>
        <v>0</v>
      </c>
      <c r="I1520" s="241">
        <f t="shared" ref="I1520:I1526" si="916">+H1520/$H$1527</f>
        <v>0</v>
      </c>
      <c r="J1520" s="242">
        <f t="shared" ref="J1520" si="917">+D1520-D1509</f>
        <v>0</v>
      </c>
      <c r="K1520" s="849">
        <f t="shared" ref="K1520:K1525" si="918">+E1520-E1509</f>
        <v>0</v>
      </c>
      <c r="L1520" s="242">
        <f>+F1520-F1509</f>
        <v>0</v>
      </c>
    </row>
    <row r="1521" spans="1:12" ht="15.5">
      <c r="A1521" s="180" t="s">
        <v>9</v>
      </c>
      <c r="B1521" s="242">
        <f t="shared" ref="B1521:B1525" si="919">SUM(D1521:F1521)</f>
        <v>543052.0470461956</v>
      </c>
      <c r="C1521" s="241">
        <f t="shared" si="914"/>
        <v>6.8891146931348804E-2</v>
      </c>
      <c r="D1521" s="242">
        <v>543052.0470461956</v>
      </c>
      <c r="E1521" s="242"/>
      <c r="F1521" s="242"/>
      <c r="H1521" s="250">
        <f t="shared" si="915"/>
        <v>2387.8202572674491</v>
      </c>
      <c r="I1521" s="241">
        <f t="shared" si="916"/>
        <v>1.5281555727159576E-2</v>
      </c>
      <c r="J1521" s="242">
        <f>+D1521-D1510</f>
        <v>2387.8202572674491</v>
      </c>
      <c r="K1521" s="849">
        <f t="shared" si="918"/>
        <v>0</v>
      </c>
      <c r="L1521" s="242">
        <f t="shared" ref="L1521:L1525" si="920">+F1521-F1510</f>
        <v>0</v>
      </c>
    </row>
    <row r="1522" spans="1:12" ht="15.5">
      <c r="A1522" s="180" t="s">
        <v>162</v>
      </c>
      <c r="B1522" s="242">
        <f t="shared" si="919"/>
        <v>0</v>
      </c>
      <c r="C1522" s="241">
        <f t="shared" si="914"/>
        <v>0</v>
      </c>
      <c r="D1522" s="242">
        <v>0</v>
      </c>
      <c r="E1522" s="242"/>
      <c r="F1522" s="242"/>
      <c r="H1522" s="250">
        <f t="shared" si="915"/>
        <v>0</v>
      </c>
      <c r="I1522" s="241">
        <f t="shared" si="916"/>
        <v>0</v>
      </c>
      <c r="J1522" s="242">
        <f t="shared" ref="J1522:J1525" si="921">+D1522-D1511</f>
        <v>0</v>
      </c>
      <c r="K1522" s="849">
        <f t="shared" si="918"/>
        <v>0</v>
      </c>
      <c r="L1522" s="242">
        <f t="shared" si="920"/>
        <v>0</v>
      </c>
    </row>
    <row r="1523" spans="1:12" ht="15.5">
      <c r="A1523" s="180" t="s">
        <v>11</v>
      </c>
      <c r="B1523" s="242">
        <f t="shared" si="919"/>
        <v>0</v>
      </c>
      <c r="C1523" s="241">
        <f t="shared" si="914"/>
        <v>0</v>
      </c>
      <c r="D1523" s="242">
        <v>0</v>
      </c>
      <c r="E1523" s="242"/>
      <c r="F1523" s="242"/>
      <c r="H1523" s="250">
        <f t="shared" si="915"/>
        <v>0</v>
      </c>
      <c r="I1523" s="241">
        <f t="shared" si="916"/>
        <v>0</v>
      </c>
      <c r="J1523" s="242">
        <f t="shared" si="921"/>
        <v>0</v>
      </c>
      <c r="K1523" s="849">
        <f t="shared" si="918"/>
        <v>0</v>
      </c>
      <c r="L1523" s="242">
        <f t="shared" si="920"/>
        <v>0</v>
      </c>
    </row>
    <row r="1524" spans="1:12" ht="15.5">
      <c r="A1524" s="180" t="s">
        <v>12</v>
      </c>
      <c r="B1524" s="242">
        <f t="shared" si="919"/>
        <v>9475.2475247524744</v>
      </c>
      <c r="C1524" s="241">
        <f t="shared" si="914"/>
        <v>1.202022297842648E-3</v>
      </c>
      <c r="D1524" s="242">
        <v>9475.2475247524744</v>
      </c>
      <c r="E1524" s="242"/>
      <c r="F1524" s="242"/>
      <c r="H1524" s="250">
        <f t="shared" si="915"/>
        <v>-390.73185669082523</v>
      </c>
      <c r="I1524" s="241">
        <f t="shared" si="916"/>
        <v>-2.5006030601442339E-3</v>
      </c>
      <c r="J1524" s="242">
        <f t="shared" si="921"/>
        <v>-390.73185669082523</v>
      </c>
      <c r="K1524" s="849">
        <f t="shared" si="918"/>
        <v>0</v>
      </c>
      <c r="L1524" s="242">
        <f t="shared" si="920"/>
        <v>0</v>
      </c>
    </row>
    <row r="1525" spans="1:12" ht="15.5">
      <c r="A1525" s="180" t="s">
        <v>13</v>
      </c>
      <c r="B1525" s="242">
        <f t="shared" si="919"/>
        <v>2735144.2889657775</v>
      </c>
      <c r="C1525" s="241">
        <f t="shared" si="914"/>
        <v>0.3469782097581377</v>
      </c>
      <c r="D1525" s="242">
        <v>2735144.2889657775</v>
      </c>
      <c r="E1525" s="242">
        <v>0</v>
      </c>
      <c r="F1525" s="242">
        <v>0</v>
      </c>
      <c r="H1525" s="250">
        <f t="shared" si="915"/>
        <v>0</v>
      </c>
      <c r="I1525" s="241">
        <f t="shared" si="916"/>
        <v>0</v>
      </c>
      <c r="J1525" s="242">
        <f t="shared" si="921"/>
        <v>0</v>
      </c>
      <c r="K1525" s="849">
        <f t="shared" si="918"/>
        <v>0</v>
      </c>
      <c r="L1525" s="242">
        <f t="shared" si="920"/>
        <v>0</v>
      </c>
    </row>
    <row r="1526" spans="1:12" ht="15.5">
      <c r="A1526" s="180"/>
      <c r="B1526" s="242">
        <f>SUM(D1526:E1526)</f>
        <v>0</v>
      </c>
      <c r="C1526" s="241">
        <f t="shared" si="914"/>
        <v>0</v>
      </c>
      <c r="D1526" s="242"/>
      <c r="E1526" s="242"/>
      <c r="F1526" s="242"/>
      <c r="H1526" s="250"/>
      <c r="I1526" s="241">
        <f t="shared" si="916"/>
        <v>0</v>
      </c>
      <c r="J1526" s="242"/>
      <c r="K1526" s="242"/>
      <c r="L1526" s="242"/>
    </row>
    <row r="1527" spans="1:12" ht="15.5">
      <c r="A1527" s="180"/>
      <c r="B1527" s="243">
        <f>SUM(B1519:B1526)</f>
        <v>7882755.2049228642</v>
      </c>
      <c r="C1527" s="240">
        <f>SUM(C1519:C1526)</f>
        <v>1</v>
      </c>
      <c r="D1527" s="243">
        <f>SUM(D1519:D1526)</f>
        <v>3326414.0249228645</v>
      </c>
      <c r="E1527" s="243">
        <f>SUM(E1519:E1525)</f>
        <v>1999646.15</v>
      </c>
      <c r="F1527" s="243">
        <f>SUM(F1519:F1525)</f>
        <v>2556695.0299999998</v>
      </c>
      <c r="G1527" s="32">
        <f>+B1527-B1516</f>
        <v>156255.05019908678</v>
      </c>
      <c r="H1527" s="243">
        <f>SUM(H1519:H1526)</f>
        <v>156255.05019908596</v>
      </c>
      <c r="I1527" s="240">
        <f>SUM(I1519:I1526)</f>
        <v>1</v>
      </c>
      <c r="J1527" s="243">
        <f>SUM(J1519:J1526)</f>
        <v>-101.7798009136277</v>
      </c>
      <c r="K1527" s="243">
        <f>SUM(K1519:K1526)</f>
        <v>12542.479999999981</v>
      </c>
      <c r="L1527" s="243">
        <f>SUM(L1519:L1526)</f>
        <v>143814.34999999963</v>
      </c>
    </row>
    <row r="1528" spans="1:12" ht="13" thickBot="1"/>
    <row r="1529" spans="1:12" ht="16" thickBot="1">
      <c r="A1529" s="253">
        <v>44102</v>
      </c>
      <c r="B1529" s="251">
        <v>101</v>
      </c>
      <c r="C1529" s="238" t="s">
        <v>3</v>
      </c>
      <c r="D1529" s="238" t="s">
        <v>4</v>
      </c>
      <c r="E1529" s="238" t="s">
        <v>5</v>
      </c>
      <c r="F1529" s="238" t="s">
        <v>6</v>
      </c>
      <c r="H1529" s="251">
        <f>+B1529-B1518</f>
        <v>0</v>
      </c>
      <c r="I1529" s="238" t="s">
        <v>3</v>
      </c>
      <c r="J1529" s="238" t="s">
        <v>4</v>
      </c>
      <c r="K1529" s="238" t="s">
        <v>5</v>
      </c>
      <c r="L1529" s="238" t="s">
        <v>114</v>
      </c>
    </row>
    <row r="1530" spans="1:12" ht="15.5">
      <c r="A1530" s="180" t="s">
        <v>7</v>
      </c>
      <c r="B1530" s="250">
        <f>SUM(D1530:F1530)</f>
        <v>4321771.1522772275</v>
      </c>
      <c r="C1530" s="241">
        <f>+B1530/$B$1538</f>
        <v>0.56803259460068878</v>
      </c>
      <c r="D1530" s="242">
        <v>36830.31227722772</v>
      </c>
      <c r="E1530" s="242">
        <v>1810901.87</v>
      </c>
      <c r="F1530" s="442">
        <v>2474038.9700000002</v>
      </c>
      <c r="H1530" s="250">
        <f>SUM(J1530:L1530)</f>
        <v>-273312.4691089103</v>
      </c>
      <c r="I1530" s="241">
        <f>+H1530/$H$1538</f>
        <v>0.99589232551532847</v>
      </c>
      <c r="J1530" s="242">
        <f>+D1530-D1519</f>
        <v>-1912.1291089108927</v>
      </c>
      <c r="K1530" s="849">
        <f>+E1530-E1519</f>
        <v>-188744.2799999998</v>
      </c>
      <c r="L1530" s="242">
        <f>+F1530-F1519</f>
        <v>-82656.05999999959</v>
      </c>
    </row>
    <row r="1531" spans="1:12" ht="15.5">
      <c r="A1531" s="180" t="s">
        <v>8</v>
      </c>
      <c r="B1531" s="242">
        <f>SUM(D1531:F1531)</f>
        <v>0</v>
      </c>
      <c r="C1531" s="241">
        <f t="shared" ref="C1531:C1536" si="922">+B1531/$B$1538</f>
        <v>0</v>
      </c>
      <c r="D1531" s="242">
        <v>0</v>
      </c>
      <c r="F1531" s="242"/>
      <c r="G1531" s="32"/>
      <c r="H1531" s="250">
        <f t="shared" ref="H1531:H1536" si="923">SUM(J1531:L1531)</f>
        <v>0</v>
      </c>
      <c r="I1531" s="241">
        <f t="shared" ref="I1531:I1536" si="924">+H1531/$H$1538</f>
        <v>0</v>
      </c>
      <c r="J1531" s="242">
        <f t="shared" ref="J1531" si="925">+D1531-D1520</f>
        <v>0</v>
      </c>
      <c r="K1531" s="849">
        <f t="shared" ref="K1531:K1536" si="926">+E1531-E1520</f>
        <v>0</v>
      </c>
      <c r="L1531" s="242">
        <f>+F1531-F1520</f>
        <v>0</v>
      </c>
    </row>
    <row r="1532" spans="1:12" ht="15.5">
      <c r="A1532" s="180" t="s">
        <v>9</v>
      </c>
      <c r="B1532" s="242">
        <f t="shared" ref="B1532:B1536" si="927">SUM(D1532:F1532)</f>
        <v>541924.73777094809</v>
      </c>
      <c r="C1532" s="241">
        <f t="shared" si="922"/>
        <v>7.1227953546806222E-2</v>
      </c>
      <c r="D1532" s="242">
        <v>541924.73777094809</v>
      </c>
      <c r="E1532" s="242"/>
      <c r="F1532" s="242"/>
      <c r="H1532" s="250">
        <f t="shared" si="923"/>
        <v>-1127.3092752475059</v>
      </c>
      <c r="I1532" s="241">
        <f t="shared" si="924"/>
        <v>4.1076744846714995E-3</v>
      </c>
      <c r="J1532" s="242">
        <f>+D1532-D1521</f>
        <v>-1127.3092752475059</v>
      </c>
      <c r="K1532" s="849">
        <f t="shared" si="926"/>
        <v>0</v>
      </c>
      <c r="L1532" s="242">
        <f t="shared" ref="L1532:L1536" si="928">+F1532-F1521</f>
        <v>0</v>
      </c>
    </row>
    <row r="1533" spans="1:12" ht="15.5">
      <c r="A1533" s="180" t="s">
        <v>162</v>
      </c>
      <c r="B1533" s="242">
        <f t="shared" si="927"/>
        <v>0</v>
      </c>
      <c r="C1533" s="241">
        <f t="shared" si="922"/>
        <v>0</v>
      </c>
      <c r="D1533" s="242">
        <v>0</v>
      </c>
      <c r="E1533" s="242"/>
      <c r="F1533" s="242"/>
      <c r="H1533" s="250">
        <f t="shared" si="923"/>
        <v>0</v>
      </c>
      <c r="I1533" s="241">
        <f t="shared" si="924"/>
        <v>0</v>
      </c>
      <c r="J1533" s="242">
        <f t="shared" ref="J1533:J1536" si="929">+D1533-D1522</f>
        <v>0</v>
      </c>
      <c r="K1533" s="849">
        <f t="shared" si="926"/>
        <v>0</v>
      </c>
      <c r="L1533" s="242">
        <f t="shared" si="928"/>
        <v>0</v>
      </c>
    </row>
    <row r="1534" spans="1:12" ht="15.5">
      <c r="A1534" s="180" t="s">
        <v>11</v>
      </c>
      <c r="B1534" s="242">
        <f t="shared" si="927"/>
        <v>0</v>
      </c>
      <c r="C1534" s="241">
        <f t="shared" si="922"/>
        <v>0</v>
      </c>
      <c r="D1534" s="242">
        <v>0</v>
      </c>
      <c r="E1534" s="242"/>
      <c r="F1534" s="242"/>
      <c r="H1534" s="250">
        <f t="shared" si="923"/>
        <v>0</v>
      </c>
      <c r="I1534" s="241">
        <f t="shared" si="924"/>
        <v>0</v>
      </c>
      <c r="J1534" s="242">
        <f t="shared" si="929"/>
        <v>0</v>
      </c>
      <c r="K1534" s="849">
        <f t="shared" si="926"/>
        <v>0</v>
      </c>
      <c r="L1534" s="242">
        <f t="shared" si="928"/>
        <v>0</v>
      </c>
    </row>
    <row r="1535" spans="1:12" ht="15.5">
      <c r="A1535" s="180" t="s">
        <v>12</v>
      </c>
      <c r="B1535" s="242">
        <f t="shared" si="927"/>
        <v>9475.2475247524744</v>
      </c>
      <c r="C1535" s="241">
        <f t="shared" si="922"/>
        <v>1.245380480901421E-3</v>
      </c>
      <c r="D1535" s="242">
        <v>9475.2475247524744</v>
      </c>
      <c r="E1535" s="242"/>
      <c r="F1535" s="242"/>
      <c r="H1535" s="250">
        <f t="shared" si="923"/>
        <v>0</v>
      </c>
      <c r="I1535" s="241">
        <f t="shared" si="924"/>
        <v>0</v>
      </c>
      <c r="J1535" s="242">
        <f t="shared" si="929"/>
        <v>0</v>
      </c>
      <c r="K1535" s="849">
        <f t="shared" si="926"/>
        <v>0</v>
      </c>
      <c r="L1535" s="242">
        <f t="shared" si="928"/>
        <v>0</v>
      </c>
    </row>
    <row r="1536" spans="1:12" ht="15.5">
      <c r="A1536" s="180" t="s">
        <v>13</v>
      </c>
      <c r="B1536" s="242">
        <f t="shared" si="927"/>
        <v>2735144.2889657775</v>
      </c>
      <c r="C1536" s="241">
        <f t="shared" si="922"/>
        <v>0.3594940713716035</v>
      </c>
      <c r="D1536" s="242">
        <v>2735144.2889657775</v>
      </c>
      <c r="E1536" s="242">
        <v>0</v>
      </c>
      <c r="F1536" s="242">
        <v>0</v>
      </c>
      <c r="H1536" s="250">
        <f t="shared" si="923"/>
        <v>0</v>
      </c>
      <c r="I1536" s="241">
        <f t="shared" si="924"/>
        <v>0</v>
      </c>
      <c r="J1536" s="242">
        <f t="shared" si="929"/>
        <v>0</v>
      </c>
      <c r="K1536" s="849">
        <f t="shared" si="926"/>
        <v>0</v>
      </c>
      <c r="L1536" s="242">
        <f t="shared" si="928"/>
        <v>0</v>
      </c>
    </row>
    <row r="1537" spans="1:12" ht="15.5">
      <c r="A1537" s="180"/>
      <c r="B1537" s="242">
        <f>SUM(D1537:E1537)</f>
        <v>0</v>
      </c>
      <c r="C1537" s="241">
        <f t="shared" ref="C1537" si="930">+B1537/$B$1527</f>
        <v>0</v>
      </c>
      <c r="D1537" s="242"/>
      <c r="E1537" s="242"/>
      <c r="F1537" s="242"/>
      <c r="H1537" s="250"/>
      <c r="I1537" s="241">
        <f t="shared" ref="I1537" si="931">+H1537/$H$1527</f>
        <v>0</v>
      </c>
      <c r="J1537" s="242"/>
      <c r="K1537" s="242"/>
      <c r="L1537" s="242"/>
    </row>
    <row r="1538" spans="1:12" ht="15.5">
      <c r="A1538" s="180"/>
      <c r="B1538" s="243">
        <f>SUM(B1530:B1537)</f>
        <v>7608315.4265387058</v>
      </c>
      <c r="C1538" s="240">
        <f>SUM(C1530:C1537)</f>
        <v>0.99999999999999989</v>
      </c>
      <c r="D1538" s="243">
        <f>SUM(D1530:D1537)</f>
        <v>3323374.586538706</v>
      </c>
      <c r="E1538" s="243">
        <f>SUM(E1530:E1536)</f>
        <v>1810901.87</v>
      </c>
      <c r="F1538" s="243">
        <f>SUM(F1530:F1536)</f>
        <v>2474038.9700000002</v>
      </c>
      <c r="G1538" s="32">
        <f>+B1538-B1527</f>
        <v>-274439.77838415839</v>
      </c>
      <c r="H1538" s="243">
        <f>SUM(H1530:H1537)</f>
        <v>-274439.77838415781</v>
      </c>
      <c r="I1538" s="240">
        <f>SUM(I1530:I1537)</f>
        <v>1</v>
      </c>
      <c r="J1538" s="243">
        <f>SUM(J1530:J1537)</f>
        <v>-3039.4383841583985</v>
      </c>
      <c r="K1538" s="243">
        <f>SUM(K1530:K1537)</f>
        <v>-188744.2799999998</v>
      </c>
      <c r="L1538" s="243">
        <f>SUM(L1530:L1537)</f>
        <v>-82656.05999999959</v>
      </c>
    </row>
    <row r="1539" spans="1:12" ht="16" thickBot="1">
      <c r="A1539" s="180"/>
      <c r="B1539" s="334"/>
      <c r="C1539" s="335"/>
      <c r="D1539" s="334"/>
      <c r="E1539" s="334"/>
      <c r="F1539" s="334"/>
      <c r="G1539" s="32"/>
      <c r="H1539" s="334"/>
      <c r="I1539" s="335"/>
      <c r="J1539" s="334"/>
      <c r="K1539" s="334"/>
      <c r="L1539" s="334"/>
    </row>
    <row r="1540" spans="1:12" ht="16" thickBot="1">
      <c r="A1540" s="253">
        <v>44132</v>
      </c>
      <c r="B1540" s="251">
        <v>101</v>
      </c>
      <c r="C1540" s="238" t="s">
        <v>3</v>
      </c>
      <c r="D1540" s="238" t="s">
        <v>4</v>
      </c>
      <c r="E1540" s="238" t="s">
        <v>5</v>
      </c>
      <c r="F1540" s="238" t="s">
        <v>6</v>
      </c>
      <c r="H1540" s="251">
        <f>+B1540-B1529</f>
        <v>0</v>
      </c>
      <c r="I1540" s="238" t="s">
        <v>3</v>
      </c>
      <c r="J1540" s="238" t="s">
        <v>4</v>
      </c>
      <c r="K1540" s="238" t="s">
        <v>5</v>
      </c>
      <c r="L1540" s="238" t="s">
        <v>114</v>
      </c>
    </row>
    <row r="1541" spans="1:12" ht="15.5">
      <c r="A1541" s="180" t="s">
        <v>7</v>
      </c>
      <c r="B1541" s="250">
        <f>SUM(D1541:F1541)</f>
        <v>4076254.7386138616</v>
      </c>
      <c r="C1541" s="241">
        <f>+B1541/$B$1549</f>
        <v>0.55364580871830227</v>
      </c>
      <c r="D1541" s="242">
        <v>41343.248613861382</v>
      </c>
      <c r="E1541" s="242">
        <v>1630132.02</v>
      </c>
      <c r="F1541" s="442">
        <v>2404779.4700000002</v>
      </c>
      <c r="H1541" s="250">
        <f>SUM(J1541:L1541)</f>
        <v>-245516.41366336643</v>
      </c>
      <c r="I1541" s="241">
        <f>+H1541/$H$1549</f>
        <v>0.99905866582850777</v>
      </c>
      <c r="J1541" s="242">
        <f>+D1541-D1530</f>
        <v>4512.936336633662</v>
      </c>
      <c r="K1541" s="849">
        <f>+E1541-E1530</f>
        <v>-180769.85000000009</v>
      </c>
      <c r="L1541" s="242">
        <f>+F1541-F1530</f>
        <v>-69259.5</v>
      </c>
    </row>
    <row r="1542" spans="1:12" ht="15.5">
      <c r="A1542" s="180" t="s">
        <v>8</v>
      </c>
      <c r="B1542" s="242">
        <f>SUM(D1542:F1542)</f>
        <v>0</v>
      </c>
      <c r="C1542" s="241">
        <f t="shared" ref="C1542:C1548" si="932">+B1542/$B$1549</f>
        <v>0</v>
      </c>
      <c r="D1542" s="242">
        <v>0</v>
      </c>
      <c r="F1542" s="242"/>
      <c r="G1542" s="32"/>
      <c r="H1542" s="250">
        <f t="shared" ref="H1542:H1547" si="933">SUM(J1542:L1542)</f>
        <v>0</v>
      </c>
      <c r="I1542" s="241">
        <f t="shared" ref="I1542:I1548" si="934">+H1542/$H$1549</f>
        <v>0</v>
      </c>
      <c r="J1542" s="242">
        <f t="shared" ref="J1542" si="935">+D1542-D1531</f>
        <v>0</v>
      </c>
      <c r="K1542" s="849">
        <f t="shared" ref="K1542:K1547" si="936">+E1542-E1531</f>
        <v>0</v>
      </c>
      <c r="L1542" s="242">
        <f>+F1542-F1531</f>
        <v>0</v>
      </c>
    </row>
    <row r="1543" spans="1:12" ht="15.5">
      <c r="A1543" s="180" t="s">
        <v>9</v>
      </c>
      <c r="B1543" s="242">
        <f t="shared" ref="B1543:B1547" si="937">SUM(D1543:F1543)</f>
        <v>541693.40702156525</v>
      </c>
      <c r="C1543" s="241">
        <f t="shared" si="932"/>
        <v>7.3573979949499102E-2</v>
      </c>
      <c r="D1543" s="242">
        <v>541693.40702156525</v>
      </c>
      <c r="E1543" s="242"/>
      <c r="F1543" s="242"/>
      <c r="H1543" s="250">
        <f t="shared" si="933"/>
        <v>-231.33074938284699</v>
      </c>
      <c r="I1543" s="241">
        <f t="shared" si="934"/>
        <v>9.4133417149217858E-4</v>
      </c>
      <c r="J1543" s="242">
        <f>+D1543-D1532</f>
        <v>-231.33074938284699</v>
      </c>
      <c r="K1543" s="849">
        <f t="shared" si="936"/>
        <v>0</v>
      </c>
      <c r="L1543" s="242">
        <f t="shared" ref="L1543:L1547" si="938">+F1543-F1532</f>
        <v>0</v>
      </c>
    </row>
    <row r="1544" spans="1:12" ht="15.5">
      <c r="A1544" s="180" t="s">
        <v>162</v>
      </c>
      <c r="B1544" s="242">
        <f t="shared" si="937"/>
        <v>0</v>
      </c>
      <c r="C1544" s="241">
        <f t="shared" si="932"/>
        <v>0</v>
      </c>
      <c r="D1544" s="242">
        <v>0</v>
      </c>
      <c r="E1544" s="242"/>
      <c r="F1544" s="242"/>
      <c r="H1544" s="250">
        <f t="shared" si="933"/>
        <v>0</v>
      </c>
      <c r="I1544" s="241">
        <f t="shared" si="934"/>
        <v>0</v>
      </c>
      <c r="J1544" s="242">
        <f t="shared" ref="J1544:J1547" si="939">+D1544-D1533</f>
        <v>0</v>
      </c>
      <c r="K1544" s="849">
        <f t="shared" si="936"/>
        <v>0</v>
      </c>
      <c r="L1544" s="242">
        <f t="shared" si="938"/>
        <v>0</v>
      </c>
    </row>
    <row r="1545" spans="1:12" ht="15.5">
      <c r="A1545" s="180" t="s">
        <v>11</v>
      </c>
      <c r="B1545" s="242">
        <f t="shared" si="937"/>
        <v>0</v>
      </c>
      <c r="C1545" s="241">
        <f t="shared" si="932"/>
        <v>0</v>
      </c>
      <c r="D1545" s="242">
        <v>0</v>
      </c>
      <c r="E1545" s="242"/>
      <c r="F1545" s="242"/>
      <c r="H1545" s="250">
        <f t="shared" si="933"/>
        <v>0</v>
      </c>
      <c r="I1545" s="241">
        <f t="shared" si="934"/>
        <v>0</v>
      </c>
      <c r="J1545" s="242">
        <f t="shared" si="939"/>
        <v>0</v>
      </c>
      <c r="K1545" s="849">
        <f t="shared" si="936"/>
        <v>0</v>
      </c>
      <c r="L1545" s="242">
        <f t="shared" si="938"/>
        <v>0</v>
      </c>
    </row>
    <row r="1546" spans="1:12" ht="15.5">
      <c r="A1546" s="180" t="s">
        <v>12</v>
      </c>
      <c r="B1546" s="242">
        <f t="shared" si="937"/>
        <v>9475.2475247524744</v>
      </c>
      <c r="C1546" s="241">
        <f t="shared" si="932"/>
        <v>1.2869487838808535E-3</v>
      </c>
      <c r="D1546" s="242">
        <v>9475.2475247524744</v>
      </c>
      <c r="E1546" s="242"/>
      <c r="F1546" s="242"/>
      <c r="H1546" s="250">
        <f t="shared" si="933"/>
        <v>0</v>
      </c>
      <c r="I1546" s="241">
        <f t="shared" si="934"/>
        <v>0</v>
      </c>
      <c r="J1546" s="242">
        <f t="shared" si="939"/>
        <v>0</v>
      </c>
      <c r="K1546" s="849">
        <f t="shared" si="936"/>
        <v>0</v>
      </c>
      <c r="L1546" s="242">
        <f t="shared" si="938"/>
        <v>0</v>
      </c>
    </row>
    <row r="1547" spans="1:12" ht="15.5">
      <c r="A1547" s="180" t="s">
        <v>13</v>
      </c>
      <c r="B1547" s="242">
        <f t="shared" si="937"/>
        <v>2735144.2889657775</v>
      </c>
      <c r="C1547" s="241">
        <f t="shared" si="932"/>
        <v>0.37149326254831777</v>
      </c>
      <c r="D1547" s="242">
        <v>2735144.2889657775</v>
      </c>
      <c r="E1547" s="242">
        <v>0</v>
      </c>
      <c r="F1547" s="242">
        <v>0</v>
      </c>
      <c r="H1547" s="250">
        <f t="shared" si="933"/>
        <v>0</v>
      </c>
      <c r="I1547" s="241">
        <f t="shared" si="934"/>
        <v>0</v>
      </c>
      <c r="J1547" s="242">
        <f t="shared" si="939"/>
        <v>0</v>
      </c>
      <c r="K1547" s="849">
        <f t="shared" si="936"/>
        <v>0</v>
      </c>
      <c r="L1547" s="242">
        <f t="shared" si="938"/>
        <v>0</v>
      </c>
    </row>
    <row r="1548" spans="1:12" ht="15.5">
      <c r="A1548" s="180"/>
      <c r="B1548" s="242">
        <f>SUM(D1548:E1548)</f>
        <v>0</v>
      </c>
      <c r="C1548" s="241">
        <f t="shared" si="932"/>
        <v>0</v>
      </c>
      <c r="D1548" s="242"/>
      <c r="E1548" s="242"/>
      <c r="F1548" s="242"/>
      <c r="H1548" s="250"/>
      <c r="I1548" s="241">
        <f t="shared" si="934"/>
        <v>0</v>
      </c>
      <c r="J1548" s="242"/>
      <c r="K1548" s="242"/>
      <c r="L1548" s="242"/>
    </row>
    <row r="1549" spans="1:12" ht="15.5">
      <c r="A1549" s="180"/>
      <c r="B1549" s="243">
        <f>SUM(B1541:B1548)</f>
        <v>7362567.6821259568</v>
      </c>
      <c r="C1549" s="240">
        <f>SUM(C1541:C1548)</f>
        <v>1</v>
      </c>
      <c r="D1549" s="243">
        <f>SUM(D1541:D1548)</f>
        <v>3327656.1921259565</v>
      </c>
      <c r="E1549" s="243">
        <f>SUM(E1541:E1547)</f>
        <v>1630132.02</v>
      </c>
      <c r="F1549" s="243">
        <f>SUM(F1541:F1547)</f>
        <v>2404779.4700000002</v>
      </c>
      <c r="G1549" s="32">
        <f>+B1549-B1538</f>
        <v>-245747.74441274907</v>
      </c>
      <c r="H1549" s="243">
        <f>SUM(H1541:H1548)</f>
        <v>-245747.74441274928</v>
      </c>
      <c r="I1549" s="240">
        <f>SUM(I1541:I1548)</f>
        <v>1</v>
      </c>
      <c r="J1549" s="243">
        <f>SUM(J1541:J1548)</f>
        <v>4281.605587250815</v>
      </c>
      <c r="K1549" s="243">
        <f>SUM(K1541:K1548)</f>
        <v>-180769.85000000009</v>
      </c>
      <c r="L1549" s="243">
        <f>SUM(L1541:L1548)</f>
        <v>-69259.5</v>
      </c>
    </row>
    <row r="1550" spans="1:12" ht="16" thickBot="1">
      <c r="A1550" s="180"/>
      <c r="B1550" s="334"/>
      <c r="C1550" s="335"/>
      <c r="D1550" s="334"/>
      <c r="E1550" s="334"/>
      <c r="F1550" s="334"/>
      <c r="G1550" s="32"/>
      <c r="H1550" s="334"/>
      <c r="I1550" s="335"/>
      <c r="J1550" s="334"/>
      <c r="K1550" s="334"/>
      <c r="L1550" s="334"/>
    </row>
    <row r="1551" spans="1:12" ht="16" thickBot="1">
      <c r="A1551" s="253">
        <v>44163</v>
      </c>
      <c r="B1551" s="251">
        <f>86.5*1.3</f>
        <v>112.45</v>
      </c>
      <c r="C1551" s="238" t="s">
        <v>3</v>
      </c>
      <c r="D1551" s="238" t="s">
        <v>4</v>
      </c>
      <c r="E1551" s="238" t="s">
        <v>5</v>
      </c>
      <c r="F1551" s="238" t="s">
        <v>6</v>
      </c>
      <c r="H1551" s="251">
        <f>+B1551-B1540</f>
        <v>11.450000000000003</v>
      </c>
      <c r="I1551" s="238" t="s">
        <v>3</v>
      </c>
      <c r="J1551" s="238" t="s">
        <v>4</v>
      </c>
      <c r="K1551" s="238" t="s">
        <v>5</v>
      </c>
      <c r="L1551" s="238" t="s">
        <v>114</v>
      </c>
    </row>
    <row r="1552" spans="1:12" ht="15.5">
      <c r="A1552" s="180" t="s">
        <v>7</v>
      </c>
      <c r="B1552" s="250">
        <f>SUM(D1552:F1552)</f>
        <v>4441401.0475011114</v>
      </c>
      <c r="C1552" s="241">
        <f>+B1552/$B$1560</f>
        <v>0.57490458707052661</v>
      </c>
      <c r="D1552" s="242">
        <v>43270.9775011116</v>
      </c>
      <c r="E1552" s="242">
        <v>1726040.38</v>
      </c>
      <c r="F1552" s="442">
        <v>2672089.69</v>
      </c>
      <c r="H1552" s="250">
        <f>SUM(J1552:L1552)</f>
        <v>365146.30888724979</v>
      </c>
      <c r="I1552" s="241">
        <f>+H1552/$H$1560</f>
        <v>1.0062176649713679</v>
      </c>
      <c r="J1552" s="242">
        <f>+D1552-D1541</f>
        <v>1927.7288872502177</v>
      </c>
      <c r="K1552" s="849">
        <f>+E1552-E1541</f>
        <v>95908.35999999987</v>
      </c>
      <c r="L1552" s="242">
        <f>+F1552-F1541</f>
        <v>267310.21999999974</v>
      </c>
    </row>
    <row r="1553" spans="1:12" ht="15.5">
      <c r="A1553" s="180" t="s">
        <v>8</v>
      </c>
      <c r="B1553" s="250">
        <f t="shared" ref="B1553:B1558" si="940">SUM(D1553:F1553)</f>
        <v>0</v>
      </c>
      <c r="C1553" s="241">
        <f t="shared" ref="C1553:C1559" si="941">+B1553/$B$1560</f>
        <v>0</v>
      </c>
      <c r="D1553" s="242">
        <v>0</v>
      </c>
      <c r="F1553" s="242"/>
      <c r="G1553" s="32"/>
      <c r="H1553" s="250">
        <f t="shared" ref="H1553:H1558" si="942">SUM(J1553:L1553)</f>
        <v>0</v>
      </c>
      <c r="I1553" s="241">
        <f t="shared" ref="I1553:I1558" si="943">+H1553/$H$1560</f>
        <v>0</v>
      </c>
      <c r="J1553" s="242">
        <f t="shared" ref="J1553" si="944">+D1553-D1542</f>
        <v>0</v>
      </c>
      <c r="K1553" s="849">
        <f t="shared" ref="K1553:K1558" si="945">+E1553-E1542</f>
        <v>0</v>
      </c>
      <c r="L1553" s="242">
        <f>+F1553-F1542</f>
        <v>0</v>
      </c>
    </row>
    <row r="1554" spans="1:12" ht="15.5">
      <c r="A1554" s="180" t="s">
        <v>9</v>
      </c>
      <c r="B1554" s="250">
        <f t="shared" si="940"/>
        <v>539437.07870093582</v>
      </c>
      <c r="C1554" s="241">
        <f t="shared" si="941"/>
        <v>6.9825905759080195E-2</v>
      </c>
      <c r="D1554" s="242">
        <v>539437.07870093582</v>
      </c>
      <c r="E1554" s="242"/>
      <c r="F1554" s="242"/>
      <c r="H1554" s="250">
        <f t="shared" si="942"/>
        <v>-2256.3283206294291</v>
      </c>
      <c r="I1554" s="241">
        <f t="shared" si="943"/>
        <v>-6.2176649713678329E-3</v>
      </c>
      <c r="J1554" s="242">
        <f>+D1554-D1543</f>
        <v>-2256.3283206294291</v>
      </c>
      <c r="K1554" s="849">
        <f t="shared" si="945"/>
        <v>0</v>
      </c>
      <c r="L1554" s="242">
        <f t="shared" ref="L1554:L1558" si="946">+F1554-F1543</f>
        <v>0</v>
      </c>
    </row>
    <row r="1555" spans="1:12" ht="15.5">
      <c r="A1555" s="180" t="s">
        <v>162</v>
      </c>
      <c r="B1555" s="250">
        <f t="shared" si="940"/>
        <v>0</v>
      </c>
      <c r="C1555" s="241">
        <f t="shared" si="941"/>
        <v>0</v>
      </c>
      <c r="D1555" s="242">
        <v>0</v>
      </c>
      <c r="E1555" s="242"/>
      <c r="F1555" s="242"/>
      <c r="H1555" s="250">
        <f t="shared" si="942"/>
        <v>0</v>
      </c>
      <c r="I1555" s="241">
        <f t="shared" si="943"/>
        <v>0</v>
      </c>
      <c r="J1555" s="242">
        <f t="shared" ref="J1555:J1558" si="947">+D1555-D1544</f>
        <v>0</v>
      </c>
      <c r="K1555" s="849">
        <f t="shared" si="945"/>
        <v>0</v>
      </c>
      <c r="L1555" s="242">
        <f t="shared" si="946"/>
        <v>0</v>
      </c>
    </row>
    <row r="1556" spans="1:12" ht="15.5">
      <c r="A1556" s="180" t="s">
        <v>11</v>
      </c>
      <c r="B1556" s="250">
        <f t="shared" si="940"/>
        <v>0</v>
      </c>
      <c r="C1556" s="241">
        <f t="shared" si="941"/>
        <v>0</v>
      </c>
      <c r="D1556" s="242">
        <v>0</v>
      </c>
      <c r="E1556" s="242"/>
      <c r="F1556" s="242"/>
      <c r="H1556" s="250">
        <f t="shared" si="942"/>
        <v>0</v>
      </c>
      <c r="I1556" s="241">
        <f t="shared" si="943"/>
        <v>0</v>
      </c>
      <c r="J1556" s="242">
        <f t="shared" si="947"/>
        <v>0</v>
      </c>
      <c r="K1556" s="849">
        <f t="shared" si="945"/>
        <v>0</v>
      </c>
      <c r="L1556" s="242">
        <f t="shared" si="946"/>
        <v>0</v>
      </c>
    </row>
    <row r="1557" spans="1:12" ht="15.5">
      <c r="A1557" s="180" t="s">
        <v>12</v>
      </c>
      <c r="B1557" s="250">
        <f t="shared" si="940"/>
        <v>9475.2475247524744</v>
      </c>
      <c r="C1557" s="241">
        <f t="shared" si="941"/>
        <v>1.2264965958599322E-3</v>
      </c>
      <c r="D1557" s="242">
        <v>9475.2475247524744</v>
      </c>
      <c r="E1557" s="242"/>
      <c r="F1557" s="242"/>
      <c r="H1557" s="250">
        <f t="shared" si="942"/>
        <v>0</v>
      </c>
      <c r="I1557" s="241">
        <f t="shared" si="943"/>
        <v>0</v>
      </c>
      <c r="J1557" s="242">
        <f t="shared" si="947"/>
        <v>0</v>
      </c>
      <c r="K1557" s="849">
        <f t="shared" si="945"/>
        <v>0</v>
      </c>
      <c r="L1557" s="242">
        <f t="shared" si="946"/>
        <v>0</v>
      </c>
    </row>
    <row r="1558" spans="1:12" ht="15.5">
      <c r="A1558" s="180" t="s">
        <v>13</v>
      </c>
      <c r="B1558" s="250">
        <f t="shared" si="940"/>
        <v>2735144.2889657775</v>
      </c>
      <c r="C1558" s="241">
        <f t="shared" si="941"/>
        <v>0.35404301057453336</v>
      </c>
      <c r="D1558" s="242">
        <v>2735144.2889657775</v>
      </c>
      <c r="E1558" s="242">
        <v>0</v>
      </c>
      <c r="F1558" s="242">
        <v>0</v>
      </c>
      <c r="H1558" s="250">
        <f t="shared" si="942"/>
        <v>0</v>
      </c>
      <c r="I1558" s="241">
        <f t="shared" si="943"/>
        <v>0</v>
      </c>
      <c r="J1558" s="242">
        <f t="shared" si="947"/>
        <v>0</v>
      </c>
      <c r="K1558" s="849">
        <f t="shared" si="945"/>
        <v>0</v>
      </c>
      <c r="L1558" s="242">
        <f t="shared" si="946"/>
        <v>0</v>
      </c>
    </row>
    <row r="1559" spans="1:12" ht="15.5">
      <c r="A1559" s="180"/>
      <c r="B1559" s="242">
        <v>0</v>
      </c>
      <c r="C1559" s="241">
        <f t="shared" si="941"/>
        <v>0</v>
      </c>
      <c r="D1559" s="242"/>
      <c r="E1559" s="242"/>
      <c r="F1559" s="242"/>
      <c r="H1559" s="250"/>
      <c r="I1559" s="241">
        <f t="shared" ref="I1559" si="948">+H1559/$H$1549</f>
        <v>0</v>
      </c>
      <c r="J1559" s="242"/>
      <c r="K1559" s="242"/>
      <c r="L1559" s="242"/>
    </row>
    <row r="1560" spans="1:12" ht="15.5">
      <c r="A1560" s="180"/>
      <c r="B1560" s="243">
        <f>SUM(B1552:B1559)</f>
        <v>7725457.6626925766</v>
      </c>
      <c r="C1560" s="240">
        <f>SUM(C1552:C1559)</f>
        <v>1</v>
      </c>
      <c r="D1560" s="243">
        <f>SUM(D1552:D1559)</f>
        <v>3327327.5926925773</v>
      </c>
      <c r="E1560" s="243">
        <f>SUM(E1552:E1558)</f>
        <v>1726040.38</v>
      </c>
      <c r="F1560" s="243">
        <f>SUM(F1552:F1558)</f>
        <v>2672089.69</v>
      </c>
      <c r="G1560" s="32">
        <f>+B1560-B1549</f>
        <v>362889.9805666199</v>
      </c>
      <c r="H1560" s="243">
        <f>SUM(H1552:H1559)</f>
        <v>362889.98056662036</v>
      </c>
      <c r="I1560" s="240">
        <f>SUM(I1552:I1559)</f>
        <v>1</v>
      </c>
      <c r="J1560" s="243">
        <f>SUM(J1552:J1559)</f>
        <v>-328.5994333792114</v>
      </c>
      <c r="K1560" s="243">
        <f>SUM(K1552:K1559)</f>
        <v>95908.35999999987</v>
      </c>
      <c r="L1560" s="243">
        <f>SUM(L1552:L1559)</f>
        <v>267310.21999999974</v>
      </c>
    </row>
    <row r="1561" spans="1:12" ht="16" thickBot="1">
      <c r="A1561" s="180"/>
      <c r="B1561" s="334"/>
      <c r="C1561" s="335"/>
      <c r="D1561" s="334"/>
      <c r="E1561" s="334"/>
      <c r="F1561" s="334"/>
      <c r="G1561" s="32"/>
      <c r="H1561" s="334"/>
      <c r="I1561" s="335"/>
      <c r="J1561" s="334"/>
      <c r="K1561" s="334"/>
      <c r="L1561" s="334"/>
    </row>
    <row r="1562" spans="1:12" ht="16" thickBot="1">
      <c r="A1562" s="253">
        <v>44193</v>
      </c>
      <c r="B1562" s="251">
        <v>120</v>
      </c>
      <c r="C1562" s="238" t="s">
        <v>3</v>
      </c>
      <c r="D1562" s="238" t="s">
        <v>4</v>
      </c>
      <c r="E1562" s="238" t="s">
        <v>5</v>
      </c>
      <c r="F1562" s="238" t="s">
        <v>6</v>
      </c>
      <c r="H1562" s="251">
        <f>+B1562-B1551</f>
        <v>7.5499999999999972</v>
      </c>
      <c r="I1562" s="238" t="s">
        <v>3</v>
      </c>
      <c r="J1562" s="238" t="s">
        <v>4</v>
      </c>
      <c r="K1562" s="238" t="s">
        <v>5</v>
      </c>
      <c r="L1562" s="238" t="s">
        <v>114</v>
      </c>
    </row>
    <row r="1563" spans="1:12" ht="15.5">
      <c r="A1563" s="180" t="s">
        <v>7</v>
      </c>
      <c r="B1563" s="250">
        <f>SUM(D1563:F1563)</f>
        <v>4616216.9275011113</v>
      </c>
      <c r="C1563" s="241">
        <f>+B1563/$B$1571</f>
        <v>0.58424835507716899</v>
      </c>
      <c r="D1563" s="242">
        <v>43270.9775011116</v>
      </c>
      <c r="E1563" s="242">
        <v>1807927.2</v>
      </c>
      <c r="F1563" s="442">
        <v>2765018.75</v>
      </c>
      <c r="H1563" s="250">
        <f>SUM(J1563:L1563)</f>
        <v>174815.88000000012</v>
      </c>
      <c r="I1563" s="241">
        <f>+H1563/$H$1571</f>
        <v>0.99517586749332243</v>
      </c>
      <c r="J1563" s="242">
        <f>+D1563-D1552</f>
        <v>0</v>
      </c>
      <c r="K1563" s="849">
        <f>+E1563-E1552</f>
        <v>81886.820000000065</v>
      </c>
      <c r="L1563" s="242">
        <f>+F1563-F1552</f>
        <v>92929.060000000056</v>
      </c>
    </row>
    <row r="1564" spans="1:12" ht="15.5">
      <c r="A1564" s="180" t="s">
        <v>8</v>
      </c>
      <c r="B1564" s="250">
        <f t="shared" ref="B1564:B1569" si="949">SUM(D1564:F1564)</f>
        <v>0</v>
      </c>
      <c r="C1564" s="241">
        <f t="shared" ref="C1564:C1570" si="950">+B1564/$B$1571</f>
        <v>0</v>
      </c>
      <c r="D1564" s="242">
        <v>0</v>
      </c>
      <c r="F1564" s="242"/>
      <c r="G1564" s="32"/>
      <c r="H1564" s="250">
        <f t="shared" ref="H1564:H1569" si="951">SUM(J1564:L1564)</f>
        <v>0</v>
      </c>
      <c r="I1564" s="241">
        <f t="shared" ref="I1564:I1570" si="952">+H1564/$H$1571</f>
        <v>0</v>
      </c>
      <c r="J1564" s="242">
        <f t="shared" ref="J1564" si="953">+D1564-D1553</f>
        <v>0</v>
      </c>
      <c r="K1564" s="849">
        <f t="shared" ref="K1564:K1569" si="954">+E1564-E1553</f>
        <v>0</v>
      </c>
      <c r="L1564" s="242">
        <f>+F1564-F1553</f>
        <v>0</v>
      </c>
    </row>
    <row r="1565" spans="1:12" ht="15.5">
      <c r="A1565" s="180" t="s">
        <v>9</v>
      </c>
      <c r="B1565" s="250">
        <f t="shared" si="949"/>
        <v>541784.74927616445</v>
      </c>
      <c r="C1565" s="241">
        <f t="shared" si="950"/>
        <v>6.857061822305778E-2</v>
      </c>
      <c r="D1565" s="242">
        <v>541784.74927616445</v>
      </c>
      <c r="E1565" s="242"/>
      <c r="F1565" s="242"/>
      <c r="H1565" s="250">
        <f t="shared" si="951"/>
        <v>2347.6705752286362</v>
      </c>
      <c r="I1565" s="241">
        <f t="shared" si="952"/>
        <v>1.3364604527298686E-2</v>
      </c>
      <c r="J1565" s="242">
        <f>+D1565-D1554</f>
        <v>2347.6705752286362</v>
      </c>
      <c r="K1565" s="849">
        <f t="shared" si="954"/>
        <v>0</v>
      </c>
      <c r="L1565" s="242">
        <f t="shared" ref="L1565:L1569" si="955">+F1565-F1554</f>
        <v>0</v>
      </c>
    </row>
    <row r="1566" spans="1:12" ht="15.5">
      <c r="A1566" s="180" t="s">
        <v>162</v>
      </c>
      <c r="B1566" s="250">
        <f t="shared" si="949"/>
        <v>0</v>
      </c>
      <c r="C1566" s="241">
        <f t="shared" si="950"/>
        <v>0</v>
      </c>
      <c r="D1566" s="242">
        <v>0</v>
      </c>
      <c r="E1566" s="242"/>
      <c r="F1566" s="242"/>
      <c r="H1566" s="250">
        <f t="shared" si="951"/>
        <v>0</v>
      </c>
      <c r="I1566" s="241">
        <f t="shared" si="952"/>
        <v>0</v>
      </c>
      <c r="J1566" s="242">
        <f t="shared" ref="J1566:J1569" si="956">+D1566-D1555</f>
        <v>0</v>
      </c>
      <c r="K1566" s="849">
        <f t="shared" si="954"/>
        <v>0</v>
      </c>
      <c r="L1566" s="242">
        <f t="shared" si="955"/>
        <v>0</v>
      </c>
    </row>
    <row r="1567" spans="1:12" ht="15.5">
      <c r="A1567" s="180" t="s">
        <v>11</v>
      </c>
      <c r="B1567" s="250">
        <f t="shared" si="949"/>
        <v>0</v>
      </c>
      <c r="C1567" s="241">
        <f t="shared" si="950"/>
        <v>0</v>
      </c>
      <c r="D1567" s="242">
        <v>0</v>
      </c>
      <c r="E1567" s="242"/>
      <c r="F1567" s="242"/>
      <c r="H1567" s="250">
        <f t="shared" si="951"/>
        <v>0</v>
      </c>
      <c r="I1567" s="241">
        <f t="shared" si="952"/>
        <v>0</v>
      </c>
      <c r="J1567" s="242">
        <f t="shared" si="956"/>
        <v>0</v>
      </c>
      <c r="K1567" s="849">
        <f t="shared" si="954"/>
        <v>0</v>
      </c>
      <c r="L1567" s="242">
        <f t="shared" si="955"/>
        <v>0</v>
      </c>
    </row>
    <row r="1568" spans="1:12" ht="15.5">
      <c r="A1568" s="180" t="s">
        <v>12</v>
      </c>
      <c r="B1568" s="250">
        <f t="shared" si="949"/>
        <v>7975</v>
      </c>
      <c r="C1568" s="241">
        <f t="shared" si="950"/>
        <v>1.0093504497117897E-3</v>
      </c>
      <c r="D1568" s="242">
        <v>7975</v>
      </c>
      <c r="E1568" s="242"/>
      <c r="F1568" s="242"/>
      <c r="H1568" s="250">
        <f t="shared" si="951"/>
        <v>-1500.2475247524744</v>
      </c>
      <c r="I1568" s="241">
        <f t="shared" si="952"/>
        <v>-8.5404720206210816E-3</v>
      </c>
      <c r="J1568" s="242">
        <f t="shared" si="956"/>
        <v>-1500.2475247524744</v>
      </c>
      <c r="K1568" s="849">
        <f t="shared" si="954"/>
        <v>0</v>
      </c>
      <c r="L1568" s="242">
        <f t="shared" si="955"/>
        <v>0</v>
      </c>
    </row>
    <row r="1569" spans="1:12" ht="15.5">
      <c r="A1569" s="180" t="s">
        <v>13</v>
      </c>
      <c r="B1569" s="250">
        <f t="shared" si="949"/>
        <v>2735144.2889657775</v>
      </c>
      <c r="C1569" s="241">
        <f t="shared" si="950"/>
        <v>0.34617167625006151</v>
      </c>
      <c r="D1569" s="242">
        <v>2735144.2889657775</v>
      </c>
      <c r="E1569" s="242">
        <v>0</v>
      </c>
      <c r="F1569" s="242">
        <v>0</v>
      </c>
      <c r="H1569" s="250">
        <f t="shared" si="951"/>
        <v>0</v>
      </c>
      <c r="I1569" s="241">
        <f t="shared" si="952"/>
        <v>0</v>
      </c>
      <c r="J1569" s="242">
        <f t="shared" si="956"/>
        <v>0</v>
      </c>
      <c r="K1569" s="849">
        <f t="shared" si="954"/>
        <v>0</v>
      </c>
      <c r="L1569" s="242">
        <f t="shared" si="955"/>
        <v>0</v>
      </c>
    </row>
    <row r="1570" spans="1:12" ht="15.5">
      <c r="A1570" s="180"/>
      <c r="B1570" s="242">
        <v>0</v>
      </c>
      <c r="C1570" s="241">
        <f t="shared" si="950"/>
        <v>0</v>
      </c>
      <c r="D1570" s="242"/>
      <c r="E1570" s="242"/>
      <c r="F1570" s="242"/>
      <c r="H1570" s="250"/>
      <c r="I1570" s="241">
        <f t="shared" si="952"/>
        <v>0</v>
      </c>
      <c r="J1570" s="242"/>
      <c r="K1570" s="242"/>
      <c r="L1570" s="242"/>
    </row>
    <row r="1571" spans="1:12" ht="15.5">
      <c r="A1571" s="180"/>
      <c r="B1571" s="243">
        <f>SUM(B1563:B1570)</f>
        <v>7901120.9657430528</v>
      </c>
      <c r="C1571" s="240">
        <f>SUM(C1563:C1570)</f>
        <v>1</v>
      </c>
      <c r="D1571" s="243">
        <f>SUM(D1563:D1570)</f>
        <v>3328175.0157430535</v>
      </c>
      <c r="E1571" s="243">
        <f>SUM(E1563:E1569)</f>
        <v>1807927.2</v>
      </c>
      <c r="F1571" s="243">
        <f>SUM(F1563:F1569)</f>
        <v>2765018.75</v>
      </c>
      <c r="G1571" s="32">
        <f>+B1571-B1560</f>
        <v>175663.30305047613</v>
      </c>
      <c r="H1571" s="243">
        <f>SUM(H1563:H1570)</f>
        <v>175663.30305047627</v>
      </c>
      <c r="I1571" s="240">
        <f>SUM(I1563:I1570)</f>
        <v>1</v>
      </c>
      <c r="J1571" s="243">
        <f>SUM(J1563:J1570)</f>
        <v>847.42305047616173</v>
      </c>
      <c r="K1571" s="243">
        <f>SUM(K1563:K1570)</f>
        <v>81886.820000000065</v>
      </c>
      <c r="L1571" s="243">
        <f>SUM(L1563:L1570)</f>
        <v>92929.060000000056</v>
      </c>
    </row>
    <row r="1572" spans="1:12" ht="16" thickBot="1">
      <c r="A1572" s="180"/>
      <c r="B1572" s="334"/>
      <c r="C1572" s="335"/>
      <c r="D1572" s="334"/>
      <c r="E1572" s="334"/>
      <c r="F1572" s="334"/>
      <c r="G1572" s="32"/>
      <c r="H1572" s="334"/>
      <c r="I1572" s="335"/>
      <c r="J1572" s="334"/>
      <c r="K1572" s="334"/>
      <c r="L1572" s="334"/>
    </row>
    <row r="1573" spans="1:12" ht="16" thickBot="1">
      <c r="A1573" s="253">
        <v>44224</v>
      </c>
      <c r="B1573" s="251">
        <v>120</v>
      </c>
      <c r="C1573" s="238" t="s">
        <v>3</v>
      </c>
      <c r="D1573" s="238" t="s">
        <v>4</v>
      </c>
      <c r="E1573" s="238" t="s">
        <v>5</v>
      </c>
      <c r="F1573" s="238" t="s">
        <v>6</v>
      </c>
      <c r="H1573" s="251">
        <f>+B1573-B1562</f>
        <v>0</v>
      </c>
      <c r="I1573" s="238" t="s">
        <v>3</v>
      </c>
      <c r="J1573" s="238" t="s">
        <v>4</v>
      </c>
      <c r="K1573" s="238" t="s">
        <v>5</v>
      </c>
      <c r="L1573" s="238" t="s">
        <v>114</v>
      </c>
    </row>
    <row r="1574" spans="1:12" ht="15.5">
      <c r="A1574" s="180" t="s">
        <v>7</v>
      </c>
      <c r="B1574" s="250">
        <f>SUM(D1574:F1574)</f>
        <v>4548424.6075011119</v>
      </c>
      <c r="C1574" s="241">
        <f>+B1574/$B$1582</f>
        <v>0.58058367100937869</v>
      </c>
      <c r="D1574" s="242">
        <v>43270.9775011116</v>
      </c>
      <c r="E1574" s="242">
        <v>1724099.43</v>
      </c>
      <c r="F1574" s="442">
        <v>2781054.2</v>
      </c>
      <c r="H1574" s="250">
        <f>SUM(J1574:L1574)</f>
        <v>-67792.319999999832</v>
      </c>
      <c r="I1574" s="241">
        <f>+H1574/$H$1582</f>
        <v>1.0134383021124675</v>
      </c>
      <c r="J1574" s="242">
        <f>+D1574-D1563</f>
        <v>0</v>
      </c>
      <c r="K1574" s="849">
        <f>+E1574-E1563</f>
        <v>-83827.770000000019</v>
      </c>
      <c r="L1574" s="242">
        <f>+F1574-F1563</f>
        <v>16035.450000000186</v>
      </c>
    </row>
    <row r="1575" spans="1:12" ht="15.5">
      <c r="A1575" s="180" t="s">
        <v>8</v>
      </c>
      <c r="B1575" s="250">
        <f t="shared" ref="B1575:B1580" si="957">SUM(D1575:F1575)</f>
        <v>0</v>
      </c>
      <c r="C1575" s="241">
        <f t="shared" ref="C1575:C1581" si="958">+B1575/$B$1582</f>
        <v>0</v>
      </c>
      <c r="D1575" s="242">
        <v>0</v>
      </c>
      <c r="F1575" s="242"/>
      <c r="G1575" s="32"/>
      <c r="H1575" s="250">
        <f t="shared" ref="H1575:H1580" si="959">SUM(J1575:L1575)</f>
        <v>0</v>
      </c>
      <c r="I1575" s="241">
        <f t="shared" ref="I1575:I1581" si="960">+H1575/$H$1582</f>
        <v>0</v>
      </c>
      <c r="J1575" s="242">
        <f t="shared" ref="J1575" si="961">+D1575-D1564</f>
        <v>0</v>
      </c>
      <c r="K1575" s="849">
        <f t="shared" ref="K1575:K1580" si="962">+E1575-E1564</f>
        <v>0</v>
      </c>
      <c r="L1575" s="242">
        <f>+F1575-F1564</f>
        <v>0</v>
      </c>
    </row>
    <row r="1576" spans="1:12" ht="15.5">
      <c r="A1576" s="180" t="s">
        <v>9</v>
      </c>
      <c r="B1576" s="250">
        <f t="shared" si="957"/>
        <v>542683.68281278538</v>
      </c>
      <c r="C1576" s="241">
        <f t="shared" si="958"/>
        <v>6.9270860122585681E-2</v>
      </c>
      <c r="D1576" s="242">
        <v>542683.68281278538</v>
      </c>
      <c r="E1576" s="242"/>
      <c r="F1576" s="242"/>
      <c r="H1576" s="250">
        <f t="shared" si="959"/>
        <v>898.93353662092704</v>
      </c>
      <c r="I1576" s="241">
        <f t="shared" si="960"/>
        <v>-1.3438302112467462E-2</v>
      </c>
      <c r="J1576" s="242">
        <f>+D1576-D1565</f>
        <v>898.93353662092704</v>
      </c>
      <c r="K1576" s="849">
        <f t="shared" si="962"/>
        <v>0</v>
      </c>
      <c r="L1576" s="242">
        <f t="shared" ref="L1576:L1580" si="963">+F1576-F1565</f>
        <v>0</v>
      </c>
    </row>
    <row r="1577" spans="1:12" ht="15.5">
      <c r="A1577" s="180" t="s">
        <v>162</v>
      </c>
      <c r="B1577" s="250">
        <f t="shared" si="957"/>
        <v>0</v>
      </c>
      <c r="C1577" s="241">
        <f t="shared" si="958"/>
        <v>0</v>
      </c>
      <c r="D1577" s="242">
        <v>0</v>
      </c>
      <c r="E1577" s="242"/>
      <c r="F1577" s="242"/>
      <c r="H1577" s="250">
        <f t="shared" si="959"/>
        <v>0</v>
      </c>
      <c r="I1577" s="241">
        <f t="shared" si="960"/>
        <v>0</v>
      </c>
      <c r="J1577" s="242">
        <f t="shared" ref="J1577:J1580" si="964">+D1577-D1566</f>
        <v>0</v>
      </c>
      <c r="K1577" s="849">
        <f t="shared" si="962"/>
        <v>0</v>
      </c>
      <c r="L1577" s="242">
        <f t="shared" si="963"/>
        <v>0</v>
      </c>
    </row>
    <row r="1578" spans="1:12" ht="15.5">
      <c r="A1578" s="180" t="s">
        <v>11</v>
      </c>
      <c r="B1578" s="250">
        <f t="shared" si="957"/>
        <v>0</v>
      </c>
      <c r="C1578" s="241">
        <f t="shared" si="958"/>
        <v>0</v>
      </c>
      <c r="D1578" s="242">
        <v>0</v>
      </c>
      <c r="E1578" s="242"/>
      <c r="F1578" s="242"/>
      <c r="H1578" s="250">
        <f t="shared" si="959"/>
        <v>0</v>
      </c>
      <c r="I1578" s="241">
        <f t="shared" si="960"/>
        <v>0</v>
      </c>
      <c r="J1578" s="242">
        <f t="shared" si="964"/>
        <v>0</v>
      </c>
      <c r="K1578" s="849">
        <f t="shared" si="962"/>
        <v>0</v>
      </c>
      <c r="L1578" s="242">
        <f t="shared" si="963"/>
        <v>0</v>
      </c>
    </row>
    <row r="1579" spans="1:12" ht="15.5">
      <c r="A1579" s="180" t="s">
        <v>12</v>
      </c>
      <c r="B1579" s="250">
        <f t="shared" si="957"/>
        <v>7975</v>
      </c>
      <c r="C1579" s="241">
        <f t="shared" si="958"/>
        <v>1.0179688960137751E-3</v>
      </c>
      <c r="D1579" s="242">
        <v>7975</v>
      </c>
      <c r="E1579" s="242"/>
      <c r="F1579" s="242"/>
      <c r="H1579" s="250">
        <f t="shared" si="959"/>
        <v>0</v>
      </c>
      <c r="I1579" s="241">
        <f t="shared" si="960"/>
        <v>0</v>
      </c>
      <c r="J1579" s="242">
        <f t="shared" si="964"/>
        <v>0</v>
      </c>
      <c r="K1579" s="849">
        <f t="shared" si="962"/>
        <v>0</v>
      </c>
      <c r="L1579" s="242">
        <f t="shared" si="963"/>
        <v>0</v>
      </c>
    </row>
    <row r="1580" spans="1:12" ht="15.5">
      <c r="A1580" s="180" t="s">
        <v>13</v>
      </c>
      <c r="B1580" s="250">
        <f t="shared" si="957"/>
        <v>2735144.2889657775</v>
      </c>
      <c r="C1580" s="241">
        <f t="shared" si="958"/>
        <v>0.34912749997202186</v>
      </c>
      <c r="D1580" s="242">
        <v>2735144.2889657775</v>
      </c>
      <c r="E1580" s="242">
        <v>0</v>
      </c>
      <c r="F1580" s="242">
        <v>0</v>
      </c>
      <c r="H1580" s="250">
        <f t="shared" si="959"/>
        <v>0</v>
      </c>
      <c r="I1580" s="241">
        <f t="shared" si="960"/>
        <v>0</v>
      </c>
      <c r="J1580" s="242">
        <f t="shared" si="964"/>
        <v>0</v>
      </c>
      <c r="K1580" s="849">
        <f t="shared" si="962"/>
        <v>0</v>
      </c>
      <c r="L1580" s="242">
        <f t="shared" si="963"/>
        <v>0</v>
      </c>
    </row>
    <row r="1581" spans="1:12" ht="15.5">
      <c r="A1581" s="180"/>
      <c r="B1581" s="242">
        <v>0</v>
      </c>
      <c r="C1581" s="241">
        <f t="shared" si="958"/>
        <v>0</v>
      </c>
      <c r="D1581" s="242"/>
      <c r="E1581" s="242"/>
      <c r="F1581" s="242"/>
      <c r="H1581" s="250"/>
      <c r="I1581" s="241">
        <f t="shared" si="960"/>
        <v>0</v>
      </c>
      <c r="J1581" s="242"/>
      <c r="K1581" s="242"/>
      <c r="L1581" s="242"/>
    </row>
    <row r="1582" spans="1:12" ht="15.5">
      <c r="A1582" s="180"/>
      <c r="B1582" s="243">
        <f>SUM(B1574:B1581)</f>
        <v>7834227.5792796751</v>
      </c>
      <c r="C1582" s="240">
        <f>SUM(C1574:C1581)</f>
        <v>1</v>
      </c>
      <c r="D1582" s="243">
        <f>SUM(D1574:D1581)</f>
        <v>3329073.9492796743</v>
      </c>
      <c r="E1582" s="243">
        <f>SUM(E1574:E1580)</f>
        <v>1724099.43</v>
      </c>
      <c r="F1582" s="243">
        <f>SUM(F1574:F1580)</f>
        <v>2781054.2</v>
      </c>
      <c r="G1582" s="32">
        <f>+B1582-B1571</f>
        <v>-66893.386463377625</v>
      </c>
      <c r="H1582" s="243">
        <f>SUM(H1574:H1581)</f>
        <v>-66893.386463378905</v>
      </c>
      <c r="I1582" s="240">
        <f>SUM(I1574:I1581)</f>
        <v>1</v>
      </c>
      <c r="J1582" s="243">
        <f>SUM(J1574:J1581)</f>
        <v>898.93353662092704</v>
      </c>
      <c r="K1582" s="243">
        <f>SUM(K1574:K1581)</f>
        <v>-83827.770000000019</v>
      </c>
      <c r="L1582" s="243">
        <f>SUM(L1574:L1581)</f>
        <v>16035.450000000186</v>
      </c>
    </row>
    <row r="1583" spans="1:12" ht="16" thickBot="1">
      <c r="A1583" s="180"/>
      <c r="B1583" s="334"/>
      <c r="C1583" s="335"/>
      <c r="D1583" s="334"/>
      <c r="E1583" s="334"/>
      <c r="F1583" s="334"/>
    </row>
    <row r="1584" spans="1:12" ht="16" thickBot="1">
      <c r="A1584" s="253">
        <v>44255</v>
      </c>
      <c r="B1584" s="251">
        <v>120</v>
      </c>
      <c r="C1584" s="238" t="s">
        <v>3</v>
      </c>
      <c r="D1584" s="238" t="s">
        <v>4</v>
      </c>
      <c r="E1584" s="238" t="s">
        <v>5</v>
      </c>
      <c r="F1584" s="238" t="s">
        <v>6</v>
      </c>
      <c r="H1584" s="251">
        <f>+B1584-B1573</f>
        <v>0</v>
      </c>
      <c r="I1584" s="238" t="s">
        <v>3</v>
      </c>
      <c r="J1584" s="238" t="s">
        <v>4</v>
      </c>
      <c r="K1584" s="238" t="s">
        <v>5</v>
      </c>
      <c r="L1584" s="238" t="s">
        <v>114</v>
      </c>
    </row>
    <row r="1585" spans="1:12" ht="15.5">
      <c r="A1585" s="180" t="s">
        <v>7</v>
      </c>
      <c r="B1585" s="250">
        <f>SUM(D1585:F1585)</f>
        <v>4520537.6030000001</v>
      </c>
      <c r="C1585" s="241">
        <f>+B1585/$B$1593</f>
        <v>0.57867068465582294</v>
      </c>
      <c r="D1585" s="242">
        <v>35342.663000000008</v>
      </c>
      <c r="E1585" s="242">
        <v>1650109.7</v>
      </c>
      <c r="F1585" s="442">
        <v>2835085.24</v>
      </c>
      <c r="H1585" s="250">
        <f>SUM(J1585:L1585)</f>
        <v>-27887.004501111544</v>
      </c>
      <c r="I1585" s="241">
        <f>+H1585/$H$1593</f>
        <v>1.2509379227915658</v>
      </c>
      <c r="J1585" s="242">
        <f>+D1585-D1574</f>
        <v>-7928.3145011115921</v>
      </c>
      <c r="K1585" s="849">
        <f>+E1585-E1574</f>
        <v>-73989.729999999981</v>
      </c>
      <c r="L1585" s="242">
        <f>+F1585-F1574</f>
        <v>54031.040000000037</v>
      </c>
    </row>
    <row r="1586" spans="1:12" ht="15.5">
      <c r="A1586" s="180" t="s">
        <v>8</v>
      </c>
      <c r="B1586" s="250">
        <f t="shared" ref="B1586:B1591" si="965">SUM(D1586:F1586)</f>
        <v>0</v>
      </c>
      <c r="C1586" s="241">
        <f t="shared" ref="C1586:C1592" si="966">+B1586/$B$1593</f>
        <v>0</v>
      </c>
      <c r="D1586" s="242">
        <v>0</v>
      </c>
      <c r="F1586" s="242"/>
      <c r="G1586" s="32"/>
      <c r="H1586" s="250">
        <f t="shared" ref="H1586:H1591" si="967">SUM(J1586:L1586)</f>
        <v>0</v>
      </c>
      <c r="I1586" s="241">
        <f t="shared" ref="I1586:I1592" si="968">+H1586/$H$1593</f>
        <v>0</v>
      </c>
      <c r="J1586" s="242">
        <f t="shared" ref="J1586:J1591" si="969">+D1586-D1575</f>
        <v>0</v>
      </c>
      <c r="K1586" s="849">
        <f>+E1586-E1575</f>
        <v>0</v>
      </c>
      <c r="L1586" s="242">
        <f t="shared" ref="L1586" si="970">+F1586-F1575</f>
        <v>0</v>
      </c>
    </row>
    <row r="1587" spans="1:12" ht="15.5">
      <c r="A1587" s="180" t="s">
        <v>9</v>
      </c>
      <c r="B1587" s="250">
        <f t="shared" si="965"/>
        <v>548277.81091050233</v>
      </c>
      <c r="C1587" s="241">
        <f t="shared" si="966"/>
        <v>7.0184638218830947E-2</v>
      </c>
      <c r="D1587" s="242">
        <v>548277.81091050233</v>
      </c>
      <c r="E1587" s="242"/>
      <c r="F1587" s="242"/>
      <c r="H1587" s="250">
        <f t="shared" si="967"/>
        <v>5594.1280977169517</v>
      </c>
      <c r="I1587" s="241">
        <f t="shared" si="968"/>
        <v>-0.25093792279156585</v>
      </c>
      <c r="J1587" s="242">
        <f t="shared" si="969"/>
        <v>5594.1280977169517</v>
      </c>
      <c r="K1587" s="849">
        <f t="shared" ref="K1587:L1587" si="971">+E1587-E1576</f>
        <v>0</v>
      </c>
      <c r="L1587" s="242">
        <f t="shared" si="971"/>
        <v>0</v>
      </c>
    </row>
    <row r="1588" spans="1:12" ht="15.5">
      <c r="A1588" s="180" t="s">
        <v>162</v>
      </c>
      <c r="B1588" s="250">
        <f t="shared" si="965"/>
        <v>0</v>
      </c>
      <c r="C1588" s="241">
        <f t="shared" si="966"/>
        <v>0</v>
      </c>
      <c r="D1588" s="242">
        <v>0</v>
      </c>
      <c r="E1588" s="242"/>
      <c r="F1588" s="242"/>
      <c r="H1588" s="250">
        <f t="shared" si="967"/>
        <v>0</v>
      </c>
      <c r="I1588" s="241">
        <f t="shared" si="968"/>
        <v>0</v>
      </c>
      <c r="J1588" s="242">
        <f t="shared" si="969"/>
        <v>0</v>
      </c>
      <c r="K1588" s="849">
        <f t="shared" ref="K1588:L1588" si="972">+E1588-E1577</f>
        <v>0</v>
      </c>
      <c r="L1588" s="242">
        <f t="shared" si="972"/>
        <v>0</v>
      </c>
    </row>
    <row r="1589" spans="1:12" ht="15.5">
      <c r="A1589" s="180" t="s">
        <v>11</v>
      </c>
      <c r="B1589" s="250">
        <f t="shared" si="965"/>
        <v>0</v>
      </c>
      <c r="C1589" s="241">
        <f t="shared" si="966"/>
        <v>0</v>
      </c>
      <c r="D1589" s="242">
        <v>0</v>
      </c>
      <c r="E1589" s="242"/>
      <c r="F1589" s="242"/>
      <c r="H1589" s="250">
        <f t="shared" si="967"/>
        <v>0</v>
      </c>
      <c r="I1589" s="241">
        <f t="shared" si="968"/>
        <v>0</v>
      </c>
      <c r="J1589" s="242">
        <f t="shared" si="969"/>
        <v>0</v>
      </c>
      <c r="K1589" s="849">
        <f t="shared" ref="K1589:L1589" si="973">+E1589-E1578</f>
        <v>0</v>
      </c>
      <c r="L1589" s="242">
        <f t="shared" si="973"/>
        <v>0</v>
      </c>
    </row>
    <row r="1590" spans="1:12" ht="15.5">
      <c r="A1590" s="180" t="s">
        <v>12</v>
      </c>
      <c r="B1590" s="250">
        <f t="shared" si="965"/>
        <v>7975</v>
      </c>
      <c r="C1590" s="241">
        <f t="shared" si="966"/>
        <v>1.0208738684238721E-3</v>
      </c>
      <c r="D1590" s="242">
        <v>7975</v>
      </c>
      <c r="E1590" s="242"/>
      <c r="F1590" s="242"/>
      <c r="H1590" s="250">
        <f t="shared" si="967"/>
        <v>0</v>
      </c>
      <c r="I1590" s="241">
        <f t="shared" si="968"/>
        <v>0</v>
      </c>
      <c r="J1590" s="242">
        <f t="shared" si="969"/>
        <v>0</v>
      </c>
      <c r="K1590" s="849">
        <f t="shared" ref="K1590:L1590" si="974">+E1590-E1579</f>
        <v>0</v>
      </c>
      <c r="L1590" s="242">
        <f t="shared" si="974"/>
        <v>0</v>
      </c>
    </row>
    <row r="1591" spans="1:12" ht="15.5">
      <c r="A1591" s="180" t="s">
        <v>13</v>
      </c>
      <c r="B1591" s="250">
        <f t="shared" si="965"/>
        <v>2735144.2889657775</v>
      </c>
      <c r="C1591" s="241">
        <f t="shared" si="966"/>
        <v>0.35012380325692216</v>
      </c>
      <c r="D1591" s="242">
        <v>2735144.2889657775</v>
      </c>
      <c r="E1591" s="242">
        <v>0</v>
      </c>
      <c r="F1591" s="242">
        <v>0</v>
      </c>
      <c r="H1591" s="250">
        <f t="shared" si="967"/>
        <v>0</v>
      </c>
      <c r="I1591" s="241">
        <f t="shared" si="968"/>
        <v>0</v>
      </c>
      <c r="J1591" s="242">
        <f t="shared" si="969"/>
        <v>0</v>
      </c>
      <c r="K1591" s="849">
        <f t="shared" ref="K1591:L1591" si="975">+E1591-E1580</f>
        <v>0</v>
      </c>
      <c r="L1591" s="242">
        <f t="shared" si="975"/>
        <v>0</v>
      </c>
    </row>
    <row r="1592" spans="1:12" ht="15.5">
      <c r="A1592" s="180"/>
      <c r="B1592" s="242">
        <v>0</v>
      </c>
      <c r="C1592" s="241">
        <f t="shared" si="966"/>
        <v>0</v>
      </c>
      <c r="D1592" s="242"/>
      <c r="E1592" s="242"/>
      <c r="F1592" s="242"/>
      <c r="H1592" s="250"/>
      <c r="I1592" s="241">
        <f t="shared" si="968"/>
        <v>0</v>
      </c>
      <c r="J1592" s="242"/>
      <c r="K1592" s="242"/>
      <c r="L1592" s="242"/>
    </row>
    <row r="1593" spans="1:12" ht="15.5">
      <c r="A1593" s="180"/>
      <c r="B1593" s="243">
        <f>SUM(B1585:B1592)</f>
        <v>7811934.7028762801</v>
      </c>
      <c r="C1593" s="240">
        <f>SUM(C1585:C1592)</f>
        <v>0.99999999999999989</v>
      </c>
      <c r="D1593" s="243">
        <f>SUM(D1585:D1592)</f>
        <v>3326739.7628762797</v>
      </c>
      <c r="E1593" s="243">
        <f>SUM(E1585:E1591)</f>
        <v>1650109.7</v>
      </c>
      <c r="F1593" s="243">
        <f>SUM(F1585:F1591)</f>
        <v>2835085.24</v>
      </c>
      <c r="G1593" s="32">
        <f>+B1593-B1582</f>
        <v>-22292.876403395087</v>
      </c>
      <c r="H1593" s="243">
        <f>SUM(H1585:H1592)</f>
        <v>-22292.876403394592</v>
      </c>
      <c r="I1593" s="240">
        <f>SUM(I1585:I1592)</f>
        <v>1</v>
      </c>
      <c r="J1593" s="243">
        <f>SUM(J1585:J1592)</f>
        <v>-2334.1864033946404</v>
      </c>
      <c r="K1593" s="243">
        <f>SUM(K1585:K1592)</f>
        <v>-73989.729999999981</v>
      </c>
      <c r="L1593" s="243">
        <f>SUM(L1585:L1592)</f>
        <v>54031.040000000037</v>
      </c>
    </row>
    <row r="1594" spans="1:12" ht="16" thickBot="1">
      <c r="A1594" s="180"/>
      <c r="B1594" s="334"/>
      <c r="C1594" s="335"/>
      <c r="D1594" s="334"/>
      <c r="E1594" s="334"/>
      <c r="F1594" s="334"/>
    </row>
    <row r="1595" spans="1:12" ht="16" thickBot="1">
      <c r="A1595" s="253">
        <v>44283</v>
      </c>
      <c r="B1595" s="251">
        <v>120</v>
      </c>
      <c r="C1595" s="238" t="s">
        <v>3</v>
      </c>
      <c r="D1595" s="238" t="s">
        <v>4</v>
      </c>
      <c r="E1595" s="238" t="s">
        <v>5</v>
      </c>
      <c r="F1595" s="238" t="s">
        <v>6</v>
      </c>
      <c r="H1595" s="251">
        <f>+B1595-B1584</f>
        <v>0</v>
      </c>
      <c r="I1595" s="238" t="s">
        <v>3</v>
      </c>
      <c r="J1595" s="238" t="s">
        <v>4</v>
      </c>
      <c r="K1595" s="238" t="s">
        <v>5</v>
      </c>
      <c r="L1595" s="238" t="s">
        <v>114</v>
      </c>
    </row>
    <row r="1596" spans="1:12" ht="15.5">
      <c r="A1596" s="180" t="s">
        <v>7</v>
      </c>
      <c r="B1596" s="250">
        <f>SUM(D1596:F1596)</f>
        <v>4550613.9824999999</v>
      </c>
      <c r="C1596" s="241">
        <f>+B1596/$B$1604</f>
        <v>0.58028660437968627</v>
      </c>
      <c r="D1596" s="242">
        <v>35780.4925</v>
      </c>
      <c r="E1596" s="242">
        <v>1599621.41</v>
      </c>
      <c r="F1596" s="442">
        <v>2915212.08</v>
      </c>
      <c r="H1596" s="250">
        <f>SUM(J1596:L1596)</f>
        <v>30076.379499999806</v>
      </c>
      <c r="I1596" s="241">
        <f>+H1596/$H$1604</f>
        <v>1</v>
      </c>
      <c r="J1596" s="242">
        <f>+D1596-D1585</f>
        <v>437.82949999999255</v>
      </c>
      <c r="K1596" s="849">
        <f>+E1596-E1585</f>
        <v>-50488.290000000037</v>
      </c>
      <c r="L1596" s="242">
        <f>+F1596-F1585</f>
        <v>80126.839999999851</v>
      </c>
    </row>
    <row r="1597" spans="1:12" ht="15.5">
      <c r="A1597" s="180" t="s">
        <v>8</v>
      </c>
      <c r="B1597" s="250">
        <f t="shared" ref="B1597:B1602" si="976">SUM(D1597:F1597)</f>
        <v>0</v>
      </c>
      <c r="C1597" s="241">
        <f t="shared" ref="C1597:C1603" si="977">+B1597/$B$1604</f>
        <v>0</v>
      </c>
      <c r="D1597" s="242">
        <v>0</v>
      </c>
      <c r="F1597" s="242"/>
      <c r="G1597" s="32"/>
      <c r="H1597" s="250">
        <f t="shared" ref="H1597:H1602" si="978">SUM(J1597:L1597)</f>
        <v>0</v>
      </c>
      <c r="I1597" s="241">
        <f t="shared" ref="I1597:I1603" si="979">+H1597/$H$1604</f>
        <v>0</v>
      </c>
      <c r="J1597" s="242">
        <f t="shared" ref="J1597:J1602" si="980">+D1597-D1586</f>
        <v>0</v>
      </c>
      <c r="K1597" s="849">
        <f>+E1597-E1586</f>
        <v>0</v>
      </c>
      <c r="L1597" s="242">
        <f t="shared" ref="L1597:L1602" si="981">+F1597-F1586</f>
        <v>0</v>
      </c>
    </row>
    <row r="1598" spans="1:12" ht="15.5">
      <c r="A1598" s="180" t="s">
        <v>9</v>
      </c>
      <c r="B1598" s="250">
        <f t="shared" si="976"/>
        <v>548277.81091050233</v>
      </c>
      <c r="C1598" s="241">
        <f t="shared" si="977"/>
        <v>6.9915459842013333E-2</v>
      </c>
      <c r="D1598" s="242">
        <v>548277.81091050233</v>
      </c>
      <c r="E1598" s="242"/>
      <c r="F1598" s="242"/>
      <c r="H1598" s="250">
        <f t="shared" si="978"/>
        <v>0</v>
      </c>
      <c r="I1598" s="241">
        <f t="shared" si="979"/>
        <v>0</v>
      </c>
      <c r="J1598" s="242">
        <f t="shared" si="980"/>
        <v>0</v>
      </c>
      <c r="K1598" s="849">
        <f t="shared" ref="K1598:K1602" si="982">+E1598-E1587</f>
        <v>0</v>
      </c>
      <c r="L1598" s="242">
        <f t="shared" si="981"/>
        <v>0</v>
      </c>
    </row>
    <row r="1599" spans="1:12" ht="15.5">
      <c r="A1599" s="180" t="s">
        <v>162</v>
      </c>
      <c r="B1599" s="250">
        <f t="shared" si="976"/>
        <v>0</v>
      </c>
      <c r="C1599" s="241">
        <f t="shared" si="977"/>
        <v>0</v>
      </c>
      <c r="D1599" s="242">
        <v>0</v>
      </c>
      <c r="E1599" s="242"/>
      <c r="F1599" s="242"/>
      <c r="H1599" s="250">
        <f t="shared" si="978"/>
        <v>0</v>
      </c>
      <c r="I1599" s="241">
        <f t="shared" si="979"/>
        <v>0</v>
      </c>
      <c r="J1599" s="242">
        <f t="shared" si="980"/>
        <v>0</v>
      </c>
      <c r="K1599" s="849">
        <f t="shared" si="982"/>
        <v>0</v>
      </c>
      <c r="L1599" s="242">
        <f t="shared" si="981"/>
        <v>0</v>
      </c>
    </row>
    <row r="1600" spans="1:12" ht="15.5">
      <c r="A1600" s="180" t="s">
        <v>11</v>
      </c>
      <c r="B1600" s="250">
        <f t="shared" si="976"/>
        <v>0</v>
      </c>
      <c r="C1600" s="241">
        <f t="shared" si="977"/>
        <v>0</v>
      </c>
      <c r="D1600" s="242">
        <v>0</v>
      </c>
      <c r="E1600" s="242"/>
      <c r="F1600" s="242"/>
      <c r="H1600" s="250">
        <f t="shared" si="978"/>
        <v>0</v>
      </c>
      <c r="I1600" s="241">
        <f t="shared" si="979"/>
        <v>0</v>
      </c>
      <c r="J1600" s="242">
        <f t="shared" si="980"/>
        <v>0</v>
      </c>
      <c r="K1600" s="849">
        <f t="shared" si="982"/>
        <v>0</v>
      </c>
      <c r="L1600" s="242">
        <f t="shared" si="981"/>
        <v>0</v>
      </c>
    </row>
    <row r="1601" spans="1:12" ht="15.5">
      <c r="A1601" s="180" t="s">
        <v>12</v>
      </c>
      <c r="B1601" s="250">
        <f t="shared" si="976"/>
        <v>7975</v>
      </c>
      <c r="C1601" s="241">
        <f t="shared" si="977"/>
        <v>1.0169585220202752E-3</v>
      </c>
      <c r="D1601" s="242">
        <v>7975</v>
      </c>
      <c r="E1601" s="242"/>
      <c r="F1601" s="242"/>
      <c r="H1601" s="250">
        <f t="shared" si="978"/>
        <v>0</v>
      </c>
      <c r="I1601" s="241">
        <f t="shared" si="979"/>
        <v>0</v>
      </c>
      <c r="J1601" s="242">
        <f t="shared" si="980"/>
        <v>0</v>
      </c>
      <c r="K1601" s="849">
        <f t="shared" si="982"/>
        <v>0</v>
      </c>
      <c r="L1601" s="242">
        <f t="shared" si="981"/>
        <v>0</v>
      </c>
    </row>
    <row r="1602" spans="1:12" ht="15.5">
      <c r="A1602" s="180" t="s">
        <v>13</v>
      </c>
      <c r="B1602" s="250">
        <f t="shared" si="976"/>
        <v>2735144.2889657775</v>
      </c>
      <c r="C1602" s="241">
        <f t="shared" si="977"/>
        <v>0.34878097725628004</v>
      </c>
      <c r="D1602" s="242">
        <v>2735144.2889657775</v>
      </c>
      <c r="E1602" s="242">
        <v>0</v>
      </c>
      <c r="F1602" s="242">
        <v>0</v>
      </c>
      <c r="H1602" s="250">
        <f t="shared" si="978"/>
        <v>0</v>
      </c>
      <c r="I1602" s="241">
        <f t="shared" si="979"/>
        <v>0</v>
      </c>
      <c r="J1602" s="242">
        <f t="shared" si="980"/>
        <v>0</v>
      </c>
      <c r="K1602" s="849">
        <f t="shared" si="982"/>
        <v>0</v>
      </c>
      <c r="L1602" s="242">
        <f t="shared" si="981"/>
        <v>0</v>
      </c>
    </row>
    <row r="1603" spans="1:12" ht="15.5">
      <c r="A1603" s="180"/>
      <c r="B1603" s="242">
        <v>0</v>
      </c>
      <c r="C1603" s="241">
        <f t="shared" si="977"/>
        <v>0</v>
      </c>
      <c r="D1603" s="242"/>
      <c r="E1603" s="242"/>
      <c r="F1603" s="242"/>
      <c r="H1603" s="250"/>
      <c r="I1603" s="241">
        <f t="shared" si="979"/>
        <v>0</v>
      </c>
      <c r="J1603" s="242"/>
      <c r="K1603" s="242"/>
      <c r="L1603" s="242"/>
    </row>
    <row r="1604" spans="1:12" ht="15.5">
      <c r="A1604" s="180"/>
      <c r="B1604" s="243">
        <f>SUM(B1596:B1603)</f>
        <v>7842011.0823762799</v>
      </c>
      <c r="C1604" s="240">
        <f>SUM(C1596:C1603)</f>
        <v>1</v>
      </c>
      <c r="D1604" s="243">
        <f>SUM(D1596:D1603)</f>
        <v>3327177.5923762796</v>
      </c>
      <c r="E1604" s="243">
        <f>SUM(E1596:E1602)</f>
        <v>1599621.41</v>
      </c>
      <c r="F1604" s="243">
        <f>SUM(F1596:F1602)</f>
        <v>2915212.08</v>
      </c>
      <c r="G1604" s="32">
        <f>+B1604-B1593</f>
        <v>30076.379499999806</v>
      </c>
      <c r="H1604" s="243">
        <f>SUM(H1596:H1603)</f>
        <v>30076.379499999806</v>
      </c>
      <c r="I1604" s="240">
        <f>SUM(I1596:I1603)</f>
        <v>1</v>
      </c>
      <c r="J1604" s="243">
        <f>SUM(J1596:J1603)</f>
        <v>437.82949999999255</v>
      </c>
      <c r="K1604" s="243">
        <f>SUM(K1596:K1603)</f>
        <v>-50488.290000000037</v>
      </c>
      <c r="L1604" s="243">
        <f>SUM(L1596:L1603)</f>
        <v>80126.839999999851</v>
      </c>
    </row>
    <row r="1605" spans="1:12" ht="16" thickBot="1">
      <c r="A1605" s="180"/>
      <c r="B1605" s="334"/>
      <c r="C1605" s="335"/>
      <c r="D1605" s="334"/>
      <c r="E1605" s="334"/>
      <c r="F1605" s="334"/>
    </row>
    <row r="1606" spans="1:12" ht="16" thickBot="1">
      <c r="A1606" s="253">
        <v>44314</v>
      </c>
      <c r="B1606" s="251">
        <v>120</v>
      </c>
      <c r="C1606" s="238" t="s">
        <v>3</v>
      </c>
      <c r="D1606" s="238" t="s">
        <v>4</v>
      </c>
      <c r="E1606" s="238" t="s">
        <v>5</v>
      </c>
      <c r="F1606" s="238" t="s">
        <v>6</v>
      </c>
      <c r="H1606" s="251">
        <f>+B1606-B1595</f>
        <v>0</v>
      </c>
      <c r="I1606" s="238" t="s">
        <v>3</v>
      </c>
      <c r="J1606" s="238" t="s">
        <v>4</v>
      </c>
      <c r="K1606" s="238" t="s">
        <v>5</v>
      </c>
      <c r="L1606" s="238" t="s">
        <v>114</v>
      </c>
    </row>
    <row r="1607" spans="1:12" ht="15.5">
      <c r="A1607" s="180" t="s">
        <v>7</v>
      </c>
      <c r="B1607" s="250">
        <f>SUM(D1607:F1607)</f>
        <v>4693066.1264166664</v>
      </c>
      <c r="C1607" s="241">
        <f>+B1607/$B$1615</f>
        <v>0.5860392506712141</v>
      </c>
      <c r="D1607" s="242">
        <v>35211.386416666668</v>
      </c>
      <c r="E1607" s="242">
        <v>1644301.08</v>
      </c>
      <c r="F1607" s="242">
        <v>3013553.66</v>
      </c>
      <c r="H1607" s="250">
        <f>SUM(J1607:L1607)</f>
        <v>142452.14391666692</v>
      </c>
      <c r="I1607" s="241">
        <f>+H1607/$H$1615</f>
        <v>0.85764018120270114</v>
      </c>
      <c r="J1607" s="242">
        <f>+D1607-D1596</f>
        <v>-569.10608333333221</v>
      </c>
      <c r="K1607" s="849">
        <f>+E1607-E1596</f>
        <v>44679.670000000158</v>
      </c>
      <c r="L1607" s="242">
        <f>+F1607-F1596</f>
        <v>98341.580000000075</v>
      </c>
    </row>
    <row r="1608" spans="1:12" ht="15.5">
      <c r="A1608" s="180" t="s">
        <v>8</v>
      </c>
      <c r="B1608" s="250">
        <f t="shared" ref="B1608:B1613" si="983">SUM(D1608:F1608)</f>
        <v>0</v>
      </c>
      <c r="C1608" s="241">
        <f t="shared" ref="C1608:C1614" si="984">+B1608/$B$1615</f>
        <v>0</v>
      </c>
      <c r="D1608" s="242">
        <v>0</v>
      </c>
      <c r="F1608" s="242"/>
      <c r="G1608" s="32"/>
      <c r="H1608" s="250">
        <f t="shared" ref="H1608:H1613" si="985">SUM(J1608:L1608)</f>
        <v>0</v>
      </c>
      <c r="I1608" s="241">
        <f t="shared" ref="I1608:I1614" si="986">+H1608/$H$1615</f>
        <v>0</v>
      </c>
      <c r="J1608" s="242">
        <f t="shared" ref="J1608:J1613" si="987">+D1608-D1597</f>
        <v>0</v>
      </c>
      <c r="K1608" s="849">
        <f>+E1608-E1597</f>
        <v>0</v>
      </c>
      <c r="L1608" s="242">
        <f t="shared" ref="L1608:L1613" si="988">+F1608-F1597</f>
        <v>0</v>
      </c>
    </row>
    <row r="1609" spans="1:12" ht="15.5">
      <c r="A1609" s="180" t="s">
        <v>9</v>
      </c>
      <c r="B1609" s="250">
        <f t="shared" si="983"/>
        <v>571923.46306129685</v>
      </c>
      <c r="C1609" s="241">
        <f t="shared" si="984"/>
        <v>7.1418042854137845E-2</v>
      </c>
      <c r="D1609" s="242">
        <v>571923.46306129685</v>
      </c>
      <c r="E1609" s="242"/>
      <c r="F1609" s="242"/>
      <c r="H1609" s="250">
        <f t="shared" si="985"/>
        <v>23645.652150794514</v>
      </c>
      <c r="I1609" s="241">
        <f t="shared" si="986"/>
        <v>0.14235981879729889</v>
      </c>
      <c r="J1609" s="242">
        <f t="shared" si="987"/>
        <v>23645.652150794514</v>
      </c>
      <c r="K1609" s="849">
        <f t="shared" ref="K1609:K1613" si="989">+E1609-E1598</f>
        <v>0</v>
      </c>
      <c r="L1609" s="242">
        <f t="shared" si="988"/>
        <v>0</v>
      </c>
    </row>
    <row r="1610" spans="1:12" ht="15.5">
      <c r="A1610" s="180" t="s">
        <v>162</v>
      </c>
      <c r="B1610" s="250">
        <f t="shared" si="983"/>
        <v>0</v>
      </c>
      <c r="C1610" s="241">
        <f t="shared" si="984"/>
        <v>0</v>
      </c>
      <c r="D1610" s="242">
        <v>0</v>
      </c>
      <c r="E1610" s="242"/>
      <c r="F1610" s="242"/>
      <c r="H1610" s="250">
        <f t="shared" si="985"/>
        <v>0</v>
      </c>
      <c r="I1610" s="241">
        <f t="shared" si="986"/>
        <v>0</v>
      </c>
      <c r="J1610" s="242">
        <f t="shared" si="987"/>
        <v>0</v>
      </c>
      <c r="K1610" s="849">
        <f t="shared" si="989"/>
        <v>0</v>
      </c>
      <c r="L1610" s="242">
        <f t="shared" si="988"/>
        <v>0</v>
      </c>
    </row>
    <row r="1611" spans="1:12" ht="15.5">
      <c r="A1611" s="180" t="s">
        <v>11</v>
      </c>
      <c r="B1611" s="250">
        <f t="shared" si="983"/>
        <v>0</v>
      </c>
      <c r="C1611" s="241">
        <f t="shared" si="984"/>
        <v>0</v>
      </c>
      <c r="D1611" s="242">
        <v>0</v>
      </c>
      <c r="E1611" s="242"/>
      <c r="F1611" s="242"/>
      <c r="H1611" s="250">
        <f t="shared" si="985"/>
        <v>0</v>
      </c>
      <c r="I1611" s="241">
        <f t="shared" si="986"/>
        <v>0</v>
      </c>
      <c r="J1611" s="242">
        <f t="shared" si="987"/>
        <v>0</v>
      </c>
      <c r="K1611" s="849">
        <f t="shared" si="989"/>
        <v>0</v>
      </c>
      <c r="L1611" s="242">
        <f t="shared" si="988"/>
        <v>0</v>
      </c>
    </row>
    <row r="1612" spans="1:12" ht="15.5">
      <c r="A1612" s="180" t="s">
        <v>12</v>
      </c>
      <c r="B1612" s="250">
        <f t="shared" si="983"/>
        <v>7975</v>
      </c>
      <c r="C1612" s="241">
        <f t="shared" si="984"/>
        <v>9.9586558088229004E-4</v>
      </c>
      <c r="D1612" s="242">
        <v>7975</v>
      </c>
      <c r="E1612" s="242"/>
      <c r="F1612" s="242"/>
      <c r="H1612" s="250">
        <f t="shared" si="985"/>
        <v>0</v>
      </c>
      <c r="I1612" s="241">
        <f t="shared" si="986"/>
        <v>0</v>
      </c>
      <c r="J1612" s="242">
        <f t="shared" si="987"/>
        <v>0</v>
      </c>
      <c r="K1612" s="849">
        <f t="shared" si="989"/>
        <v>0</v>
      </c>
      <c r="L1612" s="242">
        <f t="shared" si="988"/>
        <v>0</v>
      </c>
    </row>
    <row r="1613" spans="1:12" ht="15.5">
      <c r="A1613" s="180" t="s">
        <v>13</v>
      </c>
      <c r="B1613" s="250">
        <f t="shared" si="983"/>
        <v>2735144.2889657775</v>
      </c>
      <c r="C1613" s="241">
        <f t="shared" si="984"/>
        <v>0.34154684089376575</v>
      </c>
      <c r="D1613" s="242">
        <v>2735144.2889657775</v>
      </c>
      <c r="E1613" s="242">
        <v>0</v>
      </c>
      <c r="F1613" s="242">
        <v>0</v>
      </c>
      <c r="H1613" s="250">
        <f t="shared" si="985"/>
        <v>0</v>
      </c>
      <c r="I1613" s="241">
        <f t="shared" si="986"/>
        <v>0</v>
      </c>
      <c r="J1613" s="242">
        <f t="shared" si="987"/>
        <v>0</v>
      </c>
      <c r="K1613" s="849">
        <f t="shared" si="989"/>
        <v>0</v>
      </c>
      <c r="L1613" s="242">
        <f t="shared" si="988"/>
        <v>0</v>
      </c>
    </row>
    <row r="1614" spans="1:12" ht="15.5">
      <c r="A1614" s="180"/>
      <c r="B1614" s="242">
        <v>0</v>
      </c>
      <c r="C1614" s="241">
        <f t="shared" si="984"/>
        <v>0</v>
      </c>
      <c r="D1614" s="242"/>
      <c r="E1614" s="242"/>
      <c r="F1614" s="242"/>
      <c r="H1614" s="250"/>
      <c r="I1614" s="241">
        <f t="shared" si="986"/>
        <v>0</v>
      </c>
      <c r="J1614" s="242"/>
      <c r="K1614" s="242"/>
      <c r="L1614" s="242"/>
    </row>
    <row r="1615" spans="1:12" ht="15.5">
      <c r="A1615" s="180"/>
      <c r="B1615" s="243">
        <f>SUM(B1607:B1614)</f>
        <v>8008108.8784437412</v>
      </c>
      <c r="C1615" s="240">
        <f>SUM(C1607:C1614)</f>
        <v>1</v>
      </c>
      <c r="D1615" s="243">
        <f>SUM(D1607:D1614)</f>
        <v>3350254.138443741</v>
      </c>
      <c r="E1615" s="243">
        <f>SUM(E1607:E1613)</f>
        <v>1644301.08</v>
      </c>
      <c r="F1615" s="243">
        <f>SUM(F1607:F1613)</f>
        <v>3013553.66</v>
      </c>
      <c r="G1615" s="32">
        <f>+B1615-B1604</f>
        <v>166097.79606746137</v>
      </c>
      <c r="H1615" s="243">
        <f>SUM(H1607:H1614)</f>
        <v>166097.79606746143</v>
      </c>
      <c r="I1615" s="240">
        <f>SUM(I1607:I1614)</f>
        <v>1</v>
      </c>
      <c r="J1615" s="243">
        <f>SUM(J1607:J1614)</f>
        <v>23076.546067461182</v>
      </c>
      <c r="K1615" s="243">
        <f>SUM(K1607:K1614)</f>
        <v>44679.670000000158</v>
      </c>
      <c r="L1615" s="243">
        <f>SUM(L1607:L1614)</f>
        <v>98341.580000000075</v>
      </c>
    </row>
    <row r="1617" spans="1:12" ht="16" thickBot="1">
      <c r="A1617" s="253">
        <v>44344</v>
      </c>
      <c r="B1617" s="251">
        <v>150</v>
      </c>
      <c r="C1617" s="238" t="s">
        <v>3</v>
      </c>
      <c r="D1617" s="238" t="s">
        <v>4</v>
      </c>
      <c r="E1617" s="238" t="s">
        <v>5</v>
      </c>
      <c r="F1617" s="238" t="s">
        <v>6</v>
      </c>
      <c r="H1617" s="251">
        <f>+B1617-B1606</f>
        <v>30</v>
      </c>
      <c r="I1617" s="238" t="s">
        <v>3</v>
      </c>
      <c r="J1617" s="238" t="s">
        <v>4</v>
      </c>
      <c r="K1617" s="238" t="s">
        <v>5</v>
      </c>
      <c r="L1617" s="238" t="s">
        <v>114</v>
      </c>
    </row>
    <row r="1618" spans="1:12" ht="15.5">
      <c r="A1618" s="180" t="s">
        <v>7</v>
      </c>
      <c r="B1618" s="250">
        <f>SUM(D1618:F1618)</f>
        <v>4785835.583866667</v>
      </c>
      <c r="C1618" s="241">
        <f>+B1618/$B$1626</f>
        <v>0.59176128778519987</v>
      </c>
      <c r="D1618" s="242">
        <v>57809.073866666666</v>
      </c>
      <c r="E1618" s="242">
        <v>1698123.99</v>
      </c>
      <c r="F1618" s="242">
        <v>3029902.52</v>
      </c>
      <c r="H1618" s="250">
        <f>SUM(J1618:L1618)</f>
        <v>92769.457449999783</v>
      </c>
      <c r="I1618" s="241">
        <f>+H1618/$H$1626</f>
        <v>1.1693537991532961</v>
      </c>
      <c r="J1618" s="242">
        <f>+D1618-D1607</f>
        <v>22597.687449999998</v>
      </c>
      <c r="K1618" s="849">
        <f>+E1618-E1607</f>
        <v>53822.909999999916</v>
      </c>
      <c r="L1618" s="242">
        <f>+F1618-F1607</f>
        <v>16348.85999999987</v>
      </c>
    </row>
    <row r="1619" spans="1:12" ht="15.5">
      <c r="A1619" s="180" t="s">
        <v>8</v>
      </c>
      <c r="B1619" s="250">
        <f t="shared" ref="B1619:B1624" si="990">SUM(D1619:F1619)</f>
        <v>0</v>
      </c>
      <c r="C1619" s="241">
        <f t="shared" ref="C1619:C1624" si="991">+B1619/$B$1626</f>
        <v>0</v>
      </c>
      <c r="D1619" s="242">
        <v>0</v>
      </c>
      <c r="F1619" s="242"/>
      <c r="G1619" s="32"/>
      <c r="H1619" s="250">
        <f t="shared" ref="H1619:H1624" si="992">SUM(J1619:L1619)</f>
        <v>0</v>
      </c>
      <c r="I1619" s="241">
        <f t="shared" ref="I1619:I1624" si="993">+H1619/$H$1626</f>
        <v>0</v>
      </c>
      <c r="J1619" s="242">
        <f t="shared" ref="J1619:J1624" si="994">+D1619-D1608</f>
        <v>0</v>
      </c>
      <c r="K1619" s="849">
        <f>+E1619-E1608</f>
        <v>0</v>
      </c>
      <c r="L1619" s="242">
        <f t="shared" ref="L1619:L1624" si="995">+F1619-F1608</f>
        <v>0</v>
      </c>
    </row>
    <row r="1620" spans="1:12" ht="15.5">
      <c r="A1620" s="180" t="s">
        <v>9</v>
      </c>
      <c r="B1620" s="250">
        <f t="shared" si="990"/>
        <v>560082.95699296799</v>
      </c>
      <c r="C1620" s="241">
        <f t="shared" si="991"/>
        <v>6.925340540615095E-2</v>
      </c>
      <c r="D1620" s="242">
        <v>560082.95699296799</v>
      </c>
      <c r="E1620" s="242"/>
      <c r="F1620" s="242"/>
      <c r="H1620" s="250">
        <f t="shared" si="992"/>
        <v>-11840.506068328861</v>
      </c>
      <c r="I1620" s="241">
        <f t="shared" si="993"/>
        <v>-0.14924891376410701</v>
      </c>
      <c r="J1620" s="242">
        <f t="shared" si="994"/>
        <v>-11840.506068328861</v>
      </c>
      <c r="K1620" s="849">
        <f t="shared" ref="K1620:K1624" si="996">+E1620-E1609</f>
        <v>0</v>
      </c>
      <c r="L1620" s="242">
        <f t="shared" si="995"/>
        <v>0</v>
      </c>
    </row>
    <row r="1621" spans="1:12" ht="15.5">
      <c r="A1621" s="180" t="s">
        <v>162</v>
      </c>
      <c r="B1621" s="250">
        <f t="shared" si="990"/>
        <v>0</v>
      </c>
      <c r="C1621" s="241">
        <f t="shared" si="991"/>
        <v>0</v>
      </c>
      <c r="D1621" s="242">
        <v>0</v>
      </c>
      <c r="E1621" s="242"/>
      <c r="F1621" s="242"/>
      <c r="H1621" s="250">
        <f t="shared" si="992"/>
        <v>0</v>
      </c>
      <c r="I1621" s="241">
        <f t="shared" si="993"/>
        <v>0</v>
      </c>
      <c r="J1621" s="242">
        <f t="shared" si="994"/>
        <v>0</v>
      </c>
      <c r="K1621" s="849">
        <f t="shared" si="996"/>
        <v>0</v>
      </c>
      <c r="L1621" s="242">
        <f t="shared" si="995"/>
        <v>0</v>
      </c>
    </row>
    <row r="1622" spans="1:12" ht="15.5">
      <c r="A1622" s="180" t="s">
        <v>11</v>
      </c>
      <c r="B1622" s="250">
        <f t="shared" si="990"/>
        <v>0</v>
      </c>
      <c r="C1622" s="241">
        <f t="shared" si="991"/>
        <v>0</v>
      </c>
      <c r="D1622" s="242">
        <v>0</v>
      </c>
      <c r="E1622" s="242"/>
      <c r="F1622" s="242"/>
      <c r="H1622" s="250">
        <f t="shared" si="992"/>
        <v>0</v>
      </c>
      <c r="I1622" s="241">
        <f t="shared" si="993"/>
        <v>0</v>
      </c>
      <c r="J1622" s="242">
        <f t="shared" si="994"/>
        <v>0</v>
      </c>
      <c r="K1622" s="849">
        <f t="shared" si="996"/>
        <v>0</v>
      </c>
      <c r="L1622" s="242">
        <f t="shared" si="995"/>
        <v>0</v>
      </c>
    </row>
    <row r="1623" spans="1:12" ht="15.5">
      <c r="A1623" s="180" t="s">
        <v>12</v>
      </c>
      <c r="B1623" s="250">
        <f t="shared" si="990"/>
        <v>6380</v>
      </c>
      <c r="C1623" s="241">
        <f t="shared" si="991"/>
        <v>7.8887729214868871E-4</v>
      </c>
      <c r="D1623" s="242">
        <v>6380</v>
      </c>
      <c r="E1623" s="242"/>
      <c r="F1623" s="242"/>
      <c r="H1623" s="250">
        <f t="shared" si="992"/>
        <v>-1595</v>
      </c>
      <c r="I1623" s="241">
        <f t="shared" si="993"/>
        <v>-2.0104885389189173E-2</v>
      </c>
      <c r="J1623" s="242">
        <f t="shared" si="994"/>
        <v>-1595</v>
      </c>
      <c r="K1623" s="849">
        <f t="shared" si="996"/>
        <v>0</v>
      </c>
      <c r="L1623" s="242">
        <f t="shared" si="995"/>
        <v>0</v>
      </c>
    </row>
    <row r="1624" spans="1:12" ht="15.5">
      <c r="A1624" s="180" t="s">
        <v>13</v>
      </c>
      <c r="B1624" s="250">
        <f t="shared" si="990"/>
        <v>2735144.2889657775</v>
      </c>
      <c r="C1624" s="241">
        <f t="shared" si="991"/>
        <v>0.33819642951650053</v>
      </c>
      <c r="D1624" s="242">
        <v>2735144.2889657775</v>
      </c>
      <c r="E1624" s="242">
        <v>0</v>
      </c>
      <c r="F1624" s="242">
        <v>0</v>
      </c>
      <c r="H1624" s="250">
        <f t="shared" si="992"/>
        <v>0</v>
      </c>
      <c r="I1624" s="241">
        <f t="shared" si="993"/>
        <v>0</v>
      </c>
      <c r="J1624" s="242">
        <f t="shared" si="994"/>
        <v>0</v>
      </c>
      <c r="K1624" s="849">
        <f t="shared" si="996"/>
        <v>0</v>
      </c>
      <c r="L1624" s="242">
        <f t="shared" si="995"/>
        <v>0</v>
      </c>
    </row>
    <row r="1625" spans="1:12" ht="15.5">
      <c r="A1625" s="180"/>
      <c r="B1625" s="242">
        <v>0</v>
      </c>
      <c r="C1625" s="241">
        <f t="shared" ref="C1625" si="997">+B1625/$B$1615</f>
        <v>0</v>
      </c>
      <c r="D1625" s="242"/>
      <c r="E1625" s="242"/>
      <c r="F1625" s="242"/>
      <c r="H1625" s="250"/>
      <c r="I1625" s="241">
        <f t="shared" ref="I1625" si="998">+H1625/$H$1615</f>
        <v>0</v>
      </c>
      <c r="J1625" s="242"/>
      <c r="K1625" s="242"/>
      <c r="L1625" s="242"/>
    </row>
    <row r="1626" spans="1:12" ht="15.5">
      <c r="A1626" s="180"/>
      <c r="B1626" s="243">
        <f>SUM(B1618:B1625)</f>
        <v>8087442.8298254125</v>
      </c>
      <c r="C1626" s="240">
        <f>SUM(C1618:C1625)</f>
        <v>1</v>
      </c>
      <c r="D1626" s="243">
        <f>SUM(D1618:D1625)</f>
        <v>3359416.3198254122</v>
      </c>
      <c r="E1626" s="243">
        <f>SUM(E1618:E1624)</f>
        <v>1698123.99</v>
      </c>
      <c r="F1626" s="243">
        <f>SUM(F1618:F1624)</f>
        <v>3029902.52</v>
      </c>
      <c r="G1626" s="32">
        <f>+B1626-B1615</f>
        <v>79333.951381671242</v>
      </c>
      <c r="H1626" s="243">
        <f>SUM(H1618:H1625)</f>
        <v>79333.951381670922</v>
      </c>
      <c r="I1626" s="240">
        <f>SUM(I1618:I1625)</f>
        <v>0.99999999999999978</v>
      </c>
      <c r="J1626" s="243">
        <f>SUM(J1618:J1625)</f>
        <v>9162.1813816711365</v>
      </c>
      <c r="K1626" s="243">
        <f>SUM(K1618:K1625)</f>
        <v>53822.909999999916</v>
      </c>
      <c r="L1626" s="243">
        <f>SUM(L1618:L1625)</f>
        <v>16348.85999999987</v>
      </c>
    </row>
    <row r="1627" spans="1:12" ht="16" thickBot="1">
      <c r="A1627" s="180"/>
      <c r="B1627" s="334"/>
      <c r="C1627" s="335"/>
      <c r="D1627" s="334"/>
      <c r="E1627" s="334"/>
      <c r="F1627" s="334"/>
    </row>
    <row r="1628" spans="1:12" ht="16" thickBot="1">
      <c r="A1628" s="253">
        <v>44375</v>
      </c>
      <c r="B1628" s="251">
        <v>150</v>
      </c>
      <c r="C1628" s="238" t="s">
        <v>3</v>
      </c>
      <c r="D1628" s="238" t="s">
        <v>4</v>
      </c>
      <c r="E1628" s="238" t="s">
        <v>5</v>
      </c>
      <c r="F1628" s="238" t="s">
        <v>6</v>
      </c>
      <c r="H1628" s="251">
        <f>+B1628-B1617</f>
        <v>0</v>
      </c>
      <c r="I1628" s="238" t="s">
        <v>3</v>
      </c>
      <c r="J1628" s="238" t="s">
        <v>4</v>
      </c>
      <c r="K1628" s="238" t="s">
        <v>5</v>
      </c>
      <c r="L1628" s="238" t="s">
        <v>114</v>
      </c>
    </row>
    <row r="1629" spans="1:12" ht="15.5">
      <c r="A1629" s="180" t="s">
        <v>7</v>
      </c>
      <c r="B1629" s="250">
        <f>SUM(D1629:F1629)</f>
        <v>4830998.0502333334</v>
      </c>
      <c r="C1629" s="241">
        <f>+B1629/$B$1637</f>
        <v>0.59464244986305526</v>
      </c>
      <c r="D1629" s="242">
        <v>84612.510233333334</v>
      </c>
      <c r="E1629" s="242">
        <v>1651692.77</v>
      </c>
      <c r="F1629" s="242">
        <v>3094692.77</v>
      </c>
      <c r="H1629" s="250">
        <f>SUM(J1629:L1629)</f>
        <v>45162.466366666697</v>
      </c>
      <c r="I1629" s="241">
        <f>+H1629/$H$1637</f>
        <v>1.2284540361549325</v>
      </c>
      <c r="J1629" s="242">
        <f>+D1629-D1618</f>
        <v>26803.436366666669</v>
      </c>
      <c r="K1629" s="849">
        <f>+E1629-E1618</f>
        <v>-46431.219999999972</v>
      </c>
      <c r="L1629" s="242">
        <f>+F1629-F1618</f>
        <v>64790.25</v>
      </c>
    </row>
    <row r="1630" spans="1:12" ht="15.5">
      <c r="A1630" s="180" t="s">
        <v>8</v>
      </c>
      <c r="B1630" s="250">
        <f t="shared" ref="B1630:B1635" si="999">SUM(D1630:F1630)</f>
        <v>0</v>
      </c>
      <c r="C1630" s="241">
        <f t="shared" ref="C1630:C1636" si="1000">+B1630/$B$1637</f>
        <v>0</v>
      </c>
      <c r="D1630" s="242">
        <v>0</v>
      </c>
      <c r="F1630" s="242"/>
      <c r="G1630" s="32"/>
      <c r="H1630" s="250">
        <f t="shared" ref="H1630:H1635" si="1001">SUM(J1630:L1630)</f>
        <v>0</v>
      </c>
      <c r="I1630" s="241">
        <f t="shared" ref="I1630:I1636" si="1002">+H1630/$H$1637</f>
        <v>0</v>
      </c>
      <c r="J1630" s="242">
        <f t="shared" ref="J1630:J1635" si="1003">+D1630-D1619</f>
        <v>0</v>
      </c>
      <c r="K1630" s="849">
        <f>+E1630-E1619</f>
        <v>0</v>
      </c>
      <c r="L1630" s="242">
        <f t="shared" ref="L1630:L1635" si="1004">+F1630-F1619</f>
        <v>0</v>
      </c>
    </row>
    <row r="1631" spans="1:12" ht="15.5">
      <c r="A1631" s="180" t="s">
        <v>9</v>
      </c>
      <c r="B1631" s="250">
        <f t="shared" si="999"/>
        <v>551684.15050894977</v>
      </c>
      <c r="C1631" s="241">
        <f t="shared" si="1000"/>
        <v>6.7906219666848261E-2</v>
      </c>
      <c r="D1631" s="242">
        <v>551684.15050894977</v>
      </c>
      <c r="E1631" s="242"/>
      <c r="F1631" s="242"/>
      <c r="H1631" s="250">
        <f t="shared" si="1001"/>
        <v>-8398.8064840182196</v>
      </c>
      <c r="I1631" s="241">
        <f t="shared" si="1002"/>
        <v>-0.22845403615493259</v>
      </c>
      <c r="J1631" s="242">
        <f t="shared" si="1003"/>
        <v>-8398.8064840182196</v>
      </c>
      <c r="K1631" s="849">
        <f t="shared" ref="K1631:K1635" si="1005">+E1631-E1620</f>
        <v>0</v>
      </c>
      <c r="L1631" s="242">
        <f t="shared" si="1004"/>
        <v>0</v>
      </c>
    </row>
    <row r="1632" spans="1:12" ht="15.5">
      <c r="A1632" s="180" t="s">
        <v>162</v>
      </c>
      <c r="B1632" s="250">
        <f t="shared" si="999"/>
        <v>0</v>
      </c>
      <c r="C1632" s="241">
        <f t="shared" si="1000"/>
        <v>0</v>
      </c>
      <c r="D1632" s="242">
        <v>0</v>
      </c>
      <c r="E1632" s="242"/>
      <c r="F1632" s="242"/>
      <c r="H1632" s="250">
        <f t="shared" si="1001"/>
        <v>0</v>
      </c>
      <c r="I1632" s="241">
        <f t="shared" si="1002"/>
        <v>0</v>
      </c>
      <c r="J1632" s="242">
        <f t="shared" si="1003"/>
        <v>0</v>
      </c>
      <c r="K1632" s="849">
        <f t="shared" si="1005"/>
        <v>0</v>
      </c>
      <c r="L1632" s="242">
        <f t="shared" si="1004"/>
        <v>0</v>
      </c>
    </row>
    <row r="1633" spans="1:12" ht="15.5">
      <c r="A1633" s="180" t="s">
        <v>11</v>
      </c>
      <c r="B1633" s="250">
        <f t="shared" si="999"/>
        <v>0</v>
      </c>
      <c r="C1633" s="241">
        <f t="shared" si="1000"/>
        <v>0</v>
      </c>
      <c r="D1633" s="242">
        <v>0</v>
      </c>
      <c r="E1633" s="242"/>
      <c r="F1633" s="242"/>
      <c r="H1633" s="250">
        <f t="shared" si="1001"/>
        <v>0</v>
      </c>
      <c r="I1633" s="241">
        <f t="shared" si="1002"/>
        <v>0</v>
      </c>
      <c r="J1633" s="242">
        <f t="shared" si="1003"/>
        <v>0</v>
      </c>
      <c r="K1633" s="849">
        <f t="shared" si="1005"/>
        <v>0</v>
      </c>
      <c r="L1633" s="242">
        <f t="shared" si="1004"/>
        <v>0</v>
      </c>
    </row>
    <row r="1634" spans="1:12" ht="15.5">
      <c r="A1634" s="180" t="s">
        <v>12</v>
      </c>
      <c r="B1634" s="250">
        <f t="shared" si="999"/>
        <v>6380</v>
      </c>
      <c r="C1634" s="241">
        <f t="shared" si="1000"/>
        <v>7.8530746456067276E-4</v>
      </c>
      <c r="D1634" s="242">
        <v>6380</v>
      </c>
      <c r="E1634" s="242"/>
      <c r="F1634" s="242"/>
      <c r="H1634" s="250">
        <f t="shared" si="1001"/>
        <v>0</v>
      </c>
      <c r="I1634" s="241">
        <f t="shared" si="1002"/>
        <v>0</v>
      </c>
      <c r="J1634" s="242">
        <f t="shared" si="1003"/>
        <v>0</v>
      </c>
      <c r="K1634" s="849">
        <f t="shared" si="1005"/>
        <v>0</v>
      </c>
      <c r="L1634" s="242">
        <f t="shared" si="1004"/>
        <v>0</v>
      </c>
    </row>
    <row r="1635" spans="1:12" ht="15.5">
      <c r="A1635" s="180" t="s">
        <v>13</v>
      </c>
      <c r="B1635" s="250">
        <f t="shared" si="999"/>
        <v>2735144.2889657775</v>
      </c>
      <c r="C1635" s="241">
        <f t="shared" si="1000"/>
        <v>0.33666602300553583</v>
      </c>
      <c r="D1635" s="242">
        <v>2735144.2889657775</v>
      </c>
      <c r="E1635" s="242">
        <v>0</v>
      </c>
      <c r="F1635" s="242">
        <v>0</v>
      </c>
      <c r="H1635" s="250">
        <f t="shared" si="1001"/>
        <v>0</v>
      </c>
      <c r="I1635" s="241">
        <f t="shared" si="1002"/>
        <v>0</v>
      </c>
      <c r="J1635" s="242">
        <f t="shared" si="1003"/>
        <v>0</v>
      </c>
      <c r="K1635" s="849">
        <f t="shared" si="1005"/>
        <v>0</v>
      </c>
      <c r="L1635" s="242">
        <f t="shared" si="1004"/>
        <v>0</v>
      </c>
    </row>
    <row r="1636" spans="1:12" ht="15.5">
      <c r="A1636" s="180"/>
      <c r="B1636" s="242">
        <v>0</v>
      </c>
      <c r="C1636" s="241">
        <f t="shared" si="1000"/>
        <v>0</v>
      </c>
      <c r="D1636" s="242"/>
      <c r="E1636" s="242"/>
      <c r="F1636" s="242"/>
      <c r="H1636" s="250"/>
      <c r="I1636" s="241">
        <f t="shared" si="1002"/>
        <v>0</v>
      </c>
      <c r="J1636" s="242"/>
      <c r="K1636" s="242"/>
      <c r="L1636" s="242"/>
    </row>
    <row r="1637" spans="1:12" ht="15.5">
      <c r="A1637" s="180"/>
      <c r="B1637" s="243">
        <f>SUM(B1629:B1636)</f>
        <v>8124206.4897080604</v>
      </c>
      <c r="C1637" s="240">
        <f>SUM(C1629:C1636)</f>
        <v>1</v>
      </c>
      <c r="D1637" s="243">
        <f>SUM(D1629:D1636)</f>
        <v>3377820.9497080604</v>
      </c>
      <c r="E1637" s="243">
        <f>SUM(E1629:E1635)</f>
        <v>1651692.77</v>
      </c>
      <c r="F1637" s="243">
        <f>SUM(F1629:F1635)</f>
        <v>3094692.77</v>
      </c>
      <c r="G1637" s="32">
        <f>+B1637-B1626</f>
        <v>36763.659882647917</v>
      </c>
      <c r="H1637" s="243">
        <f>SUM(H1629:H1636)</f>
        <v>36763.659882648477</v>
      </c>
      <c r="I1637" s="240">
        <f>SUM(I1629:I1636)</f>
        <v>1</v>
      </c>
      <c r="J1637" s="243">
        <f>SUM(J1629:J1636)</f>
        <v>18404.629882648449</v>
      </c>
      <c r="K1637" s="243">
        <f>SUM(K1629:K1636)</f>
        <v>-46431.219999999972</v>
      </c>
      <c r="L1637" s="243">
        <f>SUM(L1629:L1636)</f>
        <v>64790.25</v>
      </c>
    </row>
    <row r="1638" spans="1:12" ht="16" thickBot="1">
      <c r="A1638" s="180"/>
      <c r="B1638" s="334"/>
      <c r="C1638" s="335"/>
      <c r="D1638" s="334"/>
      <c r="E1638" s="334"/>
      <c r="F1638" s="334"/>
    </row>
    <row r="1639" spans="1:12" ht="16" thickBot="1">
      <c r="A1639" s="253">
        <v>44405</v>
      </c>
      <c r="B1639" s="251">
        <v>168</v>
      </c>
      <c r="C1639" s="238" t="s">
        <v>3</v>
      </c>
      <c r="D1639" s="238" t="s">
        <v>4</v>
      </c>
      <c r="E1639" s="238" t="s">
        <v>5</v>
      </c>
      <c r="F1639" s="238" t="s">
        <v>6</v>
      </c>
      <c r="H1639" s="251">
        <f>+B1639-B1628</f>
        <v>18</v>
      </c>
      <c r="I1639" s="238" t="s">
        <v>3</v>
      </c>
      <c r="J1639" s="238" t="s">
        <v>4</v>
      </c>
      <c r="K1639" s="238" t="s">
        <v>5</v>
      </c>
      <c r="L1639" s="238" t="s">
        <v>114</v>
      </c>
    </row>
    <row r="1640" spans="1:12" ht="15.5">
      <c r="A1640" s="180" t="s">
        <v>7</v>
      </c>
      <c r="B1640" s="250">
        <f>SUM(D1640:F1640)</f>
        <v>4912478.67</v>
      </c>
      <c r="C1640" s="241">
        <f>+B1640/$B$1648</f>
        <v>0.59872748714287016</v>
      </c>
      <c r="D1640" s="242">
        <v>73652.25</v>
      </c>
      <c r="E1640" s="242">
        <v>1703032.68</v>
      </c>
      <c r="F1640" s="242">
        <v>3135793.74</v>
      </c>
      <c r="H1640" s="250">
        <f>SUM(J1640:L1640)</f>
        <v>81480.619766666787</v>
      </c>
      <c r="I1640" s="241">
        <f>+H1640/$H$1648</f>
        <v>1.0101827182975347</v>
      </c>
      <c r="J1640" s="242">
        <f>+D1640-D1629</f>
        <v>-10960.260233333334</v>
      </c>
      <c r="K1640" s="849">
        <f>+E1640-E1629</f>
        <v>51339.909999999916</v>
      </c>
      <c r="L1640" s="242">
        <f>+F1640-F1629</f>
        <v>41100.970000000205</v>
      </c>
    </row>
    <row r="1641" spans="1:12" ht="15.5">
      <c r="A1641" s="180" t="s">
        <v>8</v>
      </c>
      <c r="B1641" s="250">
        <f t="shared" ref="B1641:B1646" si="1006">SUM(D1641:F1641)</f>
        <v>0</v>
      </c>
      <c r="C1641" s="241">
        <f t="shared" ref="C1641:C1647" si="1007">+B1641/$B$1648</f>
        <v>0</v>
      </c>
      <c r="D1641" s="242">
        <v>0</v>
      </c>
      <c r="F1641" s="242"/>
      <c r="G1641" s="32"/>
      <c r="H1641" s="250">
        <f t="shared" ref="H1641:H1646" si="1008">SUM(J1641:L1641)</f>
        <v>0</v>
      </c>
      <c r="I1641" s="241">
        <f t="shared" ref="I1641:I1647" si="1009">+H1641/$H$1648</f>
        <v>0</v>
      </c>
      <c r="J1641" s="242">
        <f t="shared" ref="J1641:J1646" si="1010">+D1641-D1630</f>
        <v>0</v>
      </c>
      <c r="K1641" s="849">
        <f>+E1641-E1630</f>
        <v>0</v>
      </c>
      <c r="L1641" s="242">
        <f t="shared" ref="L1641:L1646" si="1011">+F1641-F1630</f>
        <v>0</v>
      </c>
    </row>
    <row r="1642" spans="1:12" ht="15.5">
      <c r="A1642" s="180" t="s">
        <v>9</v>
      </c>
      <c r="B1642" s="250">
        <f t="shared" si="1006"/>
        <v>551546.39112007187</v>
      </c>
      <c r="C1642" s="241">
        <f t="shared" si="1007"/>
        <v>6.7221866389913357E-2</v>
      </c>
      <c r="D1642" s="242">
        <v>551546.39112007187</v>
      </c>
      <c r="E1642" s="242"/>
      <c r="F1642" s="242"/>
      <c r="H1642" s="250">
        <f t="shared" si="1008"/>
        <v>-137.7593888778938</v>
      </c>
      <c r="I1642" s="241">
        <f t="shared" si="1009"/>
        <v>-1.7079172240735494E-3</v>
      </c>
      <c r="J1642" s="242">
        <f t="shared" si="1010"/>
        <v>-137.7593888778938</v>
      </c>
      <c r="K1642" s="849">
        <f t="shared" ref="K1642:K1646" si="1012">+E1642-E1631</f>
        <v>0</v>
      </c>
      <c r="L1642" s="242">
        <f t="shared" si="1011"/>
        <v>0</v>
      </c>
    </row>
    <row r="1643" spans="1:12" ht="15.5">
      <c r="A1643" s="180" t="s">
        <v>162</v>
      </c>
      <c r="B1643" s="250">
        <f t="shared" si="1006"/>
        <v>0</v>
      </c>
      <c r="C1643" s="241">
        <f t="shared" si="1007"/>
        <v>0</v>
      </c>
      <c r="D1643" s="242">
        <v>0</v>
      </c>
      <c r="E1643" s="242"/>
      <c r="F1643" s="242"/>
      <c r="H1643" s="250">
        <f t="shared" si="1008"/>
        <v>0</v>
      </c>
      <c r="I1643" s="241">
        <f t="shared" si="1009"/>
        <v>0</v>
      </c>
      <c r="J1643" s="242">
        <f t="shared" si="1010"/>
        <v>0</v>
      </c>
      <c r="K1643" s="849">
        <f t="shared" si="1012"/>
        <v>0</v>
      </c>
      <c r="L1643" s="242">
        <f t="shared" si="1011"/>
        <v>0</v>
      </c>
    </row>
    <row r="1644" spans="1:12" ht="15.5">
      <c r="A1644" s="180" t="s">
        <v>11</v>
      </c>
      <c r="B1644" s="250">
        <f t="shared" si="1006"/>
        <v>0</v>
      </c>
      <c r="C1644" s="241">
        <f t="shared" si="1007"/>
        <v>0</v>
      </c>
      <c r="D1644" s="242">
        <v>0</v>
      </c>
      <c r="E1644" s="242"/>
      <c r="F1644" s="242"/>
      <c r="H1644" s="250">
        <f t="shared" si="1008"/>
        <v>0</v>
      </c>
      <c r="I1644" s="241">
        <f t="shared" si="1009"/>
        <v>0</v>
      </c>
      <c r="J1644" s="242">
        <f t="shared" si="1010"/>
        <v>0</v>
      </c>
      <c r="K1644" s="849">
        <f t="shared" si="1012"/>
        <v>0</v>
      </c>
      <c r="L1644" s="242">
        <f t="shared" si="1011"/>
        <v>0</v>
      </c>
    </row>
    <row r="1645" spans="1:12" ht="15.5">
      <c r="A1645" s="180" t="s">
        <v>12</v>
      </c>
      <c r="B1645" s="250">
        <f t="shared" si="1006"/>
        <v>5696.4285714285716</v>
      </c>
      <c r="C1645" s="241">
        <f t="shared" si="1007"/>
        <v>6.9427443727919087E-4</v>
      </c>
      <c r="D1645" s="242">
        <v>5696.4285714285716</v>
      </c>
      <c r="E1645" s="242"/>
      <c r="F1645" s="242"/>
      <c r="H1645" s="250">
        <f t="shared" si="1008"/>
        <v>-683.57142857142844</v>
      </c>
      <c r="I1645" s="241">
        <f t="shared" si="1009"/>
        <v>-8.4748010734609913E-3</v>
      </c>
      <c r="J1645" s="242">
        <f t="shared" si="1010"/>
        <v>-683.57142857142844</v>
      </c>
      <c r="K1645" s="849">
        <f t="shared" si="1012"/>
        <v>0</v>
      </c>
      <c r="L1645" s="242">
        <f t="shared" si="1011"/>
        <v>0</v>
      </c>
    </row>
    <row r="1646" spans="1:12" ht="15.5">
      <c r="A1646" s="180" t="s">
        <v>13</v>
      </c>
      <c r="B1646" s="250">
        <f t="shared" si="1006"/>
        <v>2735144.2889657775</v>
      </c>
      <c r="C1646" s="241">
        <f t="shared" si="1007"/>
        <v>0.33335637202993745</v>
      </c>
      <c r="D1646" s="242">
        <v>2735144.2889657775</v>
      </c>
      <c r="E1646" s="242">
        <v>0</v>
      </c>
      <c r="F1646" s="242">
        <v>0</v>
      </c>
      <c r="H1646" s="250">
        <f t="shared" si="1008"/>
        <v>0</v>
      </c>
      <c r="I1646" s="241">
        <f t="shared" si="1009"/>
        <v>0</v>
      </c>
      <c r="J1646" s="242">
        <f t="shared" si="1010"/>
        <v>0</v>
      </c>
      <c r="K1646" s="849">
        <f t="shared" si="1012"/>
        <v>0</v>
      </c>
      <c r="L1646" s="242">
        <f t="shared" si="1011"/>
        <v>0</v>
      </c>
    </row>
    <row r="1647" spans="1:12" ht="15.5">
      <c r="A1647" s="180"/>
      <c r="B1647" s="242">
        <v>0</v>
      </c>
      <c r="C1647" s="241">
        <f t="shared" si="1007"/>
        <v>0</v>
      </c>
      <c r="D1647" s="242"/>
      <c r="E1647" s="242"/>
      <c r="F1647" s="242"/>
      <c r="H1647" s="250"/>
      <c r="I1647" s="241">
        <f t="shared" si="1009"/>
        <v>0</v>
      </c>
      <c r="J1647" s="242"/>
      <c r="K1647" s="242"/>
      <c r="L1647" s="242"/>
    </row>
    <row r="1648" spans="1:12" ht="15.5">
      <c r="A1648" s="180"/>
      <c r="B1648" s="243">
        <f>SUM(B1640:B1647)</f>
        <v>8204865.7786572771</v>
      </c>
      <c r="C1648" s="240">
        <f>SUM(C1640:C1647)</f>
        <v>1.0000000000000002</v>
      </c>
      <c r="D1648" s="243">
        <f>SUM(D1640:D1647)</f>
        <v>3366039.3586572781</v>
      </c>
      <c r="E1648" s="243">
        <f>SUM(E1640:E1646)</f>
        <v>1703032.68</v>
      </c>
      <c r="F1648" s="243">
        <f>SUM(F1640:F1646)</f>
        <v>3135793.74</v>
      </c>
      <c r="G1648" s="32">
        <f>+B1648-B1637</f>
        <v>80659.288949216716</v>
      </c>
      <c r="H1648" s="243">
        <f>SUM(H1640:H1647)</f>
        <v>80659.288949217458</v>
      </c>
      <c r="I1648" s="240">
        <f>SUM(I1640:I1647)</f>
        <v>1.0000000000000002</v>
      </c>
      <c r="J1648" s="243">
        <f>SUM(J1640:J1647)</f>
        <v>-11781.591050782656</v>
      </c>
      <c r="K1648" s="243">
        <f>SUM(K1640:K1647)</f>
        <v>51339.909999999916</v>
      </c>
      <c r="L1648" s="243">
        <f>SUM(L1640:L1647)</f>
        <v>41100.970000000205</v>
      </c>
    </row>
    <row r="1650" spans="1:12" ht="16" thickBot="1">
      <c r="A1650" s="253">
        <v>44436</v>
      </c>
      <c r="B1650" s="251">
        <v>170</v>
      </c>
      <c r="C1650" s="238" t="s">
        <v>3</v>
      </c>
      <c r="D1650" s="238" t="s">
        <v>4</v>
      </c>
      <c r="E1650" s="238" t="s">
        <v>5</v>
      </c>
      <c r="F1650" s="238" t="s">
        <v>6</v>
      </c>
      <c r="H1650" s="251">
        <f>+B1650-B1639</f>
        <v>2</v>
      </c>
      <c r="I1650" s="238" t="s">
        <v>3</v>
      </c>
      <c r="J1650" s="238" t="s">
        <v>4</v>
      </c>
      <c r="K1650" s="238" t="s">
        <v>5</v>
      </c>
      <c r="L1650" s="238" t="s">
        <v>114</v>
      </c>
    </row>
    <row r="1651" spans="1:12" ht="15.5">
      <c r="A1651" s="180" t="s">
        <v>7</v>
      </c>
      <c r="B1651" s="250">
        <f>SUM(D1651:F1651)</f>
        <v>5059029.7691764701</v>
      </c>
      <c r="C1651" s="241">
        <f>+B1651/$B$1659</f>
        <v>0.60494805121233086</v>
      </c>
      <c r="D1651" s="242">
        <v>80069.449176470589</v>
      </c>
      <c r="E1651" s="242">
        <v>1749628.3</v>
      </c>
      <c r="F1651" s="242">
        <v>3229332.02</v>
      </c>
      <c r="H1651" s="250">
        <f>SUM(J1651:L1651)</f>
        <v>146551.09917647048</v>
      </c>
      <c r="I1651" s="241">
        <f>+H1651/$H$1659</f>
        <v>0.92821436796266954</v>
      </c>
      <c r="J1651" s="242">
        <f>+D1651-D1640</f>
        <v>6417.199176470589</v>
      </c>
      <c r="K1651" s="849">
        <f>+E1651-E1640</f>
        <v>46595.620000000112</v>
      </c>
      <c r="L1651" s="242">
        <f>+F1651-F1640</f>
        <v>93538.279999999795</v>
      </c>
    </row>
    <row r="1652" spans="1:12" ht="15.5">
      <c r="A1652" s="180" t="s">
        <v>8</v>
      </c>
      <c r="B1652" s="250">
        <f t="shared" ref="B1652:B1657" si="1013">SUM(D1652:F1652)</f>
        <v>0</v>
      </c>
      <c r="C1652" s="241">
        <f t="shared" ref="C1652:C1658" si="1014">+B1652/$B$1659</f>
        <v>0</v>
      </c>
      <c r="D1652" s="242">
        <v>0</v>
      </c>
      <c r="F1652" s="242"/>
      <c r="G1652" s="32"/>
      <c r="H1652" s="250">
        <f t="shared" ref="H1652:H1657" si="1015">SUM(J1652:L1652)</f>
        <v>0</v>
      </c>
      <c r="I1652" s="241">
        <f t="shared" ref="I1652:I1658" si="1016">+H1652/$H$1659</f>
        <v>0</v>
      </c>
      <c r="J1652" s="242">
        <f t="shared" ref="J1652:J1657" si="1017">+D1652-D1641</f>
        <v>0</v>
      </c>
      <c r="K1652" s="849">
        <f>+E1652-E1641</f>
        <v>0</v>
      </c>
      <c r="L1652" s="242">
        <f t="shared" ref="L1652:L1657" si="1018">+F1652-F1641</f>
        <v>0</v>
      </c>
    </row>
    <row r="1653" spans="1:12" ht="15.5">
      <c r="A1653" s="180" t="s">
        <v>9</v>
      </c>
      <c r="B1653" s="250">
        <f t="shared" si="1013"/>
        <v>562947.28040631593</v>
      </c>
      <c r="C1653" s="241">
        <f t="shared" si="1014"/>
        <v>6.7316041959665951E-2</v>
      </c>
      <c r="D1653" s="242">
        <v>562947.28040631593</v>
      </c>
      <c r="E1653" s="242"/>
      <c r="F1653" s="242"/>
      <c r="H1653" s="250">
        <f t="shared" si="1015"/>
        <v>11400.889286244055</v>
      </c>
      <c r="I1653" s="241">
        <f t="shared" si="1016"/>
        <v>7.2210098064842534E-2</v>
      </c>
      <c r="J1653" s="242">
        <f t="shared" si="1017"/>
        <v>11400.889286244055</v>
      </c>
      <c r="K1653" s="849">
        <f t="shared" ref="K1653:K1657" si="1019">+E1653-E1642</f>
        <v>0</v>
      </c>
      <c r="L1653" s="242">
        <f t="shared" si="1018"/>
        <v>0</v>
      </c>
    </row>
    <row r="1654" spans="1:12" ht="15.5">
      <c r="A1654" s="180" t="s">
        <v>162</v>
      </c>
      <c r="B1654" s="250">
        <f t="shared" si="1013"/>
        <v>0</v>
      </c>
      <c r="C1654" s="241">
        <f t="shared" si="1014"/>
        <v>0</v>
      </c>
      <c r="D1654" s="242">
        <v>0</v>
      </c>
      <c r="E1654" s="242"/>
      <c r="F1654" s="242"/>
      <c r="H1654" s="250">
        <f t="shared" si="1015"/>
        <v>0</v>
      </c>
      <c r="I1654" s="241">
        <f t="shared" si="1016"/>
        <v>0</v>
      </c>
      <c r="J1654" s="242">
        <f t="shared" si="1017"/>
        <v>0</v>
      </c>
      <c r="K1654" s="849">
        <f t="shared" si="1019"/>
        <v>0</v>
      </c>
      <c r="L1654" s="242">
        <f t="shared" si="1018"/>
        <v>0</v>
      </c>
    </row>
    <row r="1655" spans="1:12" ht="15.5">
      <c r="A1655" s="180" t="s">
        <v>11</v>
      </c>
      <c r="B1655" s="250">
        <f t="shared" si="1013"/>
        <v>0</v>
      </c>
      <c r="C1655" s="241">
        <f t="shared" si="1014"/>
        <v>0</v>
      </c>
      <c r="D1655" s="242">
        <v>0</v>
      </c>
      <c r="E1655" s="242"/>
      <c r="F1655" s="242"/>
      <c r="H1655" s="250">
        <f t="shared" si="1015"/>
        <v>0</v>
      </c>
      <c r="I1655" s="241">
        <f t="shared" si="1016"/>
        <v>0</v>
      </c>
      <c r="J1655" s="242">
        <f t="shared" si="1017"/>
        <v>0</v>
      </c>
      <c r="K1655" s="849">
        <f t="shared" si="1019"/>
        <v>0</v>
      </c>
      <c r="L1655" s="242">
        <f t="shared" si="1018"/>
        <v>0</v>
      </c>
    </row>
    <row r="1656" spans="1:12" ht="15.5">
      <c r="A1656" s="180" t="s">
        <v>12</v>
      </c>
      <c r="B1656" s="250">
        <f t="shared" si="1013"/>
        <v>5629.411764705882</v>
      </c>
      <c r="C1656" s="241">
        <f t="shared" si="1014"/>
        <v>6.7315312063976121E-4</v>
      </c>
      <c r="D1656" s="242">
        <v>5629.411764705882</v>
      </c>
      <c r="E1656" s="242"/>
      <c r="F1656" s="242"/>
      <c r="H1656" s="250">
        <f t="shared" si="1015"/>
        <v>-67.01680672268958</v>
      </c>
      <c r="I1656" s="241">
        <f t="shared" si="1016"/>
        <v>-4.2446602751216466E-4</v>
      </c>
      <c r="J1656" s="242">
        <f t="shared" si="1017"/>
        <v>-67.01680672268958</v>
      </c>
      <c r="K1656" s="849">
        <f t="shared" si="1019"/>
        <v>0</v>
      </c>
      <c r="L1656" s="242">
        <f t="shared" si="1018"/>
        <v>0</v>
      </c>
    </row>
    <row r="1657" spans="1:12" ht="15.5">
      <c r="A1657" s="180" t="s">
        <v>13</v>
      </c>
      <c r="B1657" s="250">
        <f t="shared" si="1013"/>
        <v>2735144.2889657775</v>
      </c>
      <c r="C1657" s="241">
        <f t="shared" si="1014"/>
        <v>0.32706275370736343</v>
      </c>
      <c r="D1657" s="242">
        <v>2735144.2889657775</v>
      </c>
      <c r="E1657" s="242">
        <v>0</v>
      </c>
      <c r="F1657" s="242">
        <v>0</v>
      </c>
      <c r="H1657" s="250">
        <f t="shared" si="1015"/>
        <v>0</v>
      </c>
      <c r="I1657" s="241">
        <f t="shared" si="1016"/>
        <v>0</v>
      </c>
      <c r="J1657" s="242">
        <f t="shared" si="1017"/>
        <v>0</v>
      </c>
      <c r="K1657" s="849">
        <f t="shared" si="1019"/>
        <v>0</v>
      </c>
      <c r="L1657" s="242">
        <f t="shared" si="1018"/>
        <v>0</v>
      </c>
    </row>
    <row r="1658" spans="1:12" ht="15.5">
      <c r="A1658" s="180"/>
      <c r="B1658" s="242">
        <v>0</v>
      </c>
      <c r="C1658" s="241">
        <f t="shared" si="1014"/>
        <v>0</v>
      </c>
      <c r="D1658" s="242"/>
      <c r="E1658" s="242"/>
      <c r="F1658" s="242"/>
      <c r="H1658" s="250"/>
      <c r="I1658" s="241">
        <f t="shared" si="1016"/>
        <v>0</v>
      </c>
      <c r="J1658" s="242"/>
      <c r="K1658" s="242"/>
      <c r="L1658" s="242"/>
    </row>
    <row r="1659" spans="1:12" ht="15.5">
      <c r="A1659" s="180"/>
      <c r="B1659" s="243">
        <f>SUM(B1651:B1658)</f>
        <v>8362750.750313269</v>
      </c>
      <c r="C1659" s="240">
        <f>SUM(C1651:C1658)</f>
        <v>1</v>
      </c>
      <c r="D1659" s="243">
        <f>SUM(D1651:D1658)</f>
        <v>3383790.4303132701</v>
      </c>
      <c r="E1659" s="243">
        <f>SUM(E1651:E1657)</f>
        <v>1749628.3</v>
      </c>
      <c r="F1659" s="243">
        <f>SUM(F1651:F1657)</f>
        <v>3229332.02</v>
      </c>
      <c r="G1659" s="32">
        <f>+B1659-B1648</f>
        <v>157884.97165599186</v>
      </c>
      <c r="H1659" s="243">
        <f>SUM(H1651:H1658)</f>
        <v>157884.97165599186</v>
      </c>
      <c r="I1659" s="240">
        <f>SUM(I1651:I1658)</f>
        <v>1</v>
      </c>
      <c r="J1659" s="243">
        <f>SUM(J1651:J1658)</f>
        <v>17751.071655991953</v>
      </c>
      <c r="K1659" s="243">
        <f>SUM(K1651:K1658)</f>
        <v>46595.620000000112</v>
      </c>
      <c r="L1659" s="243">
        <f>SUM(L1651:L1658)</f>
        <v>93538.279999999795</v>
      </c>
    </row>
    <row r="1660" spans="1:12" ht="16" thickBot="1">
      <c r="A1660" s="180"/>
      <c r="B1660" s="334"/>
      <c r="C1660" s="335"/>
      <c r="D1660" s="334"/>
      <c r="E1660" s="334"/>
      <c r="F1660" s="334"/>
    </row>
    <row r="1661" spans="1:12" ht="16" thickBot="1">
      <c r="A1661" s="253">
        <v>44467</v>
      </c>
      <c r="B1661" s="251">
        <v>170</v>
      </c>
      <c r="C1661" s="238" t="s">
        <v>3</v>
      </c>
      <c r="D1661" s="238" t="s">
        <v>4</v>
      </c>
      <c r="E1661" s="238" t="s">
        <v>5</v>
      </c>
      <c r="F1661" s="238" t="s">
        <v>6</v>
      </c>
      <c r="H1661" s="251">
        <f>+B1661-B1650</f>
        <v>0</v>
      </c>
      <c r="I1661" s="238" t="s">
        <v>3</v>
      </c>
      <c r="J1661" s="238" t="s">
        <v>4</v>
      </c>
      <c r="K1661" s="238" t="s">
        <v>5</v>
      </c>
      <c r="L1661" s="238" t="s">
        <v>114</v>
      </c>
    </row>
    <row r="1662" spans="1:12" ht="15.5">
      <c r="A1662" s="180" t="s">
        <v>7</v>
      </c>
      <c r="B1662" s="250">
        <f>SUM(D1662:F1662)</f>
        <v>4861476.4182941178</v>
      </c>
      <c r="C1662" s="241">
        <f>+B1662/$B$1670</f>
        <v>0.59437087662960653</v>
      </c>
      <c r="D1662" s="242">
        <v>79724.988294117633</v>
      </c>
      <c r="E1662" s="242">
        <v>1689740.43</v>
      </c>
      <c r="F1662" s="242">
        <v>3092011</v>
      </c>
      <c r="H1662" s="250">
        <f>SUM(J1662:L1662)</f>
        <v>-197553.35088235309</v>
      </c>
      <c r="I1662" s="241">
        <f>+H1662/$H$1670</f>
        <v>1.0762690430575734</v>
      </c>
      <c r="J1662" s="242">
        <f>+D1662-D1651</f>
        <v>-344.46088235295611</v>
      </c>
      <c r="K1662" s="849">
        <f>+E1662-E1651</f>
        <v>-59887.870000000112</v>
      </c>
      <c r="L1662" s="242">
        <f>+F1662-F1651</f>
        <v>-137321.02000000002</v>
      </c>
    </row>
    <row r="1663" spans="1:12" ht="15.5">
      <c r="A1663" s="180" t="s">
        <v>8</v>
      </c>
      <c r="B1663" s="250">
        <f t="shared" ref="B1663:B1668" si="1020">SUM(D1663:F1663)</f>
        <v>0</v>
      </c>
      <c r="C1663" s="241">
        <f t="shared" ref="C1663:C1669" si="1021">+B1663/$B$1670</f>
        <v>0</v>
      </c>
      <c r="D1663" s="242">
        <v>0</v>
      </c>
      <c r="F1663" s="242"/>
      <c r="G1663" s="32"/>
      <c r="H1663" s="250">
        <f t="shared" ref="H1663:H1668" si="1022">SUM(J1663:L1663)</f>
        <v>0</v>
      </c>
      <c r="I1663" s="241">
        <f t="shared" ref="I1663:I1669" si="1023">+H1663/$H$1670</f>
        <v>0</v>
      </c>
      <c r="J1663" s="242">
        <f t="shared" ref="J1663:J1668" si="1024">+D1663-D1652</f>
        <v>0</v>
      </c>
      <c r="K1663" s="849">
        <f>+E1663-E1652</f>
        <v>0</v>
      </c>
      <c r="L1663" s="242">
        <f t="shared" ref="L1663:L1668" si="1025">+F1663-F1652</f>
        <v>0</v>
      </c>
    </row>
    <row r="1664" spans="1:12" ht="15.5">
      <c r="A1664" s="180" t="s">
        <v>9</v>
      </c>
      <c r="B1664" s="250">
        <f t="shared" si="1020"/>
        <v>576946.75862396462</v>
      </c>
      <c r="C1664" s="241">
        <f t="shared" si="1021"/>
        <v>7.053831412233115E-2</v>
      </c>
      <c r="D1664" s="242">
        <v>576946.75862396462</v>
      </c>
      <c r="E1664" s="242"/>
      <c r="F1664" s="242"/>
      <c r="H1664" s="250">
        <f t="shared" si="1022"/>
        <v>13999.478217648691</v>
      </c>
      <c r="I1664" s="241">
        <f t="shared" si="1023"/>
        <v>-7.6269043057573441E-2</v>
      </c>
      <c r="J1664" s="242">
        <f t="shared" si="1024"/>
        <v>13999.478217648691</v>
      </c>
      <c r="K1664" s="849">
        <f t="shared" ref="K1664:K1668" si="1026">+E1664-E1653</f>
        <v>0</v>
      </c>
      <c r="L1664" s="242">
        <f t="shared" si="1025"/>
        <v>0</v>
      </c>
    </row>
    <row r="1665" spans="1:12" ht="15.5">
      <c r="A1665" s="180" t="s">
        <v>162</v>
      </c>
      <c r="B1665" s="250">
        <f t="shared" si="1020"/>
        <v>0</v>
      </c>
      <c r="C1665" s="241">
        <f t="shared" si="1021"/>
        <v>0</v>
      </c>
      <c r="D1665" s="242">
        <v>0</v>
      </c>
      <c r="E1665" s="242"/>
      <c r="F1665" s="242"/>
      <c r="H1665" s="250">
        <f t="shared" si="1022"/>
        <v>0</v>
      </c>
      <c r="I1665" s="241">
        <f t="shared" si="1023"/>
        <v>0</v>
      </c>
      <c r="J1665" s="242">
        <f t="shared" si="1024"/>
        <v>0</v>
      </c>
      <c r="K1665" s="849">
        <f t="shared" si="1026"/>
        <v>0</v>
      </c>
      <c r="L1665" s="242">
        <f t="shared" si="1025"/>
        <v>0</v>
      </c>
    </row>
    <row r="1666" spans="1:12" ht="15.5">
      <c r="A1666" s="180" t="s">
        <v>11</v>
      </c>
      <c r="B1666" s="250">
        <f t="shared" si="1020"/>
        <v>0</v>
      </c>
      <c r="C1666" s="241">
        <f t="shared" si="1021"/>
        <v>0</v>
      </c>
      <c r="D1666" s="242">
        <v>0</v>
      </c>
      <c r="E1666" s="242"/>
      <c r="F1666" s="242"/>
      <c r="H1666" s="250">
        <f t="shared" si="1022"/>
        <v>0</v>
      </c>
      <c r="I1666" s="241">
        <f t="shared" si="1023"/>
        <v>0</v>
      </c>
      <c r="J1666" s="242">
        <f t="shared" si="1024"/>
        <v>0</v>
      </c>
      <c r="K1666" s="849">
        <f t="shared" si="1026"/>
        <v>0</v>
      </c>
      <c r="L1666" s="242">
        <f t="shared" si="1025"/>
        <v>0</v>
      </c>
    </row>
    <row r="1667" spans="1:12" ht="15.5">
      <c r="A1667" s="180" t="s">
        <v>12</v>
      </c>
      <c r="B1667" s="250">
        <f t="shared" si="1020"/>
        <v>5629.411764705882</v>
      </c>
      <c r="C1667" s="241">
        <f t="shared" si="1021"/>
        <v>6.8825972145131686E-4</v>
      </c>
      <c r="D1667" s="242">
        <v>5629.411764705882</v>
      </c>
      <c r="E1667" s="242"/>
      <c r="F1667" s="242"/>
      <c r="H1667" s="250">
        <f t="shared" si="1022"/>
        <v>0</v>
      </c>
      <c r="I1667" s="241">
        <f t="shared" si="1023"/>
        <v>0</v>
      </c>
      <c r="J1667" s="242">
        <f t="shared" si="1024"/>
        <v>0</v>
      </c>
      <c r="K1667" s="849">
        <f t="shared" si="1026"/>
        <v>0</v>
      </c>
      <c r="L1667" s="242">
        <f t="shared" si="1025"/>
        <v>0</v>
      </c>
    </row>
    <row r="1668" spans="1:12" ht="15.5">
      <c r="A1668" s="180" t="s">
        <v>13</v>
      </c>
      <c r="B1668" s="250">
        <f t="shared" si="1020"/>
        <v>2735144.2889657775</v>
      </c>
      <c r="C1668" s="241">
        <f t="shared" si="1021"/>
        <v>0.33440254952661114</v>
      </c>
      <c r="D1668" s="242">
        <v>2735144.2889657775</v>
      </c>
      <c r="E1668" s="242">
        <v>0</v>
      </c>
      <c r="F1668" s="242">
        <v>0</v>
      </c>
      <c r="H1668" s="250">
        <f t="shared" si="1022"/>
        <v>0</v>
      </c>
      <c r="I1668" s="241">
        <f t="shared" si="1023"/>
        <v>0</v>
      </c>
      <c r="J1668" s="242">
        <f t="shared" si="1024"/>
        <v>0</v>
      </c>
      <c r="K1668" s="849">
        <f t="shared" si="1026"/>
        <v>0</v>
      </c>
      <c r="L1668" s="242">
        <f t="shared" si="1025"/>
        <v>0</v>
      </c>
    </row>
    <row r="1669" spans="1:12" ht="15.5">
      <c r="A1669" s="180"/>
      <c r="B1669" s="242">
        <v>0</v>
      </c>
      <c r="C1669" s="241">
        <f t="shared" si="1021"/>
        <v>0</v>
      </c>
      <c r="D1669" s="242"/>
      <c r="E1669" s="242"/>
      <c r="F1669" s="242"/>
      <c r="H1669" s="250"/>
      <c r="I1669" s="241">
        <f t="shared" si="1023"/>
        <v>0</v>
      </c>
      <c r="J1669" s="242"/>
      <c r="K1669" s="242"/>
      <c r="L1669" s="242"/>
    </row>
    <row r="1670" spans="1:12" ht="15.5">
      <c r="A1670" s="180"/>
      <c r="B1670" s="243">
        <f>SUM(B1662:B1669)</f>
        <v>8179196.877648565</v>
      </c>
      <c r="C1670" s="240">
        <f>SUM(C1662:C1669)</f>
        <v>1.0000000000000002</v>
      </c>
      <c r="D1670" s="243">
        <f>SUM(D1662:D1669)</f>
        <v>3397445.4476485658</v>
      </c>
      <c r="E1670" s="243">
        <f>SUM(E1662:E1668)</f>
        <v>1689740.43</v>
      </c>
      <c r="F1670" s="243">
        <f>SUM(F1662:F1668)</f>
        <v>3092011</v>
      </c>
      <c r="G1670" s="32">
        <f>+B1670-B1659</f>
        <v>-183553.87266470399</v>
      </c>
      <c r="H1670" s="243">
        <f>SUM(H1662:H1669)</f>
        <v>-183553.87266470439</v>
      </c>
      <c r="I1670" s="240">
        <f>SUM(I1662:I1669)</f>
        <v>1</v>
      </c>
      <c r="J1670" s="243">
        <f>SUM(J1662:J1669)</f>
        <v>13655.017335295735</v>
      </c>
      <c r="K1670" s="243">
        <f>SUM(K1662:K1669)</f>
        <v>-59887.870000000112</v>
      </c>
      <c r="L1670" s="243">
        <f>SUM(L1662:L1669)</f>
        <v>-137321.02000000002</v>
      </c>
    </row>
    <row r="1671" spans="1:12" ht="16" thickBot="1">
      <c r="A1671" s="180"/>
      <c r="B1671" s="334"/>
      <c r="C1671" s="335"/>
      <c r="D1671" s="334"/>
      <c r="E1671" s="334"/>
      <c r="F1671" s="334"/>
    </row>
    <row r="1672" spans="1:12" ht="16" thickBot="1">
      <c r="A1672" s="253">
        <v>44497</v>
      </c>
      <c r="B1672" s="251">
        <v>170</v>
      </c>
      <c r="C1672" s="238" t="s">
        <v>3</v>
      </c>
      <c r="D1672" s="238" t="s">
        <v>4</v>
      </c>
      <c r="E1672" s="238" t="s">
        <v>5</v>
      </c>
      <c r="F1672" s="238" t="s">
        <v>6</v>
      </c>
      <c r="H1672" s="251">
        <f>+B1672-B1661</f>
        <v>0</v>
      </c>
      <c r="I1672" s="238" t="s">
        <v>3</v>
      </c>
      <c r="J1672" s="238" t="s">
        <v>4</v>
      </c>
      <c r="K1672" s="238" t="s">
        <v>5</v>
      </c>
      <c r="L1672" s="238" t="s">
        <v>114</v>
      </c>
    </row>
    <row r="1673" spans="1:12" ht="15.5">
      <c r="A1673" s="180" t="s">
        <v>7</v>
      </c>
      <c r="B1673" s="250">
        <f>SUM(D1673:F1673)</f>
        <v>4976791.6816292135</v>
      </c>
      <c r="C1673" s="241">
        <f>+B1673/$B$1681</f>
        <v>0.6003800195705955</v>
      </c>
      <c r="D1673" s="242">
        <v>85933.481629213493</v>
      </c>
      <c r="E1673" s="242">
        <v>1623383.23</v>
      </c>
      <c r="F1673" s="242">
        <v>3267474.97</v>
      </c>
      <c r="H1673" s="250">
        <f>SUM(J1673:L1673)</f>
        <v>115315.26333509611</v>
      </c>
      <c r="I1673" s="241">
        <f>+H1673/$H$1681</f>
        <v>1.0463638779832007</v>
      </c>
      <c r="J1673" s="242">
        <f>+D1673-D1662</f>
        <v>6208.4933350958599</v>
      </c>
      <c r="K1673" s="849">
        <f>+E1673-E1662</f>
        <v>-66357.199999999953</v>
      </c>
      <c r="L1673" s="242">
        <f>+F1673-F1662</f>
        <v>175463.9700000002</v>
      </c>
    </row>
    <row r="1674" spans="1:12" ht="15.5">
      <c r="A1674" s="180" t="s">
        <v>8</v>
      </c>
      <c r="B1674" s="250">
        <f t="shared" ref="B1674:B1679" si="1027">SUM(D1674:F1674)</f>
        <v>0</v>
      </c>
      <c r="C1674" s="241">
        <f t="shared" ref="C1674:C1680" si="1028">+B1674/$B$1681</f>
        <v>0</v>
      </c>
      <c r="D1674" s="242">
        <v>0</v>
      </c>
      <c r="F1674" s="242"/>
      <c r="G1674" s="32"/>
      <c r="H1674" s="250">
        <f t="shared" ref="H1674:H1679" si="1029">SUM(J1674:L1674)</f>
        <v>0</v>
      </c>
      <c r="I1674" s="241">
        <f t="shared" ref="I1674:I1680" si="1030">+H1674/$H$1681</f>
        <v>0</v>
      </c>
      <c r="J1674" s="242">
        <f t="shared" ref="J1674:J1679" si="1031">+D1674-D1663</f>
        <v>0</v>
      </c>
      <c r="K1674" s="849">
        <f>+E1674-E1663</f>
        <v>0</v>
      </c>
      <c r="L1674" s="242">
        <f t="shared" ref="L1674:L1679" si="1032">+F1674-F1663</f>
        <v>0</v>
      </c>
    </row>
    <row r="1675" spans="1:12" ht="15.5">
      <c r="A1675" s="180" t="s">
        <v>9</v>
      </c>
      <c r="B1675" s="250">
        <f t="shared" si="1027"/>
        <v>572090.20227940718</v>
      </c>
      <c r="C1675" s="241">
        <f t="shared" si="1028"/>
        <v>6.9014648153449903E-2</v>
      </c>
      <c r="D1675" s="242">
        <v>572090.20227940718</v>
      </c>
      <c r="E1675" s="242"/>
      <c r="F1675" s="242"/>
      <c r="H1675" s="250">
        <f t="shared" si="1029"/>
        <v>-4856.5563445574371</v>
      </c>
      <c r="I1675" s="241">
        <f t="shared" si="1030"/>
        <v>-4.4068104979025947E-2</v>
      </c>
      <c r="J1675" s="242">
        <f t="shared" si="1031"/>
        <v>-4856.5563445574371</v>
      </c>
      <c r="K1675" s="849">
        <f t="shared" ref="K1675:K1679" si="1033">+E1675-E1664</f>
        <v>0</v>
      </c>
      <c r="L1675" s="242">
        <f t="shared" si="1032"/>
        <v>0</v>
      </c>
    </row>
    <row r="1676" spans="1:12" ht="15.5">
      <c r="A1676" s="180" t="s">
        <v>162</v>
      </c>
      <c r="B1676" s="250">
        <f t="shared" si="1027"/>
        <v>0</v>
      </c>
      <c r="C1676" s="241">
        <f t="shared" si="1028"/>
        <v>0</v>
      </c>
      <c r="D1676" s="242">
        <v>0</v>
      </c>
      <c r="E1676" s="242"/>
      <c r="F1676" s="242"/>
      <c r="H1676" s="250">
        <f t="shared" si="1029"/>
        <v>0</v>
      </c>
      <c r="I1676" s="241">
        <f t="shared" si="1030"/>
        <v>0</v>
      </c>
      <c r="J1676" s="242">
        <f t="shared" si="1031"/>
        <v>0</v>
      </c>
      <c r="K1676" s="849">
        <f t="shared" si="1033"/>
        <v>0</v>
      </c>
      <c r="L1676" s="242">
        <f t="shared" si="1032"/>
        <v>0</v>
      </c>
    </row>
    <row r="1677" spans="1:12" ht="15.5">
      <c r="A1677" s="180" t="s">
        <v>11</v>
      </c>
      <c r="B1677" s="250">
        <f t="shared" si="1027"/>
        <v>0</v>
      </c>
      <c r="C1677" s="241">
        <f t="shared" si="1028"/>
        <v>0</v>
      </c>
      <c r="D1677" s="242">
        <v>0</v>
      </c>
      <c r="E1677" s="242"/>
      <c r="F1677" s="242"/>
      <c r="H1677" s="250">
        <f t="shared" si="1029"/>
        <v>0</v>
      </c>
      <c r="I1677" s="241">
        <f t="shared" si="1030"/>
        <v>0</v>
      </c>
      <c r="J1677" s="242">
        <f t="shared" si="1031"/>
        <v>0</v>
      </c>
      <c r="K1677" s="849">
        <f t="shared" si="1033"/>
        <v>0</v>
      </c>
      <c r="L1677" s="242">
        <f t="shared" si="1032"/>
        <v>0</v>
      </c>
    </row>
    <row r="1678" spans="1:12" ht="15.5">
      <c r="A1678" s="180" t="s">
        <v>12</v>
      </c>
      <c r="B1678" s="250">
        <f t="shared" si="1027"/>
        <v>5376.4044943820227</v>
      </c>
      <c r="C1678" s="241">
        <f t="shared" si="1028"/>
        <v>6.4858769304561856E-4</v>
      </c>
      <c r="D1678" s="242">
        <v>5376.4044943820227</v>
      </c>
      <c r="E1678" s="242"/>
      <c r="F1678" s="242"/>
      <c r="H1678" s="250">
        <f t="shared" si="1029"/>
        <v>-253.0072703238593</v>
      </c>
      <c r="I1678" s="241">
        <f t="shared" si="1030"/>
        <v>-2.2957730041747622E-3</v>
      </c>
      <c r="J1678" s="242">
        <f t="shared" si="1031"/>
        <v>-253.0072703238593</v>
      </c>
      <c r="K1678" s="849">
        <f t="shared" si="1033"/>
        <v>0</v>
      </c>
      <c r="L1678" s="242">
        <f t="shared" si="1032"/>
        <v>0</v>
      </c>
    </row>
    <row r="1679" spans="1:12" ht="15.5">
      <c r="A1679" s="180" t="s">
        <v>13</v>
      </c>
      <c r="B1679" s="250">
        <f t="shared" si="1027"/>
        <v>2735144.2889657775</v>
      </c>
      <c r="C1679" s="241">
        <f t="shared" si="1028"/>
        <v>0.32995674458290891</v>
      </c>
      <c r="D1679" s="242">
        <v>2735144.2889657775</v>
      </c>
      <c r="E1679" s="242">
        <v>0</v>
      </c>
      <c r="F1679" s="242">
        <v>0</v>
      </c>
      <c r="H1679" s="250">
        <f t="shared" si="1029"/>
        <v>0</v>
      </c>
      <c r="I1679" s="241">
        <f t="shared" si="1030"/>
        <v>0</v>
      </c>
      <c r="J1679" s="242">
        <f t="shared" si="1031"/>
        <v>0</v>
      </c>
      <c r="K1679" s="849">
        <f t="shared" si="1033"/>
        <v>0</v>
      </c>
      <c r="L1679" s="242">
        <f t="shared" si="1032"/>
        <v>0</v>
      </c>
    </row>
    <row r="1680" spans="1:12" ht="15.5">
      <c r="A1680" s="180"/>
      <c r="B1680" s="242">
        <v>0</v>
      </c>
      <c r="C1680" s="241">
        <f t="shared" si="1028"/>
        <v>0</v>
      </c>
      <c r="D1680" s="242"/>
      <c r="E1680" s="242"/>
      <c r="F1680" s="242"/>
      <c r="H1680" s="250"/>
      <c r="I1680" s="241">
        <f t="shared" si="1030"/>
        <v>0</v>
      </c>
      <c r="J1680" s="242"/>
      <c r="K1680" s="242"/>
      <c r="L1680" s="242"/>
    </row>
    <row r="1681" spans="1:12" ht="15.5">
      <c r="A1681" s="180"/>
      <c r="B1681" s="243">
        <f>SUM(B1673:B1680)</f>
        <v>8289402.577368781</v>
      </c>
      <c r="C1681" s="240">
        <f>SUM(C1673:C1680)</f>
        <v>1</v>
      </c>
      <c r="D1681" s="243">
        <f>SUM(D1673:D1680)</f>
        <v>3398544.3773687799</v>
      </c>
      <c r="E1681" s="243">
        <f>SUM(E1673:E1679)</f>
        <v>1623383.23</v>
      </c>
      <c r="F1681" s="243">
        <f>SUM(F1673:F1679)</f>
        <v>3267474.97</v>
      </c>
      <c r="G1681" s="32">
        <f>+B1681-B1670</f>
        <v>110205.69972021598</v>
      </c>
      <c r="H1681" s="243">
        <f>SUM(H1673:H1680)</f>
        <v>110205.69972021482</v>
      </c>
      <c r="I1681" s="240">
        <f>SUM(I1673:I1680)</f>
        <v>1</v>
      </c>
      <c r="J1681" s="243">
        <f>SUM(J1673:J1680)</f>
        <v>1098.9297202145635</v>
      </c>
      <c r="K1681" s="243">
        <f>SUM(K1673:K1680)</f>
        <v>-66357.199999999953</v>
      </c>
      <c r="L1681" s="243">
        <f>SUM(L1673:L1680)</f>
        <v>175463.9700000002</v>
      </c>
    </row>
    <row r="1682" spans="1:12" ht="16" thickBot="1">
      <c r="A1682" s="180"/>
      <c r="B1682" s="334"/>
      <c r="C1682" s="335"/>
      <c r="D1682" s="334"/>
      <c r="E1682" s="334"/>
      <c r="F1682" s="334"/>
      <c r="G1682" s="32"/>
      <c r="H1682" s="334"/>
      <c r="I1682" s="335"/>
      <c r="J1682" s="334"/>
      <c r="K1682" s="334"/>
      <c r="L1682" s="334"/>
    </row>
    <row r="1683" spans="1:12" ht="16" thickBot="1">
      <c r="A1683" s="253">
        <v>44528</v>
      </c>
      <c r="B1683" s="251">
        <v>198</v>
      </c>
      <c r="C1683" s="238" t="s">
        <v>3</v>
      </c>
      <c r="D1683" s="238" t="s">
        <v>4</v>
      </c>
      <c r="E1683" s="238" t="s">
        <v>5</v>
      </c>
      <c r="F1683" s="238" t="s">
        <v>6</v>
      </c>
      <c r="H1683" s="251">
        <f>+B1683-B1672</f>
        <v>28</v>
      </c>
      <c r="I1683" s="238" t="s">
        <v>3</v>
      </c>
      <c r="J1683" s="238" t="s">
        <v>4</v>
      </c>
      <c r="K1683" s="238" t="s">
        <v>5</v>
      </c>
      <c r="L1683" s="238" t="s">
        <v>114</v>
      </c>
    </row>
    <row r="1684" spans="1:12" ht="15.5">
      <c r="A1684" s="180" t="s">
        <v>7</v>
      </c>
      <c r="B1684" s="250">
        <f>SUM(D1684:F1684)</f>
        <v>4802730.0877272729</v>
      </c>
      <c r="C1684" s="241">
        <f>+B1684/$B$1692</f>
        <v>0.59107259490486996</v>
      </c>
      <c r="D1684" s="242">
        <v>83796.307727272739</v>
      </c>
      <c r="E1684" s="242">
        <v>1486448.8</v>
      </c>
      <c r="F1684" s="242">
        <v>3232484.98</v>
      </c>
      <c r="H1684" s="250">
        <f>SUM(J1684:L1684)</f>
        <v>-174061.59390194091</v>
      </c>
      <c r="I1684" s="241">
        <f>+H1684/$H$1692</f>
        <v>1.0616501925723643</v>
      </c>
      <c r="J1684" s="242">
        <f>+D1684-D1673</f>
        <v>-2137.1739019407541</v>
      </c>
      <c r="K1684" s="849">
        <f>+E1684-E1673</f>
        <v>-136934.42999999993</v>
      </c>
      <c r="L1684" s="242">
        <f>+F1684-F1673</f>
        <v>-34989.990000000224</v>
      </c>
    </row>
    <row r="1685" spans="1:12" ht="15.5">
      <c r="A1685" s="180" t="s">
        <v>8</v>
      </c>
      <c r="B1685" s="250">
        <f t="shared" ref="B1685:B1690" si="1034">SUM(D1685:F1685)</f>
        <v>0</v>
      </c>
      <c r="C1685" s="241">
        <f t="shared" ref="C1685:C1691" si="1035">+B1685/$B$1692</f>
        <v>0</v>
      </c>
      <c r="D1685" s="242">
        <v>0</v>
      </c>
      <c r="F1685" s="242"/>
      <c r="G1685" s="32"/>
      <c r="H1685" s="250">
        <f t="shared" ref="H1685:H1690" si="1036">SUM(J1685:L1685)</f>
        <v>0</v>
      </c>
      <c r="I1685" s="241">
        <f t="shared" ref="I1685:I1691" si="1037">+H1685/$H$1692</f>
        <v>0</v>
      </c>
      <c r="J1685" s="242">
        <f t="shared" ref="J1685:J1690" si="1038">+D1685-D1674</f>
        <v>0</v>
      </c>
      <c r="K1685" s="849">
        <f>+E1685-E1674</f>
        <v>0</v>
      </c>
      <c r="L1685" s="242">
        <f t="shared" ref="L1685:L1690" si="1039">+F1685-F1674</f>
        <v>0</v>
      </c>
    </row>
    <row r="1686" spans="1:12" ht="15.5">
      <c r="A1686" s="180" t="s">
        <v>9</v>
      </c>
      <c r="B1686" s="250">
        <f t="shared" si="1034"/>
        <v>582741.0573965878</v>
      </c>
      <c r="C1686" s="241">
        <f t="shared" si="1035"/>
        <v>7.1718015100033325E-2</v>
      </c>
      <c r="D1686" s="242">
        <v>582741.0573965878</v>
      </c>
      <c r="E1686" s="242"/>
      <c r="F1686" s="242"/>
      <c r="H1686" s="250">
        <f t="shared" si="1036"/>
        <v>10650.855117180618</v>
      </c>
      <c r="I1686" s="241">
        <f t="shared" si="1037"/>
        <v>-6.4962535001175048E-2</v>
      </c>
      <c r="J1686" s="242">
        <f t="shared" si="1038"/>
        <v>10650.855117180618</v>
      </c>
      <c r="K1686" s="849">
        <f t="shared" ref="K1686:K1690" si="1040">+E1686-E1675</f>
        <v>0</v>
      </c>
      <c r="L1686" s="242">
        <f t="shared" si="1039"/>
        <v>0</v>
      </c>
    </row>
    <row r="1687" spans="1:12" ht="15.5">
      <c r="A1687" s="180" t="s">
        <v>162</v>
      </c>
      <c r="B1687" s="250">
        <f t="shared" si="1034"/>
        <v>0</v>
      </c>
      <c r="C1687" s="241">
        <f t="shared" si="1035"/>
        <v>0</v>
      </c>
      <c r="D1687" s="242">
        <v>0</v>
      </c>
      <c r="E1687" s="242"/>
      <c r="F1687" s="242"/>
      <c r="H1687" s="250">
        <f t="shared" si="1036"/>
        <v>0</v>
      </c>
      <c r="I1687" s="241">
        <f t="shared" si="1037"/>
        <v>0</v>
      </c>
      <c r="J1687" s="242">
        <f t="shared" si="1038"/>
        <v>0</v>
      </c>
      <c r="K1687" s="849">
        <f t="shared" si="1040"/>
        <v>0</v>
      </c>
      <c r="L1687" s="242">
        <f t="shared" si="1039"/>
        <v>0</v>
      </c>
    </row>
    <row r="1688" spans="1:12" ht="15.5">
      <c r="A1688" s="180" t="s">
        <v>11</v>
      </c>
      <c r="B1688" s="250">
        <f t="shared" si="1034"/>
        <v>0</v>
      </c>
      <c r="C1688" s="241">
        <f t="shared" si="1035"/>
        <v>0</v>
      </c>
      <c r="D1688" s="242">
        <v>0</v>
      </c>
      <c r="E1688" s="242"/>
      <c r="F1688" s="242"/>
      <c r="H1688" s="250">
        <f t="shared" si="1036"/>
        <v>0</v>
      </c>
      <c r="I1688" s="241">
        <f t="shared" si="1037"/>
        <v>0</v>
      </c>
      <c r="J1688" s="242">
        <f t="shared" si="1038"/>
        <v>0</v>
      </c>
      <c r="K1688" s="849">
        <f t="shared" si="1040"/>
        <v>0</v>
      </c>
      <c r="L1688" s="242">
        <f t="shared" si="1039"/>
        <v>0</v>
      </c>
    </row>
    <row r="1689" spans="1:12" ht="15.5">
      <c r="A1689" s="180" t="s">
        <v>12</v>
      </c>
      <c r="B1689" s="250">
        <f t="shared" si="1034"/>
        <v>4833.333333333333</v>
      </c>
      <c r="C1689" s="241">
        <f t="shared" si="1035"/>
        <v>5.9483894018400789E-4</v>
      </c>
      <c r="D1689" s="242">
        <v>4833.333333333333</v>
      </c>
      <c r="E1689" s="242"/>
      <c r="F1689" s="242"/>
      <c r="H1689" s="250">
        <f t="shared" si="1036"/>
        <v>-543.07116104868965</v>
      </c>
      <c r="I1689" s="241">
        <f t="shared" si="1037"/>
        <v>3.3123424288108269E-3</v>
      </c>
      <c r="J1689" s="242">
        <f t="shared" si="1038"/>
        <v>-543.07116104868965</v>
      </c>
      <c r="K1689" s="849">
        <f t="shared" si="1040"/>
        <v>0</v>
      </c>
      <c r="L1689" s="242">
        <f t="shared" si="1039"/>
        <v>0</v>
      </c>
    </row>
    <row r="1690" spans="1:12" ht="15.5">
      <c r="A1690" s="180" t="s">
        <v>13</v>
      </c>
      <c r="B1690" s="250">
        <f t="shared" si="1034"/>
        <v>2735144.2889657775</v>
      </c>
      <c r="C1690" s="241">
        <f t="shared" si="1035"/>
        <v>0.33661455105491273</v>
      </c>
      <c r="D1690" s="242">
        <v>2735144.2889657775</v>
      </c>
      <c r="E1690" s="242">
        <v>0</v>
      </c>
      <c r="F1690" s="242">
        <v>0</v>
      </c>
      <c r="H1690" s="250">
        <f t="shared" si="1036"/>
        <v>0</v>
      </c>
      <c r="I1690" s="241">
        <f t="shared" si="1037"/>
        <v>0</v>
      </c>
      <c r="J1690" s="242">
        <f t="shared" si="1038"/>
        <v>0</v>
      </c>
      <c r="K1690" s="849">
        <f t="shared" si="1040"/>
        <v>0</v>
      </c>
      <c r="L1690" s="242">
        <f t="shared" si="1039"/>
        <v>0</v>
      </c>
    </row>
    <row r="1691" spans="1:12" ht="15.5">
      <c r="A1691" s="180"/>
      <c r="B1691" s="242">
        <v>0</v>
      </c>
      <c r="C1691" s="241">
        <f t="shared" si="1035"/>
        <v>0</v>
      </c>
      <c r="D1691" s="242"/>
      <c r="E1691" s="242"/>
      <c r="F1691" s="242"/>
      <c r="H1691" s="250"/>
      <c r="I1691" s="241">
        <f t="shared" si="1037"/>
        <v>0</v>
      </c>
      <c r="J1691" s="242"/>
      <c r="K1691" s="242"/>
      <c r="L1691" s="242"/>
    </row>
    <row r="1692" spans="1:12" ht="15.5">
      <c r="A1692" s="180"/>
      <c r="B1692" s="243">
        <f>SUM(B1684:B1691)</f>
        <v>8125448.7674229713</v>
      </c>
      <c r="C1692" s="240">
        <f>SUM(C1684:C1691)</f>
        <v>1</v>
      </c>
      <c r="D1692" s="243">
        <f>SUM(D1684:D1691)</f>
        <v>3406514.9874229715</v>
      </c>
      <c r="E1692" s="243">
        <f>SUM(E1684:E1690)</f>
        <v>1486448.8</v>
      </c>
      <c r="F1692" s="243">
        <f>SUM(F1684:F1690)</f>
        <v>3232484.98</v>
      </c>
      <c r="G1692" s="32">
        <f>+B1692-B1681</f>
        <v>-163953.80994580965</v>
      </c>
      <c r="H1692" s="243">
        <f>SUM(H1684:H1691)</f>
        <v>-163953.80994580899</v>
      </c>
      <c r="I1692" s="240">
        <f>SUM(I1684:I1691)</f>
        <v>1</v>
      </c>
      <c r="J1692" s="243">
        <f>SUM(J1684:J1691)</f>
        <v>7970.6100541911737</v>
      </c>
      <c r="K1692" s="243">
        <f>SUM(K1684:K1691)</f>
        <v>-136934.42999999993</v>
      </c>
      <c r="L1692" s="243">
        <f>SUM(L1684:L1691)</f>
        <v>-34989.990000000224</v>
      </c>
    </row>
    <row r="1693" spans="1:12" ht="16" thickBot="1">
      <c r="A1693" s="180"/>
      <c r="B1693" s="334"/>
      <c r="C1693" s="335"/>
      <c r="D1693" s="334"/>
      <c r="E1693" s="334"/>
      <c r="F1693" s="334"/>
      <c r="G1693" s="32"/>
      <c r="H1693" s="334"/>
      <c r="I1693" s="335"/>
      <c r="J1693" s="334"/>
      <c r="K1693" s="334"/>
      <c r="L1693" s="334"/>
    </row>
    <row r="1694" spans="1:12" ht="16" thickBot="1">
      <c r="A1694" s="253">
        <v>44558</v>
      </c>
      <c r="B1694" s="251">
        <v>200</v>
      </c>
      <c r="C1694" s="238" t="s">
        <v>3</v>
      </c>
      <c r="D1694" s="238" t="s">
        <v>4</v>
      </c>
      <c r="E1694" s="238" t="s">
        <v>5</v>
      </c>
      <c r="F1694" s="238" t="s">
        <v>6</v>
      </c>
      <c r="H1694" s="251">
        <f>+B1694-B1683</f>
        <v>2</v>
      </c>
      <c r="I1694" s="238" t="s">
        <v>3</v>
      </c>
      <c r="J1694" s="238" t="s">
        <v>4</v>
      </c>
      <c r="K1694" s="238" t="s">
        <v>5</v>
      </c>
      <c r="L1694" s="238" t="s">
        <v>114</v>
      </c>
    </row>
    <row r="1695" spans="1:12" ht="15.5">
      <c r="A1695" s="180" t="s">
        <v>7</v>
      </c>
      <c r="B1695" s="250">
        <f>SUM(D1695:F1695)</f>
        <v>4763308.1000999995</v>
      </c>
      <c r="C1695" s="241">
        <f>+B1695/$B$1692</f>
        <v>0.58622092593794151</v>
      </c>
      <c r="D1695" s="242">
        <v>44374.320100000004</v>
      </c>
      <c r="E1695" s="242">
        <v>1486448.8</v>
      </c>
      <c r="F1695" s="242">
        <v>3232484.98</v>
      </c>
      <c r="H1695" s="250">
        <f>SUM(J1695:L1695)</f>
        <v>-39421.987627272734</v>
      </c>
      <c r="I1695" s="241">
        <f>+H1695/$H$1703</f>
        <v>1.4025013492335907</v>
      </c>
      <c r="J1695" s="242">
        <f>+D1695-D1684</f>
        <v>-39421.987627272734</v>
      </c>
      <c r="K1695" s="849">
        <f>+E1695-E1684</f>
        <v>0</v>
      </c>
      <c r="L1695" s="242">
        <f>+F1695-F1684</f>
        <v>0</v>
      </c>
    </row>
    <row r="1696" spans="1:12" ht="15.5">
      <c r="A1696" s="180" t="s">
        <v>8</v>
      </c>
      <c r="B1696" s="250">
        <f t="shared" ref="B1696:B1701" si="1041">SUM(D1696:F1696)</f>
        <v>0</v>
      </c>
      <c r="C1696" s="241">
        <f t="shared" ref="C1696:C1702" si="1042">+B1696/$B$1692</f>
        <v>0</v>
      </c>
      <c r="D1696" s="242">
        <v>0</v>
      </c>
      <c r="F1696" s="242"/>
      <c r="G1696" s="32"/>
      <c r="H1696" s="250">
        <f t="shared" ref="H1696:H1701" si="1043">SUM(J1696:L1696)</f>
        <v>0</v>
      </c>
      <c r="I1696" s="241">
        <f t="shared" ref="I1696:I1702" si="1044">+H1696/$H$1703</f>
        <v>0</v>
      </c>
      <c r="J1696" s="242">
        <f t="shared" ref="J1696:J1701" si="1045">+D1696-D1685</f>
        <v>0</v>
      </c>
      <c r="K1696" s="849">
        <f>+E1696-E1685</f>
        <v>0</v>
      </c>
      <c r="L1696" s="242">
        <f t="shared" ref="L1696:L1701" si="1046">+F1696-F1685</f>
        <v>0</v>
      </c>
    </row>
    <row r="1697" spans="1:12" ht="15.5">
      <c r="A1697" s="180" t="s">
        <v>9</v>
      </c>
      <c r="B1697" s="250">
        <f t="shared" si="1041"/>
        <v>594103.03632328764</v>
      </c>
      <c r="C1697" s="241">
        <f t="shared" si="1042"/>
        <v>7.3116335273099076E-2</v>
      </c>
      <c r="D1697" s="242">
        <v>594103.03632328764</v>
      </c>
      <c r="E1697" s="242"/>
      <c r="F1697" s="242"/>
      <c r="H1697" s="250">
        <f t="shared" si="1043"/>
        <v>11361.978926699841</v>
      </c>
      <c r="I1697" s="241">
        <f t="shared" si="1044"/>
        <v>-0.4042208862050361</v>
      </c>
      <c r="J1697" s="242">
        <f t="shared" si="1045"/>
        <v>11361.978926699841</v>
      </c>
      <c r="K1697" s="849">
        <f t="shared" ref="K1697:K1701" si="1047">+E1697-E1686</f>
        <v>0</v>
      </c>
      <c r="L1697" s="242">
        <f t="shared" si="1046"/>
        <v>0</v>
      </c>
    </row>
    <row r="1698" spans="1:12" ht="15.5">
      <c r="A1698" s="180" t="s">
        <v>162</v>
      </c>
      <c r="B1698" s="250">
        <f t="shared" si="1041"/>
        <v>0</v>
      </c>
      <c r="C1698" s="241">
        <f t="shared" si="1042"/>
        <v>0</v>
      </c>
      <c r="D1698" s="242">
        <v>0</v>
      </c>
      <c r="E1698" s="242"/>
      <c r="F1698" s="242"/>
      <c r="H1698" s="250">
        <f t="shared" si="1043"/>
        <v>0</v>
      </c>
      <c r="I1698" s="241">
        <f t="shared" si="1044"/>
        <v>0</v>
      </c>
      <c r="J1698" s="242">
        <f t="shared" si="1045"/>
        <v>0</v>
      </c>
      <c r="K1698" s="849">
        <f t="shared" si="1047"/>
        <v>0</v>
      </c>
      <c r="L1698" s="242">
        <f t="shared" si="1046"/>
        <v>0</v>
      </c>
    </row>
    <row r="1699" spans="1:12" ht="15.5">
      <c r="A1699" s="180" t="s">
        <v>11</v>
      </c>
      <c r="B1699" s="250">
        <f t="shared" si="1041"/>
        <v>0</v>
      </c>
      <c r="C1699" s="241">
        <f t="shared" si="1042"/>
        <v>0</v>
      </c>
      <c r="D1699" s="242">
        <v>0</v>
      </c>
      <c r="E1699" s="242"/>
      <c r="F1699" s="242"/>
      <c r="H1699" s="250">
        <f t="shared" si="1043"/>
        <v>0</v>
      </c>
      <c r="I1699" s="241">
        <f t="shared" si="1044"/>
        <v>0</v>
      </c>
      <c r="J1699" s="242">
        <f t="shared" si="1045"/>
        <v>0</v>
      </c>
      <c r="K1699" s="849">
        <f t="shared" si="1047"/>
        <v>0</v>
      </c>
      <c r="L1699" s="242">
        <f t="shared" si="1046"/>
        <v>0</v>
      </c>
    </row>
    <row r="1700" spans="1:12" ht="15.5">
      <c r="A1700" s="180" t="s">
        <v>12</v>
      </c>
      <c r="B1700" s="250">
        <f t="shared" si="1041"/>
        <v>4785</v>
      </c>
      <c r="C1700" s="241">
        <f t="shared" si="1042"/>
        <v>5.8889055078216782E-4</v>
      </c>
      <c r="D1700" s="242">
        <v>4785</v>
      </c>
      <c r="E1700" s="242"/>
      <c r="F1700" s="242"/>
      <c r="H1700" s="250">
        <f t="shared" si="1043"/>
        <v>-48.33333333333303</v>
      </c>
      <c r="I1700" s="241">
        <f t="shared" si="1044"/>
        <v>1.7195369714453461E-3</v>
      </c>
      <c r="J1700" s="242">
        <f t="shared" si="1045"/>
        <v>-48.33333333333303</v>
      </c>
      <c r="K1700" s="849">
        <f t="shared" si="1047"/>
        <v>0</v>
      </c>
      <c r="L1700" s="242">
        <f t="shared" si="1046"/>
        <v>0</v>
      </c>
    </row>
    <row r="1701" spans="1:12" ht="15.5">
      <c r="A1701" s="180" t="s">
        <v>13</v>
      </c>
      <c r="B1701" s="250">
        <f t="shared" si="1041"/>
        <v>2735144.2889657775</v>
      </c>
      <c r="C1701" s="241">
        <f t="shared" si="1042"/>
        <v>0.33661455105491273</v>
      </c>
      <c r="D1701" s="242">
        <v>2735144.2889657775</v>
      </c>
      <c r="E1701" s="242">
        <v>0</v>
      </c>
      <c r="F1701" s="242">
        <v>0</v>
      </c>
      <c r="H1701" s="250">
        <f t="shared" si="1043"/>
        <v>0</v>
      </c>
      <c r="I1701" s="241">
        <f t="shared" si="1044"/>
        <v>0</v>
      </c>
      <c r="J1701" s="242">
        <f t="shared" si="1045"/>
        <v>0</v>
      </c>
      <c r="K1701" s="849">
        <f t="shared" si="1047"/>
        <v>0</v>
      </c>
      <c r="L1701" s="242">
        <f t="shared" si="1046"/>
        <v>0</v>
      </c>
    </row>
    <row r="1702" spans="1:12" ht="15.5">
      <c r="A1702" s="180"/>
      <c r="B1702" s="242">
        <v>0</v>
      </c>
      <c r="C1702" s="241">
        <f t="shared" si="1042"/>
        <v>0</v>
      </c>
      <c r="D1702" s="242"/>
      <c r="E1702" s="242"/>
      <c r="F1702" s="242"/>
      <c r="H1702" s="250"/>
      <c r="I1702" s="241">
        <f t="shared" si="1044"/>
        <v>0</v>
      </c>
      <c r="J1702" s="242"/>
      <c r="K1702" s="242"/>
      <c r="L1702" s="242"/>
    </row>
    <row r="1703" spans="1:12" ht="15.5">
      <c r="A1703" s="180"/>
      <c r="B1703" s="243">
        <f>SUM(B1695:B1702)</f>
        <v>8097340.4253890645</v>
      </c>
      <c r="C1703" s="240">
        <f>SUM(C1695:C1702)</f>
        <v>0.99654070281673546</v>
      </c>
      <c r="D1703" s="243">
        <f>SUM(D1695:D1702)</f>
        <v>3378406.6453890651</v>
      </c>
      <c r="E1703" s="243">
        <f>SUM(E1695:E1701)</f>
        <v>1486448.8</v>
      </c>
      <c r="F1703" s="243">
        <f>SUM(F1695:F1701)</f>
        <v>3232484.98</v>
      </c>
      <c r="G1703" s="32">
        <f>+B1703-B1692</f>
        <v>-28108.34203390684</v>
      </c>
      <c r="H1703" s="243">
        <f>SUM(H1695:H1702)</f>
        <v>-28108.342033906225</v>
      </c>
      <c r="I1703" s="240">
        <f>SUM(I1695:I1702)</f>
        <v>1</v>
      </c>
      <c r="J1703" s="243">
        <f>SUM(J1695:J1702)</f>
        <v>-28108.342033906225</v>
      </c>
      <c r="K1703" s="243">
        <f>SUM(K1695:K1702)</f>
        <v>0</v>
      </c>
      <c r="L1703" s="243">
        <f>SUM(L1695:L1702)</f>
        <v>0</v>
      </c>
    </row>
    <row r="1704" spans="1:12" ht="16" thickBot="1">
      <c r="A1704" s="180"/>
      <c r="B1704" s="334"/>
      <c r="C1704" s="335"/>
      <c r="D1704" s="334"/>
      <c r="E1704" s="334"/>
      <c r="F1704" s="334"/>
      <c r="G1704" s="32"/>
      <c r="H1704" s="334"/>
      <c r="I1704" s="335"/>
      <c r="J1704" s="334"/>
      <c r="K1704" s="334"/>
      <c r="L1704" s="334"/>
    </row>
    <row r="1705" spans="1:12" ht="16" thickBot="1">
      <c r="A1705" s="253">
        <v>44589</v>
      </c>
      <c r="B1705" s="251">
        <v>200</v>
      </c>
      <c r="C1705" s="238" t="s">
        <v>3</v>
      </c>
      <c r="D1705" s="238" t="s">
        <v>4</v>
      </c>
      <c r="E1705" s="238" t="s">
        <v>5</v>
      </c>
      <c r="F1705" s="238" t="s">
        <v>6</v>
      </c>
      <c r="H1705" s="251">
        <f>+B1705-B1694</f>
        <v>0</v>
      </c>
      <c r="I1705" s="238" t="s">
        <v>3</v>
      </c>
      <c r="J1705" s="238" t="s">
        <v>4</v>
      </c>
      <c r="K1705" s="238" t="s">
        <v>5</v>
      </c>
      <c r="L1705" s="238" t="s">
        <v>114</v>
      </c>
    </row>
    <row r="1706" spans="1:12" ht="15.5">
      <c r="A1706" s="180" t="s">
        <v>7</v>
      </c>
      <c r="B1706" s="250">
        <f>SUM(D1706:F1706)</f>
        <v>4847519.5586956525</v>
      </c>
      <c r="C1706" s="241">
        <f>+B1706/$B$1714</f>
        <v>0.59182169713723098</v>
      </c>
      <c r="D1706" s="242">
        <v>41215.568695652175</v>
      </c>
      <c r="E1706" s="242">
        <v>1651882.87</v>
      </c>
      <c r="F1706" s="242">
        <v>3154421.12</v>
      </c>
      <c r="H1706" s="250">
        <f>SUM(J1706:L1706)</f>
        <v>84211.458595652366</v>
      </c>
      <c r="I1706" s="241">
        <f>+H1706/$H$1714</f>
        <v>0.9006169938321632</v>
      </c>
      <c r="J1706" s="242">
        <f>+D1706-D1695</f>
        <v>-3158.7514043478295</v>
      </c>
      <c r="K1706" s="849">
        <f>+E1706-E1695</f>
        <v>165434.07000000007</v>
      </c>
      <c r="L1706" s="242">
        <f>+F1706-F1695</f>
        <v>-78063.85999999987</v>
      </c>
    </row>
    <row r="1707" spans="1:12" ht="15.5">
      <c r="A1707" s="180" t="s">
        <v>8</v>
      </c>
      <c r="B1707" s="250">
        <f t="shared" ref="B1707:B1712" si="1048">SUM(D1707:F1707)</f>
        <v>0</v>
      </c>
      <c r="C1707" s="241">
        <f t="shared" ref="C1707:C1712" si="1049">+B1707/$B$1714</f>
        <v>0</v>
      </c>
      <c r="D1707" s="242">
        <v>0</v>
      </c>
      <c r="F1707" s="242"/>
      <c r="G1707" s="32"/>
      <c r="H1707" s="250">
        <f t="shared" ref="H1707:H1712" si="1050">SUM(J1707:L1707)</f>
        <v>0</v>
      </c>
      <c r="I1707" s="241">
        <f t="shared" ref="I1707:I1712" si="1051">+H1707/$H$1714</f>
        <v>0</v>
      </c>
      <c r="J1707" s="242">
        <f t="shared" ref="J1707:J1712" si="1052">+D1707-D1696</f>
        <v>0</v>
      </c>
      <c r="K1707" s="849">
        <f>+E1707-E1696</f>
        <v>0</v>
      </c>
      <c r="L1707" s="242">
        <f t="shared" ref="L1707:L1712" si="1053">+F1707-F1696</f>
        <v>0</v>
      </c>
    </row>
    <row r="1708" spans="1:12" ht="15.5">
      <c r="A1708" s="180" t="s">
        <v>9</v>
      </c>
      <c r="B1708" s="250">
        <f t="shared" si="1048"/>
        <v>603557.57497719547</v>
      </c>
      <c r="C1708" s="241">
        <f t="shared" si="1049"/>
        <v>7.3686854486699302E-2</v>
      </c>
      <c r="D1708" s="242">
        <v>603557.57497719547</v>
      </c>
      <c r="E1708" s="242"/>
      <c r="F1708" s="242"/>
      <c r="H1708" s="250">
        <f t="shared" si="1050"/>
        <v>9454.5386539078318</v>
      </c>
      <c r="I1708" s="241">
        <f t="shared" si="1051"/>
        <v>0.1011135339839852</v>
      </c>
      <c r="J1708" s="242">
        <f t="shared" si="1052"/>
        <v>9454.5386539078318</v>
      </c>
      <c r="K1708" s="849">
        <f t="shared" ref="K1708:K1712" si="1054">+E1708-E1697</f>
        <v>0</v>
      </c>
      <c r="L1708" s="242">
        <f t="shared" si="1053"/>
        <v>0</v>
      </c>
    </row>
    <row r="1709" spans="1:12" ht="15.5">
      <c r="A1709" s="180" t="s">
        <v>162</v>
      </c>
      <c r="B1709" s="250">
        <f t="shared" si="1048"/>
        <v>0</v>
      </c>
      <c r="C1709" s="241">
        <f t="shared" si="1049"/>
        <v>0</v>
      </c>
      <c r="D1709" s="242">
        <v>0</v>
      </c>
      <c r="E1709" s="242"/>
      <c r="F1709" s="242"/>
      <c r="H1709" s="250">
        <f t="shared" si="1050"/>
        <v>0</v>
      </c>
      <c r="I1709" s="241">
        <f t="shared" si="1051"/>
        <v>0</v>
      </c>
      <c r="J1709" s="242">
        <f t="shared" si="1052"/>
        <v>0</v>
      </c>
      <c r="K1709" s="849">
        <f t="shared" si="1054"/>
        <v>0</v>
      </c>
      <c r="L1709" s="242">
        <f t="shared" si="1053"/>
        <v>0</v>
      </c>
    </row>
    <row r="1710" spans="1:12" ht="15.5">
      <c r="A1710" s="180" t="s">
        <v>11</v>
      </c>
      <c r="B1710" s="250">
        <f t="shared" si="1048"/>
        <v>0</v>
      </c>
      <c r="C1710" s="241">
        <f t="shared" si="1049"/>
        <v>0</v>
      </c>
      <c r="D1710" s="242">
        <v>0</v>
      </c>
      <c r="E1710" s="242"/>
      <c r="F1710" s="242"/>
      <c r="H1710" s="250">
        <f t="shared" si="1050"/>
        <v>0</v>
      </c>
      <c r="I1710" s="241">
        <f t="shared" si="1051"/>
        <v>0</v>
      </c>
      <c r="J1710" s="242">
        <f t="shared" si="1052"/>
        <v>0</v>
      </c>
      <c r="K1710" s="849">
        <f t="shared" si="1054"/>
        <v>0</v>
      </c>
      <c r="L1710" s="242">
        <f t="shared" si="1053"/>
        <v>0</v>
      </c>
    </row>
    <row r="1711" spans="1:12" ht="15.5">
      <c r="A1711" s="180" t="s">
        <v>12</v>
      </c>
      <c r="B1711" s="250">
        <f t="shared" si="1048"/>
        <v>4623.188405797101</v>
      </c>
      <c r="C1711" s="241">
        <f t="shared" si="1049"/>
        <v>5.6443366042657642E-4</v>
      </c>
      <c r="D1711" s="242">
        <v>4623.188405797101</v>
      </c>
      <c r="E1711" s="242"/>
      <c r="F1711" s="242"/>
      <c r="H1711" s="250">
        <f t="shared" si="1050"/>
        <v>-161.81159420289896</v>
      </c>
      <c r="I1711" s="241">
        <f t="shared" si="1051"/>
        <v>-1.7305278161483886E-3</v>
      </c>
      <c r="J1711" s="242">
        <f t="shared" si="1052"/>
        <v>-161.81159420289896</v>
      </c>
      <c r="K1711" s="849">
        <f t="shared" si="1054"/>
        <v>0</v>
      </c>
      <c r="L1711" s="242">
        <f t="shared" si="1053"/>
        <v>0</v>
      </c>
    </row>
    <row r="1712" spans="1:12" ht="15.5">
      <c r="A1712" s="180" t="s">
        <v>13</v>
      </c>
      <c r="B1712" s="250">
        <f t="shared" si="1048"/>
        <v>2735144.2889657775</v>
      </c>
      <c r="C1712" s="241">
        <f t="shared" si="1049"/>
        <v>0.33392701471564318</v>
      </c>
      <c r="D1712" s="242">
        <v>2735144.2889657775</v>
      </c>
      <c r="E1712" s="242">
        <v>0</v>
      </c>
      <c r="F1712" s="242">
        <v>0</v>
      </c>
      <c r="H1712" s="250">
        <f t="shared" si="1050"/>
        <v>0</v>
      </c>
      <c r="I1712" s="241">
        <f t="shared" si="1051"/>
        <v>0</v>
      </c>
      <c r="J1712" s="242">
        <f t="shared" si="1052"/>
        <v>0</v>
      </c>
      <c r="K1712" s="849">
        <f t="shared" si="1054"/>
        <v>0</v>
      </c>
      <c r="L1712" s="242">
        <f t="shared" si="1053"/>
        <v>0</v>
      </c>
    </row>
    <row r="1714" spans="1:12" ht="15.5">
      <c r="A1714" s="180"/>
      <c r="B1714" s="243">
        <f>SUM(B1706:B1713)</f>
        <v>8190844.6110444227</v>
      </c>
      <c r="C1714" s="240">
        <f>SUM(C1706:C1713)</f>
        <v>1</v>
      </c>
      <c r="D1714" s="243">
        <f>SUM(D1706:D1713)</f>
        <v>3384540.6210444225</v>
      </c>
      <c r="E1714" s="243">
        <f>SUM(E1706:E1712)</f>
        <v>1651882.87</v>
      </c>
      <c r="F1714" s="243">
        <f>SUM(F1706:F1712)</f>
        <v>3154421.12</v>
      </c>
      <c r="G1714" s="32">
        <f>+B1714-B1703</f>
        <v>93504.185655358247</v>
      </c>
      <c r="H1714" s="243">
        <f>SUM(H1706:H1713)</f>
        <v>93504.185655357302</v>
      </c>
      <c r="I1714" s="240">
        <f>SUM(I1706:I1713)</f>
        <v>1</v>
      </c>
      <c r="J1714" s="243">
        <f>SUM(J1706:J1713)</f>
        <v>6133.9756553571033</v>
      </c>
      <c r="K1714" s="243">
        <f>SUM(K1706:K1713)</f>
        <v>165434.07000000007</v>
      </c>
      <c r="L1714" s="243">
        <f>SUM(L1706:L1713)</f>
        <v>-78063.85999999987</v>
      </c>
    </row>
    <row r="1715" spans="1:12" ht="16" thickBot="1">
      <c r="A1715" s="180"/>
      <c r="B1715" s="334"/>
      <c r="C1715" s="335"/>
      <c r="D1715" s="334"/>
      <c r="E1715" s="334"/>
      <c r="F1715" s="334"/>
      <c r="G1715" s="32"/>
      <c r="H1715" s="334"/>
      <c r="I1715" s="335"/>
      <c r="J1715" s="334"/>
      <c r="K1715" s="334"/>
      <c r="L1715" s="334"/>
    </row>
    <row r="1716" spans="1:12" ht="16" thickBot="1">
      <c r="A1716" s="253">
        <v>44620</v>
      </c>
      <c r="B1716" s="251">
        <v>200</v>
      </c>
      <c r="C1716" s="238" t="s">
        <v>3</v>
      </c>
      <c r="D1716" s="238" t="s">
        <v>4</v>
      </c>
      <c r="E1716" s="238" t="s">
        <v>5</v>
      </c>
      <c r="F1716" s="238" t="s">
        <v>6</v>
      </c>
      <c r="H1716" s="251">
        <f>+B1716-B1705</f>
        <v>0</v>
      </c>
      <c r="I1716" s="238" t="s">
        <v>3</v>
      </c>
      <c r="J1716" s="238" t="s">
        <v>4</v>
      </c>
      <c r="K1716" s="238" t="s">
        <v>5</v>
      </c>
      <c r="L1716" s="238" t="s">
        <v>114</v>
      </c>
    </row>
    <row r="1717" spans="1:12" ht="15.5">
      <c r="A1717" s="180" t="s">
        <v>7</v>
      </c>
      <c r="B1717" s="250">
        <f>SUM(D1717:F1717)</f>
        <v>4743280.3936000001</v>
      </c>
      <c r="C1717" s="241">
        <f>+B1717/$B$1725</f>
        <v>0.58565275568243602</v>
      </c>
      <c r="D1717" s="242">
        <v>42658.113600000004</v>
      </c>
      <c r="E1717" s="242">
        <v>1643821.65</v>
      </c>
      <c r="F1717" s="242">
        <v>3056800.63</v>
      </c>
      <c r="H1717" s="250">
        <f>SUM(J1717:L1717)</f>
        <v>-104239.1650956526</v>
      </c>
      <c r="I1717" s="241">
        <f>+H1717/$H$1725</f>
        <v>1.1366148905152451</v>
      </c>
      <c r="J1717" s="242">
        <f>+D1717-D1706</f>
        <v>1442.5449043478293</v>
      </c>
      <c r="K1717" s="849">
        <f>+E1717-E1706</f>
        <v>-8061.2200000002049</v>
      </c>
      <c r="L1717" s="242">
        <f>+F1717-F1706</f>
        <v>-97620.490000000224</v>
      </c>
    </row>
    <row r="1718" spans="1:12" ht="15.5">
      <c r="A1718" s="180" t="s">
        <v>8</v>
      </c>
      <c r="B1718" s="250">
        <f t="shared" ref="B1718:B1723" si="1055">SUM(D1718:F1718)</f>
        <v>0</v>
      </c>
      <c r="C1718" s="241">
        <f t="shared" ref="C1718:C1723" si="1056">+B1718/$B$1725</f>
        <v>0</v>
      </c>
      <c r="D1718" s="242">
        <v>0</v>
      </c>
      <c r="F1718" s="242"/>
      <c r="G1718" s="32"/>
      <c r="H1718" s="250">
        <f t="shared" ref="H1718:H1723" si="1057">SUM(J1718:L1718)</f>
        <v>0</v>
      </c>
      <c r="I1718" s="241">
        <f t="shared" ref="I1718:I1723" si="1058">+H1718/$H$1725</f>
        <v>0</v>
      </c>
      <c r="J1718" s="242">
        <f t="shared" ref="J1718:J1723" si="1059">+D1718-D1707</f>
        <v>0</v>
      </c>
      <c r="K1718" s="849">
        <f>+E1718-E1707</f>
        <v>0</v>
      </c>
      <c r="L1718" s="242">
        <f t="shared" ref="L1718:L1723" si="1060">+F1718-F1707</f>
        <v>0</v>
      </c>
    </row>
    <row r="1719" spans="1:12" ht="15.5">
      <c r="A1719" s="180" t="s">
        <v>9</v>
      </c>
      <c r="B1719" s="250">
        <f t="shared" si="1055"/>
        <v>615924.74065205478</v>
      </c>
      <c r="C1719" s="241">
        <f t="shared" si="1056"/>
        <v>7.6048218052336553E-2</v>
      </c>
      <c r="D1719" s="242">
        <v>615924.74065205478</v>
      </c>
      <c r="E1719" s="242"/>
      <c r="F1719" s="242"/>
      <c r="H1719" s="250">
        <f t="shared" si="1057"/>
        <v>12367.165674859309</v>
      </c>
      <c r="I1719" s="241">
        <f t="shared" si="1058"/>
        <v>-0.13485051080959165</v>
      </c>
      <c r="J1719" s="242">
        <f t="shared" si="1059"/>
        <v>12367.165674859309</v>
      </c>
      <c r="K1719" s="849">
        <f t="shared" ref="K1719:K1723" si="1061">+E1719-E1708</f>
        <v>0</v>
      </c>
      <c r="L1719" s="242">
        <f t="shared" si="1060"/>
        <v>0</v>
      </c>
    </row>
    <row r="1720" spans="1:12" ht="15.5">
      <c r="A1720" s="180" t="s">
        <v>162</v>
      </c>
      <c r="B1720" s="250">
        <f t="shared" si="1055"/>
        <v>0</v>
      </c>
      <c r="C1720" s="241">
        <f t="shared" si="1056"/>
        <v>0</v>
      </c>
      <c r="D1720" s="242">
        <v>0</v>
      </c>
      <c r="E1720" s="242"/>
      <c r="F1720" s="242"/>
      <c r="H1720" s="250">
        <f t="shared" si="1057"/>
        <v>0</v>
      </c>
      <c r="I1720" s="241">
        <f t="shared" si="1058"/>
        <v>0</v>
      </c>
      <c r="J1720" s="242">
        <f t="shared" si="1059"/>
        <v>0</v>
      </c>
      <c r="K1720" s="849">
        <f t="shared" si="1061"/>
        <v>0</v>
      </c>
      <c r="L1720" s="242">
        <f t="shared" si="1060"/>
        <v>0</v>
      </c>
    </row>
    <row r="1721" spans="1:12" ht="15.5">
      <c r="A1721" s="180" t="s">
        <v>11</v>
      </c>
      <c r="B1721" s="250">
        <f t="shared" si="1055"/>
        <v>0</v>
      </c>
      <c r="C1721" s="241">
        <f t="shared" si="1056"/>
        <v>0</v>
      </c>
      <c r="D1721" s="242">
        <v>0</v>
      </c>
      <c r="E1721" s="242"/>
      <c r="F1721" s="242"/>
      <c r="H1721" s="250">
        <f t="shared" si="1057"/>
        <v>0</v>
      </c>
      <c r="I1721" s="241">
        <f t="shared" si="1058"/>
        <v>0</v>
      </c>
      <c r="J1721" s="242">
        <f t="shared" si="1059"/>
        <v>0</v>
      </c>
      <c r="K1721" s="849">
        <f t="shared" si="1061"/>
        <v>0</v>
      </c>
      <c r="L1721" s="242">
        <f t="shared" si="1060"/>
        <v>0</v>
      </c>
    </row>
    <row r="1722" spans="1:12" ht="15.5">
      <c r="A1722" s="180" t="s">
        <v>12</v>
      </c>
      <c r="B1722" s="250">
        <f t="shared" si="1055"/>
        <v>4785</v>
      </c>
      <c r="C1722" s="241">
        <f t="shared" si="1056"/>
        <v>5.9080387482924289E-4</v>
      </c>
      <c r="D1722" s="242">
        <v>4785</v>
      </c>
      <c r="E1722" s="242"/>
      <c r="F1722" s="242"/>
      <c r="H1722" s="250">
        <f t="shared" si="1057"/>
        <v>161.81159420289896</v>
      </c>
      <c r="I1722" s="241">
        <f t="shared" si="1058"/>
        <v>-1.764379705653415E-3</v>
      </c>
      <c r="J1722" s="242">
        <f t="shared" si="1059"/>
        <v>161.81159420289896</v>
      </c>
      <c r="K1722" s="849">
        <f t="shared" si="1061"/>
        <v>0</v>
      </c>
      <c r="L1722" s="242">
        <f t="shared" si="1060"/>
        <v>0</v>
      </c>
    </row>
    <row r="1723" spans="1:12" ht="15.5">
      <c r="A1723" s="180" t="s">
        <v>13</v>
      </c>
      <c r="B1723" s="250">
        <f t="shared" si="1055"/>
        <v>2735144.2889657775</v>
      </c>
      <c r="C1723" s="241">
        <f t="shared" si="1056"/>
        <v>0.33770822239039827</v>
      </c>
      <c r="D1723" s="242">
        <v>2735144.2889657775</v>
      </c>
      <c r="E1723" s="242">
        <v>0</v>
      </c>
      <c r="F1723" s="242">
        <v>0</v>
      </c>
      <c r="H1723" s="250">
        <f t="shared" si="1057"/>
        <v>0</v>
      </c>
      <c r="I1723" s="241">
        <f t="shared" si="1058"/>
        <v>0</v>
      </c>
      <c r="J1723" s="242">
        <f t="shared" si="1059"/>
        <v>0</v>
      </c>
      <c r="K1723" s="849">
        <f t="shared" si="1061"/>
        <v>0</v>
      </c>
      <c r="L1723" s="242">
        <f t="shared" si="1060"/>
        <v>0</v>
      </c>
    </row>
    <row r="1724" spans="1:12" ht="15.5">
      <c r="A1724" s="180"/>
      <c r="B1724" s="242"/>
      <c r="C1724" s="241"/>
      <c r="D1724" s="242"/>
      <c r="E1724" s="242"/>
      <c r="F1724" s="242"/>
      <c r="H1724" s="250"/>
      <c r="I1724" s="241"/>
      <c r="J1724" s="242"/>
      <c r="K1724" s="242"/>
      <c r="L1724" s="242"/>
    </row>
    <row r="1725" spans="1:12" ht="15.5">
      <c r="A1725" s="180"/>
      <c r="B1725" s="243">
        <f>SUM(B1717:B1724)</f>
        <v>8099134.4232178321</v>
      </c>
      <c r="C1725" s="240">
        <f>SUM(C1717:C1724)</f>
        <v>1</v>
      </c>
      <c r="D1725" s="243">
        <f>SUM(D1717:D1724)</f>
        <v>3398512.1432178323</v>
      </c>
      <c r="E1725" s="243">
        <f>SUM(E1717:E1723)</f>
        <v>1643821.65</v>
      </c>
      <c r="F1725" s="243">
        <f>SUM(F1717:F1723)</f>
        <v>3056800.63</v>
      </c>
      <c r="G1725" s="32">
        <f>+B1725-B1714</f>
        <v>-91710.187826590613</v>
      </c>
      <c r="H1725" s="243">
        <f>SUM(H1717:H1724)</f>
        <v>-91710.187826590394</v>
      </c>
      <c r="I1725" s="240">
        <f>SUM(I1717:I1724)</f>
        <v>1</v>
      </c>
      <c r="J1725" s="243">
        <f>SUM(J1717:J1724)</f>
        <v>13971.522173410038</v>
      </c>
      <c r="K1725" s="243">
        <f>SUM(K1717:K1724)</f>
        <v>-8061.2200000002049</v>
      </c>
      <c r="L1725" s="243">
        <f>SUM(L1717:L1724)</f>
        <v>-97620.490000000224</v>
      </c>
    </row>
    <row r="1726" spans="1:12" ht="16" thickBot="1">
      <c r="A1726" s="180"/>
      <c r="B1726" s="334"/>
      <c r="C1726" s="335"/>
      <c r="D1726" s="334"/>
      <c r="E1726" s="334"/>
      <c r="F1726" s="334"/>
      <c r="G1726" s="32"/>
      <c r="H1726" s="334"/>
      <c r="I1726" s="335"/>
      <c r="J1726" s="334"/>
      <c r="K1726" s="334"/>
      <c r="L1726" s="334"/>
    </row>
    <row r="1727" spans="1:12" ht="16" thickBot="1">
      <c r="A1727" s="253">
        <v>44648</v>
      </c>
      <c r="B1727" s="251">
        <v>200</v>
      </c>
      <c r="C1727" s="238" t="s">
        <v>3</v>
      </c>
      <c r="D1727" s="238" t="s">
        <v>4</v>
      </c>
      <c r="E1727" s="238" t="s">
        <v>5</v>
      </c>
      <c r="F1727" s="238" t="s">
        <v>6</v>
      </c>
      <c r="H1727" s="251">
        <f>+B1727-B1716</f>
        <v>0</v>
      </c>
      <c r="I1727" s="238" t="s">
        <v>3</v>
      </c>
      <c r="J1727" s="238" t="s">
        <v>4</v>
      </c>
      <c r="K1727" s="238" t="s">
        <v>5</v>
      </c>
      <c r="L1727" s="238" t="s">
        <v>114</v>
      </c>
    </row>
    <row r="1728" spans="1:12" ht="15.5">
      <c r="A1728" s="180" t="s">
        <v>7</v>
      </c>
      <c r="B1728" s="250">
        <f>SUM(D1728:F1728)</f>
        <v>4841308.6470499998</v>
      </c>
      <c r="C1728" s="241">
        <f>+B1728/$B$1736</f>
        <v>0.58844010335802399</v>
      </c>
      <c r="D1728" s="242">
        <v>42985.767050000002</v>
      </c>
      <c r="E1728" s="242">
        <v>1645195.87</v>
      </c>
      <c r="F1728" s="242">
        <v>3153127.01</v>
      </c>
      <c r="H1728" s="250">
        <f>SUM(J1728:L1728)</f>
        <v>98028.253450000091</v>
      </c>
      <c r="I1728" s="241">
        <f>+H1728/$H$1736</f>
        <v>0.76449764704457335</v>
      </c>
      <c r="J1728" s="242">
        <f>+D1728-D1717</f>
        <v>327.65344999999797</v>
      </c>
      <c r="K1728" s="849">
        <f>+E1728-E1717</f>
        <v>1374.2200000002049</v>
      </c>
      <c r="L1728" s="242">
        <f>+F1728-F1717</f>
        <v>96326.379999999888</v>
      </c>
    </row>
    <row r="1729" spans="1:12" ht="15.5">
      <c r="A1729" s="180" t="s">
        <v>8</v>
      </c>
      <c r="B1729" s="250">
        <f t="shared" ref="B1729:B1734" si="1062">SUM(D1729:F1729)</f>
        <v>0</v>
      </c>
      <c r="C1729" s="241">
        <f t="shared" ref="C1729:C1734" si="1063">+B1729/$B$1736</f>
        <v>0</v>
      </c>
      <c r="D1729" s="242">
        <v>0</v>
      </c>
      <c r="F1729" s="242"/>
      <c r="G1729" s="32"/>
      <c r="H1729" s="250">
        <f t="shared" ref="H1729:H1734" si="1064">SUM(J1729:L1729)</f>
        <v>0</v>
      </c>
      <c r="I1729" s="241">
        <f t="shared" ref="I1729:I1734" si="1065">+H1729/$H$1736</f>
        <v>0</v>
      </c>
      <c r="J1729" s="242">
        <f t="shared" ref="J1729:J1734" si="1066">+D1729-D1718</f>
        <v>0</v>
      </c>
      <c r="K1729" s="849">
        <f>+E1729-E1718</f>
        <v>0</v>
      </c>
      <c r="L1729" s="242">
        <f t="shared" ref="L1729:L1734" si="1067">+F1729-F1718</f>
        <v>0</v>
      </c>
    </row>
    <row r="1730" spans="1:12" ht="15.5">
      <c r="A1730" s="180" t="s">
        <v>9</v>
      </c>
      <c r="B1730" s="250">
        <f t="shared" si="1062"/>
        <v>646122.19702465751</v>
      </c>
      <c r="C1730" s="241">
        <f t="shared" si="1063"/>
        <v>7.8533355362661386E-2</v>
      </c>
      <c r="D1730" s="242">
        <v>646122.19702465751</v>
      </c>
      <c r="E1730" s="242"/>
      <c r="F1730" s="242"/>
      <c r="H1730" s="250">
        <f t="shared" si="1064"/>
        <v>30197.456372602726</v>
      </c>
      <c r="I1730" s="241">
        <f t="shared" si="1065"/>
        <v>0.23550235295542665</v>
      </c>
      <c r="J1730" s="242">
        <f t="shared" si="1066"/>
        <v>30197.456372602726</v>
      </c>
      <c r="K1730" s="849">
        <f t="shared" ref="K1730:K1734" si="1068">+E1730-E1719</f>
        <v>0</v>
      </c>
      <c r="L1730" s="242">
        <f t="shared" si="1067"/>
        <v>0</v>
      </c>
    </row>
    <row r="1731" spans="1:12" ht="15.5">
      <c r="A1731" s="180" t="s">
        <v>162</v>
      </c>
      <c r="B1731" s="250">
        <f t="shared" si="1062"/>
        <v>0</v>
      </c>
      <c r="C1731" s="241">
        <f t="shared" si="1063"/>
        <v>0</v>
      </c>
      <c r="D1731" s="242">
        <v>0</v>
      </c>
      <c r="E1731" s="242"/>
      <c r="F1731" s="242"/>
      <c r="H1731" s="250">
        <f t="shared" si="1064"/>
        <v>0</v>
      </c>
      <c r="I1731" s="241">
        <f t="shared" si="1065"/>
        <v>0</v>
      </c>
      <c r="J1731" s="242">
        <f t="shared" si="1066"/>
        <v>0</v>
      </c>
      <c r="K1731" s="849">
        <f t="shared" si="1068"/>
        <v>0</v>
      </c>
      <c r="L1731" s="242">
        <f t="shared" si="1067"/>
        <v>0</v>
      </c>
    </row>
    <row r="1732" spans="1:12" ht="15.5">
      <c r="A1732" s="180" t="s">
        <v>11</v>
      </c>
      <c r="B1732" s="250">
        <f t="shared" si="1062"/>
        <v>0</v>
      </c>
      <c r="C1732" s="241">
        <f t="shared" si="1063"/>
        <v>0</v>
      </c>
      <c r="D1732" s="242">
        <v>0</v>
      </c>
      <c r="E1732" s="242"/>
      <c r="F1732" s="242"/>
      <c r="H1732" s="250">
        <f t="shared" si="1064"/>
        <v>0</v>
      </c>
      <c r="I1732" s="241">
        <f t="shared" si="1065"/>
        <v>0</v>
      </c>
      <c r="J1732" s="242">
        <f t="shared" si="1066"/>
        <v>0</v>
      </c>
      <c r="K1732" s="849">
        <f t="shared" si="1068"/>
        <v>0</v>
      </c>
      <c r="L1732" s="242">
        <f t="shared" si="1067"/>
        <v>0</v>
      </c>
    </row>
    <row r="1733" spans="1:12" ht="15.5">
      <c r="A1733" s="180" t="s">
        <v>12</v>
      </c>
      <c r="B1733" s="250">
        <f t="shared" si="1062"/>
        <v>4785</v>
      </c>
      <c r="C1733" s="241">
        <f t="shared" si="1063"/>
        <v>5.8159603112349666E-4</v>
      </c>
      <c r="D1733" s="242">
        <v>4785</v>
      </c>
      <c r="E1733" s="242"/>
      <c r="F1733" s="242"/>
      <c r="H1733" s="250">
        <f t="shared" si="1064"/>
        <v>0</v>
      </c>
      <c r="I1733" s="241">
        <f t="shared" si="1065"/>
        <v>0</v>
      </c>
      <c r="J1733" s="242">
        <f t="shared" si="1066"/>
        <v>0</v>
      </c>
      <c r="K1733" s="849">
        <f t="shared" si="1068"/>
        <v>0</v>
      </c>
      <c r="L1733" s="242">
        <f t="shared" si="1067"/>
        <v>0</v>
      </c>
    </row>
    <row r="1734" spans="1:12" ht="15.5">
      <c r="A1734" s="180" t="s">
        <v>13</v>
      </c>
      <c r="B1734" s="250">
        <f t="shared" si="1062"/>
        <v>2735144.2889657775</v>
      </c>
      <c r="C1734" s="241">
        <f t="shared" si="1063"/>
        <v>0.33244494524819107</v>
      </c>
      <c r="D1734" s="242">
        <v>2735144.2889657775</v>
      </c>
      <c r="E1734" s="242">
        <v>0</v>
      </c>
      <c r="F1734" s="242">
        <v>0</v>
      </c>
      <c r="H1734" s="250">
        <f t="shared" si="1064"/>
        <v>0</v>
      </c>
      <c r="I1734" s="241">
        <f t="shared" si="1065"/>
        <v>0</v>
      </c>
      <c r="J1734" s="242">
        <f t="shared" si="1066"/>
        <v>0</v>
      </c>
      <c r="K1734" s="849">
        <f t="shared" si="1068"/>
        <v>0</v>
      </c>
      <c r="L1734" s="242">
        <f t="shared" si="1067"/>
        <v>0</v>
      </c>
    </row>
    <row r="1735" spans="1:12" ht="15.5">
      <c r="A1735" s="180"/>
      <c r="B1735" s="242"/>
      <c r="C1735" s="241"/>
      <c r="D1735" s="242"/>
      <c r="E1735" s="242"/>
      <c r="F1735" s="242"/>
      <c r="H1735" s="250"/>
      <c r="I1735" s="241"/>
      <c r="J1735" s="242"/>
      <c r="K1735" s="242"/>
      <c r="L1735" s="242"/>
    </row>
    <row r="1736" spans="1:12" ht="15.5">
      <c r="A1736" s="180"/>
      <c r="B1736" s="243">
        <f>SUM(B1728:B1735)</f>
        <v>8227360.1330404347</v>
      </c>
      <c r="C1736" s="240">
        <f>SUM(C1728:C1735)</f>
        <v>1</v>
      </c>
      <c r="D1736" s="243">
        <f>SUM(D1728:D1735)</f>
        <v>3429037.2530404348</v>
      </c>
      <c r="E1736" s="243">
        <f>SUM(E1728:E1734)</f>
        <v>1645195.87</v>
      </c>
      <c r="F1736" s="243">
        <f>SUM(F1728:F1734)</f>
        <v>3153127.01</v>
      </c>
      <c r="G1736" s="32">
        <f>+B1736-B1725</f>
        <v>128225.70982260257</v>
      </c>
      <c r="H1736" s="243">
        <f>SUM(H1728:H1735)</f>
        <v>128225.70982260282</v>
      </c>
      <c r="I1736" s="240">
        <f>SUM(I1728:I1735)</f>
        <v>1</v>
      </c>
      <c r="J1736" s="243">
        <f>SUM(J1728:J1735)</f>
        <v>30525.109822602724</v>
      </c>
      <c r="K1736" s="243">
        <f>SUM(K1728:K1735)</f>
        <v>1374.2200000002049</v>
      </c>
      <c r="L1736" s="243">
        <f>SUM(L1728:L1735)</f>
        <v>96326.379999999888</v>
      </c>
    </row>
    <row r="1737" spans="1:12" ht="16" thickBot="1">
      <c r="A1737" s="180"/>
      <c r="B1737" s="334"/>
      <c r="C1737" s="335"/>
      <c r="D1737" s="334"/>
      <c r="E1737" s="334"/>
      <c r="F1737" s="334"/>
      <c r="G1737" s="32"/>
      <c r="H1737" s="334"/>
      <c r="I1737" s="335"/>
      <c r="J1737" s="334"/>
      <c r="K1737" s="334"/>
      <c r="L1737" s="334"/>
    </row>
    <row r="1738" spans="1:12" ht="16" thickBot="1">
      <c r="A1738" s="253">
        <v>44679</v>
      </c>
      <c r="B1738" s="251">
        <v>200</v>
      </c>
      <c r="C1738" s="238" t="s">
        <v>3</v>
      </c>
      <c r="D1738" s="238" t="s">
        <v>4</v>
      </c>
      <c r="E1738" s="238" t="s">
        <v>5</v>
      </c>
      <c r="F1738" s="238" t="s">
        <v>6</v>
      </c>
      <c r="H1738" s="251">
        <f>+B1738-B1727</f>
        <v>0</v>
      </c>
      <c r="I1738" s="238" t="s">
        <v>3</v>
      </c>
      <c r="J1738" s="238" t="s">
        <v>4</v>
      </c>
      <c r="K1738" s="238" t="s">
        <v>5</v>
      </c>
      <c r="L1738" s="238" t="s">
        <v>114</v>
      </c>
    </row>
    <row r="1739" spans="1:12" ht="15.5">
      <c r="A1739" s="180" t="s">
        <v>7</v>
      </c>
      <c r="B1739" s="250">
        <f>SUM(D1739:F1739)</f>
        <v>4596841.63705</v>
      </c>
      <c r="C1739" s="241">
        <f>+B1739/$B$1747</f>
        <v>0.57542482370726322</v>
      </c>
      <c r="D1739" s="242">
        <v>42985.767050000002</v>
      </c>
      <c r="E1739" s="242">
        <v>1651704.17</v>
      </c>
      <c r="F1739" s="242">
        <v>2902151.7</v>
      </c>
      <c r="H1739" s="250">
        <f>SUM(J1739:L1739)</f>
        <v>-244467.00999999978</v>
      </c>
      <c r="I1739" s="241">
        <f>+H1739/$H$1747</f>
        <v>1.0239236764398467</v>
      </c>
      <c r="J1739" s="242">
        <f>+D1739-D1728</f>
        <v>0</v>
      </c>
      <c r="K1739" s="849">
        <f>+E1739-E1728</f>
        <v>6508.2999999998137</v>
      </c>
      <c r="L1739" s="242">
        <f>+F1739-F1728</f>
        <v>-250975.30999999959</v>
      </c>
    </row>
    <row r="1740" spans="1:12" ht="15.5">
      <c r="A1740" s="180" t="s">
        <v>8</v>
      </c>
      <c r="B1740" s="250">
        <f t="shared" ref="B1740:B1745" si="1069">SUM(D1740:F1740)</f>
        <v>0</v>
      </c>
      <c r="C1740" s="241">
        <f t="shared" ref="C1740:C1745" si="1070">+B1740/$B$1747</f>
        <v>0</v>
      </c>
      <c r="D1740" s="242">
        <v>0</v>
      </c>
      <c r="F1740" s="242"/>
      <c r="G1740" s="32"/>
      <c r="H1740" s="250">
        <f t="shared" ref="H1740:H1745" si="1071">SUM(J1740:L1740)</f>
        <v>0</v>
      </c>
      <c r="I1740" s="241">
        <f t="shared" ref="I1740:I1745" si="1072">+H1740/$H$1747</f>
        <v>0</v>
      </c>
      <c r="J1740" s="242">
        <f t="shared" ref="J1740:J1745" si="1073">+D1740-D1729</f>
        <v>0</v>
      </c>
      <c r="K1740" s="849">
        <f>+E1740-E1729</f>
        <v>0</v>
      </c>
      <c r="L1740" s="242">
        <f t="shared" ref="L1740:L1745" si="1074">+F1740-F1729</f>
        <v>0</v>
      </c>
    </row>
    <row r="1741" spans="1:12" ht="15.5">
      <c r="A1741" s="180" t="s">
        <v>9</v>
      </c>
      <c r="B1741" s="250">
        <f t="shared" si="1069"/>
        <v>651834.09702465753</v>
      </c>
      <c r="C1741" s="241">
        <f t="shared" si="1070"/>
        <v>8.159548446126226E-2</v>
      </c>
      <c r="D1741" s="242">
        <v>651834.09702465753</v>
      </c>
      <c r="E1741" s="242"/>
      <c r="F1741" s="242"/>
      <c r="H1741" s="250">
        <f t="shared" si="1071"/>
        <v>5711.9000000000233</v>
      </c>
      <c r="I1741" s="241">
        <f t="shared" si="1072"/>
        <v>-2.3923676439846792E-2</v>
      </c>
      <c r="J1741" s="242">
        <f t="shared" si="1073"/>
        <v>5711.9000000000233</v>
      </c>
      <c r="K1741" s="849">
        <f t="shared" ref="K1741:K1745" si="1075">+E1741-E1730</f>
        <v>0</v>
      </c>
      <c r="L1741" s="242">
        <f t="shared" si="1074"/>
        <v>0</v>
      </c>
    </row>
    <row r="1742" spans="1:12" ht="15.5">
      <c r="A1742" s="180" t="s">
        <v>162</v>
      </c>
      <c r="B1742" s="250">
        <f t="shared" si="1069"/>
        <v>0</v>
      </c>
      <c r="C1742" s="241">
        <f t="shared" si="1070"/>
        <v>0</v>
      </c>
      <c r="D1742" s="242">
        <v>0</v>
      </c>
      <c r="E1742" s="242"/>
      <c r="F1742" s="242"/>
      <c r="H1742" s="250">
        <f t="shared" si="1071"/>
        <v>0</v>
      </c>
      <c r="I1742" s="241">
        <f t="shared" si="1072"/>
        <v>0</v>
      </c>
      <c r="J1742" s="242">
        <f t="shared" si="1073"/>
        <v>0</v>
      </c>
      <c r="K1742" s="849">
        <f t="shared" si="1075"/>
        <v>0</v>
      </c>
      <c r="L1742" s="242">
        <f t="shared" si="1074"/>
        <v>0</v>
      </c>
    </row>
    <row r="1743" spans="1:12" ht="15.5">
      <c r="A1743" s="180" t="s">
        <v>11</v>
      </c>
      <c r="B1743" s="250">
        <f t="shared" si="1069"/>
        <v>0</v>
      </c>
      <c r="C1743" s="241">
        <f t="shared" si="1070"/>
        <v>0</v>
      </c>
      <c r="D1743" s="242">
        <v>0</v>
      </c>
      <c r="E1743" s="242"/>
      <c r="F1743" s="242"/>
      <c r="H1743" s="250">
        <f t="shared" si="1071"/>
        <v>0</v>
      </c>
      <c r="I1743" s="241">
        <f t="shared" si="1072"/>
        <v>0</v>
      </c>
      <c r="J1743" s="242">
        <f t="shared" si="1073"/>
        <v>0</v>
      </c>
      <c r="K1743" s="849">
        <f t="shared" si="1075"/>
        <v>0</v>
      </c>
      <c r="L1743" s="242">
        <f t="shared" si="1074"/>
        <v>0</v>
      </c>
    </row>
    <row r="1744" spans="1:12" ht="15.5">
      <c r="A1744" s="180" t="s">
        <v>12</v>
      </c>
      <c r="B1744" s="250">
        <f t="shared" si="1069"/>
        <v>4785</v>
      </c>
      <c r="C1744" s="241">
        <f t="shared" si="1070"/>
        <v>5.9897816780267422E-4</v>
      </c>
      <c r="D1744" s="242">
        <v>4785</v>
      </c>
      <c r="E1744" s="242"/>
      <c r="F1744" s="242"/>
      <c r="H1744" s="250">
        <f t="shared" si="1071"/>
        <v>0</v>
      </c>
      <c r="I1744" s="241">
        <f t="shared" si="1072"/>
        <v>0</v>
      </c>
      <c r="J1744" s="242">
        <f t="shared" si="1073"/>
        <v>0</v>
      </c>
      <c r="K1744" s="849">
        <f t="shared" si="1075"/>
        <v>0</v>
      </c>
      <c r="L1744" s="242">
        <f t="shared" si="1074"/>
        <v>0</v>
      </c>
    </row>
    <row r="1745" spans="1:12" ht="15.5">
      <c r="A1745" s="180" t="s">
        <v>13</v>
      </c>
      <c r="B1745" s="250">
        <f t="shared" si="1069"/>
        <v>2735144.2889657775</v>
      </c>
      <c r="C1745" s="241">
        <f t="shared" si="1070"/>
        <v>0.34238071366367179</v>
      </c>
      <c r="D1745" s="242">
        <v>2735144.2889657775</v>
      </c>
      <c r="E1745" s="242">
        <v>0</v>
      </c>
      <c r="F1745" s="242">
        <v>0</v>
      </c>
      <c r="H1745" s="250">
        <f t="shared" si="1071"/>
        <v>0</v>
      </c>
      <c r="I1745" s="241">
        <f t="shared" si="1072"/>
        <v>0</v>
      </c>
      <c r="J1745" s="242">
        <f t="shared" si="1073"/>
        <v>0</v>
      </c>
      <c r="K1745" s="849">
        <f t="shared" si="1075"/>
        <v>0</v>
      </c>
      <c r="L1745" s="242">
        <f t="shared" si="1074"/>
        <v>0</v>
      </c>
    </row>
    <row r="1746" spans="1:12" ht="15.5">
      <c r="A1746" s="180"/>
      <c r="B1746" s="242"/>
      <c r="C1746" s="241"/>
      <c r="D1746" s="242"/>
      <c r="E1746" s="242"/>
      <c r="F1746" s="242"/>
      <c r="H1746" s="250"/>
      <c r="I1746" s="241"/>
      <c r="J1746" s="242"/>
      <c r="K1746" s="242"/>
      <c r="L1746" s="242"/>
    </row>
    <row r="1747" spans="1:12" ht="15.5">
      <c r="A1747" s="180"/>
      <c r="B1747" s="243">
        <f>SUM(B1739:B1746)</f>
        <v>7988605.0230404353</v>
      </c>
      <c r="C1747" s="240">
        <f>SUM(C1739:C1746)</f>
        <v>1</v>
      </c>
      <c r="D1747" s="243">
        <f>SUM(D1739:D1746)</f>
        <v>3434749.1530404352</v>
      </c>
      <c r="E1747" s="243">
        <f>SUM(E1739:E1745)</f>
        <v>1651704.17</v>
      </c>
      <c r="F1747" s="243">
        <f>SUM(F1739:F1745)</f>
        <v>2902151.7</v>
      </c>
      <c r="G1747" s="32">
        <f>+B1747-B1736</f>
        <v>-238755.1099999994</v>
      </c>
      <c r="H1747" s="243">
        <f>SUM(H1739:H1746)</f>
        <v>-238755.10999999975</v>
      </c>
      <c r="I1747" s="240">
        <f>SUM(I1739:I1746)</f>
        <v>0.99999999999999989</v>
      </c>
      <c r="J1747" s="243">
        <f>SUM(J1739:J1746)</f>
        <v>5711.9000000000233</v>
      </c>
      <c r="K1747" s="243">
        <f>SUM(K1739:K1746)</f>
        <v>6508.2999999998137</v>
      </c>
      <c r="L1747" s="243">
        <f>SUM(L1739:L1746)</f>
        <v>-250975.30999999959</v>
      </c>
    </row>
    <row r="1748" spans="1:12" ht="16" thickBot="1">
      <c r="A1748" s="180"/>
      <c r="B1748" s="334"/>
      <c r="C1748" s="335"/>
      <c r="D1748" s="334"/>
      <c r="E1748" s="334"/>
      <c r="F1748" s="334"/>
      <c r="G1748" s="32"/>
      <c r="H1748" s="334"/>
      <c r="I1748" s="335"/>
      <c r="J1748" s="334"/>
      <c r="K1748" s="334"/>
      <c r="L1748" s="334"/>
    </row>
    <row r="1749" spans="1:12" ht="16" thickBot="1">
      <c r="A1749" s="253">
        <v>44709</v>
      </c>
      <c r="B1749" s="251">
        <v>200</v>
      </c>
      <c r="C1749" s="238" t="s">
        <v>3</v>
      </c>
      <c r="D1749" s="238" t="s">
        <v>4</v>
      </c>
      <c r="E1749" s="238" t="s">
        <v>5</v>
      </c>
      <c r="F1749" s="238" t="s">
        <v>6</v>
      </c>
      <c r="H1749" s="251">
        <f>+B1749-B1738</f>
        <v>0</v>
      </c>
      <c r="I1749" s="238" t="s">
        <v>3</v>
      </c>
      <c r="J1749" s="238" t="s">
        <v>4</v>
      </c>
      <c r="K1749" s="238" t="s">
        <v>5</v>
      </c>
      <c r="L1749" s="238" t="s">
        <v>114</v>
      </c>
    </row>
    <row r="1750" spans="1:12" ht="15.5">
      <c r="A1750" s="180" t="s">
        <v>7</v>
      </c>
      <c r="B1750" s="250">
        <f>SUM(D1750:F1750)</f>
        <v>4441147.8388780486</v>
      </c>
      <c r="C1750" s="241">
        <f>+B1750/$B$1758</f>
        <v>0.56612262238662503</v>
      </c>
      <c r="D1750" s="242">
        <v>43041.58887804878</v>
      </c>
      <c r="E1750" s="242">
        <v>1512682.06</v>
      </c>
      <c r="F1750" s="242">
        <v>2885424.19</v>
      </c>
      <c r="H1750" s="250">
        <f>SUM(J1750:L1750)</f>
        <v>-155693.79817195132</v>
      </c>
      <c r="I1750" s="241">
        <f>+H1750/$H$1758</f>
        <v>1.0830598890009799</v>
      </c>
      <c r="J1750" s="242">
        <f>+D1750-D1739</f>
        <v>55.821828048778116</v>
      </c>
      <c r="K1750" s="849">
        <f>+E1750-E1739</f>
        <v>-139022.10999999987</v>
      </c>
      <c r="L1750" s="242">
        <f>+F1750-F1739</f>
        <v>-16727.510000000242</v>
      </c>
    </row>
    <row r="1751" spans="1:12" ht="15.5">
      <c r="A1751" s="180" t="s">
        <v>8</v>
      </c>
      <c r="B1751" s="250">
        <f t="shared" ref="B1751:B1756" si="1076">SUM(D1751:F1751)</f>
        <v>0</v>
      </c>
      <c r="C1751" s="241">
        <f t="shared" ref="C1751:C1756" si="1077">+B1751/$B$1758</f>
        <v>0</v>
      </c>
      <c r="D1751" s="242">
        <v>0</v>
      </c>
      <c r="F1751" s="242"/>
      <c r="G1751" s="32"/>
      <c r="H1751" s="250">
        <f t="shared" ref="H1751:H1756" si="1078">SUM(J1751:L1751)</f>
        <v>0</v>
      </c>
      <c r="I1751" s="241">
        <f t="shared" ref="I1751:I1756" si="1079">+H1751/$H$1758</f>
        <v>0</v>
      </c>
      <c r="J1751" s="242">
        <f t="shared" ref="J1751:J1756" si="1080">+D1751-D1740</f>
        <v>0</v>
      </c>
      <c r="K1751" s="849">
        <f>+E1751-E1740</f>
        <v>0</v>
      </c>
      <c r="L1751" s="242">
        <f t="shared" ref="L1751:L1756" si="1081">+F1751-F1740</f>
        <v>0</v>
      </c>
    </row>
    <row r="1752" spans="1:12" ht="15.5">
      <c r="A1752" s="180" t="s">
        <v>9</v>
      </c>
      <c r="B1752" s="250">
        <f t="shared" si="1076"/>
        <v>663890.96547744749</v>
      </c>
      <c r="C1752" s="241">
        <f t="shared" si="1077"/>
        <v>8.4627602590646694E-2</v>
      </c>
      <c r="D1752" s="242">
        <v>663890.96547744749</v>
      </c>
      <c r="E1752" s="242"/>
      <c r="F1752" s="242"/>
      <c r="H1752" s="250">
        <f t="shared" si="1078"/>
        <v>12056.86845278996</v>
      </c>
      <c r="I1752" s="241">
        <f t="shared" si="1079"/>
        <v>-8.3871745448436258E-2</v>
      </c>
      <c r="J1752" s="242">
        <f t="shared" si="1080"/>
        <v>12056.86845278996</v>
      </c>
      <c r="K1752" s="849">
        <f t="shared" ref="K1752:K1756" si="1082">+E1752-E1741</f>
        <v>0</v>
      </c>
      <c r="L1752" s="242">
        <f t="shared" si="1081"/>
        <v>0</v>
      </c>
    </row>
    <row r="1753" spans="1:12" ht="15.5">
      <c r="A1753" s="180" t="s">
        <v>162</v>
      </c>
      <c r="B1753" s="250">
        <f t="shared" si="1076"/>
        <v>0</v>
      </c>
      <c r="C1753" s="241">
        <f t="shared" si="1077"/>
        <v>0</v>
      </c>
      <c r="D1753" s="242">
        <v>0</v>
      </c>
      <c r="E1753" s="242"/>
      <c r="F1753" s="242"/>
      <c r="H1753" s="250">
        <f t="shared" si="1078"/>
        <v>0</v>
      </c>
      <c r="I1753" s="241">
        <f t="shared" si="1079"/>
        <v>0</v>
      </c>
      <c r="J1753" s="242">
        <f t="shared" si="1080"/>
        <v>0</v>
      </c>
      <c r="K1753" s="849">
        <f t="shared" si="1082"/>
        <v>0</v>
      </c>
      <c r="L1753" s="242">
        <f t="shared" si="1081"/>
        <v>0</v>
      </c>
    </row>
    <row r="1754" spans="1:12" ht="15.5">
      <c r="A1754" s="180" t="s">
        <v>11</v>
      </c>
      <c r="B1754" s="250">
        <f t="shared" si="1076"/>
        <v>0</v>
      </c>
      <c r="C1754" s="241">
        <f t="shared" si="1077"/>
        <v>0</v>
      </c>
      <c r="D1754" s="242">
        <v>0</v>
      </c>
      <c r="E1754" s="242"/>
      <c r="F1754" s="242"/>
      <c r="H1754" s="250">
        <f t="shared" si="1078"/>
        <v>0</v>
      </c>
      <c r="I1754" s="241">
        <f t="shared" si="1079"/>
        <v>0</v>
      </c>
      <c r="J1754" s="242">
        <f t="shared" si="1080"/>
        <v>0</v>
      </c>
      <c r="K1754" s="849">
        <f t="shared" si="1082"/>
        <v>0</v>
      </c>
      <c r="L1754" s="242">
        <f t="shared" si="1081"/>
        <v>0</v>
      </c>
    </row>
    <row r="1755" spans="1:12" ht="15.5">
      <c r="A1755" s="180" t="s">
        <v>12</v>
      </c>
      <c r="B1755" s="250">
        <f t="shared" si="1076"/>
        <v>4668.292682926829</v>
      </c>
      <c r="C1755" s="241">
        <f t="shared" si="1077"/>
        <v>5.9507726191670258E-4</v>
      </c>
      <c r="D1755" s="242">
        <v>4668.292682926829</v>
      </c>
      <c r="E1755" s="242"/>
      <c r="F1755" s="242"/>
      <c r="H1755" s="250">
        <f t="shared" si="1078"/>
        <v>-116.707317073171</v>
      </c>
      <c r="I1755" s="241">
        <f t="shared" si="1079"/>
        <v>8.1185644745637828E-4</v>
      </c>
      <c r="J1755" s="242">
        <f t="shared" si="1080"/>
        <v>-116.707317073171</v>
      </c>
      <c r="K1755" s="849">
        <f t="shared" si="1082"/>
        <v>0</v>
      </c>
      <c r="L1755" s="242">
        <f t="shared" si="1081"/>
        <v>0</v>
      </c>
    </row>
    <row r="1756" spans="1:12" ht="15.5">
      <c r="A1756" s="180" t="s">
        <v>13</v>
      </c>
      <c r="B1756" s="250">
        <f t="shared" si="1076"/>
        <v>2735144.2889657775</v>
      </c>
      <c r="C1756" s="241">
        <f t="shared" si="1077"/>
        <v>0.34865469776081143</v>
      </c>
      <c r="D1756" s="242">
        <v>2735144.2889657775</v>
      </c>
      <c r="E1756" s="242">
        <v>0</v>
      </c>
      <c r="F1756" s="242">
        <v>0</v>
      </c>
      <c r="H1756" s="250">
        <f t="shared" si="1078"/>
        <v>0</v>
      </c>
      <c r="I1756" s="241">
        <f t="shared" si="1079"/>
        <v>0</v>
      </c>
      <c r="J1756" s="242">
        <f t="shared" si="1080"/>
        <v>0</v>
      </c>
      <c r="K1756" s="849">
        <f t="shared" si="1082"/>
        <v>0</v>
      </c>
      <c r="L1756" s="242">
        <f t="shared" si="1081"/>
        <v>0</v>
      </c>
    </row>
    <row r="1757" spans="1:12" ht="15.5">
      <c r="A1757" s="180"/>
      <c r="B1757" s="242"/>
      <c r="C1757" s="241"/>
      <c r="D1757" s="242"/>
      <c r="E1757" s="242"/>
      <c r="F1757" s="242"/>
      <c r="H1757" s="250"/>
      <c r="I1757" s="241"/>
      <c r="J1757" s="242"/>
      <c r="K1757" s="242"/>
      <c r="L1757" s="242"/>
    </row>
    <row r="1758" spans="1:12" ht="15.5">
      <c r="A1758" s="180"/>
      <c r="B1758" s="243">
        <f>SUM(B1750:B1757)</f>
        <v>7844851.3860042011</v>
      </c>
      <c r="C1758" s="240">
        <f>SUM(C1750:C1757)</f>
        <v>0.99999999999999978</v>
      </c>
      <c r="D1758" s="243">
        <f>SUM(D1750:D1757)</f>
        <v>3446745.1360042007</v>
      </c>
      <c r="E1758" s="243">
        <f>SUM(E1750:E1756)</f>
        <v>1512682.06</v>
      </c>
      <c r="F1758" s="243">
        <f>SUM(F1750:F1756)</f>
        <v>2885424.19</v>
      </c>
      <c r="G1758" s="32">
        <f>+B1758-B1747</f>
        <v>-143753.63703623414</v>
      </c>
      <c r="H1758" s="243">
        <f>SUM(H1750:H1757)</f>
        <v>-143753.63703623452</v>
      </c>
      <c r="I1758" s="240">
        <f>SUM(I1750:I1757)</f>
        <v>1</v>
      </c>
      <c r="J1758" s="243">
        <f>SUM(J1750:J1757)</f>
        <v>11995.982963765568</v>
      </c>
      <c r="K1758" s="243">
        <f>SUM(K1750:K1757)</f>
        <v>-139022.10999999987</v>
      </c>
      <c r="L1758" s="243">
        <f>SUM(L1750:L1757)</f>
        <v>-16727.510000000242</v>
      </c>
    </row>
    <row r="1759" spans="1:12" ht="16" thickBot="1">
      <c r="A1759" s="180"/>
      <c r="B1759" s="334"/>
      <c r="C1759" s="335"/>
      <c r="D1759" s="334"/>
      <c r="E1759" s="334"/>
      <c r="F1759" s="334"/>
      <c r="G1759" s="32"/>
      <c r="H1759" s="334"/>
      <c r="I1759" s="335"/>
      <c r="J1759" s="334"/>
      <c r="K1759" s="334"/>
      <c r="L1759" s="334"/>
    </row>
    <row r="1760" spans="1:12" ht="16" thickBot="1">
      <c r="A1760" s="253">
        <v>44740</v>
      </c>
      <c r="B1760" s="251">
        <v>238</v>
      </c>
      <c r="C1760" s="238" t="s">
        <v>3</v>
      </c>
      <c r="D1760" s="238" t="s">
        <v>4</v>
      </c>
      <c r="E1760" s="238" t="s">
        <v>5</v>
      </c>
      <c r="F1760" s="238" t="s">
        <v>6</v>
      </c>
      <c r="H1760" s="251">
        <f>+B1760-B1749</f>
        <v>38</v>
      </c>
      <c r="I1760" s="238" t="s">
        <v>3</v>
      </c>
      <c r="J1760" s="238" t="s">
        <v>4</v>
      </c>
      <c r="K1760" s="238" t="s">
        <v>5</v>
      </c>
      <c r="L1760" s="238" t="s">
        <v>114</v>
      </c>
    </row>
    <row r="1761" spans="1:12" ht="15.5">
      <c r="A1761" s="180" t="s">
        <v>7</v>
      </c>
      <c r="B1761" s="250">
        <f>SUM(D1761:F1761)</f>
        <v>3969356.9774789913</v>
      </c>
      <c r="C1761" s="241">
        <f>+B1761/$B$1769</f>
        <v>0.53860315048837548</v>
      </c>
      <c r="D1761" s="242">
        <v>37073.637478991601</v>
      </c>
      <c r="E1761" s="242">
        <v>1282310.73</v>
      </c>
      <c r="F1761" s="242">
        <v>2649972.61</v>
      </c>
      <c r="H1761" s="250">
        <f>SUM(J1761:L1761)</f>
        <v>-471790.86139905732</v>
      </c>
      <c r="I1761" s="241">
        <f>+H1761/$H$1769</f>
        <v>0.9929792229060902</v>
      </c>
      <c r="J1761" s="242">
        <f>+D1761-D1750</f>
        <v>-5967.9513990571795</v>
      </c>
      <c r="K1761" s="849">
        <f>+E1761-E1750</f>
        <v>-230371.33000000007</v>
      </c>
      <c r="L1761" s="242">
        <f>+F1761-F1750</f>
        <v>-235451.58000000007</v>
      </c>
    </row>
    <row r="1762" spans="1:12" ht="15.5">
      <c r="A1762" s="180" t="s">
        <v>8</v>
      </c>
      <c r="B1762" s="250">
        <f t="shared" ref="B1762:B1767" si="1083">SUM(D1762:F1762)</f>
        <v>0</v>
      </c>
      <c r="C1762" s="241">
        <f t="shared" ref="C1762:C1767" si="1084">+B1762/$B$1769</f>
        <v>0</v>
      </c>
      <c r="D1762" s="242">
        <v>0</v>
      </c>
      <c r="F1762" s="242"/>
      <c r="G1762" s="32"/>
      <c r="H1762" s="250">
        <f t="shared" ref="H1762:H1767" si="1085">SUM(J1762:L1762)</f>
        <v>0</v>
      </c>
      <c r="I1762" s="241">
        <f t="shared" ref="I1762:I1767" si="1086">+H1762/$H$1769</f>
        <v>0</v>
      </c>
      <c r="J1762" s="242">
        <f t="shared" ref="J1762:J1767" si="1087">+D1762-D1751</f>
        <v>0</v>
      </c>
      <c r="K1762" s="849">
        <f>+E1762-E1751</f>
        <v>0</v>
      </c>
      <c r="L1762" s="242">
        <f t="shared" ref="L1762:L1767" si="1088">+F1762-F1751</f>
        <v>0</v>
      </c>
    </row>
    <row r="1763" spans="1:12" ht="15.5">
      <c r="A1763" s="180" t="s">
        <v>9</v>
      </c>
      <c r="B1763" s="250">
        <f t="shared" si="1083"/>
        <v>661202.49167021993</v>
      </c>
      <c r="C1763" s="241">
        <f t="shared" si="1084"/>
        <v>8.9718749697974026E-2</v>
      </c>
      <c r="D1763" s="242">
        <v>661202.49167021993</v>
      </c>
      <c r="E1763" s="242"/>
      <c r="F1763" s="242"/>
      <c r="H1763" s="250">
        <f t="shared" si="1085"/>
        <v>-2688.473807227565</v>
      </c>
      <c r="I1763" s="241">
        <f t="shared" si="1086"/>
        <v>5.6584365029617749E-3</v>
      </c>
      <c r="J1763" s="242">
        <f t="shared" si="1087"/>
        <v>-2688.473807227565</v>
      </c>
      <c r="K1763" s="849">
        <f t="shared" ref="K1763:K1767" si="1089">+E1763-E1752</f>
        <v>0</v>
      </c>
      <c r="L1763" s="242">
        <f t="shared" si="1088"/>
        <v>0</v>
      </c>
    </row>
    <row r="1764" spans="1:12" ht="15.5">
      <c r="A1764" s="180" t="s">
        <v>162</v>
      </c>
      <c r="B1764" s="250">
        <f t="shared" si="1083"/>
        <v>0</v>
      </c>
      <c r="C1764" s="241">
        <f t="shared" si="1084"/>
        <v>0</v>
      </c>
      <c r="D1764" s="242">
        <v>0</v>
      </c>
      <c r="E1764" s="242"/>
      <c r="F1764" s="242"/>
      <c r="H1764" s="250">
        <f t="shared" si="1085"/>
        <v>0</v>
      </c>
      <c r="I1764" s="241">
        <f t="shared" si="1086"/>
        <v>0</v>
      </c>
      <c r="J1764" s="242">
        <f t="shared" si="1087"/>
        <v>0</v>
      </c>
      <c r="K1764" s="849">
        <f t="shared" si="1089"/>
        <v>0</v>
      </c>
      <c r="L1764" s="242">
        <f t="shared" si="1088"/>
        <v>0</v>
      </c>
    </row>
    <row r="1765" spans="1:12" ht="15.5">
      <c r="A1765" s="180" t="s">
        <v>11</v>
      </c>
      <c r="B1765" s="250">
        <f t="shared" si="1083"/>
        <v>0</v>
      </c>
      <c r="C1765" s="241">
        <f t="shared" si="1084"/>
        <v>0</v>
      </c>
      <c r="D1765" s="242">
        <v>0</v>
      </c>
      <c r="E1765" s="242"/>
      <c r="F1765" s="242"/>
      <c r="H1765" s="250">
        <f t="shared" si="1085"/>
        <v>0</v>
      </c>
      <c r="I1765" s="241">
        <f t="shared" si="1086"/>
        <v>0</v>
      </c>
      <c r="J1765" s="242">
        <f t="shared" si="1087"/>
        <v>0</v>
      </c>
      <c r="K1765" s="849">
        <f t="shared" si="1089"/>
        <v>0</v>
      </c>
      <c r="L1765" s="242">
        <f t="shared" si="1088"/>
        <v>0</v>
      </c>
    </row>
    <row r="1766" spans="1:12" ht="15.5">
      <c r="A1766" s="180" t="s">
        <v>12</v>
      </c>
      <c r="B1766" s="250">
        <f t="shared" si="1083"/>
        <v>4021.0084033613443</v>
      </c>
      <c r="C1766" s="241">
        <f t="shared" si="1084"/>
        <v>5.4561174680896167E-4</v>
      </c>
      <c r="D1766" s="242">
        <v>4021.0084033613443</v>
      </c>
      <c r="E1766" s="242"/>
      <c r="F1766" s="242"/>
      <c r="H1766" s="250">
        <f t="shared" si="1085"/>
        <v>-647.28427956548467</v>
      </c>
      <c r="I1766" s="241">
        <f t="shared" si="1086"/>
        <v>1.362340590948012E-3</v>
      </c>
      <c r="J1766" s="242">
        <f t="shared" si="1087"/>
        <v>-647.28427956548467</v>
      </c>
      <c r="K1766" s="849">
        <f t="shared" si="1089"/>
        <v>0</v>
      </c>
      <c r="L1766" s="242">
        <f t="shared" si="1088"/>
        <v>0</v>
      </c>
    </row>
    <row r="1767" spans="1:12" ht="15.5">
      <c r="A1767" s="180" t="s">
        <v>13</v>
      </c>
      <c r="B1767" s="250">
        <f t="shared" si="1083"/>
        <v>2735144.2889657775</v>
      </c>
      <c r="C1767" s="241">
        <f t="shared" si="1084"/>
        <v>0.3711324880668414</v>
      </c>
      <c r="D1767" s="242">
        <v>2735144.2889657775</v>
      </c>
      <c r="E1767" s="242">
        <v>0</v>
      </c>
      <c r="F1767" s="242">
        <v>0</v>
      </c>
      <c r="H1767" s="250">
        <f t="shared" si="1085"/>
        <v>0</v>
      </c>
      <c r="I1767" s="241">
        <f t="shared" si="1086"/>
        <v>0</v>
      </c>
      <c r="J1767" s="242">
        <f t="shared" si="1087"/>
        <v>0</v>
      </c>
      <c r="K1767" s="849">
        <f t="shared" si="1089"/>
        <v>0</v>
      </c>
      <c r="L1767" s="242">
        <f t="shared" si="1088"/>
        <v>0</v>
      </c>
    </row>
    <row r="1768" spans="1:12" ht="15.5">
      <c r="A1768" s="180"/>
      <c r="B1768" s="242"/>
      <c r="C1768" s="241"/>
      <c r="D1768" s="242"/>
      <c r="E1768" s="242"/>
      <c r="F1768" s="242"/>
      <c r="H1768" s="250"/>
      <c r="I1768" s="241"/>
      <c r="J1768" s="242"/>
      <c r="K1768" s="242"/>
      <c r="L1768" s="242"/>
    </row>
    <row r="1769" spans="1:12" ht="15.5">
      <c r="A1769" s="180"/>
      <c r="B1769" s="243">
        <f>SUM(B1761:B1768)</f>
        <v>7369724.7665183507</v>
      </c>
      <c r="C1769" s="240">
        <f>SUM(C1761:C1768)</f>
        <v>0.99999999999999989</v>
      </c>
      <c r="D1769" s="243">
        <f>SUM(D1761:D1768)</f>
        <v>3437441.4265183504</v>
      </c>
      <c r="E1769" s="243">
        <f>SUM(E1761:E1767)</f>
        <v>1282310.73</v>
      </c>
      <c r="F1769" s="243">
        <f>SUM(F1761:F1767)</f>
        <v>2649972.61</v>
      </c>
      <c r="G1769" s="32">
        <f>+B1769-B1758</f>
        <v>-475126.61948585045</v>
      </c>
      <c r="H1769" s="243">
        <f>SUM(H1761:H1768)</f>
        <v>-475126.61948585039</v>
      </c>
      <c r="I1769" s="240">
        <f>SUM(I1761:I1768)</f>
        <v>1</v>
      </c>
      <c r="J1769" s="243">
        <f>SUM(J1761:J1768)</f>
        <v>-9303.7094858502296</v>
      </c>
      <c r="K1769" s="243">
        <f>SUM(K1761:K1768)</f>
        <v>-230371.33000000007</v>
      </c>
      <c r="L1769" s="243">
        <f>SUM(L1761:L1768)</f>
        <v>-235451.58000000007</v>
      </c>
    </row>
    <row r="1770" spans="1:12" ht="16" thickBot="1">
      <c r="A1770" s="180"/>
      <c r="B1770" s="334"/>
      <c r="C1770" s="335"/>
      <c r="D1770" s="334"/>
      <c r="E1770" s="334"/>
      <c r="F1770" s="334"/>
      <c r="G1770" s="32"/>
      <c r="H1770" s="334"/>
      <c r="I1770" s="335"/>
      <c r="J1770" s="334"/>
      <c r="K1770" s="334"/>
      <c r="L1770" s="334"/>
    </row>
    <row r="1771" spans="1:12" ht="16" thickBot="1">
      <c r="A1771" s="253">
        <v>44770</v>
      </c>
      <c r="B1771" s="251">
        <v>260</v>
      </c>
      <c r="C1771" s="238" t="s">
        <v>3</v>
      </c>
      <c r="D1771" s="238" t="s">
        <v>4</v>
      </c>
      <c r="E1771" s="238" t="s">
        <v>5</v>
      </c>
      <c r="F1771" s="238" t="s">
        <v>6</v>
      </c>
      <c r="H1771" s="251">
        <f>+B1771-B1760</f>
        <v>22</v>
      </c>
      <c r="I1771" s="238" t="s">
        <v>3</v>
      </c>
      <c r="J1771" s="238" t="s">
        <v>4</v>
      </c>
      <c r="K1771" s="238" t="s">
        <v>5</v>
      </c>
      <c r="L1771" s="238" t="s">
        <v>114</v>
      </c>
    </row>
    <row r="1772" spans="1:12" ht="15.5">
      <c r="A1772" s="180" t="s">
        <v>7</v>
      </c>
      <c r="B1772" s="250">
        <f>SUM(D1772:F1772)</f>
        <v>4154466.6154230768</v>
      </c>
      <c r="C1772" s="241">
        <f>+B1772/$B$1780</f>
        <v>0.55025201235441257</v>
      </c>
      <c r="D1772" s="242">
        <v>45627.755423076924</v>
      </c>
      <c r="E1772" s="242">
        <v>1273910.8899999999</v>
      </c>
      <c r="F1772" s="242">
        <v>2834927.97</v>
      </c>
      <c r="H1772" s="250">
        <f>SUM(J1772:L1772)</f>
        <v>185109.63794408558</v>
      </c>
      <c r="I1772" s="241">
        <f>+H1772/$H$1780</f>
        <v>1.0261555459096592</v>
      </c>
      <c r="J1772" s="242">
        <f>+D1772-D1761</f>
        <v>8554.117944085323</v>
      </c>
      <c r="K1772" s="849">
        <f>+E1772-E1761</f>
        <v>-8399.8400000000838</v>
      </c>
      <c r="L1772" s="242">
        <f>+F1772-F1761</f>
        <v>184955.36000000034</v>
      </c>
    </row>
    <row r="1773" spans="1:12" ht="15.5">
      <c r="A1773" s="180" t="s">
        <v>8</v>
      </c>
      <c r="B1773" s="250">
        <f t="shared" ref="B1773:B1778" si="1090">SUM(D1773:F1773)</f>
        <v>0</v>
      </c>
      <c r="C1773" s="241">
        <f t="shared" ref="C1773:C1778" si="1091">+B1773/$B$1780</f>
        <v>0</v>
      </c>
      <c r="D1773" s="242">
        <v>0</v>
      </c>
      <c r="F1773" s="242"/>
      <c r="G1773" s="32"/>
      <c r="H1773" s="250">
        <f t="shared" ref="H1773:H1778" si="1092">SUM(J1773:L1773)</f>
        <v>0</v>
      </c>
      <c r="I1773" s="241">
        <f t="shared" ref="I1773:I1778" si="1093">+H1773/$H$1780</f>
        <v>0</v>
      </c>
      <c r="J1773" s="242">
        <f t="shared" ref="J1773:J1778" si="1094">+D1773-D1762</f>
        <v>0</v>
      </c>
      <c r="K1773" s="849">
        <f>+E1773-E1762</f>
        <v>0</v>
      </c>
      <c r="L1773" s="242">
        <f t="shared" ref="L1773:L1778" si="1095">+F1773-F1762</f>
        <v>0</v>
      </c>
    </row>
    <row r="1774" spans="1:12" ht="15.5">
      <c r="A1774" s="180" t="s">
        <v>9</v>
      </c>
      <c r="B1774" s="250">
        <f t="shared" si="1090"/>
        <v>656824.49523723929</v>
      </c>
      <c r="C1774" s="241">
        <f t="shared" si="1091"/>
        <v>8.6995283323791139E-2</v>
      </c>
      <c r="D1774" s="242">
        <v>656824.49523723929</v>
      </c>
      <c r="E1774" s="242"/>
      <c r="F1774" s="242"/>
      <c r="H1774" s="250">
        <f t="shared" si="1092"/>
        <v>-4377.9964329806389</v>
      </c>
      <c r="I1774" s="241">
        <f t="shared" si="1093"/>
        <v>-2.4269429563860953E-2</v>
      </c>
      <c r="J1774" s="242">
        <f t="shared" si="1094"/>
        <v>-4377.9964329806389</v>
      </c>
      <c r="K1774" s="849">
        <f t="shared" ref="K1774:K1778" si="1096">+E1774-E1763</f>
        <v>0</v>
      </c>
      <c r="L1774" s="242">
        <f t="shared" si="1095"/>
        <v>0</v>
      </c>
    </row>
    <row r="1775" spans="1:12" ht="15.5">
      <c r="A1775" s="180" t="s">
        <v>162</v>
      </c>
      <c r="B1775" s="250">
        <f t="shared" si="1090"/>
        <v>0</v>
      </c>
      <c r="C1775" s="241">
        <f t="shared" si="1091"/>
        <v>0</v>
      </c>
      <c r="D1775" s="242">
        <v>0</v>
      </c>
      <c r="E1775" s="242"/>
      <c r="F1775" s="242"/>
      <c r="H1775" s="250">
        <f t="shared" si="1092"/>
        <v>0</v>
      </c>
      <c r="I1775" s="241">
        <f t="shared" si="1093"/>
        <v>0</v>
      </c>
      <c r="J1775" s="242">
        <f t="shared" si="1094"/>
        <v>0</v>
      </c>
      <c r="K1775" s="849">
        <f t="shared" si="1096"/>
        <v>0</v>
      </c>
      <c r="L1775" s="242">
        <f t="shared" si="1095"/>
        <v>0</v>
      </c>
    </row>
    <row r="1776" spans="1:12" ht="15.5">
      <c r="A1776" s="180" t="s">
        <v>11</v>
      </c>
      <c r="B1776" s="250">
        <f t="shared" si="1090"/>
        <v>0</v>
      </c>
      <c r="C1776" s="241">
        <f t="shared" si="1091"/>
        <v>0</v>
      </c>
      <c r="D1776" s="242">
        <v>0</v>
      </c>
      <c r="E1776" s="242"/>
      <c r="F1776" s="242"/>
      <c r="H1776" s="250">
        <f t="shared" si="1092"/>
        <v>0</v>
      </c>
      <c r="I1776" s="241">
        <f t="shared" si="1093"/>
        <v>0</v>
      </c>
      <c r="J1776" s="242">
        <f t="shared" si="1094"/>
        <v>0</v>
      </c>
      <c r="K1776" s="849">
        <f t="shared" si="1096"/>
        <v>0</v>
      </c>
      <c r="L1776" s="242">
        <f t="shared" si="1095"/>
        <v>0</v>
      </c>
    </row>
    <row r="1777" spans="1:12" ht="15.5">
      <c r="A1777" s="180" t="s">
        <v>12</v>
      </c>
      <c r="B1777" s="250">
        <f t="shared" si="1090"/>
        <v>3680.7692307692309</v>
      </c>
      <c r="C1777" s="241">
        <f t="shared" si="1091"/>
        <v>4.8751160226538919E-4</v>
      </c>
      <c r="D1777" s="242">
        <v>3680.7692307692309</v>
      </c>
      <c r="E1777" s="242"/>
      <c r="F1777" s="242"/>
      <c r="H1777" s="250">
        <f t="shared" si="1092"/>
        <v>-340.23917259211339</v>
      </c>
      <c r="I1777" s="241">
        <f t="shared" si="1093"/>
        <v>-1.8861163457981154E-3</v>
      </c>
      <c r="J1777" s="242">
        <f t="shared" si="1094"/>
        <v>-340.23917259211339</v>
      </c>
      <c r="K1777" s="849">
        <f t="shared" si="1096"/>
        <v>0</v>
      </c>
      <c r="L1777" s="242">
        <f t="shared" si="1095"/>
        <v>0</v>
      </c>
    </row>
    <row r="1778" spans="1:12" ht="15.5">
      <c r="A1778" s="180" t="s">
        <v>13</v>
      </c>
      <c r="B1778" s="250">
        <f t="shared" si="1090"/>
        <v>2735144.2889657775</v>
      </c>
      <c r="C1778" s="241">
        <f t="shared" si="1091"/>
        <v>0.36226519271953089</v>
      </c>
      <c r="D1778" s="242">
        <v>2735144.2889657775</v>
      </c>
      <c r="E1778" s="242">
        <v>0</v>
      </c>
      <c r="F1778" s="242">
        <v>0</v>
      </c>
      <c r="H1778" s="250">
        <f t="shared" si="1092"/>
        <v>0</v>
      </c>
      <c r="I1778" s="241">
        <f t="shared" si="1093"/>
        <v>0</v>
      </c>
      <c r="J1778" s="242">
        <f t="shared" si="1094"/>
        <v>0</v>
      </c>
      <c r="K1778" s="849">
        <f t="shared" si="1096"/>
        <v>0</v>
      </c>
      <c r="L1778" s="242">
        <f t="shared" si="1095"/>
        <v>0</v>
      </c>
    </row>
    <row r="1779" spans="1:12" ht="15.5">
      <c r="A1779" s="180"/>
      <c r="B1779" s="242"/>
      <c r="C1779" s="241"/>
      <c r="D1779" s="242"/>
      <c r="E1779" s="242"/>
      <c r="F1779" s="242"/>
      <c r="H1779" s="250"/>
      <c r="I1779" s="241"/>
      <c r="J1779" s="242"/>
      <c r="K1779" s="242"/>
      <c r="L1779" s="242"/>
    </row>
    <row r="1780" spans="1:12" ht="15.5">
      <c r="A1780" s="180"/>
      <c r="B1780" s="243">
        <f>SUM(B1772:B1779)</f>
        <v>7550116.1688568629</v>
      </c>
      <c r="C1780" s="240">
        <f>SUM(C1772:C1779)</f>
        <v>1</v>
      </c>
      <c r="D1780" s="243">
        <f>SUM(D1772:D1779)</f>
        <v>3441277.3088568631</v>
      </c>
      <c r="E1780" s="243">
        <f>SUM(E1772:E1778)</f>
        <v>1273910.8899999999</v>
      </c>
      <c r="F1780" s="243">
        <f>SUM(F1772:F1778)</f>
        <v>2834927.97</v>
      </c>
      <c r="G1780" s="32">
        <f>+B1780-B1769</f>
        <v>180391.40233851224</v>
      </c>
      <c r="H1780" s="243">
        <f>SUM(H1772:H1779)</f>
        <v>180391.40233851282</v>
      </c>
      <c r="I1780" s="240">
        <f>SUM(I1772:I1779)</f>
        <v>1</v>
      </c>
      <c r="J1780" s="243">
        <f>SUM(J1772:J1779)</f>
        <v>3835.8823385125706</v>
      </c>
      <c r="K1780" s="243">
        <f>SUM(K1772:K1779)</f>
        <v>-8399.8400000000838</v>
      </c>
      <c r="L1780" s="243">
        <f>SUM(L1772:L1779)</f>
        <v>184955.36000000034</v>
      </c>
    </row>
    <row r="1781" spans="1:12" ht="16" thickBot="1">
      <c r="A1781" s="180"/>
      <c r="B1781" s="334"/>
      <c r="C1781" s="335"/>
      <c r="D1781" s="334"/>
      <c r="E1781" s="334"/>
      <c r="F1781" s="334"/>
      <c r="G1781" s="32"/>
      <c r="H1781" s="334"/>
      <c r="I1781" s="335"/>
      <c r="J1781" s="334"/>
      <c r="K1781" s="334"/>
      <c r="L1781" s="334"/>
    </row>
    <row r="1782" spans="1:12" ht="16" thickBot="1">
      <c r="A1782" s="253">
        <v>44801</v>
      </c>
      <c r="B1782" s="251">
        <v>260</v>
      </c>
      <c r="C1782" s="238" t="s">
        <v>3</v>
      </c>
      <c r="D1782" s="238" t="s">
        <v>4</v>
      </c>
      <c r="E1782" s="238" t="s">
        <v>5</v>
      </c>
      <c r="F1782" s="238" t="s">
        <v>6</v>
      </c>
      <c r="H1782" s="251">
        <f>+B1782-B1771</f>
        <v>0</v>
      </c>
      <c r="I1782" s="238" t="s">
        <v>3</v>
      </c>
      <c r="J1782" s="238" t="s">
        <v>4</v>
      </c>
      <c r="K1782" s="238" t="s">
        <v>5</v>
      </c>
      <c r="L1782" s="238" t="s">
        <v>114</v>
      </c>
    </row>
    <row r="1783" spans="1:12" ht="15.5">
      <c r="A1783" s="180" t="s">
        <v>7</v>
      </c>
      <c r="B1783" s="250">
        <f>SUM(D1783:F1783)</f>
        <v>4051359.0045357142</v>
      </c>
      <c r="C1783" s="241">
        <f>+B1783/$B$1791</f>
        <v>0.54389266203258135</v>
      </c>
      <c r="D1783" s="242">
        <v>45174.784535714287</v>
      </c>
      <c r="E1783" s="242">
        <v>1281677.6000000001</v>
      </c>
      <c r="F1783" s="242">
        <v>2724506.62</v>
      </c>
      <c r="H1783" s="250">
        <f>SUM(J1783:L1783)</f>
        <v>-103107.61088736253</v>
      </c>
      <c r="I1783" s="241">
        <f>+H1783/$H$1791</f>
        <v>1.0178912358596579</v>
      </c>
      <c r="J1783" s="242">
        <f>+D1783-D1772</f>
        <v>-452.97088736263686</v>
      </c>
      <c r="K1783" s="849">
        <f>+E1783-E1772</f>
        <v>7766.7100000001956</v>
      </c>
      <c r="L1783" s="242">
        <f>+F1783-F1772</f>
        <v>-110421.35000000009</v>
      </c>
    </row>
    <row r="1784" spans="1:12" ht="15.5">
      <c r="A1784" s="180" t="s">
        <v>8</v>
      </c>
      <c r="B1784" s="250">
        <f t="shared" ref="B1784:B1789" si="1097">SUM(D1784:F1784)</f>
        <v>0</v>
      </c>
      <c r="C1784" s="241">
        <f t="shared" ref="C1784:C1789" si="1098">+B1784/$B$1791</f>
        <v>0</v>
      </c>
      <c r="D1784" s="242">
        <v>0</v>
      </c>
      <c r="F1784" s="242"/>
      <c r="G1784" s="32"/>
      <c r="H1784" s="250">
        <f t="shared" ref="H1784:H1789" si="1099">SUM(J1784:L1784)</f>
        <v>0</v>
      </c>
      <c r="I1784" s="241">
        <f t="shared" ref="I1784:I1789" si="1100">+H1784/$H$1791</f>
        <v>0</v>
      </c>
      <c r="J1784" s="242">
        <f t="shared" ref="J1784:J1789" si="1101">+D1784-D1773</f>
        <v>0</v>
      </c>
      <c r="K1784" s="849">
        <f>+E1784-E1773</f>
        <v>0</v>
      </c>
      <c r="L1784" s="242">
        <f t="shared" ref="L1784:L1789" si="1102">+F1784-F1773</f>
        <v>0</v>
      </c>
    </row>
    <row r="1785" spans="1:12" ht="15.5">
      <c r="A1785" s="180" t="s">
        <v>9</v>
      </c>
      <c r="B1785" s="250">
        <f t="shared" si="1097"/>
        <v>658899.7056536203</v>
      </c>
      <c r="C1785" s="241">
        <f t="shared" si="1098"/>
        <v>8.8456913968674847E-2</v>
      </c>
      <c r="D1785" s="242">
        <v>658899.7056536203</v>
      </c>
      <c r="E1785" s="242"/>
      <c r="F1785" s="242"/>
      <c r="H1785" s="250">
        <f t="shared" si="1099"/>
        <v>2075.2104163810145</v>
      </c>
      <c r="I1785" s="241">
        <f t="shared" si="1100"/>
        <v>-2.0486736887992487E-2</v>
      </c>
      <c r="J1785" s="242">
        <f t="shared" si="1101"/>
        <v>2075.2104163810145</v>
      </c>
      <c r="K1785" s="849">
        <f t="shared" ref="K1785:K1789" si="1103">+E1785-E1774</f>
        <v>0</v>
      </c>
      <c r="L1785" s="242">
        <f t="shared" si="1102"/>
        <v>0</v>
      </c>
    </row>
    <row r="1786" spans="1:12" ht="15.5">
      <c r="A1786" s="180" t="s">
        <v>162</v>
      </c>
      <c r="B1786" s="250">
        <f t="shared" si="1097"/>
        <v>0</v>
      </c>
      <c r="C1786" s="241">
        <f t="shared" si="1098"/>
        <v>0</v>
      </c>
      <c r="D1786" s="242">
        <v>0</v>
      </c>
      <c r="E1786" s="242"/>
      <c r="F1786" s="242"/>
      <c r="H1786" s="250">
        <f t="shared" si="1099"/>
        <v>0</v>
      </c>
      <c r="I1786" s="241">
        <f t="shared" si="1100"/>
        <v>0</v>
      </c>
      <c r="J1786" s="242">
        <f t="shared" si="1101"/>
        <v>0</v>
      </c>
      <c r="K1786" s="849">
        <f t="shared" si="1103"/>
        <v>0</v>
      </c>
      <c r="L1786" s="242">
        <f t="shared" si="1102"/>
        <v>0</v>
      </c>
    </row>
    <row r="1787" spans="1:12" ht="15.5">
      <c r="A1787" s="180" t="s">
        <v>11</v>
      </c>
      <c r="B1787" s="250">
        <f t="shared" si="1097"/>
        <v>0</v>
      </c>
      <c r="C1787" s="241">
        <f t="shared" si="1098"/>
        <v>0</v>
      </c>
      <c r="D1787" s="242">
        <v>0</v>
      </c>
      <c r="E1787" s="242"/>
      <c r="F1787" s="242"/>
      <c r="H1787" s="250">
        <f t="shared" si="1099"/>
        <v>0</v>
      </c>
      <c r="I1787" s="241">
        <f t="shared" si="1100"/>
        <v>0</v>
      </c>
      <c r="J1787" s="242">
        <f t="shared" si="1101"/>
        <v>0</v>
      </c>
      <c r="K1787" s="849">
        <f t="shared" si="1103"/>
        <v>0</v>
      </c>
      <c r="L1787" s="242">
        <f t="shared" si="1102"/>
        <v>0</v>
      </c>
    </row>
    <row r="1788" spans="1:12" ht="15.5">
      <c r="A1788" s="180" t="s">
        <v>12</v>
      </c>
      <c r="B1788" s="250">
        <f t="shared" si="1097"/>
        <v>3417.8571428571427</v>
      </c>
      <c r="C1788" s="241">
        <f t="shared" si="1098"/>
        <v>4.5884539429718582E-4</v>
      </c>
      <c r="D1788" s="242">
        <v>3417.8571428571427</v>
      </c>
      <c r="E1788" s="242"/>
      <c r="F1788" s="242"/>
      <c r="H1788" s="250">
        <f t="shared" si="1099"/>
        <v>-262.91208791208828</v>
      </c>
      <c r="I1788" s="241">
        <f t="shared" si="1100"/>
        <v>2.5955010283346515E-3</v>
      </c>
      <c r="J1788" s="242">
        <f t="shared" si="1101"/>
        <v>-262.91208791208828</v>
      </c>
      <c r="K1788" s="849">
        <f t="shared" si="1103"/>
        <v>0</v>
      </c>
      <c r="L1788" s="242">
        <f t="shared" si="1102"/>
        <v>0</v>
      </c>
    </row>
    <row r="1789" spans="1:12" ht="15.5">
      <c r="A1789" s="180" t="s">
        <v>13</v>
      </c>
      <c r="B1789" s="250">
        <f t="shared" si="1097"/>
        <v>2735144.2889657775</v>
      </c>
      <c r="C1789" s="241">
        <f t="shared" si="1098"/>
        <v>0.36719157860444668</v>
      </c>
      <c r="D1789" s="242">
        <v>2735144.2889657775</v>
      </c>
      <c r="E1789" s="242">
        <v>0</v>
      </c>
      <c r="F1789" s="242">
        <v>0</v>
      </c>
      <c r="H1789" s="250">
        <f t="shared" si="1099"/>
        <v>0</v>
      </c>
      <c r="I1789" s="241">
        <f t="shared" si="1100"/>
        <v>0</v>
      </c>
      <c r="J1789" s="242">
        <f t="shared" si="1101"/>
        <v>0</v>
      </c>
      <c r="K1789" s="849">
        <f t="shared" si="1103"/>
        <v>0</v>
      </c>
      <c r="L1789" s="242">
        <f t="shared" si="1102"/>
        <v>0</v>
      </c>
    </row>
    <row r="1790" spans="1:12" ht="15.5">
      <c r="A1790" s="180"/>
      <c r="B1790" s="242"/>
      <c r="C1790" s="241"/>
      <c r="D1790" s="242"/>
      <c r="E1790" s="242"/>
      <c r="F1790" s="242"/>
      <c r="H1790" s="250"/>
      <c r="I1790" s="241"/>
      <c r="J1790" s="242"/>
      <c r="K1790" s="242"/>
      <c r="L1790" s="242"/>
    </row>
    <row r="1791" spans="1:12" ht="15.5">
      <c r="A1791" s="180"/>
      <c r="B1791" s="243">
        <f>SUM(B1783:B1790)</f>
        <v>7448820.8562979689</v>
      </c>
      <c r="C1791" s="240">
        <f>SUM(C1783:C1790)</f>
        <v>1</v>
      </c>
      <c r="D1791" s="243">
        <f>SUM(D1783:D1790)</f>
        <v>3442636.6362979691</v>
      </c>
      <c r="E1791" s="243">
        <f>SUM(E1783:E1789)</f>
        <v>1281677.6000000001</v>
      </c>
      <c r="F1791" s="243">
        <f>SUM(F1783:F1789)</f>
        <v>2724506.62</v>
      </c>
      <c r="G1791" s="32">
        <f>+B1791-B1780</f>
        <v>-101295.31255889405</v>
      </c>
      <c r="H1791" s="243">
        <f>SUM(H1783:H1790)</f>
        <v>-101295.31255889361</v>
      </c>
      <c r="I1791" s="240">
        <f>SUM(I1783:I1790)</f>
        <v>1</v>
      </c>
      <c r="J1791" s="243">
        <f>SUM(J1783:J1790)</f>
        <v>1359.3274411062894</v>
      </c>
      <c r="K1791" s="243">
        <f>SUM(K1783:K1790)</f>
        <v>7766.7100000001956</v>
      </c>
      <c r="L1791" s="243">
        <f>SUM(L1783:L1790)</f>
        <v>-110421.35000000009</v>
      </c>
    </row>
    <row r="1793" spans="1:12" ht="16" thickBot="1">
      <c r="A1793" s="253">
        <v>44832</v>
      </c>
      <c r="B1793" s="251">
        <v>260</v>
      </c>
      <c r="C1793" s="238" t="s">
        <v>3</v>
      </c>
      <c r="D1793" s="238" t="s">
        <v>4</v>
      </c>
      <c r="E1793" s="238" t="s">
        <v>5</v>
      </c>
      <c r="F1793" s="238" t="s">
        <v>6</v>
      </c>
      <c r="H1793" s="251">
        <f>+B1793-B1782</f>
        <v>0</v>
      </c>
      <c r="I1793" s="238" t="s">
        <v>3</v>
      </c>
      <c r="J1793" s="238" t="s">
        <v>4</v>
      </c>
      <c r="K1793" s="238" t="s">
        <v>5</v>
      </c>
      <c r="L1793" s="238" t="s">
        <v>114</v>
      </c>
    </row>
    <row r="1794" spans="1:12" ht="15.5">
      <c r="A1794" s="180" t="s">
        <v>7</v>
      </c>
      <c r="B1794" s="250">
        <f>SUM(D1794:F1794)</f>
        <v>3672900.1218214286</v>
      </c>
      <c r="C1794" s="241">
        <f>+B1794/$B$1802</f>
        <v>0.51927589371808058</v>
      </c>
      <c r="D1794" s="242">
        <v>44641.351821428572</v>
      </c>
      <c r="E1794" s="242">
        <v>1139984.9099999999</v>
      </c>
      <c r="F1794" s="242">
        <v>2488273.86</v>
      </c>
      <c r="H1794" s="250">
        <f>SUM(J1794:L1794)</f>
        <v>-378458.8827142861</v>
      </c>
      <c r="I1794" s="241">
        <f>+H1794/$H$1802</f>
        <v>1.0073379833463367</v>
      </c>
      <c r="J1794" s="242">
        <f>+D1794-D1783</f>
        <v>-533.43271428571461</v>
      </c>
      <c r="K1794" s="849">
        <f>+E1794-E1783</f>
        <v>-141692.69000000018</v>
      </c>
      <c r="L1794" s="242">
        <f>+F1794-F1783</f>
        <v>-236232.76000000024</v>
      </c>
    </row>
    <row r="1795" spans="1:12" ht="15.5">
      <c r="A1795" s="180" t="s">
        <v>8</v>
      </c>
      <c r="B1795" s="250">
        <f t="shared" ref="B1795:B1800" si="1104">SUM(D1795:F1795)</f>
        <v>0</v>
      </c>
      <c r="C1795" s="241">
        <f t="shared" ref="C1795:C1800" si="1105">+B1795/$B$1802</f>
        <v>0</v>
      </c>
      <c r="D1795" s="242">
        <v>0</v>
      </c>
      <c r="F1795" s="242"/>
      <c r="G1795" s="32"/>
      <c r="H1795" s="250">
        <f t="shared" ref="H1795:H1800" si="1106">SUM(J1795:L1795)</f>
        <v>0</v>
      </c>
      <c r="I1795" s="241">
        <f t="shared" ref="I1795:I1800" si="1107">+H1795/$H$1802</f>
        <v>0</v>
      </c>
      <c r="J1795" s="242">
        <f t="shared" ref="J1795:J1800" si="1108">+D1795-D1784</f>
        <v>0</v>
      </c>
      <c r="K1795" s="849">
        <f>+E1795-E1784</f>
        <v>0</v>
      </c>
      <c r="L1795" s="242">
        <f t="shared" ref="L1795:L1800" si="1109">+F1795-F1784</f>
        <v>0</v>
      </c>
    </row>
    <row r="1796" spans="1:12" ht="15.5">
      <c r="A1796" s="180" t="s">
        <v>9</v>
      </c>
      <c r="B1796" s="250">
        <f t="shared" si="1104"/>
        <v>661656.60058317031</v>
      </c>
      <c r="C1796" s="241">
        <f t="shared" si="1105"/>
        <v>9.354523978504127E-2</v>
      </c>
      <c r="D1796" s="242">
        <v>661656.60058317031</v>
      </c>
      <c r="E1796" s="242"/>
      <c r="F1796" s="242"/>
      <c r="H1796" s="250">
        <f t="shared" si="1106"/>
        <v>2756.8949295500061</v>
      </c>
      <c r="I1796" s="241">
        <f t="shared" si="1107"/>
        <v>-7.3379833463367485E-3</v>
      </c>
      <c r="J1796" s="242">
        <f t="shared" si="1108"/>
        <v>2756.8949295500061</v>
      </c>
      <c r="K1796" s="849">
        <f t="shared" ref="K1796:K1800" si="1110">+E1796-E1785</f>
        <v>0</v>
      </c>
      <c r="L1796" s="242">
        <f t="shared" si="1109"/>
        <v>0</v>
      </c>
    </row>
    <row r="1797" spans="1:12" ht="15.5">
      <c r="A1797" s="180" t="s">
        <v>162</v>
      </c>
      <c r="B1797" s="250">
        <f t="shared" si="1104"/>
        <v>0</v>
      </c>
      <c r="C1797" s="241">
        <f t="shared" si="1105"/>
        <v>0</v>
      </c>
      <c r="D1797" s="242">
        <v>0</v>
      </c>
      <c r="E1797" s="242"/>
      <c r="F1797" s="242"/>
      <c r="H1797" s="250">
        <f t="shared" si="1106"/>
        <v>0</v>
      </c>
      <c r="I1797" s="241">
        <f t="shared" si="1107"/>
        <v>0</v>
      </c>
      <c r="J1797" s="242">
        <f t="shared" si="1108"/>
        <v>0</v>
      </c>
      <c r="K1797" s="849">
        <f t="shared" si="1110"/>
        <v>0</v>
      </c>
      <c r="L1797" s="242">
        <f t="shared" si="1109"/>
        <v>0</v>
      </c>
    </row>
    <row r="1798" spans="1:12" ht="15.5">
      <c r="A1798" s="180" t="s">
        <v>11</v>
      </c>
      <c r="B1798" s="250">
        <f t="shared" si="1104"/>
        <v>0</v>
      </c>
      <c r="C1798" s="241">
        <f t="shared" si="1105"/>
        <v>0</v>
      </c>
      <c r="D1798" s="242">
        <v>0</v>
      </c>
      <c r="E1798" s="242"/>
      <c r="F1798" s="242"/>
      <c r="H1798" s="250">
        <f t="shared" si="1106"/>
        <v>0</v>
      </c>
      <c r="I1798" s="241">
        <f t="shared" si="1107"/>
        <v>0</v>
      </c>
      <c r="J1798" s="242">
        <f t="shared" si="1108"/>
        <v>0</v>
      </c>
      <c r="K1798" s="849">
        <f t="shared" si="1110"/>
        <v>0</v>
      </c>
      <c r="L1798" s="242">
        <f t="shared" si="1109"/>
        <v>0</v>
      </c>
    </row>
    <row r="1799" spans="1:12" ht="15.5">
      <c r="A1799" s="180" t="s">
        <v>12</v>
      </c>
      <c r="B1799" s="250">
        <f t="shared" si="1104"/>
        <v>3417.8571428571427</v>
      </c>
      <c r="C1799" s="241">
        <f t="shared" si="1105"/>
        <v>4.8321782885229163E-4</v>
      </c>
      <c r="D1799" s="242">
        <v>3417.8571428571427</v>
      </c>
      <c r="E1799" s="242"/>
      <c r="F1799" s="242"/>
      <c r="H1799" s="250">
        <f t="shared" si="1106"/>
        <v>0</v>
      </c>
      <c r="I1799" s="241">
        <f t="shared" si="1107"/>
        <v>0</v>
      </c>
      <c r="J1799" s="242">
        <f t="shared" si="1108"/>
        <v>0</v>
      </c>
      <c r="K1799" s="849">
        <f t="shared" si="1110"/>
        <v>0</v>
      </c>
      <c r="L1799" s="242">
        <f t="shared" si="1109"/>
        <v>0</v>
      </c>
    </row>
    <row r="1800" spans="1:12" ht="15.5">
      <c r="A1800" s="180" t="s">
        <v>13</v>
      </c>
      <c r="B1800" s="250">
        <f t="shared" si="1104"/>
        <v>2735144.2889657775</v>
      </c>
      <c r="C1800" s="241">
        <f t="shared" si="1105"/>
        <v>0.38669564866802575</v>
      </c>
      <c r="D1800" s="242">
        <v>2735144.2889657775</v>
      </c>
      <c r="E1800" s="242">
        <v>0</v>
      </c>
      <c r="F1800" s="242">
        <v>0</v>
      </c>
      <c r="H1800" s="250">
        <f t="shared" si="1106"/>
        <v>0</v>
      </c>
      <c r="I1800" s="241">
        <f t="shared" si="1107"/>
        <v>0</v>
      </c>
      <c r="J1800" s="242">
        <f t="shared" si="1108"/>
        <v>0</v>
      </c>
      <c r="K1800" s="849">
        <f t="shared" si="1110"/>
        <v>0</v>
      </c>
      <c r="L1800" s="242">
        <f t="shared" si="1109"/>
        <v>0</v>
      </c>
    </row>
    <row r="1801" spans="1:12" ht="15.5">
      <c r="A1801" s="180"/>
      <c r="B1801" s="242"/>
      <c r="C1801" s="241"/>
      <c r="D1801" s="242"/>
      <c r="E1801" s="242"/>
      <c r="F1801" s="242"/>
      <c r="H1801" s="250"/>
      <c r="I1801" s="241"/>
      <c r="J1801" s="242"/>
      <c r="K1801" s="242"/>
      <c r="L1801" s="242"/>
    </row>
    <row r="1802" spans="1:12" ht="15.5">
      <c r="A1802" s="180"/>
      <c r="B1802" s="243">
        <f>SUM(B1794:B1801)</f>
        <v>7073118.868513234</v>
      </c>
      <c r="C1802" s="240">
        <f>SUM(C1794:C1801)</f>
        <v>0.99999999999999989</v>
      </c>
      <c r="D1802" s="243">
        <f>SUM(D1794:D1801)</f>
        <v>3444860.0985132335</v>
      </c>
      <c r="E1802" s="243">
        <f>SUM(E1794:E1800)</f>
        <v>1139984.9099999999</v>
      </c>
      <c r="F1802" s="243">
        <f>SUM(F1794:F1800)</f>
        <v>2488273.86</v>
      </c>
      <c r="G1802" s="32">
        <f>+B1802-B1791</f>
        <v>-375701.98778473493</v>
      </c>
      <c r="H1802" s="243">
        <f>SUM(H1794:H1801)</f>
        <v>-375701.98778473609</v>
      </c>
      <c r="I1802" s="240">
        <f>SUM(I1794:I1801)</f>
        <v>1</v>
      </c>
      <c r="J1802" s="243">
        <f>SUM(J1794:J1801)</f>
        <v>2223.4622152642914</v>
      </c>
      <c r="K1802" s="243">
        <f>SUM(K1794:K1801)</f>
        <v>-141692.69000000018</v>
      </c>
      <c r="L1802" s="243">
        <f>SUM(L1794:L1801)</f>
        <v>-236232.76000000024</v>
      </c>
    </row>
    <row r="1803" spans="1:12" ht="16" thickBot="1">
      <c r="A1803" s="180"/>
      <c r="B1803" s="334"/>
      <c r="C1803" s="335"/>
      <c r="D1803" s="334"/>
      <c r="E1803" s="334"/>
      <c r="F1803" s="334"/>
      <c r="G1803" s="32"/>
      <c r="H1803" s="334"/>
      <c r="I1803" s="335"/>
      <c r="J1803" s="334"/>
      <c r="K1803" s="334"/>
      <c r="L1803" s="334"/>
    </row>
    <row r="1804" spans="1:12" ht="16" thickBot="1">
      <c r="A1804" s="253">
        <v>44862</v>
      </c>
      <c r="B1804" s="251">
        <v>260</v>
      </c>
      <c r="C1804" s="238" t="s">
        <v>3</v>
      </c>
      <c r="D1804" s="238" t="s">
        <v>4</v>
      </c>
      <c r="E1804" s="238" t="s">
        <v>5</v>
      </c>
      <c r="F1804" s="238" t="s">
        <v>6</v>
      </c>
      <c r="H1804" s="251">
        <f>+B1804-B1793</f>
        <v>0</v>
      </c>
      <c r="I1804" s="238" t="s">
        <v>3</v>
      </c>
      <c r="J1804" s="238" t="s">
        <v>4</v>
      </c>
      <c r="K1804" s="238" t="s">
        <v>5</v>
      </c>
      <c r="L1804" s="238" t="s">
        <v>114</v>
      </c>
    </row>
    <row r="1805" spans="1:12" ht="15.5">
      <c r="A1805" s="180" t="s">
        <v>7</v>
      </c>
      <c r="B1805" s="250">
        <f>SUM(D1805:F1805)</f>
        <v>3846650.9827142861</v>
      </c>
      <c r="C1805" s="241">
        <f>+B1805/$B$1813</f>
        <v>0.52934056792800088</v>
      </c>
      <c r="D1805" s="242">
        <v>48295.062714285719</v>
      </c>
      <c r="E1805" s="242">
        <v>1166492.07</v>
      </c>
      <c r="F1805" s="242">
        <v>2631863.85</v>
      </c>
      <c r="H1805" s="250">
        <f>SUM(J1805:L1805)</f>
        <v>173750.86089285751</v>
      </c>
      <c r="I1805" s="241">
        <f>+H1805/$H$1813</f>
        <v>0.89675687544133864</v>
      </c>
      <c r="J1805" s="242">
        <f>+D1805-D1794</f>
        <v>3653.710892857147</v>
      </c>
      <c r="K1805" s="849">
        <f>+E1805-E1794</f>
        <v>26507.160000000149</v>
      </c>
      <c r="L1805" s="242">
        <f>+F1805-F1794</f>
        <v>143589.99000000022</v>
      </c>
    </row>
    <row r="1806" spans="1:12" ht="15.5">
      <c r="A1806" s="180" t="s">
        <v>8</v>
      </c>
      <c r="B1806" s="250">
        <f t="shared" ref="B1806:B1811" si="1111">SUM(D1806:F1806)</f>
        <v>0</v>
      </c>
      <c r="C1806" s="241">
        <f t="shared" ref="C1806:C1811" si="1112">+B1806/$B$1813</f>
        <v>0</v>
      </c>
      <c r="D1806" s="242">
        <v>0</v>
      </c>
      <c r="F1806" s="242"/>
      <c r="G1806" s="32"/>
      <c r="H1806" s="250">
        <f t="shared" ref="H1806:H1811" si="1113">SUM(J1806:L1806)</f>
        <v>0</v>
      </c>
      <c r="I1806" s="241">
        <f t="shared" ref="I1806:I1811" si="1114">+H1806/$H$1813</f>
        <v>0</v>
      </c>
      <c r="J1806" s="242">
        <f t="shared" ref="J1806:J1811" si="1115">+D1806-D1795</f>
        <v>0</v>
      </c>
      <c r="K1806" s="849">
        <f>+E1806-E1795</f>
        <v>0</v>
      </c>
      <c r="L1806" s="242">
        <f t="shared" ref="L1806:L1811" si="1116">+F1806-F1795</f>
        <v>0</v>
      </c>
    </row>
    <row r="1807" spans="1:12" ht="15.5">
      <c r="A1807" s="180" t="s">
        <v>9</v>
      </c>
      <c r="B1807" s="250">
        <f t="shared" si="1111"/>
        <v>681660.44138395309</v>
      </c>
      <c r="C1807" s="241">
        <f t="shared" si="1112"/>
        <v>9.3803811886677357E-2</v>
      </c>
      <c r="D1807" s="242">
        <v>681660.44138395309</v>
      </c>
      <c r="E1807" s="242"/>
      <c r="F1807" s="242"/>
      <c r="H1807" s="250">
        <f t="shared" si="1113"/>
        <v>20003.840800782782</v>
      </c>
      <c r="I1807" s="241">
        <f t="shared" si="1114"/>
        <v>0.10324312455866137</v>
      </c>
      <c r="J1807" s="242">
        <f t="shared" si="1115"/>
        <v>20003.840800782782</v>
      </c>
      <c r="K1807" s="849">
        <f t="shared" ref="K1807:K1811" si="1117">+E1807-E1796</f>
        <v>0</v>
      </c>
      <c r="L1807" s="242">
        <f t="shared" si="1116"/>
        <v>0</v>
      </c>
    </row>
    <row r="1808" spans="1:12" ht="15.5">
      <c r="A1808" s="180" t="s">
        <v>162</v>
      </c>
      <c r="B1808" s="250">
        <f t="shared" si="1111"/>
        <v>0</v>
      </c>
      <c r="C1808" s="241">
        <f t="shared" si="1112"/>
        <v>0</v>
      </c>
      <c r="D1808" s="242">
        <v>0</v>
      </c>
      <c r="E1808" s="242"/>
      <c r="F1808" s="242"/>
      <c r="H1808" s="250">
        <f t="shared" si="1113"/>
        <v>0</v>
      </c>
      <c r="I1808" s="241">
        <f t="shared" si="1114"/>
        <v>0</v>
      </c>
      <c r="J1808" s="242">
        <f t="shared" si="1115"/>
        <v>0</v>
      </c>
      <c r="K1808" s="849">
        <f t="shared" si="1117"/>
        <v>0</v>
      </c>
      <c r="L1808" s="242">
        <f t="shared" si="1116"/>
        <v>0</v>
      </c>
    </row>
    <row r="1809" spans="1:12" ht="15.5">
      <c r="A1809" s="180" t="s">
        <v>11</v>
      </c>
      <c r="B1809" s="250">
        <f t="shared" si="1111"/>
        <v>0</v>
      </c>
      <c r="C1809" s="241">
        <f t="shared" si="1112"/>
        <v>0</v>
      </c>
      <c r="D1809" s="242">
        <v>0</v>
      </c>
      <c r="E1809" s="242"/>
      <c r="F1809" s="242"/>
      <c r="H1809" s="250">
        <f t="shared" si="1113"/>
        <v>0</v>
      </c>
      <c r="I1809" s="241">
        <f t="shared" si="1114"/>
        <v>0</v>
      </c>
      <c r="J1809" s="242">
        <f t="shared" si="1115"/>
        <v>0</v>
      </c>
      <c r="K1809" s="849">
        <f t="shared" si="1117"/>
        <v>0</v>
      </c>
      <c r="L1809" s="242">
        <f t="shared" si="1116"/>
        <v>0</v>
      </c>
    </row>
    <row r="1810" spans="1:12" ht="15.5">
      <c r="A1810" s="180" t="s">
        <v>12</v>
      </c>
      <c r="B1810" s="250">
        <f t="shared" si="1111"/>
        <v>3417.8571428571427</v>
      </c>
      <c r="C1810" s="241">
        <f t="shared" si="1112"/>
        <v>4.7033392143629144E-4</v>
      </c>
      <c r="D1810" s="242">
        <v>3417.8571428571427</v>
      </c>
      <c r="E1810" s="242"/>
      <c r="F1810" s="242"/>
      <c r="H1810" s="250">
        <f t="shared" si="1113"/>
        <v>0</v>
      </c>
      <c r="I1810" s="241">
        <f t="shared" si="1114"/>
        <v>0</v>
      </c>
      <c r="J1810" s="242">
        <f t="shared" si="1115"/>
        <v>0</v>
      </c>
      <c r="K1810" s="849">
        <f t="shared" si="1117"/>
        <v>0</v>
      </c>
      <c r="L1810" s="242">
        <f t="shared" si="1116"/>
        <v>0</v>
      </c>
    </row>
    <row r="1811" spans="1:12" ht="15.5">
      <c r="A1811" s="180" t="s">
        <v>13</v>
      </c>
      <c r="B1811" s="250">
        <f t="shared" si="1111"/>
        <v>2735144.2889657775</v>
      </c>
      <c r="C1811" s="241">
        <f t="shared" si="1112"/>
        <v>0.37638528626388545</v>
      </c>
      <c r="D1811" s="242">
        <v>2735144.2889657775</v>
      </c>
      <c r="E1811" s="242">
        <v>0</v>
      </c>
      <c r="F1811" s="242">
        <v>0</v>
      </c>
      <c r="H1811" s="250">
        <f t="shared" si="1113"/>
        <v>0</v>
      </c>
      <c r="I1811" s="241">
        <f t="shared" si="1114"/>
        <v>0</v>
      </c>
      <c r="J1811" s="242">
        <f t="shared" si="1115"/>
        <v>0</v>
      </c>
      <c r="K1811" s="849">
        <f t="shared" si="1117"/>
        <v>0</v>
      </c>
      <c r="L1811" s="242">
        <f t="shared" si="1116"/>
        <v>0</v>
      </c>
    </row>
    <row r="1812" spans="1:12" ht="15.5">
      <c r="A1812" s="180"/>
      <c r="B1812" s="242"/>
      <c r="C1812" s="241"/>
      <c r="D1812" s="242"/>
      <c r="E1812" s="242"/>
      <c r="F1812" s="242"/>
      <c r="H1812" s="250"/>
      <c r="I1812" s="241"/>
      <c r="J1812" s="242"/>
      <c r="K1812" s="242"/>
      <c r="L1812" s="242"/>
    </row>
    <row r="1813" spans="1:12" ht="15.5">
      <c r="A1813" s="180"/>
      <c r="B1813" s="243">
        <f>SUM(B1805:B1812)</f>
        <v>7266873.5702068741</v>
      </c>
      <c r="C1813" s="240">
        <f>SUM(C1805:C1812)</f>
        <v>1</v>
      </c>
      <c r="D1813" s="243">
        <f>SUM(D1805:D1812)</f>
        <v>3468517.6502068732</v>
      </c>
      <c r="E1813" s="243">
        <f>SUM(E1805:E1811)</f>
        <v>1166492.07</v>
      </c>
      <c r="F1813" s="243">
        <f>SUM(F1805:F1811)</f>
        <v>2631863.85</v>
      </c>
      <c r="G1813" s="32">
        <f>+B1813-B1802</f>
        <v>193754.70169364009</v>
      </c>
      <c r="H1813" s="243">
        <f>SUM(H1805:H1812)</f>
        <v>193754.70169364029</v>
      </c>
      <c r="I1813" s="240">
        <f>SUM(I1805:I1812)</f>
        <v>1</v>
      </c>
      <c r="J1813" s="243">
        <f>SUM(J1805:J1812)</f>
        <v>23657.551693639929</v>
      </c>
      <c r="K1813" s="243">
        <f>SUM(K1805:K1812)</f>
        <v>26507.160000000149</v>
      </c>
      <c r="L1813" s="243">
        <f>SUM(L1805:L1812)</f>
        <v>143589.99000000022</v>
      </c>
    </row>
    <row r="1814" spans="1:12" ht="16" thickBot="1">
      <c r="A1814" s="180"/>
      <c r="B1814" s="334"/>
      <c r="C1814" s="335"/>
      <c r="D1814" s="334"/>
      <c r="E1814" s="334"/>
      <c r="F1814" s="334"/>
      <c r="G1814" s="32"/>
      <c r="H1814" s="334"/>
      <c r="I1814" s="335"/>
      <c r="J1814" s="334"/>
      <c r="K1814" s="334"/>
      <c r="L1814" s="334"/>
    </row>
    <row r="1815" spans="1:12" ht="16" thickBot="1">
      <c r="A1815" s="253">
        <v>44893</v>
      </c>
      <c r="B1815" s="251">
        <v>310</v>
      </c>
      <c r="C1815" s="238" t="s">
        <v>3</v>
      </c>
      <c r="D1815" s="238" t="s">
        <v>4</v>
      </c>
      <c r="E1815" s="238" t="s">
        <v>5</v>
      </c>
      <c r="F1815" s="238" t="s">
        <v>6</v>
      </c>
      <c r="H1815" s="251">
        <f>+B1815-B1804</f>
        <v>50</v>
      </c>
      <c r="I1815" s="238" t="s">
        <v>3</v>
      </c>
      <c r="J1815" s="238" t="s">
        <v>4</v>
      </c>
      <c r="K1815" s="238" t="s">
        <v>5</v>
      </c>
      <c r="L1815" s="238" t="s">
        <v>114</v>
      </c>
    </row>
    <row r="1816" spans="1:12" ht="15.5">
      <c r="A1816" s="180" t="s">
        <v>7</v>
      </c>
      <c r="B1816" s="250">
        <f>SUM(D1816:F1816)</f>
        <v>4212884.3360322583</v>
      </c>
      <c r="C1816" s="241">
        <f>+B1816/$B$1824</f>
        <v>0.55203980488814008</v>
      </c>
      <c r="D1816" s="242">
        <v>50694.316032258059</v>
      </c>
      <c r="E1816" s="242">
        <v>1378457.17</v>
      </c>
      <c r="F1816" s="242">
        <v>2783732.85</v>
      </c>
      <c r="H1816" s="250">
        <f>SUM(J1816:L1816)</f>
        <v>366233.35331797221</v>
      </c>
      <c r="I1816" s="241">
        <f>+H1816/$H$1824</f>
        <v>1.0044441418042329</v>
      </c>
      <c r="J1816" s="242">
        <f>+D1816-D1805</f>
        <v>2399.2533179723396</v>
      </c>
      <c r="K1816" s="849">
        <f>+E1816-E1805</f>
        <v>211965.09999999986</v>
      </c>
      <c r="L1816" s="242">
        <f>+F1816-F1805</f>
        <v>151869</v>
      </c>
    </row>
    <row r="1817" spans="1:12" ht="15.5">
      <c r="A1817" s="180" t="s">
        <v>8</v>
      </c>
      <c r="B1817" s="250">
        <f t="shared" ref="B1817:B1822" si="1118">SUM(D1817:F1817)</f>
        <v>0</v>
      </c>
      <c r="C1817" s="241">
        <f t="shared" ref="C1817:C1822" si="1119">+B1817/$B$1824</f>
        <v>0</v>
      </c>
      <c r="D1817" s="242">
        <v>0</v>
      </c>
      <c r="F1817" s="242"/>
      <c r="G1817" s="32"/>
      <c r="H1817" s="250">
        <f t="shared" ref="H1817:H1822" si="1120">SUM(J1817:L1817)</f>
        <v>0</v>
      </c>
      <c r="I1817" s="241">
        <f t="shared" ref="I1817:I1822" si="1121">+H1817/$H$1824</f>
        <v>0</v>
      </c>
      <c r="J1817" s="242">
        <f t="shared" ref="J1817:J1822" si="1122">+D1817-D1806</f>
        <v>0</v>
      </c>
      <c r="K1817" s="849">
        <f>+E1817-E1806</f>
        <v>0</v>
      </c>
      <c r="L1817" s="242">
        <f t="shared" ref="L1817:L1822" si="1123">+F1817-F1806</f>
        <v>0</v>
      </c>
    </row>
    <row r="1818" spans="1:12" ht="15.5">
      <c r="A1818" s="180" t="s">
        <v>9</v>
      </c>
      <c r="B1818" s="250">
        <f t="shared" si="1118"/>
        <v>680370.81004754757</v>
      </c>
      <c r="C1818" s="241">
        <f t="shared" si="1119"/>
        <v>8.9153116789332632E-2</v>
      </c>
      <c r="D1818" s="242">
        <v>680370.81004754757</v>
      </c>
      <c r="E1818" s="242"/>
      <c r="F1818" s="242"/>
      <c r="H1818" s="250">
        <f t="shared" si="1120"/>
        <v>-1289.6313364055241</v>
      </c>
      <c r="I1818" s="241">
        <f t="shared" si="1121"/>
        <v>-3.5369870854308266E-3</v>
      </c>
      <c r="J1818" s="242">
        <f t="shared" si="1122"/>
        <v>-1289.6313364055241</v>
      </c>
      <c r="K1818" s="849">
        <f t="shared" ref="K1818:K1822" si="1124">+E1818-E1807</f>
        <v>0</v>
      </c>
      <c r="L1818" s="242">
        <f t="shared" si="1123"/>
        <v>0</v>
      </c>
    </row>
    <row r="1819" spans="1:12" ht="15.5">
      <c r="A1819" s="180" t="s">
        <v>162</v>
      </c>
      <c r="B1819" s="250">
        <f t="shared" si="1118"/>
        <v>0</v>
      </c>
      <c r="C1819" s="241">
        <f t="shared" si="1119"/>
        <v>0</v>
      </c>
      <c r="D1819" s="242">
        <v>0</v>
      </c>
      <c r="E1819" s="242"/>
      <c r="F1819" s="242"/>
      <c r="H1819" s="250">
        <f t="shared" si="1120"/>
        <v>0</v>
      </c>
      <c r="I1819" s="241">
        <f t="shared" si="1121"/>
        <v>0</v>
      </c>
      <c r="J1819" s="242">
        <f t="shared" si="1122"/>
        <v>0</v>
      </c>
      <c r="K1819" s="849">
        <f t="shared" si="1124"/>
        <v>0</v>
      </c>
      <c r="L1819" s="242">
        <f t="shared" si="1123"/>
        <v>0</v>
      </c>
    </row>
    <row r="1820" spans="1:12" ht="15.5">
      <c r="A1820" s="180" t="s">
        <v>11</v>
      </c>
      <c r="B1820" s="250">
        <f t="shared" si="1118"/>
        <v>0</v>
      </c>
      <c r="C1820" s="241">
        <f t="shared" si="1119"/>
        <v>0</v>
      </c>
      <c r="D1820" s="242">
        <v>0</v>
      </c>
      <c r="E1820" s="242"/>
      <c r="F1820" s="242"/>
      <c r="H1820" s="250">
        <f t="shared" si="1120"/>
        <v>0</v>
      </c>
      <c r="I1820" s="241">
        <f t="shared" si="1121"/>
        <v>0</v>
      </c>
      <c r="J1820" s="242">
        <f t="shared" si="1122"/>
        <v>0</v>
      </c>
      <c r="K1820" s="849">
        <f t="shared" si="1124"/>
        <v>0</v>
      </c>
      <c r="L1820" s="242">
        <f t="shared" si="1123"/>
        <v>0</v>
      </c>
    </row>
    <row r="1821" spans="1:12" ht="15.5">
      <c r="A1821" s="180" t="s">
        <v>12</v>
      </c>
      <c r="B1821" s="250">
        <f t="shared" si="1118"/>
        <v>3087.0967741935483</v>
      </c>
      <c r="C1821" s="241">
        <f t="shared" si="1119"/>
        <v>4.0452102762964719E-4</v>
      </c>
      <c r="D1821" s="242">
        <v>3087.0967741935483</v>
      </c>
      <c r="E1821" s="242"/>
      <c r="F1821" s="242"/>
      <c r="H1821" s="250">
        <f t="shared" si="1120"/>
        <v>-330.76036866359436</v>
      </c>
      <c r="I1821" s="241">
        <f t="shared" si="1121"/>
        <v>-9.0715471880221075E-4</v>
      </c>
      <c r="J1821" s="242">
        <f t="shared" si="1122"/>
        <v>-330.76036866359436</v>
      </c>
      <c r="K1821" s="849">
        <f t="shared" si="1124"/>
        <v>0</v>
      </c>
      <c r="L1821" s="242">
        <f t="shared" si="1123"/>
        <v>0</v>
      </c>
    </row>
    <row r="1822" spans="1:12" ht="15.5">
      <c r="A1822" s="180" t="s">
        <v>13</v>
      </c>
      <c r="B1822" s="250">
        <f t="shared" si="1118"/>
        <v>2735144.2889657775</v>
      </c>
      <c r="C1822" s="241">
        <f t="shared" si="1119"/>
        <v>0.35840255729489767</v>
      </c>
      <c r="D1822" s="242">
        <v>2735144.2889657775</v>
      </c>
      <c r="E1822" s="242">
        <v>0</v>
      </c>
      <c r="F1822" s="242">
        <v>0</v>
      </c>
      <c r="H1822" s="250">
        <f t="shared" si="1120"/>
        <v>0</v>
      </c>
      <c r="I1822" s="241">
        <f t="shared" si="1121"/>
        <v>0</v>
      </c>
      <c r="J1822" s="242">
        <f t="shared" si="1122"/>
        <v>0</v>
      </c>
      <c r="K1822" s="849">
        <f t="shared" si="1124"/>
        <v>0</v>
      </c>
      <c r="L1822" s="242">
        <f t="shared" si="1123"/>
        <v>0</v>
      </c>
    </row>
    <row r="1823" spans="1:12" ht="15.5">
      <c r="A1823" s="180"/>
      <c r="B1823" s="242"/>
      <c r="C1823" s="241"/>
      <c r="D1823" s="242"/>
      <c r="E1823" s="242"/>
      <c r="F1823" s="242"/>
      <c r="H1823" s="250"/>
      <c r="I1823" s="241"/>
      <c r="J1823" s="242"/>
      <c r="K1823" s="242"/>
      <c r="L1823" s="242"/>
    </row>
    <row r="1824" spans="1:12" ht="15.5">
      <c r="A1824" s="180"/>
      <c r="B1824" s="243">
        <f>SUM(B1816:B1823)</f>
        <v>7631486.5318197766</v>
      </c>
      <c r="C1824" s="240">
        <f>SUM(C1816:C1823)</f>
        <v>1</v>
      </c>
      <c r="D1824" s="243">
        <f>SUM(D1816:D1823)</f>
        <v>3469296.5118197766</v>
      </c>
      <c r="E1824" s="243">
        <f>SUM(E1816:E1822)</f>
        <v>1378457.17</v>
      </c>
      <c r="F1824" s="243">
        <f>SUM(F1816:F1822)</f>
        <v>2783732.85</v>
      </c>
      <c r="G1824" s="32">
        <f>+B1824-B1813</f>
        <v>364612.96161290258</v>
      </c>
      <c r="H1824" s="243">
        <f>SUM(H1816:H1823)</f>
        <v>364612.96161290311</v>
      </c>
      <c r="I1824" s="240">
        <f>SUM(I1816:I1823)</f>
        <v>0.99999999999999978</v>
      </c>
      <c r="J1824" s="243">
        <f>SUM(J1816:J1823)</f>
        <v>778.86161290322116</v>
      </c>
      <c r="K1824" s="243">
        <f>SUM(K1816:K1823)</f>
        <v>211965.09999999986</v>
      </c>
      <c r="L1824" s="243">
        <f>SUM(L1816:L1823)</f>
        <v>151869</v>
      </c>
    </row>
    <row r="1826" spans="1:12" ht="16" thickBot="1">
      <c r="A1826" s="253">
        <v>44923</v>
      </c>
      <c r="B1826" s="251">
        <v>340</v>
      </c>
      <c r="C1826" s="238" t="s">
        <v>3</v>
      </c>
      <c r="D1826" s="238" t="s">
        <v>4</v>
      </c>
      <c r="E1826" s="238" t="s">
        <v>5</v>
      </c>
      <c r="F1826" s="238" t="s">
        <v>6</v>
      </c>
      <c r="H1826" s="251">
        <f>+B1826-B1815</f>
        <v>30</v>
      </c>
      <c r="I1826" s="238" t="s">
        <v>3</v>
      </c>
      <c r="J1826" s="238" t="s">
        <v>4</v>
      </c>
      <c r="K1826" s="238" t="s">
        <v>5</v>
      </c>
      <c r="L1826" s="238" t="s">
        <v>114</v>
      </c>
    </row>
    <row r="1827" spans="1:12" ht="15.5">
      <c r="A1827" s="180" t="s">
        <v>7</v>
      </c>
      <c r="B1827" s="250">
        <f>SUM(D1827:F1827)</f>
        <v>4167121.1053382354</v>
      </c>
      <c r="C1827" s="241">
        <f>+B1827/$B$1835</f>
        <v>0.54940182012216221</v>
      </c>
      <c r="D1827" s="242">
        <v>53533.81533823529</v>
      </c>
      <c r="E1827" s="242">
        <v>1465021.06</v>
      </c>
      <c r="F1827" s="242">
        <v>2648566.23</v>
      </c>
      <c r="H1827" s="250">
        <f>SUM(J1827:L1827)</f>
        <v>-45763.230694022757</v>
      </c>
      <c r="I1827" s="241">
        <f>+H1827/$H$1835</f>
        <v>0.98091865398488343</v>
      </c>
      <c r="J1827" s="242">
        <f>+D1827-D1816</f>
        <v>2839.4993059772314</v>
      </c>
      <c r="K1827" s="849">
        <f>+E1827-E1816</f>
        <v>86563.89000000013</v>
      </c>
      <c r="L1827" s="242">
        <f>+F1827-F1816</f>
        <v>-135166.62000000011</v>
      </c>
    </row>
    <row r="1828" spans="1:12" ht="15.5">
      <c r="A1828" s="180" t="s">
        <v>8</v>
      </c>
      <c r="B1828" s="250">
        <f t="shared" ref="B1828:B1833" si="1125">SUM(D1828:F1828)</f>
        <v>0</v>
      </c>
      <c r="C1828" s="241">
        <f t="shared" ref="C1828:C1833" si="1126">+B1828/$B$1835</f>
        <v>0</v>
      </c>
      <c r="D1828" s="242">
        <v>0</v>
      </c>
      <c r="F1828" s="242"/>
      <c r="G1828" s="32"/>
      <c r="H1828" s="250">
        <f t="shared" ref="H1828:H1833" si="1127">SUM(J1828:L1828)</f>
        <v>0</v>
      </c>
      <c r="I1828" s="241">
        <f t="shared" ref="I1828:I1833" si="1128">+H1828/$H$1835</f>
        <v>0</v>
      </c>
      <c r="J1828" s="242">
        <f t="shared" ref="J1828:J1833" si="1129">+D1828-D1817</f>
        <v>0</v>
      </c>
      <c r="K1828" s="849">
        <f>+E1828-E1817</f>
        <v>0</v>
      </c>
      <c r="L1828" s="242">
        <f t="shared" ref="L1828:L1833" si="1130">+F1828-F1817</f>
        <v>0</v>
      </c>
    </row>
    <row r="1829" spans="1:12" ht="15.5">
      <c r="A1829" s="180" t="s">
        <v>9</v>
      </c>
      <c r="B1829" s="250">
        <f t="shared" si="1125"/>
        <v>679752.99048605969</v>
      </c>
      <c r="C1829" s="241">
        <f t="shared" si="1126"/>
        <v>8.9620032815487694E-2</v>
      </c>
      <c r="D1829" s="242">
        <v>679752.99048605969</v>
      </c>
      <c r="E1829" s="242"/>
      <c r="F1829" s="242"/>
      <c r="H1829" s="250">
        <f t="shared" si="1127"/>
        <v>-617.81956148787867</v>
      </c>
      <c r="I1829" s="241">
        <f t="shared" si="1128"/>
        <v>1.3242743649638703E-2</v>
      </c>
      <c r="J1829" s="242">
        <f t="shared" si="1129"/>
        <v>-617.81956148787867</v>
      </c>
      <c r="K1829" s="849">
        <f t="shared" ref="K1829:K1833" si="1131">+E1829-E1818</f>
        <v>0</v>
      </c>
      <c r="L1829" s="242">
        <f t="shared" si="1130"/>
        <v>0</v>
      </c>
    </row>
    <row r="1830" spans="1:12" ht="15.5">
      <c r="A1830" s="180" t="s">
        <v>162</v>
      </c>
      <c r="B1830" s="250">
        <f t="shared" si="1125"/>
        <v>0</v>
      </c>
      <c r="C1830" s="241">
        <f t="shared" si="1126"/>
        <v>0</v>
      </c>
      <c r="D1830" s="242">
        <v>0</v>
      </c>
      <c r="E1830" s="242"/>
      <c r="F1830" s="242"/>
      <c r="H1830" s="250">
        <f t="shared" si="1127"/>
        <v>0</v>
      </c>
      <c r="I1830" s="241">
        <f t="shared" si="1128"/>
        <v>0</v>
      </c>
      <c r="J1830" s="242">
        <f t="shared" si="1129"/>
        <v>0</v>
      </c>
      <c r="K1830" s="849">
        <f t="shared" si="1131"/>
        <v>0</v>
      </c>
      <c r="L1830" s="242">
        <f t="shared" si="1130"/>
        <v>0</v>
      </c>
    </row>
    <row r="1831" spans="1:12" ht="15.5">
      <c r="A1831" s="180" t="s">
        <v>11</v>
      </c>
      <c r="B1831" s="250">
        <f t="shared" si="1125"/>
        <v>0</v>
      </c>
      <c r="C1831" s="241">
        <f t="shared" si="1126"/>
        <v>0</v>
      </c>
      <c r="D1831" s="242">
        <v>0</v>
      </c>
      <c r="E1831" s="242"/>
      <c r="F1831" s="242"/>
      <c r="H1831" s="250">
        <f t="shared" si="1127"/>
        <v>0</v>
      </c>
      <c r="I1831" s="241">
        <f t="shared" si="1128"/>
        <v>0</v>
      </c>
      <c r="J1831" s="242">
        <f t="shared" si="1129"/>
        <v>0</v>
      </c>
      <c r="K1831" s="849">
        <f t="shared" si="1131"/>
        <v>0</v>
      </c>
      <c r="L1831" s="242">
        <f t="shared" si="1130"/>
        <v>0</v>
      </c>
    </row>
    <row r="1832" spans="1:12" ht="15.5">
      <c r="A1832" s="180" t="s">
        <v>12</v>
      </c>
      <c r="B1832" s="250">
        <f t="shared" si="1125"/>
        <v>2814.705882352941</v>
      </c>
      <c r="C1832" s="241">
        <f t="shared" si="1126"/>
        <v>3.7109661461296654E-4</v>
      </c>
      <c r="D1832" s="242">
        <v>2814.705882352941</v>
      </c>
      <c r="E1832" s="242"/>
      <c r="F1832" s="242"/>
      <c r="H1832" s="250">
        <f t="shared" si="1127"/>
        <v>-272.39089184060731</v>
      </c>
      <c r="I1832" s="241">
        <f t="shared" si="1128"/>
        <v>5.8386023654778641E-3</v>
      </c>
      <c r="J1832" s="242">
        <f t="shared" si="1129"/>
        <v>-272.39089184060731</v>
      </c>
      <c r="K1832" s="849">
        <f t="shared" si="1131"/>
        <v>0</v>
      </c>
      <c r="L1832" s="242">
        <f t="shared" si="1130"/>
        <v>0</v>
      </c>
    </row>
    <row r="1833" spans="1:12" ht="15.5">
      <c r="A1833" s="180" t="s">
        <v>13</v>
      </c>
      <c r="B1833" s="250">
        <f t="shared" si="1125"/>
        <v>2735144.2889657775</v>
      </c>
      <c r="C1833" s="241">
        <f t="shared" si="1126"/>
        <v>0.36060705044773717</v>
      </c>
      <c r="D1833" s="242">
        <v>2735144.2889657775</v>
      </c>
      <c r="E1833" s="242">
        <v>0</v>
      </c>
      <c r="F1833" s="242">
        <v>0</v>
      </c>
      <c r="H1833" s="250">
        <f t="shared" si="1127"/>
        <v>0</v>
      </c>
      <c r="I1833" s="241">
        <f t="shared" si="1128"/>
        <v>0</v>
      </c>
      <c r="J1833" s="242">
        <f t="shared" si="1129"/>
        <v>0</v>
      </c>
      <c r="K1833" s="849">
        <f t="shared" si="1131"/>
        <v>0</v>
      </c>
      <c r="L1833" s="242">
        <f t="shared" si="1130"/>
        <v>0</v>
      </c>
    </row>
    <row r="1834" spans="1:12" ht="15.5">
      <c r="A1834" s="180"/>
      <c r="B1834" s="242"/>
      <c r="C1834" s="241"/>
      <c r="D1834" s="242"/>
      <c r="E1834" s="242"/>
      <c r="F1834" s="242"/>
      <c r="H1834" s="250"/>
      <c r="I1834" s="241"/>
      <c r="J1834" s="242"/>
      <c r="K1834" s="242"/>
      <c r="L1834" s="242"/>
    </row>
    <row r="1835" spans="1:12" ht="15.5">
      <c r="A1835" s="180"/>
      <c r="B1835" s="243">
        <f>SUM(B1827:B1834)</f>
        <v>7584833.090672425</v>
      </c>
      <c r="C1835" s="240">
        <f>SUM(C1827:C1834)</f>
        <v>1</v>
      </c>
      <c r="D1835" s="243">
        <f>SUM(D1827:D1834)</f>
        <v>3471245.8006724254</v>
      </c>
      <c r="E1835" s="243">
        <f>SUM(E1827:E1833)</f>
        <v>1465021.06</v>
      </c>
      <c r="F1835" s="243">
        <f>SUM(F1827:F1833)</f>
        <v>2648566.23</v>
      </c>
      <c r="G1835" s="32">
        <f>+B1835-B1824</f>
        <v>-46653.441147351637</v>
      </c>
      <c r="H1835" s="243">
        <f>SUM(H1827:H1834)</f>
        <v>-46653.441147351245</v>
      </c>
      <c r="I1835" s="240">
        <f>SUM(I1827:I1834)</f>
        <v>1</v>
      </c>
      <c r="J1835" s="243">
        <f>SUM(J1827:J1834)</f>
        <v>1949.2888526487454</v>
      </c>
      <c r="K1835" s="243">
        <f>SUM(K1827:K1834)</f>
        <v>86563.89000000013</v>
      </c>
      <c r="L1835" s="243">
        <f>SUM(L1827:L1834)</f>
        <v>-135166.62000000011</v>
      </c>
    </row>
    <row r="1836" spans="1:12" ht="16" thickBot="1">
      <c r="A1836" s="180"/>
      <c r="B1836" s="334"/>
      <c r="C1836" s="335"/>
      <c r="D1836" s="334"/>
      <c r="E1836" s="334"/>
      <c r="F1836" s="334"/>
      <c r="G1836" s="32"/>
      <c r="H1836" s="334"/>
      <c r="I1836" s="335"/>
      <c r="J1836" s="334"/>
      <c r="K1836" s="334"/>
      <c r="L1836" s="334"/>
    </row>
    <row r="1837" spans="1:12" ht="16" thickBot="1">
      <c r="A1837" s="253">
        <v>44954</v>
      </c>
      <c r="B1837" s="251">
        <v>370</v>
      </c>
      <c r="C1837" s="238" t="s">
        <v>3</v>
      </c>
      <c r="D1837" s="238" t="s">
        <v>4</v>
      </c>
      <c r="E1837" s="238" t="s">
        <v>5</v>
      </c>
      <c r="F1837" s="238" t="s">
        <v>6</v>
      </c>
      <c r="H1837" s="251">
        <f>+B1837-B1826</f>
        <v>30</v>
      </c>
      <c r="I1837" s="238" t="s">
        <v>3</v>
      </c>
      <c r="J1837" s="238" t="s">
        <v>4</v>
      </c>
      <c r="K1837" s="238" t="s">
        <v>5</v>
      </c>
      <c r="L1837" s="238" t="s">
        <v>114</v>
      </c>
    </row>
    <row r="1838" spans="1:12" ht="15.5">
      <c r="A1838" s="180" t="s">
        <v>7</v>
      </c>
      <c r="B1838" s="250">
        <f>SUM(D1838:F1838)</f>
        <v>4571886.1645945944</v>
      </c>
      <c r="C1838" s="241">
        <f>+B1838/$B$1846</f>
        <v>0.57227400957426766</v>
      </c>
      <c r="D1838" s="242">
        <v>58763.724594594598</v>
      </c>
      <c r="E1838" s="242">
        <v>1682520.45</v>
      </c>
      <c r="F1838" s="242">
        <v>2830601.99</v>
      </c>
      <c r="H1838" s="250">
        <f>SUM(J1838:L1838)</f>
        <v>404765.05925635947</v>
      </c>
      <c r="I1838" s="241">
        <f>+H1838/$H$1846</f>
        <v>1.0015271466724902</v>
      </c>
      <c r="J1838" s="242">
        <f>+D1838-D1827</f>
        <v>5229.9092563593076</v>
      </c>
      <c r="K1838" s="849">
        <f>+E1838-E1827</f>
        <v>217499.3899999999</v>
      </c>
      <c r="L1838" s="242">
        <f>+F1838-F1827</f>
        <v>182035.76000000024</v>
      </c>
    </row>
    <row r="1839" spans="1:12" ht="15.5">
      <c r="A1839" s="180" t="s">
        <v>8</v>
      </c>
      <c r="B1839" s="250">
        <f t="shared" ref="B1839:B1844" si="1132">SUM(D1839:F1839)</f>
        <v>0</v>
      </c>
      <c r="C1839" s="241">
        <f t="shared" ref="C1839:C1844" si="1133">+B1839/$B$1846</f>
        <v>0</v>
      </c>
      <c r="D1839" s="242">
        <v>0</v>
      </c>
      <c r="F1839" s="242"/>
      <c r="G1839" s="32"/>
      <c r="H1839" s="250">
        <f t="shared" ref="H1839:H1844" si="1134">SUM(J1839:L1839)</f>
        <v>0</v>
      </c>
      <c r="I1839" s="241">
        <f t="shared" ref="I1839:I1844" si="1135">+H1839/$H$1846</f>
        <v>0</v>
      </c>
      <c r="J1839" s="242">
        <f t="shared" ref="J1839:J1844" si="1136">+D1839-D1828</f>
        <v>0</v>
      </c>
      <c r="K1839" s="849">
        <f>+E1839-E1828</f>
        <v>0</v>
      </c>
      <c r="L1839" s="242">
        <f t="shared" ref="L1839:L1844" si="1137">+F1839-F1828</f>
        <v>0</v>
      </c>
    </row>
    <row r="1840" spans="1:12" ht="15.5">
      <c r="A1840" s="180" t="s">
        <v>9</v>
      </c>
      <c r="B1840" s="250">
        <f t="shared" si="1132"/>
        <v>679364.01681288413</v>
      </c>
      <c r="C1840" s="241">
        <f t="shared" si="1133"/>
        <v>8.5037631267545821E-2</v>
      </c>
      <c r="D1840" s="242">
        <v>679364.01681288413</v>
      </c>
      <c r="E1840" s="242"/>
      <c r="F1840" s="242"/>
      <c r="H1840" s="250">
        <f t="shared" si="1134"/>
        <v>-388.97367317555472</v>
      </c>
      <c r="I1840" s="241">
        <f t="shared" si="1135"/>
        <v>-9.6245385839862458E-4</v>
      </c>
      <c r="J1840" s="242">
        <f t="shared" si="1136"/>
        <v>-388.97367317555472</v>
      </c>
      <c r="K1840" s="849">
        <f t="shared" ref="K1840:K1844" si="1138">+E1840-E1829</f>
        <v>0</v>
      </c>
      <c r="L1840" s="242">
        <f t="shared" si="1137"/>
        <v>0</v>
      </c>
    </row>
    <row r="1841" spans="1:12" ht="15.5">
      <c r="A1841" s="180" t="s">
        <v>162</v>
      </c>
      <c r="B1841" s="250">
        <f t="shared" si="1132"/>
        <v>0</v>
      </c>
      <c r="C1841" s="241">
        <f t="shared" si="1133"/>
        <v>0</v>
      </c>
      <c r="D1841" s="242">
        <v>0</v>
      </c>
      <c r="E1841" s="242"/>
      <c r="F1841" s="242"/>
      <c r="H1841" s="250">
        <f t="shared" si="1134"/>
        <v>0</v>
      </c>
      <c r="I1841" s="241">
        <f t="shared" si="1135"/>
        <v>0</v>
      </c>
      <c r="J1841" s="242">
        <f t="shared" si="1136"/>
        <v>0</v>
      </c>
      <c r="K1841" s="849">
        <f t="shared" si="1138"/>
        <v>0</v>
      </c>
      <c r="L1841" s="242">
        <f t="shared" si="1137"/>
        <v>0</v>
      </c>
    </row>
    <row r="1842" spans="1:12" ht="15.5">
      <c r="A1842" s="180" t="s">
        <v>11</v>
      </c>
      <c r="B1842" s="250">
        <f t="shared" si="1132"/>
        <v>0</v>
      </c>
      <c r="C1842" s="241">
        <f t="shared" si="1133"/>
        <v>0</v>
      </c>
      <c r="D1842" s="242">
        <v>0</v>
      </c>
      <c r="E1842" s="242"/>
      <c r="F1842" s="242"/>
      <c r="H1842" s="250">
        <f t="shared" si="1134"/>
        <v>0</v>
      </c>
      <c r="I1842" s="241">
        <f t="shared" si="1135"/>
        <v>0</v>
      </c>
      <c r="J1842" s="242">
        <f t="shared" si="1136"/>
        <v>0</v>
      </c>
      <c r="K1842" s="849">
        <f t="shared" si="1138"/>
        <v>0</v>
      </c>
      <c r="L1842" s="242">
        <f t="shared" si="1137"/>
        <v>0</v>
      </c>
    </row>
    <row r="1843" spans="1:12" ht="15.5">
      <c r="A1843" s="180" t="s">
        <v>12</v>
      </c>
      <c r="B1843" s="250">
        <f t="shared" si="1132"/>
        <v>2586.4864864864867</v>
      </c>
      <c r="C1843" s="241">
        <f t="shared" si="1133"/>
        <v>3.2375674700608706E-4</v>
      </c>
      <c r="D1843" s="242">
        <v>2586.4864864864867</v>
      </c>
      <c r="E1843" s="242"/>
      <c r="F1843" s="242"/>
      <c r="H1843" s="250">
        <f t="shared" si="1134"/>
        <v>-228.21939586645431</v>
      </c>
      <c r="I1843" s="241">
        <f t="shared" si="1135"/>
        <v>-5.6469281409165595E-4</v>
      </c>
      <c r="J1843" s="242">
        <f t="shared" si="1136"/>
        <v>-228.21939586645431</v>
      </c>
      <c r="K1843" s="849">
        <f t="shared" si="1138"/>
        <v>0</v>
      </c>
      <c r="L1843" s="242">
        <f t="shared" si="1137"/>
        <v>0</v>
      </c>
    </row>
    <row r="1844" spans="1:12" ht="15.5">
      <c r="A1844" s="180" t="s">
        <v>13</v>
      </c>
      <c r="B1844" s="250">
        <f t="shared" si="1132"/>
        <v>2735144.2889657775</v>
      </c>
      <c r="C1844" s="241">
        <f t="shared" si="1133"/>
        <v>0.34236460241118044</v>
      </c>
      <c r="D1844" s="242">
        <v>2735144.2889657775</v>
      </c>
      <c r="E1844" s="242">
        <v>0</v>
      </c>
      <c r="F1844" s="242">
        <v>0</v>
      </c>
      <c r="H1844" s="250">
        <f t="shared" si="1134"/>
        <v>0</v>
      </c>
      <c r="I1844" s="241">
        <f t="shared" si="1135"/>
        <v>0</v>
      </c>
      <c r="J1844" s="242">
        <f t="shared" si="1136"/>
        <v>0</v>
      </c>
      <c r="K1844" s="849">
        <f t="shared" si="1138"/>
        <v>0</v>
      </c>
      <c r="L1844" s="242">
        <f t="shared" si="1137"/>
        <v>0</v>
      </c>
    </row>
    <row r="1845" spans="1:12" ht="15.5">
      <c r="A1845" s="180"/>
      <c r="B1845" s="242"/>
      <c r="C1845" s="241"/>
      <c r="D1845" s="242"/>
      <c r="E1845" s="242"/>
      <c r="F1845" s="242"/>
      <c r="H1845" s="250"/>
      <c r="I1845" s="241"/>
      <c r="J1845" s="242"/>
      <c r="K1845" s="242"/>
      <c r="L1845" s="242"/>
    </row>
    <row r="1846" spans="1:12" ht="15.5">
      <c r="A1846" s="180"/>
      <c r="B1846" s="243">
        <f>SUM(B1838:B1845)</f>
        <v>7988980.9568597423</v>
      </c>
      <c r="C1846" s="240">
        <f>SUM(C1838:C1845)</f>
        <v>1</v>
      </c>
      <c r="D1846" s="243">
        <f>SUM(D1838:D1845)</f>
        <v>3475858.5168597428</v>
      </c>
      <c r="E1846" s="243">
        <f>SUM(E1838:E1844)</f>
        <v>1682520.45</v>
      </c>
      <c r="F1846" s="243">
        <f>SUM(F1838:F1844)</f>
        <v>2830601.99</v>
      </c>
      <c r="G1846" s="32">
        <f>+B1846-B1835</f>
        <v>404147.8661873173</v>
      </c>
      <c r="H1846" s="243">
        <f>SUM(H1838:H1845)</f>
        <v>404147.86618731747</v>
      </c>
      <c r="I1846" s="240">
        <f>SUM(I1838:I1845)</f>
        <v>1</v>
      </c>
      <c r="J1846" s="243">
        <f>SUM(J1838:J1845)</f>
        <v>4612.716187317299</v>
      </c>
      <c r="K1846" s="243">
        <f>SUM(K1838:K1845)</f>
        <v>217499.3899999999</v>
      </c>
      <c r="L1846" s="243">
        <f>SUM(L1838:L1845)</f>
        <v>182035.76000000024</v>
      </c>
    </row>
    <row r="1847" spans="1:12" ht="16" thickBot="1">
      <c r="A1847" s="180"/>
      <c r="B1847" s="334"/>
      <c r="C1847" s="335"/>
      <c r="D1847" s="334"/>
      <c r="E1847" s="334"/>
      <c r="F1847" s="334"/>
      <c r="G1847" s="32"/>
      <c r="H1847" s="334"/>
      <c r="I1847" s="335"/>
      <c r="J1847" s="334"/>
      <c r="K1847" s="334"/>
      <c r="L1847" s="334"/>
    </row>
    <row r="1848" spans="1:12" ht="16" thickBot="1">
      <c r="A1848" s="253">
        <v>44985</v>
      </c>
      <c r="B1848" s="251">
        <v>370</v>
      </c>
      <c r="C1848" s="238" t="s">
        <v>3</v>
      </c>
      <c r="D1848" s="238" t="s">
        <v>4</v>
      </c>
      <c r="E1848" s="238" t="s">
        <v>5</v>
      </c>
      <c r="F1848" s="238" t="s">
        <v>6</v>
      </c>
      <c r="H1848" s="251">
        <f>+B1848-B1837</f>
        <v>0</v>
      </c>
      <c r="I1848" s="238" t="s">
        <v>3</v>
      </c>
      <c r="J1848" s="238" t="s">
        <v>4</v>
      </c>
      <c r="K1848" s="238" t="s">
        <v>5</v>
      </c>
      <c r="L1848" s="238" t="s">
        <v>114</v>
      </c>
    </row>
    <row r="1849" spans="1:12" ht="15.5">
      <c r="A1849" s="180" t="s">
        <v>7</v>
      </c>
      <c r="B1849" s="250">
        <f>SUM(D1849:F1849)</f>
        <v>4569887.8909189189</v>
      </c>
      <c r="C1849" s="241">
        <f>+B1849/$B$1857</f>
        <v>0.57195757370549904</v>
      </c>
      <c r="D1849" s="242">
        <v>56765.450918918919</v>
      </c>
      <c r="E1849" s="242">
        <v>1682520.45</v>
      </c>
      <c r="F1849" s="242">
        <v>2830601.99</v>
      </c>
      <c r="H1849" s="250">
        <f>SUM(J1849:L1849)</f>
        <v>-1998.2736756756785</v>
      </c>
      <c r="I1849" s="241">
        <f>+H1849/$H$1857</f>
        <v>-2.1575810581884198</v>
      </c>
      <c r="J1849" s="242">
        <f>+D1849-D1838</f>
        <v>-1998.2736756756785</v>
      </c>
      <c r="K1849" s="849">
        <f>+E1849-E1838</f>
        <v>0</v>
      </c>
      <c r="L1849" s="242">
        <f>+F1849-F1838</f>
        <v>0</v>
      </c>
    </row>
    <row r="1850" spans="1:12" ht="15.5">
      <c r="A1850" s="180" t="s">
        <v>8</v>
      </c>
      <c r="B1850" s="250">
        <f t="shared" ref="B1850:B1855" si="1139">SUM(D1850:F1850)</f>
        <v>0</v>
      </c>
      <c r="C1850" s="241">
        <f t="shared" ref="C1850:C1855" si="1140">+B1850/$B$1857</f>
        <v>0</v>
      </c>
      <c r="D1850" s="242">
        <v>0</v>
      </c>
      <c r="F1850" s="242"/>
      <c r="G1850" s="32"/>
      <c r="H1850" s="250">
        <f t="shared" ref="H1850:H1855" si="1141">SUM(J1850:L1850)</f>
        <v>0</v>
      </c>
      <c r="I1850" s="241">
        <f t="shared" ref="I1850:I1855" si="1142">+H1850/$H$1857</f>
        <v>0</v>
      </c>
      <c r="J1850" s="242">
        <f t="shared" ref="J1850:J1855" si="1143">+D1850-D1839</f>
        <v>0</v>
      </c>
      <c r="K1850" s="849">
        <f>+E1850-E1839</f>
        <v>0</v>
      </c>
      <c r="L1850" s="242">
        <f t="shared" ref="L1850:L1855" si="1144">+F1850-F1839</f>
        <v>0</v>
      </c>
    </row>
    <row r="1851" spans="1:12" ht="15.5">
      <c r="A1851" s="180" t="s">
        <v>9</v>
      </c>
      <c r="B1851" s="250">
        <f t="shared" si="1139"/>
        <v>682288.4543831175</v>
      </c>
      <c r="C1851" s="241">
        <f t="shared" si="1140"/>
        <v>8.5393790449807508E-2</v>
      </c>
      <c r="D1851" s="242">
        <v>682288.4543831175</v>
      </c>
      <c r="E1851" s="242"/>
      <c r="F1851" s="242"/>
      <c r="H1851" s="250">
        <f t="shared" si="1141"/>
        <v>2924.4375702333637</v>
      </c>
      <c r="I1851" s="241">
        <f t="shared" si="1142"/>
        <v>3.1575810581884198</v>
      </c>
      <c r="J1851" s="242">
        <f t="shared" si="1143"/>
        <v>2924.4375702333637</v>
      </c>
      <c r="K1851" s="849">
        <f t="shared" ref="K1851:K1855" si="1145">+E1851-E1840</f>
        <v>0</v>
      </c>
      <c r="L1851" s="242">
        <f t="shared" si="1144"/>
        <v>0</v>
      </c>
    </row>
    <row r="1852" spans="1:12" ht="15.5">
      <c r="A1852" s="180" t="s">
        <v>162</v>
      </c>
      <c r="B1852" s="250">
        <f t="shared" si="1139"/>
        <v>0</v>
      </c>
      <c r="C1852" s="241">
        <f t="shared" si="1140"/>
        <v>0</v>
      </c>
      <c r="D1852" s="242">
        <v>0</v>
      </c>
      <c r="E1852" s="242"/>
      <c r="F1852" s="242"/>
      <c r="H1852" s="250">
        <f t="shared" si="1141"/>
        <v>0</v>
      </c>
      <c r="I1852" s="241">
        <f t="shared" si="1142"/>
        <v>0</v>
      </c>
      <c r="J1852" s="242">
        <f t="shared" si="1143"/>
        <v>0</v>
      </c>
      <c r="K1852" s="849">
        <f t="shared" si="1145"/>
        <v>0</v>
      </c>
      <c r="L1852" s="242">
        <f t="shared" si="1144"/>
        <v>0</v>
      </c>
    </row>
    <row r="1853" spans="1:12" ht="15.5">
      <c r="A1853" s="180" t="s">
        <v>11</v>
      </c>
      <c r="B1853" s="250">
        <f t="shared" si="1139"/>
        <v>0</v>
      </c>
      <c r="C1853" s="241">
        <f t="shared" si="1140"/>
        <v>0</v>
      </c>
      <c r="D1853" s="242">
        <v>0</v>
      </c>
      <c r="E1853" s="242"/>
      <c r="F1853" s="242"/>
      <c r="H1853" s="250">
        <f t="shared" si="1141"/>
        <v>0</v>
      </c>
      <c r="I1853" s="241">
        <f t="shared" si="1142"/>
        <v>0</v>
      </c>
      <c r="J1853" s="242">
        <f t="shared" si="1143"/>
        <v>0</v>
      </c>
      <c r="K1853" s="849">
        <f t="shared" si="1145"/>
        <v>0</v>
      </c>
      <c r="L1853" s="242">
        <f t="shared" si="1144"/>
        <v>0</v>
      </c>
    </row>
    <row r="1854" spans="1:12" ht="15.5">
      <c r="A1854" s="180" t="s">
        <v>12</v>
      </c>
      <c r="B1854" s="250">
        <f t="shared" si="1139"/>
        <v>2586.4864864864867</v>
      </c>
      <c r="C1854" s="241">
        <f t="shared" si="1140"/>
        <v>3.2371921818314021E-4</v>
      </c>
      <c r="D1854" s="242">
        <v>2586.4864864864867</v>
      </c>
      <c r="E1854" s="242"/>
      <c r="F1854" s="242"/>
      <c r="H1854" s="250">
        <f t="shared" si="1141"/>
        <v>0</v>
      </c>
      <c r="I1854" s="241">
        <f t="shared" si="1142"/>
        <v>0</v>
      </c>
      <c r="J1854" s="242">
        <f t="shared" si="1143"/>
        <v>0</v>
      </c>
      <c r="K1854" s="849">
        <f t="shared" si="1145"/>
        <v>0</v>
      </c>
      <c r="L1854" s="242">
        <f t="shared" si="1144"/>
        <v>0</v>
      </c>
    </row>
    <row r="1855" spans="1:12" ht="15.5">
      <c r="A1855" s="180" t="s">
        <v>13</v>
      </c>
      <c r="B1855" s="250">
        <f t="shared" si="1139"/>
        <v>2735144.2889657775</v>
      </c>
      <c r="C1855" s="241">
        <f t="shared" si="1140"/>
        <v>0.34232491662651043</v>
      </c>
      <c r="D1855" s="242">
        <v>2735144.2889657775</v>
      </c>
      <c r="E1855" s="242">
        <v>0</v>
      </c>
      <c r="F1855" s="242">
        <v>0</v>
      </c>
      <c r="H1855" s="250">
        <f t="shared" si="1141"/>
        <v>0</v>
      </c>
      <c r="I1855" s="241">
        <f t="shared" si="1142"/>
        <v>0</v>
      </c>
      <c r="J1855" s="242">
        <f t="shared" si="1143"/>
        <v>0</v>
      </c>
      <c r="K1855" s="849">
        <f t="shared" si="1145"/>
        <v>0</v>
      </c>
      <c r="L1855" s="242">
        <f t="shared" si="1144"/>
        <v>0</v>
      </c>
    </row>
    <row r="1857" spans="1:12" ht="15.5">
      <c r="A1857" s="180"/>
      <c r="B1857" s="243">
        <f>SUM(B1849:B1856)</f>
        <v>7989907.1207542997</v>
      </c>
      <c r="C1857" s="240">
        <f>SUM(C1849:C1856)</f>
        <v>1.0000000000000002</v>
      </c>
      <c r="D1857" s="243">
        <f>SUM(D1849:D1856)</f>
        <v>3476784.6807543002</v>
      </c>
      <c r="E1857" s="243">
        <f>SUM(E1849:E1855)</f>
        <v>1682520.45</v>
      </c>
      <c r="F1857" s="243">
        <f>SUM(F1849:F1855)</f>
        <v>2830601.99</v>
      </c>
      <c r="G1857" s="32">
        <f>+B1857-B1846</f>
        <v>926.16389455739409</v>
      </c>
      <c r="H1857" s="243">
        <f>SUM(H1849:H1856)</f>
        <v>926.16389455768513</v>
      </c>
      <c r="I1857" s="240">
        <f>SUM(I1849:I1856)</f>
        <v>1</v>
      </c>
      <c r="J1857" s="243">
        <f>SUM(J1849:J1856)</f>
        <v>926.16389455768513</v>
      </c>
      <c r="K1857" s="243">
        <f>SUM(K1849:K1856)</f>
        <v>0</v>
      </c>
      <c r="L1857" s="243">
        <f>SUM(L1849:L1856)</f>
        <v>0</v>
      </c>
    </row>
    <row r="1858" spans="1:12" ht="16" thickBot="1">
      <c r="A1858" s="180"/>
      <c r="B1858" s="334"/>
      <c r="C1858" s="335"/>
      <c r="D1858" s="334"/>
      <c r="E1858" s="334"/>
      <c r="F1858" s="334"/>
      <c r="G1858" s="32"/>
      <c r="H1858" s="334"/>
      <c r="I1858" s="335"/>
      <c r="J1858" s="334"/>
      <c r="K1858" s="334"/>
      <c r="L1858" s="334"/>
    </row>
    <row r="1859" spans="1:12" ht="16" thickBot="1">
      <c r="A1859" s="253">
        <v>45013</v>
      </c>
      <c r="B1859" s="251">
        <v>370</v>
      </c>
      <c r="C1859" s="238" t="s">
        <v>3</v>
      </c>
      <c r="D1859" s="238" t="s">
        <v>4</v>
      </c>
      <c r="E1859" s="238" t="s">
        <v>5</v>
      </c>
      <c r="F1859" s="238" t="s">
        <v>6</v>
      </c>
      <c r="H1859" s="251">
        <f>+B1859-B1848</f>
        <v>0</v>
      </c>
      <c r="I1859" s="238" t="s">
        <v>3</v>
      </c>
      <c r="J1859" s="238" t="s">
        <v>4</v>
      </c>
      <c r="K1859" s="238" t="s">
        <v>5</v>
      </c>
      <c r="L1859" s="238" t="s">
        <v>114</v>
      </c>
    </row>
    <row r="1860" spans="1:12" ht="15.5">
      <c r="A1860" s="180" t="s">
        <v>7</v>
      </c>
      <c r="B1860" s="250">
        <f>SUM(D1860:F1860)</f>
        <v>4569887.8909189189</v>
      </c>
      <c r="C1860" s="241">
        <f>+B1860/$B$1868</f>
        <v>0.57171701247181494</v>
      </c>
      <c r="D1860" s="242">
        <v>56765.450918918919</v>
      </c>
      <c r="E1860" s="242">
        <v>1682520.45</v>
      </c>
      <c r="F1860" s="242">
        <v>2830601.99</v>
      </c>
      <c r="H1860" s="250">
        <f>SUM(J1860:L1860)</f>
        <v>0</v>
      </c>
      <c r="I1860" s="241">
        <f>+H1860/$H$1868</f>
        <v>0</v>
      </c>
      <c r="J1860" s="242">
        <f>+D1860-D1849</f>
        <v>0</v>
      </c>
      <c r="K1860" s="849">
        <f>+E1860-E1849</f>
        <v>0</v>
      </c>
      <c r="L1860" s="242">
        <f>+F1860-F1849</f>
        <v>0</v>
      </c>
    </row>
    <row r="1861" spans="1:12" ht="15.5">
      <c r="A1861" s="180" t="s">
        <v>8</v>
      </c>
      <c r="B1861" s="250">
        <f t="shared" ref="B1861:B1866" si="1146">SUM(D1861:F1861)</f>
        <v>0</v>
      </c>
      <c r="C1861" s="241">
        <f t="shared" ref="C1861:C1866" si="1147">+B1861/$B$1868</f>
        <v>0</v>
      </c>
      <c r="D1861" s="242">
        <v>0</v>
      </c>
      <c r="F1861" s="242"/>
      <c r="G1861" s="32"/>
      <c r="H1861" s="250">
        <f t="shared" ref="H1861:H1866" si="1148">SUM(J1861:L1861)</f>
        <v>0</v>
      </c>
      <c r="I1861" s="241">
        <f t="shared" ref="I1861:I1866" si="1149">+H1861/$H$1868</f>
        <v>0</v>
      </c>
      <c r="J1861" s="242">
        <f t="shared" ref="J1861:J1866" si="1150">+D1861-D1850</f>
        <v>0</v>
      </c>
      <c r="K1861" s="849">
        <f>+E1861-E1850</f>
        <v>0</v>
      </c>
      <c r="L1861" s="242">
        <f t="shared" ref="L1861:L1866" si="1151">+F1861-F1850</f>
        <v>0</v>
      </c>
    </row>
    <row r="1862" spans="1:12" ht="15.5">
      <c r="A1862" s="180" t="s">
        <v>9</v>
      </c>
      <c r="B1862" s="250">
        <f t="shared" si="1146"/>
        <v>685650.3657344688</v>
      </c>
      <c r="C1862" s="241">
        <f t="shared" si="1147"/>
        <v>8.5778467230427896E-2</v>
      </c>
      <c r="D1862" s="242">
        <v>685650.3657344688</v>
      </c>
      <c r="E1862" s="242"/>
      <c r="F1862" s="242"/>
      <c r="H1862" s="250">
        <f t="shared" si="1148"/>
        <v>3361.9113513513003</v>
      </c>
      <c r="I1862" s="241">
        <f t="shared" si="1149"/>
        <v>1</v>
      </c>
      <c r="J1862" s="242">
        <f t="shared" si="1150"/>
        <v>3361.9113513513003</v>
      </c>
      <c r="K1862" s="849">
        <f t="shared" ref="K1862:K1866" si="1152">+E1862-E1851</f>
        <v>0</v>
      </c>
      <c r="L1862" s="242">
        <f t="shared" si="1151"/>
        <v>0</v>
      </c>
    </row>
    <row r="1863" spans="1:12" ht="15.5">
      <c r="A1863" s="180" t="s">
        <v>162</v>
      </c>
      <c r="B1863" s="250">
        <f t="shared" si="1146"/>
        <v>0</v>
      </c>
      <c r="C1863" s="241">
        <f t="shared" si="1147"/>
        <v>0</v>
      </c>
      <c r="D1863" s="242">
        <v>0</v>
      </c>
      <c r="E1863" s="242"/>
      <c r="F1863" s="242"/>
      <c r="H1863" s="250">
        <f t="shared" si="1148"/>
        <v>0</v>
      </c>
      <c r="I1863" s="241">
        <f t="shared" si="1149"/>
        <v>0</v>
      </c>
      <c r="J1863" s="242">
        <f t="shared" si="1150"/>
        <v>0</v>
      </c>
      <c r="K1863" s="849">
        <f t="shared" si="1152"/>
        <v>0</v>
      </c>
      <c r="L1863" s="242">
        <f t="shared" si="1151"/>
        <v>0</v>
      </c>
    </row>
    <row r="1864" spans="1:12" ht="15.5">
      <c r="A1864" s="180" t="s">
        <v>11</v>
      </c>
      <c r="B1864" s="250">
        <f t="shared" si="1146"/>
        <v>0</v>
      </c>
      <c r="C1864" s="241">
        <f t="shared" si="1147"/>
        <v>0</v>
      </c>
      <c r="D1864" s="242">
        <v>0</v>
      </c>
      <c r="E1864" s="242"/>
      <c r="F1864" s="242"/>
      <c r="H1864" s="250">
        <f t="shared" si="1148"/>
        <v>0</v>
      </c>
      <c r="I1864" s="241">
        <f t="shared" si="1149"/>
        <v>0</v>
      </c>
      <c r="J1864" s="242">
        <f t="shared" si="1150"/>
        <v>0</v>
      </c>
      <c r="K1864" s="849">
        <f t="shared" si="1152"/>
        <v>0</v>
      </c>
      <c r="L1864" s="242">
        <f t="shared" si="1151"/>
        <v>0</v>
      </c>
    </row>
    <row r="1865" spans="1:12" ht="15.5">
      <c r="A1865" s="180" t="s">
        <v>12</v>
      </c>
      <c r="B1865" s="250">
        <f t="shared" si="1146"/>
        <v>2586.4864864864867</v>
      </c>
      <c r="C1865" s="241">
        <f t="shared" si="1147"/>
        <v>3.2358306421285726E-4</v>
      </c>
      <c r="D1865" s="242">
        <v>2586.4864864864867</v>
      </c>
      <c r="E1865" s="242"/>
      <c r="F1865" s="242"/>
      <c r="H1865" s="250">
        <f t="shared" si="1148"/>
        <v>0</v>
      </c>
      <c r="I1865" s="241">
        <f t="shared" si="1149"/>
        <v>0</v>
      </c>
      <c r="J1865" s="242">
        <f t="shared" si="1150"/>
        <v>0</v>
      </c>
      <c r="K1865" s="849">
        <f t="shared" si="1152"/>
        <v>0</v>
      </c>
      <c r="L1865" s="242">
        <f t="shared" si="1151"/>
        <v>0</v>
      </c>
    </row>
    <row r="1866" spans="1:12" ht="15.5">
      <c r="A1866" s="180" t="s">
        <v>13</v>
      </c>
      <c r="B1866" s="250">
        <f t="shared" si="1146"/>
        <v>2735144.2889657775</v>
      </c>
      <c r="C1866" s="241">
        <f t="shared" si="1147"/>
        <v>0.34218093723354431</v>
      </c>
      <c r="D1866" s="242">
        <v>2735144.2889657775</v>
      </c>
      <c r="E1866" s="242">
        <v>0</v>
      </c>
      <c r="F1866" s="242">
        <v>0</v>
      </c>
      <c r="H1866" s="250">
        <f t="shared" si="1148"/>
        <v>0</v>
      </c>
      <c r="I1866" s="241">
        <f t="shared" si="1149"/>
        <v>0</v>
      </c>
      <c r="J1866" s="242">
        <f t="shared" si="1150"/>
        <v>0</v>
      </c>
      <c r="K1866" s="849">
        <f t="shared" si="1152"/>
        <v>0</v>
      </c>
      <c r="L1866" s="242">
        <f t="shared" si="1151"/>
        <v>0</v>
      </c>
    </row>
    <row r="1867" spans="1:12" ht="15.5">
      <c r="A1867" s="180"/>
      <c r="B1867" s="242"/>
      <c r="C1867" s="241"/>
      <c r="D1867" s="242"/>
      <c r="E1867" s="242"/>
      <c r="F1867" s="242"/>
      <c r="H1867" s="250"/>
      <c r="I1867" s="241"/>
      <c r="J1867" s="242"/>
      <c r="K1867" s="242"/>
      <c r="L1867" s="242"/>
    </row>
    <row r="1868" spans="1:12" ht="15.5">
      <c r="A1868" s="180"/>
      <c r="B1868" s="243">
        <f>SUM(B1860:B1867)</f>
        <v>7993269.0321056517</v>
      </c>
      <c r="C1868" s="240">
        <f>SUM(C1860:C1867)</f>
        <v>1</v>
      </c>
      <c r="D1868" s="243">
        <f>SUM(D1860:D1867)</f>
        <v>3480146.5921056517</v>
      </c>
      <c r="E1868" s="243">
        <f>SUM(E1860:E1866)</f>
        <v>1682520.45</v>
      </c>
      <c r="F1868" s="243">
        <f>SUM(F1860:F1866)</f>
        <v>2830601.99</v>
      </c>
      <c r="G1868" s="32">
        <f>+B1868-B1857</f>
        <v>3361.9113513519987</v>
      </c>
      <c r="H1868" s="243">
        <f>SUM(H1860:H1867)</f>
        <v>3361.9113513513003</v>
      </c>
      <c r="I1868" s="240">
        <f>SUM(I1860:I1867)</f>
        <v>1</v>
      </c>
      <c r="J1868" s="243">
        <f>SUM(J1860:J1867)</f>
        <v>3361.9113513513003</v>
      </c>
      <c r="K1868" s="243">
        <f>SUM(K1860:K1867)</f>
        <v>0</v>
      </c>
      <c r="L1868" s="243">
        <f>SUM(L1860:L1867)</f>
        <v>0</v>
      </c>
    </row>
    <row r="1869" spans="1:12" ht="16" thickBot="1">
      <c r="A1869" s="180"/>
      <c r="B1869" s="334"/>
      <c r="C1869" s="335"/>
      <c r="D1869" s="334"/>
      <c r="E1869" s="334"/>
      <c r="F1869" s="334"/>
      <c r="G1869" s="32"/>
      <c r="H1869" s="334"/>
      <c r="I1869" s="335"/>
      <c r="J1869" s="334"/>
      <c r="K1869" s="334"/>
      <c r="L1869" s="334"/>
    </row>
    <row r="1870" spans="1:12" ht="16" thickBot="1">
      <c r="A1870" s="253">
        <v>45044</v>
      </c>
      <c r="B1870" s="251">
        <v>460</v>
      </c>
      <c r="C1870" s="238" t="s">
        <v>3</v>
      </c>
      <c r="D1870" s="238" t="s">
        <v>4</v>
      </c>
      <c r="E1870" s="238" t="s">
        <v>5</v>
      </c>
      <c r="F1870" s="238" t="s">
        <v>6</v>
      </c>
      <c r="H1870" s="251">
        <f>+B1870-B1859</f>
        <v>90</v>
      </c>
      <c r="I1870" s="238" t="s">
        <v>3</v>
      </c>
      <c r="J1870" s="238" t="s">
        <v>4</v>
      </c>
      <c r="K1870" s="238" t="s">
        <v>5</v>
      </c>
      <c r="L1870" s="238" t="s">
        <v>114</v>
      </c>
    </row>
    <row r="1871" spans="1:12" ht="15.5">
      <c r="A1871" s="180" t="s">
        <v>7</v>
      </c>
      <c r="B1871" s="250">
        <f>SUM(D1871:F1871)</f>
        <v>4343701.2071739128</v>
      </c>
      <c r="C1871" s="241">
        <f>+B1871/$B$1879</f>
        <v>0.55971559494691525</v>
      </c>
      <c r="D1871" s="242">
        <v>59258.21717391305</v>
      </c>
      <c r="E1871" s="242">
        <v>1368730.63</v>
      </c>
      <c r="F1871" s="242">
        <v>2915712.36</v>
      </c>
      <c r="H1871" s="250">
        <f>SUM(J1871:L1871)</f>
        <v>-226186.68374500627</v>
      </c>
      <c r="I1871" s="241">
        <f>+H1871/$H$1879</f>
        <v>0.97193290949798139</v>
      </c>
      <c r="J1871" s="242">
        <f>+D1871-D1860</f>
        <v>2492.7662549941306</v>
      </c>
      <c r="K1871" s="849">
        <f>+E1871-E1860</f>
        <v>-313789.82000000007</v>
      </c>
      <c r="L1871" s="242">
        <f>+F1871-F1860</f>
        <v>85110.369999999646</v>
      </c>
    </row>
    <row r="1872" spans="1:12" ht="15.5">
      <c r="A1872" s="180" t="s">
        <v>8</v>
      </c>
      <c r="B1872" s="250">
        <f t="shared" ref="B1872:B1877" si="1153">SUM(D1872:F1872)</f>
        <v>0</v>
      </c>
      <c r="C1872" s="241">
        <f t="shared" ref="C1872:C1877" si="1154">+B1872/$B$1879</f>
        <v>0</v>
      </c>
      <c r="D1872" s="242">
        <v>0</v>
      </c>
      <c r="F1872" s="242"/>
      <c r="G1872" s="32"/>
      <c r="H1872" s="250">
        <f t="shared" ref="H1872:H1877" si="1155">SUM(J1872:L1872)</f>
        <v>0</v>
      </c>
      <c r="I1872" s="241">
        <f t="shared" ref="I1872:I1877" si="1156">+H1872/$H$1879</f>
        <v>0</v>
      </c>
      <c r="J1872" s="242">
        <f t="shared" ref="J1872:J1877" si="1157">+D1872-D1861</f>
        <v>0</v>
      </c>
      <c r="K1872" s="849">
        <f>+E1872-E1861</f>
        <v>0</v>
      </c>
      <c r="L1872" s="242">
        <f t="shared" ref="L1872:L1877" si="1158">+F1872-F1861</f>
        <v>0</v>
      </c>
    </row>
    <row r="1873" spans="1:12" ht="15.5">
      <c r="A1873" s="180" t="s">
        <v>9</v>
      </c>
      <c r="B1873" s="250">
        <f t="shared" si="1153"/>
        <v>679624.68869350804</v>
      </c>
      <c r="C1873" s="241">
        <f t="shared" si="1154"/>
        <v>8.7574287187260624E-2</v>
      </c>
      <c r="D1873" s="242">
        <v>679624.68869350804</v>
      </c>
      <c r="E1873" s="242"/>
      <c r="F1873" s="242"/>
      <c r="H1873" s="250">
        <f t="shared" si="1155"/>
        <v>-6025.6770409607561</v>
      </c>
      <c r="I1873" s="241">
        <f t="shared" si="1156"/>
        <v>2.5892566799903292E-2</v>
      </c>
      <c r="J1873" s="242">
        <f t="shared" si="1157"/>
        <v>-6025.6770409607561</v>
      </c>
      <c r="K1873" s="849">
        <f t="shared" ref="K1873:K1877" si="1159">+E1873-E1862</f>
        <v>0</v>
      </c>
      <c r="L1873" s="242">
        <f t="shared" si="1158"/>
        <v>0</v>
      </c>
    </row>
    <row r="1874" spans="1:12" ht="15.5">
      <c r="A1874" s="180" t="s">
        <v>162</v>
      </c>
      <c r="B1874" s="250">
        <f t="shared" si="1153"/>
        <v>0</v>
      </c>
      <c r="C1874" s="241">
        <f t="shared" si="1154"/>
        <v>0</v>
      </c>
      <c r="D1874" s="242">
        <v>0</v>
      </c>
      <c r="E1874" s="242"/>
      <c r="F1874" s="242"/>
      <c r="H1874" s="250">
        <f t="shared" si="1155"/>
        <v>0</v>
      </c>
      <c r="I1874" s="241">
        <f t="shared" si="1156"/>
        <v>0</v>
      </c>
      <c r="J1874" s="242">
        <f t="shared" si="1157"/>
        <v>0</v>
      </c>
      <c r="K1874" s="849">
        <f t="shared" si="1159"/>
        <v>0</v>
      </c>
      <c r="L1874" s="242">
        <f t="shared" si="1158"/>
        <v>0</v>
      </c>
    </row>
    <row r="1875" spans="1:12" ht="15.5">
      <c r="A1875" s="180" t="s">
        <v>11</v>
      </c>
      <c r="B1875" s="250">
        <f t="shared" si="1153"/>
        <v>0</v>
      </c>
      <c r="C1875" s="241">
        <f t="shared" si="1154"/>
        <v>0</v>
      </c>
      <c r="D1875" s="242">
        <v>0</v>
      </c>
      <c r="E1875" s="242"/>
      <c r="F1875" s="242"/>
      <c r="H1875" s="250">
        <f t="shared" si="1155"/>
        <v>0</v>
      </c>
      <c r="I1875" s="241">
        <f t="shared" si="1156"/>
        <v>0</v>
      </c>
      <c r="J1875" s="242">
        <f t="shared" si="1157"/>
        <v>0</v>
      </c>
      <c r="K1875" s="849">
        <f t="shared" si="1159"/>
        <v>0</v>
      </c>
      <c r="L1875" s="242">
        <f t="shared" si="1158"/>
        <v>0</v>
      </c>
    </row>
    <row r="1876" spans="1:12" ht="15.5">
      <c r="A1876" s="180" t="s">
        <v>12</v>
      </c>
      <c r="B1876" s="250">
        <f t="shared" si="1153"/>
        <v>2080.4347826086955</v>
      </c>
      <c r="C1876" s="241">
        <f t="shared" si="1154"/>
        <v>2.6807824400373404E-4</v>
      </c>
      <c r="D1876" s="242">
        <v>2080.4347826086955</v>
      </c>
      <c r="E1876" s="242"/>
      <c r="F1876" s="242"/>
      <c r="H1876" s="250">
        <f t="shared" si="1155"/>
        <v>-506.05170387779117</v>
      </c>
      <c r="I1876" s="241">
        <f t="shared" si="1156"/>
        <v>2.1745237021152069E-3</v>
      </c>
      <c r="J1876" s="242">
        <f t="shared" si="1157"/>
        <v>-506.05170387779117</v>
      </c>
      <c r="K1876" s="849">
        <f t="shared" si="1159"/>
        <v>0</v>
      </c>
      <c r="L1876" s="242">
        <f t="shared" si="1158"/>
        <v>0</v>
      </c>
    </row>
    <row r="1877" spans="1:12" ht="15.5">
      <c r="A1877" s="180" t="s">
        <v>13</v>
      </c>
      <c r="B1877" s="250">
        <f t="shared" si="1153"/>
        <v>2735144.2889657775</v>
      </c>
      <c r="C1877" s="241">
        <f t="shared" si="1154"/>
        <v>0.35244203962182047</v>
      </c>
      <c r="D1877" s="242">
        <v>2735144.2889657775</v>
      </c>
      <c r="E1877" s="242">
        <v>0</v>
      </c>
      <c r="F1877" s="242">
        <v>0</v>
      </c>
      <c r="H1877" s="250">
        <f t="shared" si="1155"/>
        <v>0</v>
      </c>
      <c r="I1877" s="241">
        <f t="shared" si="1156"/>
        <v>0</v>
      </c>
      <c r="J1877" s="242">
        <f t="shared" si="1157"/>
        <v>0</v>
      </c>
      <c r="K1877" s="849">
        <f t="shared" si="1159"/>
        <v>0</v>
      </c>
      <c r="L1877" s="242">
        <f t="shared" si="1158"/>
        <v>0</v>
      </c>
    </row>
    <row r="1878" spans="1:12" ht="15.5">
      <c r="A1878" s="180"/>
      <c r="B1878" s="242"/>
      <c r="C1878" s="241"/>
      <c r="D1878" s="242"/>
      <c r="E1878" s="242"/>
      <c r="F1878" s="242"/>
      <c r="H1878" s="250"/>
      <c r="I1878" s="241"/>
      <c r="J1878" s="242"/>
      <c r="K1878" s="242"/>
      <c r="L1878" s="242"/>
    </row>
    <row r="1879" spans="1:12" ht="15.5">
      <c r="A1879" s="180"/>
      <c r="B1879" s="243">
        <f>SUM(B1871:B1878)</f>
        <v>7760550.6196158063</v>
      </c>
      <c r="C1879" s="240">
        <f>SUM(C1871:C1878)</f>
        <v>1.0000000000000002</v>
      </c>
      <c r="D1879" s="243">
        <f>SUM(D1871:D1878)</f>
        <v>3476107.629615807</v>
      </c>
      <c r="E1879" s="243">
        <f>SUM(E1871:E1877)</f>
        <v>1368730.63</v>
      </c>
      <c r="F1879" s="243">
        <f>SUM(F1871:F1877)</f>
        <v>2915712.36</v>
      </c>
      <c r="G1879" s="32">
        <f>+B1879-B1868</f>
        <v>-232718.41248984542</v>
      </c>
      <c r="H1879" s="243">
        <f>SUM(H1871:H1878)</f>
        <v>-232718.41248984484</v>
      </c>
      <c r="I1879" s="240">
        <f>SUM(I1871:I1878)</f>
        <v>0.99999999999999989</v>
      </c>
      <c r="J1879" s="243">
        <f>SUM(J1871:J1878)</f>
        <v>-4038.9624898444167</v>
      </c>
      <c r="K1879" s="243">
        <f>SUM(K1871:K1878)</f>
        <v>-313789.82000000007</v>
      </c>
      <c r="L1879" s="243">
        <f>SUM(L1871:L1878)</f>
        <v>85110.369999999646</v>
      </c>
    </row>
    <row r="1880" spans="1:12" ht="16" thickBot="1">
      <c r="A1880" s="180"/>
      <c r="B1880" s="334"/>
      <c r="C1880" s="335"/>
      <c r="D1880" s="334"/>
      <c r="E1880" s="334"/>
      <c r="F1880" s="334"/>
      <c r="G1880" s="32"/>
      <c r="H1880" s="334"/>
      <c r="I1880" s="335"/>
      <c r="J1880" s="334"/>
      <c r="K1880" s="334"/>
      <c r="L1880" s="334"/>
    </row>
    <row r="1881" spans="1:12" ht="16" thickBot="1">
      <c r="A1881" s="253">
        <v>45074</v>
      </c>
      <c r="B1881" s="251">
        <v>480</v>
      </c>
      <c r="C1881" s="238" t="s">
        <v>3</v>
      </c>
      <c r="D1881" s="238" t="s">
        <v>4</v>
      </c>
      <c r="E1881" s="238" t="s">
        <v>5</v>
      </c>
      <c r="F1881" s="238" t="s">
        <v>6</v>
      </c>
      <c r="H1881" s="251">
        <f>+B1881-B1870</f>
        <v>20</v>
      </c>
      <c r="I1881" s="238" t="s">
        <v>3</v>
      </c>
      <c r="J1881" s="238" t="s">
        <v>4</v>
      </c>
      <c r="K1881" s="238" t="s">
        <v>5</v>
      </c>
      <c r="L1881" s="238" t="s">
        <v>114</v>
      </c>
    </row>
    <row r="1882" spans="1:12" ht="15.5">
      <c r="A1882" s="180" t="s">
        <v>7</v>
      </c>
      <c r="B1882" s="250">
        <f>SUM(D1882:F1882)</f>
        <v>4456478.8892916664</v>
      </c>
      <c r="C1882" s="241">
        <f>+B1882/$B$1890</f>
        <v>0.56560361684583804</v>
      </c>
      <c r="D1882" s="242">
        <v>65152.239291666665</v>
      </c>
      <c r="E1882" s="242">
        <v>1424013.19</v>
      </c>
      <c r="F1882" s="242">
        <v>2967313.46</v>
      </c>
      <c r="H1882" s="250">
        <f>SUM(J1882:L1882)</f>
        <v>112777.68211775376</v>
      </c>
      <c r="I1882" s="241">
        <f>+H1882/$H$1890</f>
        <v>0.95086823712273605</v>
      </c>
      <c r="J1882" s="242">
        <f>+D1882-D1871</f>
        <v>5894.022117753615</v>
      </c>
      <c r="K1882" s="849">
        <f>+E1882-E1871</f>
        <v>55282.560000000056</v>
      </c>
      <c r="L1882" s="242">
        <f>+F1882-F1871</f>
        <v>51601.100000000093</v>
      </c>
    </row>
    <row r="1883" spans="1:12" ht="15.5">
      <c r="A1883" s="180" t="s">
        <v>8</v>
      </c>
      <c r="B1883" s="250">
        <f t="shared" ref="B1883:B1888" si="1160">SUM(D1883:F1883)</f>
        <v>0</v>
      </c>
      <c r="C1883" s="241">
        <f t="shared" ref="C1883:C1888" si="1161">+B1883/$B$1890</f>
        <v>0</v>
      </c>
      <c r="D1883" s="242">
        <v>0</v>
      </c>
      <c r="F1883" s="242"/>
      <c r="G1883" s="32"/>
      <c r="H1883" s="250">
        <f t="shared" ref="H1883:H1888" si="1162">SUM(J1883:L1883)</f>
        <v>0</v>
      </c>
      <c r="I1883" s="241">
        <f t="shared" ref="I1883:I1888" si="1163">+H1883/$H$1890</f>
        <v>0</v>
      </c>
      <c r="J1883" s="242">
        <f t="shared" ref="J1883:J1888" si="1164">+D1883-D1872</f>
        <v>0</v>
      </c>
      <c r="K1883" s="849">
        <f>+E1883-E1872</f>
        <v>0</v>
      </c>
      <c r="L1883" s="242">
        <f t="shared" ref="L1883:L1888" si="1165">+F1883-F1872</f>
        <v>0</v>
      </c>
    </row>
    <row r="1884" spans="1:12" ht="15.5">
      <c r="A1884" s="180" t="s">
        <v>9</v>
      </c>
      <c r="B1884" s="250">
        <f t="shared" si="1160"/>
        <v>685538.64387945202</v>
      </c>
      <c r="C1884" s="241">
        <f t="shared" si="1161"/>
        <v>8.7006613539111516E-2</v>
      </c>
      <c r="D1884" s="242">
        <v>685538.64387945202</v>
      </c>
      <c r="E1884" s="242"/>
      <c r="F1884" s="242"/>
      <c r="H1884" s="250">
        <f t="shared" si="1162"/>
        <v>5913.9551859439816</v>
      </c>
      <c r="I1884" s="241">
        <f t="shared" si="1163"/>
        <v>4.9862632716727626E-2</v>
      </c>
      <c r="J1884" s="242">
        <f t="shared" si="1164"/>
        <v>5913.9551859439816</v>
      </c>
      <c r="K1884" s="849">
        <f t="shared" ref="K1884:K1888" si="1166">+E1884-E1873</f>
        <v>0</v>
      </c>
      <c r="L1884" s="242">
        <f t="shared" si="1165"/>
        <v>0</v>
      </c>
    </row>
    <row r="1885" spans="1:12" ht="15.5">
      <c r="A1885" s="180" t="s">
        <v>162</v>
      </c>
      <c r="B1885" s="250">
        <f t="shared" si="1160"/>
        <v>0</v>
      </c>
      <c r="C1885" s="241">
        <f t="shared" si="1161"/>
        <v>0</v>
      </c>
      <c r="D1885" s="242">
        <v>0</v>
      </c>
      <c r="E1885" s="242"/>
      <c r="F1885" s="242"/>
      <c r="H1885" s="250">
        <f t="shared" si="1162"/>
        <v>0</v>
      </c>
      <c r="I1885" s="241">
        <f t="shared" si="1163"/>
        <v>0</v>
      </c>
      <c r="J1885" s="242">
        <f t="shared" si="1164"/>
        <v>0</v>
      </c>
      <c r="K1885" s="849">
        <f t="shared" si="1166"/>
        <v>0</v>
      </c>
      <c r="L1885" s="242">
        <f t="shared" si="1165"/>
        <v>0</v>
      </c>
    </row>
    <row r="1886" spans="1:12" ht="15.5">
      <c r="A1886" s="180" t="s">
        <v>11</v>
      </c>
      <c r="B1886" s="250">
        <f t="shared" si="1160"/>
        <v>0</v>
      </c>
      <c r="C1886" s="241">
        <f t="shared" si="1161"/>
        <v>0</v>
      </c>
      <c r="D1886" s="242">
        <v>0</v>
      </c>
      <c r="E1886" s="242"/>
      <c r="F1886" s="242"/>
      <c r="H1886" s="250">
        <f t="shared" si="1162"/>
        <v>0</v>
      </c>
      <c r="I1886" s="241">
        <f t="shared" si="1163"/>
        <v>0</v>
      </c>
      <c r="J1886" s="242">
        <f t="shared" si="1164"/>
        <v>0</v>
      </c>
      <c r="K1886" s="849">
        <f t="shared" si="1166"/>
        <v>0</v>
      </c>
      <c r="L1886" s="242">
        <f t="shared" si="1165"/>
        <v>0</v>
      </c>
    </row>
    <row r="1887" spans="1:12" ht="15.5">
      <c r="A1887" s="180" t="s">
        <v>12</v>
      </c>
      <c r="B1887" s="250">
        <f t="shared" si="1160"/>
        <v>1993.75</v>
      </c>
      <c r="C1887" s="241">
        <f t="shared" si="1161"/>
        <v>2.5304107549932252E-4</v>
      </c>
      <c r="D1887" s="242">
        <v>1993.75</v>
      </c>
      <c r="E1887" s="242"/>
      <c r="F1887" s="242"/>
      <c r="H1887" s="250">
        <f t="shared" si="1162"/>
        <v>-86.684782608695514</v>
      </c>
      <c r="I1887" s="241">
        <f t="shared" si="1163"/>
        <v>-7.3086983946376238E-4</v>
      </c>
      <c r="J1887" s="242">
        <f t="shared" si="1164"/>
        <v>-86.684782608695514</v>
      </c>
      <c r="K1887" s="849">
        <f t="shared" si="1166"/>
        <v>0</v>
      </c>
      <c r="L1887" s="242">
        <f t="shared" si="1165"/>
        <v>0</v>
      </c>
    </row>
    <row r="1888" spans="1:12" ht="15.5">
      <c r="A1888" s="180" t="s">
        <v>13</v>
      </c>
      <c r="B1888" s="250">
        <f t="shared" si="1160"/>
        <v>2735144.2889657775</v>
      </c>
      <c r="C1888" s="241">
        <f t="shared" si="1161"/>
        <v>0.34713672853955119</v>
      </c>
      <c r="D1888" s="242">
        <v>2735144.2889657775</v>
      </c>
      <c r="E1888" s="242">
        <v>0</v>
      </c>
      <c r="F1888" s="242">
        <v>0</v>
      </c>
      <c r="H1888" s="250">
        <f t="shared" si="1162"/>
        <v>0</v>
      </c>
      <c r="I1888" s="241">
        <f t="shared" si="1163"/>
        <v>0</v>
      </c>
      <c r="J1888" s="242">
        <f t="shared" si="1164"/>
        <v>0</v>
      </c>
      <c r="K1888" s="849">
        <f t="shared" si="1166"/>
        <v>0</v>
      </c>
      <c r="L1888" s="242">
        <f t="shared" si="1165"/>
        <v>0</v>
      </c>
    </row>
    <row r="1890" spans="1:12" ht="15.5">
      <c r="A1890" s="180"/>
      <c r="B1890" s="243">
        <f>SUM(B1882:B1889)</f>
        <v>7879155.5721368957</v>
      </c>
      <c r="C1890" s="240">
        <f>SUM(C1882:C1889)</f>
        <v>1</v>
      </c>
      <c r="D1890" s="243">
        <f>SUM(D1882:D1889)</f>
        <v>3487828.9221368963</v>
      </c>
      <c r="E1890" s="243">
        <f>SUM(E1882:E1888)</f>
        <v>1424013.19</v>
      </c>
      <c r="F1890" s="243">
        <f>SUM(F1882:F1888)</f>
        <v>2967313.46</v>
      </c>
      <c r="G1890" s="32">
        <f>+B1890-B1879</f>
        <v>118604.95252108946</v>
      </c>
      <c r="H1890" s="243">
        <f>SUM(H1882:H1889)</f>
        <v>118604.95252108906</v>
      </c>
      <c r="I1890" s="240">
        <f>SUM(I1882:I1889)</f>
        <v>0.99999999999999989</v>
      </c>
      <c r="J1890" s="243">
        <f>SUM(J1882:J1889)</f>
        <v>11721.292521088901</v>
      </c>
      <c r="K1890" s="243">
        <f>SUM(K1882:K1889)</f>
        <v>55282.560000000056</v>
      </c>
      <c r="L1890" s="243">
        <f>SUM(L1882:L1889)</f>
        <v>51601.100000000093</v>
      </c>
    </row>
    <row r="1891" spans="1:12" ht="16" thickBot="1">
      <c r="A1891" s="180"/>
      <c r="B1891" s="334"/>
      <c r="C1891" s="335"/>
      <c r="D1891" s="334"/>
      <c r="E1891" s="334"/>
      <c r="F1891" s="334"/>
      <c r="G1891" s="32"/>
      <c r="H1891" s="334"/>
      <c r="I1891" s="335"/>
      <c r="J1891" s="334"/>
      <c r="K1891" s="334"/>
      <c r="L1891" s="334"/>
    </row>
    <row r="1892" spans="1:12" ht="16" thickBot="1">
      <c r="A1892" s="253">
        <v>45105</v>
      </c>
      <c r="B1892" s="251">
        <v>480</v>
      </c>
      <c r="C1892" s="238" t="s">
        <v>3</v>
      </c>
      <c r="D1892" s="238" t="s">
        <v>4</v>
      </c>
      <c r="E1892" s="238" t="s">
        <v>5</v>
      </c>
      <c r="F1892" s="238" t="s">
        <v>6</v>
      </c>
      <c r="H1892" s="251">
        <f>+B1892-B1881</f>
        <v>0</v>
      </c>
      <c r="I1892" s="238" t="s">
        <v>3</v>
      </c>
      <c r="J1892" s="238" t="s">
        <v>4</v>
      </c>
      <c r="K1892" s="238" t="s">
        <v>5</v>
      </c>
      <c r="L1892" s="238" t="s">
        <v>114</v>
      </c>
    </row>
    <row r="1893" spans="1:12" ht="15.5">
      <c r="A1893" s="180" t="s">
        <v>7</v>
      </c>
      <c r="B1893" s="250">
        <f>SUM(D1893:F1893)</f>
        <v>4886134.7816875</v>
      </c>
      <c r="C1893" s="241">
        <f>+B1893/$B$1901</f>
        <v>0.58764327671279448</v>
      </c>
      <c r="D1893" s="242">
        <v>76911.841687499997</v>
      </c>
      <c r="E1893" s="242">
        <v>1682718.42</v>
      </c>
      <c r="F1893" s="242">
        <v>3126504.52</v>
      </c>
      <c r="H1893" s="250">
        <f>SUM(J1893:L1893)</f>
        <v>429655.89239583339</v>
      </c>
      <c r="I1893" s="241">
        <f>+H1893/$H$1901</f>
        <v>0.9862595319305133</v>
      </c>
      <c r="J1893" s="242">
        <f>+D1893-D1882</f>
        <v>11759.602395833332</v>
      </c>
      <c r="K1893" s="849">
        <f>+E1893-E1882</f>
        <v>258705.22999999998</v>
      </c>
      <c r="L1893" s="242">
        <f>+F1893-F1882</f>
        <v>159191.06000000006</v>
      </c>
    </row>
    <row r="1894" spans="1:12" ht="15.5">
      <c r="A1894" s="180" t="s">
        <v>8</v>
      </c>
      <c r="B1894" s="250">
        <f t="shared" ref="B1894:B1899" si="1167">SUM(D1894:F1894)</f>
        <v>0</v>
      </c>
      <c r="C1894" s="241">
        <f t="shared" ref="C1894:C1899" si="1168">+B1894/$B$1901</f>
        <v>0</v>
      </c>
      <c r="D1894" s="242">
        <v>0</v>
      </c>
      <c r="F1894" s="242"/>
      <c r="G1894" s="32"/>
      <c r="H1894" s="250">
        <f t="shared" ref="H1894:H1899" si="1169">SUM(J1894:L1894)</f>
        <v>0</v>
      </c>
      <c r="I1894" s="241">
        <f t="shared" ref="I1894:I1899" si="1170">+H1894/$H$1901</f>
        <v>0</v>
      </c>
      <c r="J1894" s="242">
        <f t="shared" ref="J1894:J1899" si="1171">+D1894-D1883</f>
        <v>0</v>
      </c>
      <c r="K1894" s="849">
        <f>+E1894-E1883</f>
        <v>0</v>
      </c>
      <c r="L1894" s="242">
        <f t="shared" ref="L1894:L1899" si="1172">+F1894-F1883</f>
        <v>0</v>
      </c>
    </row>
    <row r="1895" spans="1:12" ht="15.5">
      <c r="A1895" s="180" t="s">
        <v>9</v>
      </c>
      <c r="B1895" s="250">
        <f t="shared" si="1167"/>
        <v>691524.56632602739</v>
      </c>
      <c r="C1895" s="241">
        <f t="shared" si="1168"/>
        <v>8.3167939534994767E-2</v>
      </c>
      <c r="D1895" s="242">
        <v>691524.56632602739</v>
      </c>
      <c r="E1895" s="242"/>
      <c r="F1895" s="242"/>
      <c r="H1895" s="250">
        <f t="shared" si="1169"/>
        <v>5985.922446575365</v>
      </c>
      <c r="I1895" s="241">
        <f t="shared" si="1170"/>
        <v>1.3740468069486724E-2</v>
      </c>
      <c r="J1895" s="242">
        <f t="shared" si="1171"/>
        <v>5985.922446575365</v>
      </c>
      <c r="K1895" s="849">
        <f t="shared" ref="K1895:K1899" si="1173">+E1895-E1884</f>
        <v>0</v>
      </c>
      <c r="L1895" s="242">
        <f t="shared" si="1172"/>
        <v>0</v>
      </c>
    </row>
    <row r="1896" spans="1:12" ht="15.5">
      <c r="A1896" s="180" t="s">
        <v>162</v>
      </c>
      <c r="B1896" s="250">
        <f t="shared" si="1167"/>
        <v>0</v>
      </c>
      <c r="C1896" s="241">
        <f t="shared" si="1168"/>
        <v>0</v>
      </c>
      <c r="D1896" s="242">
        <v>0</v>
      </c>
      <c r="E1896" s="242"/>
      <c r="F1896" s="242"/>
      <c r="H1896" s="250">
        <f t="shared" si="1169"/>
        <v>0</v>
      </c>
      <c r="I1896" s="241">
        <f t="shared" si="1170"/>
        <v>0</v>
      </c>
      <c r="J1896" s="242">
        <f t="shared" si="1171"/>
        <v>0</v>
      </c>
      <c r="K1896" s="849">
        <f t="shared" si="1173"/>
        <v>0</v>
      </c>
      <c r="L1896" s="242">
        <f t="shared" si="1172"/>
        <v>0</v>
      </c>
    </row>
    <row r="1897" spans="1:12" ht="15.5">
      <c r="A1897" s="180" t="s">
        <v>11</v>
      </c>
      <c r="B1897" s="250">
        <f t="shared" si="1167"/>
        <v>0</v>
      </c>
      <c r="C1897" s="241">
        <f t="shared" si="1168"/>
        <v>0</v>
      </c>
      <c r="D1897" s="242">
        <v>0</v>
      </c>
      <c r="E1897" s="242"/>
      <c r="F1897" s="242"/>
      <c r="H1897" s="250">
        <f t="shared" si="1169"/>
        <v>0</v>
      </c>
      <c r="I1897" s="241">
        <f t="shared" si="1170"/>
        <v>0</v>
      </c>
      <c r="J1897" s="242">
        <f t="shared" si="1171"/>
        <v>0</v>
      </c>
      <c r="K1897" s="849">
        <f t="shared" si="1173"/>
        <v>0</v>
      </c>
      <c r="L1897" s="242">
        <f t="shared" si="1172"/>
        <v>0</v>
      </c>
    </row>
    <row r="1898" spans="1:12" ht="15.5">
      <c r="A1898" s="180" t="s">
        <v>12</v>
      </c>
      <c r="B1898" s="250">
        <f t="shared" si="1167"/>
        <v>1993.75</v>
      </c>
      <c r="C1898" s="241">
        <f t="shared" si="1168"/>
        <v>2.3978335336494739E-4</v>
      </c>
      <c r="D1898" s="242">
        <v>1993.75</v>
      </c>
      <c r="E1898" s="242"/>
      <c r="F1898" s="242"/>
      <c r="H1898" s="250">
        <f t="shared" si="1169"/>
        <v>0</v>
      </c>
      <c r="I1898" s="241">
        <f t="shared" si="1170"/>
        <v>0</v>
      </c>
      <c r="J1898" s="242">
        <f t="shared" si="1171"/>
        <v>0</v>
      </c>
      <c r="K1898" s="849">
        <f t="shared" si="1173"/>
        <v>0</v>
      </c>
      <c r="L1898" s="242">
        <f t="shared" si="1172"/>
        <v>0</v>
      </c>
    </row>
    <row r="1899" spans="1:12" ht="15.5">
      <c r="A1899" s="180" t="s">
        <v>13</v>
      </c>
      <c r="B1899" s="250">
        <f t="shared" si="1167"/>
        <v>2735144.2889657775</v>
      </c>
      <c r="C1899" s="241">
        <f t="shared" si="1168"/>
        <v>0.32894900039884578</v>
      </c>
      <c r="D1899" s="242">
        <v>2735144.2889657775</v>
      </c>
      <c r="E1899" s="242">
        <v>0</v>
      </c>
      <c r="F1899" s="242">
        <v>0</v>
      </c>
      <c r="H1899" s="250">
        <f t="shared" si="1169"/>
        <v>0</v>
      </c>
      <c r="I1899" s="241">
        <f t="shared" si="1170"/>
        <v>0</v>
      </c>
      <c r="J1899" s="242">
        <f t="shared" si="1171"/>
        <v>0</v>
      </c>
      <c r="K1899" s="849">
        <f t="shared" si="1173"/>
        <v>0</v>
      </c>
      <c r="L1899" s="242">
        <f t="shared" si="1172"/>
        <v>0</v>
      </c>
    </row>
    <row r="1900" spans="1:12" ht="15.5">
      <c r="A1900" s="180"/>
      <c r="B1900" s="242"/>
      <c r="C1900" s="241"/>
      <c r="D1900" s="242"/>
      <c r="E1900" s="242"/>
      <c r="F1900" s="242"/>
      <c r="H1900" s="250"/>
      <c r="I1900" s="241"/>
      <c r="J1900" s="242"/>
      <c r="K1900" s="242"/>
      <c r="L1900" s="242"/>
    </row>
    <row r="1901" spans="1:12" ht="15.5">
      <c r="A1901" s="180"/>
      <c r="B1901" s="243">
        <f>SUM(B1893:B1900)</f>
        <v>8314797.3869793052</v>
      </c>
      <c r="C1901" s="240">
        <f>SUM(C1893:C1900)</f>
        <v>1</v>
      </c>
      <c r="D1901" s="243">
        <f>SUM(D1893:D1900)</f>
        <v>3505574.4469793048</v>
      </c>
      <c r="E1901" s="243">
        <f>SUM(E1893:E1899)</f>
        <v>1682718.42</v>
      </c>
      <c r="F1901" s="243">
        <f>SUM(F1893:F1899)</f>
        <v>3126504.52</v>
      </c>
      <c r="G1901" s="32">
        <f>+B1901-B1890</f>
        <v>435641.81484240945</v>
      </c>
      <c r="H1901" s="243">
        <f>SUM(H1893:H1900)</f>
        <v>435641.81484240876</v>
      </c>
      <c r="I1901" s="240">
        <f>SUM(I1893:I1900)</f>
        <v>1</v>
      </c>
      <c r="J1901" s="243">
        <f>SUM(J1893:J1900)</f>
        <v>17745.524842408697</v>
      </c>
      <c r="K1901" s="243">
        <f>SUM(K1893:K1900)</f>
        <v>258705.22999999998</v>
      </c>
      <c r="L1901" s="243">
        <f>SUM(L1893:L1900)</f>
        <v>159191.06000000006</v>
      </c>
    </row>
    <row r="1902" spans="1:12" ht="16" thickBot="1">
      <c r="A1902" s="180"/>
      <c r="B1902" s="334"/>
      <c r="C1902" s="335"/>
      <c r="D1902" s="334"/>
      <c r="E1902" s="334"/>
      <c r="F1902" s="334"/>
      <c r="G1902" s="32"/>
      <c r="H1902" s="334"/>
      <c r="I1902" s="335"/>
      <c r="J1902" s="334"/>
      <c r="K1902" s="334"/>
      <c r="L1902" s="334"/>
    </row>
    <row r="1903" spans="1:12" ht="16" thickBot="1">
      <c r="A1903" s="253">
        <v>45135</v>
      </c>
      <c r="B1903" s="251">
        <v>480</v>
      </c>
      <c r="C1903" s="238" t="s">
        <v>3</v>
      </c>
      <c r="D1903" s="238" t="s">
        <v>4</v>
      </c>
      <c r="E1903" s="238" t="s">
        <v>5</v>
      </c>
      <c r="F1903" s="238" t="s">
        <v>6</v>
      </c>
      <c r="H1903" s="251">
        <f>+B1903-B1892</f>
        <v>0</v>
      </c>
      <c r="I1903" s="238" t="s">
        <v>3</v>
      </c>
      <c r="J1903" s="238" t="s">
        <v>4</v>
      </c>
      <c r="K1903" s="238" t="s">
        <v>5</v>
      </c>
      <c r="L1903" s="238" t="s">
        <v>114</v>
      </c>
    </row>
    <row r="1904" spans="1:12" ht="15.5">
      <c r="A1904" s="180" t="s">
        <v>7</v>
      </c>
      <c r="B1904" s="250">
        <f>SUM(D1904:F1904)</f>
        <v>5034038.7954346156</v>
      </c>
      <c r="C1904" s="241">
        <f>+B1904/$B$1912</f>
        <v>0.59448580819416463</v>
      </c>
      <c r="D1904" s="242">
        <v>78990.865434615393</v>
      </c>
      <c r="E1904" s="242">
        <v>1745503.34</v>
      </c>
      <c r="F1904" s="242">
        <v>3209544.59</v>
      </c>
      <c r="H1904" s="250">
        <f>SUM(J1904:L1904)</f>
        <v>147904.01374711539</v>
      </c>
      <c r="I1904" s="241">
        <f>+H1904/$H$1912</f>
        <v>0.96612545701354202</v>
      </c>
      <c r="J1904" s="242">
        <f>+D1904-D1893</f>
        <v>2079.023747115396</v>
      </c>
      <c r="K1904" s="849">
        <f>+E1904-E1893</f>
        <v>62784.920000000158</v>
      </c>
      <c r="L1904" s="242">
        <f>+F1904-F1893</f>
        <v>83040.069999999832</v>
      </c>
    </row>
    <row r="1905" spans="1:12" ht="15.5">
      <c r="A1905" s="180" t="s">
        <v>8</v>
      </c>
      <c r="B1905" s="250">
        <f t="shared" ref="B1905:B1910" si="1174">SUM(D1905:F1905)</f>
        <v>0</v>
      </c>
      <c r="C1905" s="241">
        <f t="shared" ref="C1905:C1910" si="1175">+B1905/$B$1912</f>
        <v>0</v>
      </c>
      <c r="D1905" s="242">
        <v>0</v>
      </c>
      <c r="F1905" s="242"/>
      <c r="G1905" s="32"/>
      <c r="H1905" s="250">
        <f t="shared" ref="H1905:H1910" si="1176">SUM(J1905:L1905)</f>
        <v>0</v>
      </c>
      <c r="I1905" s="241">
        <f t="shared" ref="I1905:I1910" si="1177">+H1905/$H$1912</f>
        <v>0</v>
      </c>
      <c r="J1905" s="242">
        <f t="shared" ref="J1905:J1910" si="1178">+D1905-D1894</f>
        <v>0</v>
      </c>
      <c r="K1905" s="849">
        <f>+E1905-E1894</f>
        <v>0</v>
      </c>
      <c r="L1905" s="242">
        <f t="shared" ref="L1905:L1910" si="1179">+F1905-F1894</f>
        <v>0</v>
      </c>
    </row>
    <row r="1906" spans="1:12" ht="15.5">
      <c r="A1906" s="180" t="s">
        <v>9</v>
      </c>
      <c r="B1906" s="250">
        <f t="shared" si="1174"/>
        <v>696863.780851844</v>
      </c>
      <c r="C1906" s="241">
        <f t="shared" si="1175"/>
        <v>8.2294881862384039E-2</v>
      </c>
      <c r="D1906" s="242">
        <v>696863.780851844</v>
      </c>
      <c r="E1906" s="242"/>
      <c r="F1906" s="242"/>
      <c r="H1906" s="250">
        <f t="shared" si="1176"/>
        <v>5339.2145258166129</v>
      </c>
      <c r="I1906" s="241">
        <f t="shared" si="1177"/>
        <v>3.4876342725002771E-2</v>
      </c>
      <c r="J1906" s="242">
        <f t="shared" si="1178"/>
        <v>5339.2145258166129</v>
      </c>
      <c r="K1906" s="849">
        <f t="shared" ref="K1906:K1910" si="1180">+E1906-E1895</f>
        <v>0</v>
      </c>
      <c r="L1906" s="242">
        <f t="shared" si="1179"/>
        <v>0</v>
      </c>
    </row>
    <row r="1907" spans="1:12" ht="15.5">
      <c r="A1907" s="180" t="s">
        <v>162</v>
      </c>
      <c r="B1907" s="250">
        <f t="shared" si="1174"/>
        <v>0</v>
      </c>
      <c r="C1907" s="241">
        <f t="shared" si="1175"/>
        <v>0</v>
      </c>
      <c r="D1907" s="242">
        <v>0</v>
      </c>
      <c r="E1907" s="242"/>
      <c r="F1907" s="242"/>
      <c r="H1907" s="250">
        <f t="shared" si="1176"/>
        <v>0</v>
      </c>
      <c r="I1907" s="241">
        <f t="shared" si="1177"/>
        <v>0</v>
      </c>
      <c r="J1907" s="242">
        <f t="shared" si="1178"/>
        <v>0</v>
      </c>
      <c r="K1907" s="849">
        <f t="shared" si="1180"/>
        <v>0</v>
      </c>
      <c r="L1907" s="242">
        <f t="shared" si="1179"/>
        <v>0</v>
      </c>
    </row>
    <row r="1908" spans="1:12" ht="15.5">
      <c r="A1908" s="180" t="s">
        <v>11</v>
      </c>
      <c r="B1908" s="250">
        <f t="shared" si="1174"/>
        <v>0</v>
      </c>
      <c r="C1908" s="241">
        <f t="shared" si="1175"/>
        <v>0</v>
      </c>
      <c r="D1908" s="242">
        <v>0</v>
      </c>
      <c r="E1908" s="242"/>
      <c r="F1908" s="242"/>
      <c r="H1908" s="250">
        <f t="shared" si="1176"/>
        <v>0</v>
      </c>
      <c r="I1908" s="241">
        <f t="shared" si="1177"/>
        <v>0</v>
      </c>
      <c r="J1908" s="242">
        <f t="shared" si="1178"/>
        <v>0</v>
      </c>
      <c r="K1908" s="849">
        <f t="shared" si="1180"/>
        <v>0</v>
      </c>
      <c r="L1908" s="242">
        <f t="shared" si="1179"/>
        <v>0</v>
      </c>
    </row>
    <row r="1909" spans="1:12" ht="15.5">
      <c r="A1909" s="180" t="s">
        <v>12</v>
      </c>
      <c r="B1909" s="250">
        <f t="shared" si="1174"/>
        <v>1840.3846153846155</v>
      </c>
      <c r="C1909" s="241">
        <f t="shared" si="1175"/>
        <v>2.1733692963535694E-4</v>
      </c>
      <c r="D1909" s="242">
        <v>1840.3846153846155</v>
      </c>
      <c r="E1909" s="242"/>
      <c r="F1909" s="242"/>
      <c r="H1909" s="250">
        <f t="shared" si="1176"/>
        <v>-153.36538461538453</v>
      </c>
      <c r="I1909" s="241">
        <f t="shared" si="1177"/>
        <v>-1.0017997385448631E-3</v>
      </c>
      <c r="J1909" s="242">
        <f t="shared" si="1178"/>
        <v>-153.36538461538453</v>
      </c>
      <c r="K1909" s="849">
        <f t="shared" si="1180"/>
        <v>0</v>
      </c>
      <c r="L1909" s="242">
        <f t="shared" si="1179"/>
        <v>0</v>
      </c>
    </row>
    <row r="1910" spans="1:12" ht="15.5">
      <c r="A1910" s="180" t="s">
        <v>13</v>
      </c>
      <c r="B1910" s="250">
        <f t="shared" si="1174"/>
        <v>2735144.2889657775</v>
      </c>
      <c r="C1910" s="241">
        <f t="shared" si="1175"/>
        <v>0.32300197301381595</v>
      </c>
      <c r="D1910" s="242">
        <v>2735144.2889657775</v>
      </c>
      <c r="E1910" s="242">
        <v>0</v>
      </c>
      <c r="F1910" s="242">
        <v>0</v>
      </c>
      <c r="H1910" s="250">
        <f t="shared" si="1176"/>
        <v>0</v>
      </c>
      <c r="I1910" s="241">
        <f t="shared" si="1177"/>
        <v>0</v>
      </c>
      <c r="J1910" s="242">
        <f t="shared" si="1178"/>
        <v>0</v>
      </c>
      <c r="K1910" s="849">
        <f t="shared" si="1180"/>
        <v>0</v>
      </c>
      <c r="L1910" s="242">
        <f t="shared" si="1179"/>
        <v>0</v>
      </c>
    </row>
    <row r="1911" spans="1:12" ht="15.5">
      <c r="A1911" s="180"/>
      <c r="B1911" s="242"/>
      <c r="C1911" s="241"/>
      <c r="D1911" s="242"/>
      <c r="E1911" s="242"/>
      <c r="F1911" s="242"/>
      <c r="H1911" s="250"/>
      <c r="I1911" s="241"/>
      <c r="J1911" s="242"/>
      <c r="K1911" s="242"/>
      <c r="L1911" s="242"/>
    </row>
    <row r="1912" spans="1:12" ht="15.5">
      <c r="A1912" s="180"/>
      <c r="B1912" s="243">
        <f>SUM(B1904:B1911)</f>
        <v>8467887.2498676218</v>
      </c>
      <c r="C1912" s="240">
        <f>SUM(C1904:C1911)</f>
        <v>1</v>
      </c>
      <c r="D1912" s="243">
        <f>SUM(D1904:D1911)</f>
        <v>3512839.3198676216</v>
      </c>
      <c r="E1912" s="243">
        <f>SUM(E1904:E1910)</f>
        <v>1745503.34</v>
      </c>
      <c r="F1912" s="243">
        <f>SUM(F1904:F1910)</f>
        <v>3209544.59</v>
      </c>
      <c r="G1912" s="32">
        <f>+B1912-B1901</f>
        <v>153089.86288831662</v>
      </c>
      <c r="H1912" s="243">
        <f>SUM(H1904:H1911)</f>
        <v>153089.86288831662</v>
      </c>
      <c r="I1912" s="240">
        <f>SUM(I1904:I1911)</f>
        <v>0.99999999999999989</v>
      </c>
      <c r="J1912" s="243">
        <f>SUM(J1904:J1911)</f>
        <v>7264.8728883166241</v>
      </c>
      <c r="K1912" s="243">
        <f>SUM(K1904:K1911)</f>
        <v>62784.920000000158</v>
      </c>
      <c r="L1912" s="243">
        <f>SUM(L1904:L1911)</f>
        <v>83040.069999999832</v>
      </c>
    </row>
    <row r="1913" spans="1:12" ht="16" thickBot="1">
      <c r="A1913" s="180"/>
      <c r="B1913" s="334"/>
      <c r="C1913" s="335"/>
      <c r="D1913" s="334"/>
      <c r="E1913" s="334"/>
      <c r="F1913" s="334"/>
      <c r="G1913" s="32"/>
      <c r="H1913" s="334"/>
      <c r="I1913" s="335"/>
      <c r="J1913" s="334"/>
      <c r="K1913" s="334"/>
      <c r="L1913" s="334"/>
    </row>
    <row r="1914" spans="1:12" ht="16" thickBot="1">
      <c r="A1914" s="253">
        <v>45166</v>
      </c>
      <c r="B1914" s="251">
        <v>700</v>
      </c>
      <c r="C1914" s="238" t="s">
        <v>3</v>
      </c>
      <c r="D1914" s="238" t="s">
        <v>4</v>
      </c>
      <c r="E1914" s="238" t="s">
        <v>5</v>
      </c>
      <c r="F1914" s="238" t="s">
        <v>6</v>
      </c>
      <c r="H1914" s="251">
        <f>+B1914-B1903</f>
        <v>220</v>
      </c>
      <c r="I1914" s="238" t="s">
        <v>3</v>
      </c>
      <c r="J1914" s="238" t="s">
        <v>4</v>
      </c>
      <c r="K1914" s="238" t="s">
        <v>5</v>
      </c>
      <c r="L1914" s="238" t="s">
        <v>114</v>
      </c>
    </row>
    <row r="1915" spans="1:12" ht="15.5">
      <c r="A1915" s="180" t="s">
        <v>7</v>
      </c>
      <c r="B1915" s="250">
        <f>SUM(D1915:F1915)</f>
        <v>4959088.7538571432</v>
      </c>
      <c r="C1915" s="241">
        <f>+B1915/$B$1923</f>
        <v>0.59068991089322465</v>
      </c>
      <c r="D1915" s="242">
        <v>83274.033857142858</v>
      </c>
      <c r="E1915" s="242">
        <v>1726179.25</v>
      </c>
      <c r="F1915" s="242">
        <v>3149635.47</v>
      </c>
      <c r="H1915" s="250">
        <f>SUM(J1915:L1915)</f>
        <v>-74950.041577472264</v>
      </c>
      <c r="I1915" s="241">
        <f>+H1915/$H$1923</f>
        <v>1.0342333875849523</v>
      </c>
      <c r="J1915" s="242">
        <f>+D1915-D1904</f>
        <v>4283.1684225274657</v>
      </c>
      <c r="K1915" s="849">
        <f>+E1915-E1904</f>
        <v>-19324.090000000084</v>
      </c>
      <c r="L1915" s="242">
        <f>+F1915-F1904</f>
        <v>-59909.119999999646</v>
      </c>
    </row>
    <row r="1916" spans="1:12" ht="15.5">
      <c r="A1916" s="180" t="s">
        <v>8</v>
      </c>
      <c r="B1916" s="250">
        <f t="shared" ref="B1916:B1921" si="1181">SUM(D1916:F1916)</f>
        <v>0</v>
      </c>
      <c r="C1916" s="241">
        <f t="shared" ref="C1916:C1921" si="1182">+B1916/$B$1923</f>
        <v>0</v>
      </c>
      <c r="D1916" s="242">
        <v>0</v>
      </c>
      <c r="F1916" s="242"/>
      <c r="G1916" s="32"/>
      <c r="H1916" s="250">
        <f t="shared" ref="H1916:H1921" si="1183">SUM(J1916:L1916)</f>
        <v>0</v>
      </c>
      <c r="I1916" s="241">
        <f t="shared" ref="I1916:I1921" si="1184">+H1916/$H$1923</f>
        <v>0</v>
      </c>
      <c r="J1916" s="242">
        <f t="shared" ref="J1916:J1921" si="1185">+D1916-D1905</f>
        <v>0</v>
      </c>
      <c r="K1916" s="849">
        <f>+E1916-E1905</f>
        <v>0</v>
      </c>
      <c r="L1916" s="242">
        <f t="shared" ref="L1916:L1921" si="1186">+F1916-F1905</f>
        <v>0</v>
      </c>
    </row>
    <row r="1917" spans="1:12" ht="15.5">
      <c r="A1917" s="180" t="s">
        <v>9</v>
      </c>
      <c r="B1917" s="250">
        <f t="shared" si="1181"/>
        <v>699817.88800626225</v>
      </c>
      <c r="C1917" s="241">
        <f t="shared" si="1182"/>
        <v>8.3357121928173461E-2</v>
      </c>
      <c r="D1917" s="242">
        <v>699817.88800626225</v>
      </c>
      <c r="E1917" s="242"/>
      <c r="F1917" s="242"/>
      <c r="H1917" s="250">
        <f t="shared" si="1183"/>
        <v>2954.1071544182487</v>
      </c>
      <c r="I1917" s="241">
        <f t="shared" si="1184"/>
        <v>-4.0763636487711322E-2</v>
      </c>
      <c r="J1917" s="242">
        <f t="shared" si="1185"/>
        <v>2954.1071544182487</v>
      </c>
      <c r="K1917" s="849">
        <f t="shared" ref="K1917:K1921" si="1187">+E1917-E1906</f>
        <v>0</v>
      </c>
      <c r="L1917" s="242">
        <f t="shared" si="1186"/>
        <v>0</v>
      </c>
    </row>
    <row r="1918" spans="1:12" ht="15.5">
      <c r="A1918" s="180" t="s">
        <v>162</v>
      </c>
      <c r="B1918" s="250">
        <f t="shared" si="1181"/>
        <v>0</v>
      </c>
      <c r="C1918" s="241">
        <f t="shared" si="1182"/>
        <v>0</v>
      </c>
      <c r="D1918" s="242">
        <v>0</v>
      </c>
      <c r="E1918" s="242"/>
      <c r="F1918" s="242"/>
      <c r="H1918" s="250">
        <f t="shared" si="1183"/>
        <v>0</v>
      </c>
      <c r="I1918" s="241">
        <f t="shared" si="1184"/>
        <v>0</v>
      </c>
      <c r="J1918" s="242">
        <f t="shared" si="1185"/>
        <v>0</v>
      </c>
      <c r="K1918" s="849">
        <f t="shared" si="1187"/>
        <v>0</v>
      </c>
      <c r="L1918" s="242">
        <f t="shared" si="1186"/>
        <v>0</v>
      </c>
    </row>
    <row r="1919" spans="1:12" ht="15.5">
      <c r="A1919" s="180" t="s">
        <v>11</v>
      </c>
      <c r="B1919" s="250">
        <f t="shared" si="1181"/>
        <v>0</v>
      </c>
      <c r="C1919" s="241">
        <f t="shared" si="1182"/>
        <v>0</v>
      </c>
      <c r="D1919" s="242">
        <v>0</v>
      </c>
      <c r="E1919" s="242"/>
      <c r="F1919" s="242"/>
      <c r="H1919" s="250">
        <f t="shared" si="1183"/>
        <v>0</v>
      </c>
      <c r="I1919" s="241">
        <f t="shared" si="1184"/>
        <v>0</v>
      </c>
      <c r="J1919" s="242">
        <f t="shared" si="1185"/>
        <v>0</v>
      </c>
      <c r="K1919" s="849">
        <f t="shared" si="1187"/>
        <v>0</v>
      </c>
      <c r="L1919" s="242">
        <f t="shared" si="1186"/>
        <v>0</v>
      </c>
    </row>
    <row r="1920" spans="1:12" ht="15.5">
      <c r="A1920" s="180" t="s">
        <v>12</v>
      </c>
      <c r="B1920" s="250">
        <f t="shared" si="1181"/>
        <v>1367.1428571428571</v>
      </c>
      <c r="C1920" s="241">
        <f t="shared" si="1182"/>
        <v>1.628439280978608E-4</v>
      </c>
      <c r="D1920" s="242">
        <v>1367.1428571428571</v>
      </c>
      <c r="E1920" s="242"/>
      <c r="F1920" s="242"/>
      <c r="H1920" s="250">
        <f t="shared" si="1183"/>
        <v>-473.24175824175836</v>
      </c>
      <c r="I1920" s="241">
        <f t="shared" si="1184"/>
        <v>6.5302489027590418E-3</v>
      </c>
      <c r="J1920" s="242">
        <f t="shared" si="1185"/>
        <v>-473.24175824175836</v>
      </c>
      <c r="K1920" s="849">
        <f t="shared" si="1187"/>
        <v>0</v>
      </c>
      <c r="L1920" s="242">
        <f t="shared" si="1186"/>
        <v>0</v>
      </c>
    </row>
    <row r="1921" spans="1:12" ht="15.5">
      <c r="A1921" s="180" t="s">
        <v>13</v>
      </c>
      <c r="B1921" s="250">
        <f t="shared" si="1181"/>
        <v>2735144.2889657775</v>
      </c>
      <c r="C1921" s="241">
        <f t="shared" si="1182"/>
        <v>0.32579012325050405</v>
      </c>
      <c r="D1921" s="242">
        <v>2735144.2889657775</v>
      </c>
      <c r="E1921" s="242">
        <v>0</v>
      </c>
      <c r="F1921" s="242">
        <v>0</v>
      </c>
      <c r="H1921" s="250">
        <f t="shared" si="1183"/>
        <v>0</v>
      </c>
      <c r="I1921" s="241">
        <f t="shared" si="1184"/>
        <v>0</v>
      </c>
      <c r="J1921" s="242">
        <f t="shared" si="1185"/>
        <v>0</v>
      </c>
      <c r="K1921" s="849">
        <f t="shared" si="1187"/>
        <v>0</v>
      </c>
      <c r="L1921" s="242">
        <f t="shared" si="1186"/>
        <v>0</v>
      </c>
    </row>
    <row r="1922" spans="1:12" ht="15.5">
      <c r="A1922" s="180"/>
      <c r="B1922" s="242"/>
      <c r="C1922" s="241"/>
      <c r="D1922" s="242"/>
      <c r="E1922" s="242"/>
      <c r="F1922" s="242"/>
      <c r="H1922" s="250"/>
      <c r="I1922" s="241"/>
      <c r="J1922" s="242"/>
      <c r="K1922" s="242"/>
      <c r="L1922" s="242"/>
    </row>
    <row r="1923" spans="1:12" ht="15.5">
      <c r="A1923" s="180"/>
      <c r="B1923" s="243">
        <f>SUM(B1915:B1922)</f>
        <v>8395418.0736863259</v>
      </c>
      <c r="C1923" s="240">
        <f>SUM(C1915:C1922)</f>
        <v>1</v>
      </c>
      <c r="D1923" s="243">
        <f>SUM(D1915:D1922)</f>
        <v>3519603.3536863253</v>
      </c>
      <c r="E1923" s="243">
        <f>SUM(E1915:E1921)</f>
        <v>1726179.25</v>
      </c>
      <c r="F1923" s="243">
        <f>SUM(F1915:F1921)</f>
        <v>3149635.47</v>
      </c>
      <c r="G1923" s="32">
        <f>+B1923-B1912</f>
        <v>-72469.176181295887</v>
      </c>
      <c r="H1923" s="243">
        <f>SUM(H1915:H1922)</f>
        <v>-72469.17618129577</v>
      </c>
      <c r="I1923" s="240">
        <f>SUM(I1915:I1922)</f>
        <v>1</v>
      </c>
      <c r="J1923" s="243">
        <f>SUM(J1915:J1922)</f>
        <v>6764.0338187039561</v>
      </c>
      <c r="K1923" s="243">
        <f>SUM(K1915:K1922)</f>
        <v>-19324.090000000084</v>
      </c>
      <c r="L1923" s="243">
        <f>SUM(L1915:L1922)</f>
        <v>-59909.119999999646</v>
      </c>
    </row>
    <row r="1924" spans="1:12" ht="16" thickBot="1">
      <c r="A1924" s="180"/>
      <c r="B1924" s="334"/>
      <c r="C1924" s="335"/>
      <c r="D1924" s="334"/>
      <c r="E1924" s="334"/>
      <c r="F1924" s="334"/>
      <c r="G1924" s="32"/>
      <c r="H1924" s="334"/>
      <c r="I1924" s="335"/>
      <c r="J1924" s="334"/>
      <c r="K1924" s="334"/>
      <c r="L1924" s="334"/>
    </row>
    <row r="1925" spans="1:12" ht="16" thickBot="1">
      <c r="A1925" s="253">
        <v>45197</v>
      </c>
      <c r="B1925" s="251">
        <v>700</v>
      </c>
      <c r="C1925" s="238" t="s">
        <v>3</v>
      </c>
      <c r="D1925" s="238" t="s">
        <v>4</v>
      </c>
      <c r="E1925" s="238" t="s">
        <v>5</v>
      </c>
      <c r="F1925" s="238" t="s">
        <v>6</v>
      </c>
      <c r="H1925" s="251">
        <f>+B1925-B1914</f>
        <v>0</v>
      </c>
      <c r="I1925" s="238" t="s">
        <v>3</v>
      </c>
      <c r="J1925" s="238" t="s">
        <v>4</v>
      </c>
      <c r="K1925" s="238" t="s">
        <v>5</v>
      </c>
      <c r="L1925" s="238" t="s">
        <v>114</v>
      </c>
    </row>
    <row r="1926" spans="1:12" ht="15.5">
      <c r="A1926" s="180" t="s">
        <v>7</v>
      </c>
      <c r="B1926" s="250">
        <f>SUM(D1926:F1926)</f>
        <v>4633482.0677466672</v>
      </c>
      <c r="C1926" s="241">
        <f>+B1926/$B$1934</f>
        <v>0.57376607499264209</v>
      </c>
      <c r="D1926" s="242">
        <v>71454.827746666677</v>
      </c>
      <c r="E1926" s="242">
        <v>1543357.39</v>
      </c>
      <c r="F1926" s="242">
        <v>3018669.85</v>
      </c>
      <c r="H1926" s="250">
        <f>SUM(J1926:L1926)</f>
        <v>-325606.68611047638</v>
      </c>
      <c r="I1926" s="241">
        <f>+H1926/$H$1934</f>
        <v>1.0179707385242522</v>
      </c>
      <c r="J1926" s="242">
        <f>+D1926-D1915</f>
        <v>-11819.206110476181</v>
      </c>
      <c r="K1926" s="849">
        <f>+E1926-E1915</f>
        <v>-182821.8600000001</v>
      </c>
      <c r="L1926" s="242">
        <f>+F1926-F1915</f>
        <v>-130965.62000000011</v>
      </c>
    </row>
    <row r="1927" spans="1:12" ht="15.5">
      <c r="A1927" s="180" t="s">
        <v>8</v>
      </c>
      <c r="B1927" s="250">
        <f t="shared" ref="B1927:B1932" si="1188">SUM(D1927:F1927)</f>
        <v>0</v>
      </c>
      <c r="C1927" s="241">
        <f t="shared" ref="C1927:C1932" si="1189">+B1927/$B$1934</f>
        <v>0</v>
      </c>
      <c r="D1927" s="242">
        <v>0</v>
      </c>
      <c r="F1927" s="242"/>
      <c r="G1927" s="32"/>
      <c r="H1927" s="250">
        <f t="shared" ref="H1927:H1932" si="1190">SUM(J1927:L1927)</f>
        <v>0</v>
      </c>
      <c r="I1927" s="241">
        <f t="shared" ref="I1927:I1932" si="1191">+H1927/$H$1934</f>
        <v>0</v>
      </c>
      <c r="J1927" s="242">
        <f t="shared" ref="J1927:J1932" si="1192">+D1927-D1916</f>
        <v>0</v>
      </c>
      <c r="K1927" s="849">
        <f>+E1927-E1916</f>
        <v>0</v>
      </c>
      <c r="L1927" s="242">
        <f t="shared" ref="L1927:L1932" si="1193">+F1927-F1916</f>
        <v>0</v>
      </c>
    </row>
    <row r="1928" spans="1:12" ht="15.5">
      <c r="A1928" s="180" t="s">
        <v>9</v>
      </c>
      <c r="B1928" s="250">
        <f t="shared" si="1188"/>
        <v>705657.12596712331</v>
      </c>
      <c r="C1928" s="241">
        <f t="shared" si="1189"/>
        <v>8.7381825058760854E-2</v>
      </c>
      <c r="D1928" s="242">
        <v>705657.12596712331</v>
      </c>
      <c r="E1928" s="242"/>
      <c r="F1928" s="242"/>
      <c r="H1928" s="250">
        <f t="shared" si="1190"/>
        <v>5839.2379608610645</v>
      </c>
      <c r="I1928" s="241">
        <f t="shared" si="1191"/>
        <v>-1.825568587194111E-2</v>
      </c>
      <c r="J1928" s="242">
        <f t="shared" si="1192"/>
        <v>5839.2379608610645</v>
      </c>
      <c r="K1928" s="849">
        <f t="shared" ref="K1928:K1932" si="1194">+E1928-E1917</f>
        <v>0</v>
      </c>
      <c r="L1928" s="242">
        <f t="shared" si="1193"/>
        <v>0</v>
      </c>
    </row>
    <row r="1929" spans="1:12" ht="15.5">
      <c r="A1929" s="180" t="s">
        <v>162</v>
      </c>
      <c r="B1929" s="250">
        <f t="shared" si="1188"/>
        <v>0</v>
      </c>
      <c r="C1929" s="241">
        <f t="shared" si="1189"/>
        <v>0</v>
      </c>
      <c r="D1929" s="242">
        <v>0</v>
      </c>
      <c r="E1929" s="242"/>
      <c r="F1929" s="242"/>
      <c r="H1929" s="250">
        <f t="shared" si="1190"/>
        <v>0</v>
      </c>
      <c r="I1929" s="241">
        <f t="shared" si="1191"/>
        <v>0</v>
      </c>
      <c r="J1929" s="242">
        <f t="shared" si="1192"/>
        <v>0</v>
      </c>
      <c r="K1929" s="849">
        <f t="shared" si="1194"/>
        <v>0</v>
      </c>
      <c r="L1929" s="242">
        <f t="shared" si="1193"/>
        <v>0</v>
      </c>
    </row>
    <row r="1930" spans="1:12" ht="15.5">
      <c r="A1930" s="180" t="s">
        <v>11</v>
      </c>
      <c r="B1930" s="250">
        <f t="shared" si="1188"/>
        <v>0</v>
      </c>
      <c r="C1930" s="241">
        <f t="shared" si="1189"/>
        <v>0</v>
      </c>
      <c r="D1930" s="242">
        <v>0</v>
      </c>
      <c r="E1930" s="242"/>
      <c r="F1930" s="242"/>
      <c r="H1930" s="250">
        <f t="shared" si="1190"/>
        <v>0</v>
      </c>
      <c r="I1930" s="241">
        <f t="shared" si="1191"/>
        <v>0</v>
      </c>
      <c r="J1930" s="242">
        <f t="shared" si="1192"/>
        <v>0</v>
      </c>
      <c r="K1930" s="849">
        <f t="shared" si="1194"/>
        <v>0</v>
      </c>
      <c r="L1930" s="242">
        <f t="shared" si="1193"/>
        <v>0</v>
      </c>
    </row>
    <row r="1931" spans="1:12" ht="15.5">
      <c r="A1931" s="180" t="s">
        <v>12</v>
      </c>
      <c r="B1931" s="250">
        <f t="shared" si="1188"/>
        <v>1276</v>
      </c>
      <c r="C1931" s="241">
        <f t="shared" si="1189"/>
        <v>1.5800762816951079E-4</v>
      </c>
      <c r="D1931" s="242">
        <v>1276</v>
      </c>
      <c r="E1931" s="242"/>
      <c r="F1931" s="242"/>
      <c r="H1931" s="250">
        <f t="shared" si="1190"/>
        <v>-91.14285714285711</v>
      </c>
      <c r="I1931" s="241">
        <f t="shared" si="1191"/>
        <v>2.8494734768881477E-4</v>
      </c>
      <c r="J1931" s="242">
        <f t="shared" si="1192"/>
        <v>-91.14285714285711</v>
      </c>
      <c r="K1931" s="849">
        <f t="shared" si="1194"/>
        <v>0</v>
      </c>
      <c r="L1931" s="242">
        <f t="shared" si="1193"/>
        <v>0</v>
      </c>
    </row>
    <row r="1932" spans="1:12" ht="15.5">
      <c r="A1932" s="180" t="s">
        <v>13</v>
      </c>
      <c r="B1932" s="250">
        <f t="shared" si="1188"/>
        <v>2735144.2889657775</v>
      </c>
      <c r="C1932" s="241">
        <f t="shared" si="1189"/>
        <v>0.33869409232042752</v>
      </c>
      <c r="D1932" s="242">
        <v>2735144.2889657775</v>
      </c>
      <c r="E1932" s="242">
        <v>0</v>
      </c>
      <c r="F1932" s="242">
        <v>0</v>
      </c>
      <c r="H1932" s="250">
        <f t="shared" si="1190"/>
        <v>0</v>
      </c>
      <c r="I1932" s="241">
        <f t="shared" si="1191"/>
        <v>0</v>
      </c>
      <c r="J1932" s="242">
        <f t="shared" si="1192"/>
        <v>0</v>
      </c>
      <c r="K1932" s="849">
        <f t="shared" si="1194"/>
        <v>0</v>
      </c>
      <c r="L1932" s="242">
        <f t="shared" si="1193"/>
        <v>0</v>
      </c>
    </row>
    <row r="1933" spans="1:12" ht="15.5">
      <c r="A1933" s="180"/>
      <c r="B1933" s="242"/>
      <c r="C1933" s="241"/>
      <c r="D1933" s="242"/>
      <c r="E1933" s="242"/>
      <c r="F1933" s="242"/>
      <c r="H1933" s="250"/>
      <c r="I1933" s="241"/>
      <c r="J1933" s="242"/>
      <c r="K1933" s="242"/>
      <c r="L1933" s="242"/>
    </row>
    <row r="1934" spans="1:12" ht="15.5">
      <c r="A1934" s="180"/>
      <c r="B1934" s="243">
        <f>SUM(B1926:B1933)</f>
        <v>8075559.4826795682</v>
      </c>
      <c r="C1934" s="240">
        <f>SUM(C1926:C1933)</f>
        <v>1</v>
      </c>
      <c r="D1934" s="243">
        <f>SUM(D1926:D1933)</f>
        <v>3513532.2426795675</v>
      </c>
      <c r="E1934" s="243">
        <f>SUM(E1926:E1932)</f>
        <v>1543357.39</v>
      </c>
      <c r="F1934" s="243">
        <f>SUM(F1926:F1932)</f>
        <v>3018669.85</v>
      </c>
      <c r="G1934" s="32">
        <f>+B1934-B1923</f>
        <v>-319858.59100675769</v>
      </c>
      <c r="H1934" s="243">
        <f>SUM(H1926:H1933)</f>
        <v>-319858.59100675816</v>
      </c>
      <c r="I1934" s="240">
        <f>SUM(I1926:I1933)</f>
        <v>0.99999999999999989</v>
      </c>
      <c r="J1934" s="243">
        <f>SUM(J1926:J1933)</f>
        <v>-6071.1110067579739</v>
      </c>
      <c r="K1934" s="243">
        <f>SUM(K1926:K1933)</f>
        <v>-182821.8600000001</v>
      </c>
      <c r="L1934" s="243">
        <f>SUM(L1926:L1933)</f>
        <v>-130965.62000000011</v>
      </c>
    </row>
    <row r="1935" spans="1:12" ht="16" thickBot="1">
      <c r="A1935" s="180"/>
      <c r="B1935" s="334"/>
      <c r="C1935" s="335"/>
      <c r="D1935" s="334"/>
      <c r="E1935" s="334"/>
      <c r="F1935" s="334"/>
      <c r="G1935" s="32"/>
      <c r="H1935" s="334"/>
      <c r="I1935" s="335"/>
      <c r="J1935" s="334"/>
      <c r="K1935" s="334"/>
      <c r="L1935" s="334"/>
    </row>
    <row r="1936" spans="1:12" ht="16" thickBot="1">
      <c r="A1936" s="253">
        <v>45227</v>
      </c>
      <c r="B1936" s="251">
        <v>850</v>
      </c>
      <c r="C1936" s="238" t="s">
        <v>3</v>
      </c>
      <c r="D1936" s="238" t="s">
        <v>4</v>
      </c>
      <c r="E1936" s="238" t="s">
        <v>5</v>
      </c>
      <c r="F1936" s="238" t="s">
        <v>6</v>
      </c>
      <c r="H1936" s="251">
        <f>+B1936-B1925</f>
        <v>150</v>
      </c>
      <c r="I1936" s="238" t="s">
        <v>3</v>
      </c>
      <c r="J1936" s="238" t="s">
        <v>4</v>
      </c>
      <c r="K1936" s="238" t="s">
        <v>5</v>
      </c>
      <c r="L1936" s="238" t="s">
        <v>114</v>
      </c>
    </row>
    <row r="1937" spans="1:12" ht="15.5">
      <c r="A1937" s="180" t="s">
        <v>7</v>
      </c>
      <c r="B1937" s="250">
        <f>SUM(D1937:F1937)</f>
        <v>4584942.3177466672</v>
      </c>
      <c r="C1937" s="241">
        <f>+B1937/$B$1945</f>
        <v>0.56855849086740429</v>
      </c>
      <c r="D1937" s="242">
        <v>71454.827746666677</v>
      </c>
      <c r="E1937" s="242">
        <v>1532927.43</v>
      </c>
      <c r="F1937" s="242">
        <v>2980560.06</v>
      </c>
      <c r="G1937" s="242"/>
      <c r="H1937" s="250">
        <f>SUM(J1937:L1937)</f>
        <v>-48539.75</v>
      </c>
      <c r="I1937" s="241">
        <f>+H1937/$H$1945</f>
        <v>4.2552284806180483</v>
      </c>
      <c r="J1937" s="242">
        <f>+D1937-D1926</f>
        <v>0</v>
      </c>
      <c r="K1937" s="849">
        <f>+E1937-E1926</f>
        <v>-10429.959999999963</v>
      </c>
      <c r="L1937" s="242">
        <f>+F1937-F1926</f>
        <v>-38109.790000000037</v>
      </c>
    </row>
    <row r="1938" spans="1:12" ht="15.5">
      <c r="A1938" s="180" t="s">
        <v>8</v>
      </c>
      <c r="B1938" s="250">
        <f t="shared" ref="B1938:B1943" si="1195">SUM(D1938:F1938)</f>
        <v>0</v>
      </c>
      <c r="C1938" s="241">
        <f t="shared" ref="C1938:C1943" si="1196">+B1938/$B$1945</f>
        <v>0</v>
      </c>
      <c r="D1938" s="242">
        <v>0</v>
      </c>
      <c r="F1938" s="242"/>
      <c r="G1938" s="32"/>
      <c r="H1938" s="250">
        <f t="shared" ref="H1938:H1943" si="1197">SUM(J1938:L1938)</f>
        <v>0</v>
      </c>
      <c r="I1938" s="241">
        <f t="shared" ref="I1938:I1943" si="1198">+H1938/$H$1945</f>
        <v>0</v>
      </c>
      <c r="J1938" s="242">
        <f t="shared" ref="J1938:J1943" si="1199">+D1938-D1927</f>
        <v>0</v>
      </c>
      <c r="K1938" s="849">
        <f>+E1938-E1927</f>
        <v>0</v>
      </c>
      <c r="L1938" s="242">
        <f t="shared" ref="L1938:L1943" si="1200">+F1938-F1927</f>
        <v>0</v>
      </c>
    </row>
    <row r="1939" spans="1:12" ht="15.5">
      <c r="A1939" s="180" t="s">
        <v>9</v>
      </c>
      <c r="B1939" s="250">
        <f t="shared" si="1195"/>
        <v>742789.79166575347</v>
      </c>
      <c r="C1939" s="241">
        <f t="shared" si="1196"/>
        <v>9.2110088571135854E-2</v>
      </c>
      <c r="D1939" s="242">
        <v>742789.79166575347</v>
      </c>
      <c r="E1939" s="242"/>
      <c r="F1939" s="242"/>
      <c r="H1939" s="250">
        <f t="shared" si="1197"/>
        <v>37132.665698630153</v>
      </c>
      <c r="I1939" s="241">
        <f t="shared" si="1198"/>
        <v>-3.2552284806180478</v>
      </c>
      <c r="J1939" s="242">
        <f t="shared" si="1199"/>
        <v>37132.665698630153</v>
      </c>
      <c r="K1939" s="849">
        <f t="shared" ref="K1939:K1943" si="1201">+E1939-E1928</f>
        <v>0</v>
      </c>
      <c r="L1939" s="242">
        <f t="shared" si="1200"/>
        <v>0</v>
      </c>
    </row>
    <row r="1940" spans="1:12" ht="15.5">
      <c r="A1940" s="180" t="s">
        <v>162</v>
      </c>
      <c r="B1940" s="250">
        <f t="shared" si="1195"/>
        <v>0</v>
      </c>
      <c r="C1940" s="241">
        <f t="shared" si="1196"/>
        <v>0</v>
      </c>
      <c r="D1940" s="242">
        <v>0</v>
      </c>
      <c r="E1940" s="242"/>
      <c r="F1940" s="242"/>
      <c r="H1940" s="250">
        <f t="shared" si="1197"/>
        <v>0</v>
      </c>
      <c r="I1940" s="241">
        <f t="shared" si="1198"/>
        <v>0</v>
      </c>
      <c r="J1940" s="242">
        <f t="shared" si="1199"/>
        <v>0</v>
      </c>
      <c r="K1940" s="849">
        <f t="shared" si="1201"/>
        <v>0</v>
      </c>
      <c r="L1940" s="242">
        <f t="shared" si="1200"/>
        <v>0</v>
      </c>
    </row>
    <row r="1941" spans="1:12" ht="15.5">
      <c r="A1941" s="180" t="s">
        <v>11</v>
      </c>
      <c r="B1941" s="250">
        <f t="shared" si="1195"/>
        <v>0</v>
      </c>
      <c r="C1941" s="241">
        <f t="shared" si="1196"/>
        <v>0</v>
      </c>
      <c r="D1941" s="242">
        <v>0</v>
      </c>
      <c r="E1941" s="242"/>
      <c r="F1941" s="242"/>
      <c r="H1941" s="250">
        <f t="shared" si="1197"/>
        <v>0</v>
      </c>
      <c r="I1941" s="241">
        <f t="shared" si="1198"/>
        <v>0</v>
      </c>
      <c r="J1941" s="242">
        <f t="shared" si="1199"/>
        <v>0</v>
      </c>
      <c r="K1941" s="849">
        <f t="shared" si="1201"/>
        <v>0</v>
      </c>
      <c r="L1941" s="242">
        <f t="shared" si="1200"/>
        <v>0</v>
      </c>
    </row>
    <row r="1942" spans="1:12" ht="15.5">
      <c r="A1942" s="180" t="s">
        <v>12</v>
      </c>
      <c r="B1942" s="250">
        <f t="shared" si="1195"/>
        <v>1276</v>
      </c>
      <c r="C1942" s="241">
        <f t="shared" si="1196"/>
        <v>1.5823113663583784E-4</v>
      </c>
      <c r="D1942" s="242">
        <v>1276</v>
      </c>
      <c r="E1942" s="242"/>
      <c r="F1942" s="242"/>
      <c r="H1942" s="250">
        <f t="shared" si="1197"/>
        <v>0</v>
      </c>
      <c r="I1942" s="241">
        <f t="shared" si="1198"/>
        <v>0</v>
      </c>
      <c r="J1942" s="242">
        <f t="shared" si="1199"/>
        <v>0</v>
      </c>
      <c r="K1942" s="849">
        <f t="shared" si="1201"/>
        <v>0</v>
      </c>
      <c r="L1942" s="242">
        <f t="shared" si="1200"/>
        <v>0</v>
      </c>
    </row>
    <row r="1943" spans="1:12" ht="15.5">
      <c r="A1943" s="180" t="s">
        <v>13</v>
      </c>
      <c r="B1943" s="250">
        <f t="shared" si="1195"/>
        <v>2735144.2889657775</v>
      </c>
      <c r="C1943" s="241">
        <f t="shared" si="1196"/>
        <v>0.339173189424824</v>
      </c>
      <c r="D1943" s="242">
        <v>2735144.2889657775</v>
      </c>
      <c r="E1943" s="242">
        <v>0</v>
      </c>
      <c r="F1943" s="242">
        <v>0</v>
      </c>
      <c r="H1943" s="250">
        <f t="shared" si="1197"/>
        <v>0</v>
      </c>
      <c r="I1943" s="241">
        <f t="shared" si="1198"/>
        <v>0</v>
      </c>
      <c r="J1943" s="242">
        <f t="shared" si="1199"/>
        <v>0</v>
      </c>
      <c r="K1943" s="849">
        <f t="shared" si="1201"/>
        <v>0</v>
      </c>
      <c r="L1943" s="242">
        <f t="shared" si="1200"/>
        <v>0</v>
      </c>
    </row>
    <row r="1944" spans="1:12" ht="15.5">
      <c r="A1944" s="180"/>
      <c r="B1944" s="242"/>
      <c r="C1944" s="241"/>
      <c r="D1944" s="242"/>
      <c r="E1944" s="242"/>
      <c r="F1944" s="242"/>
      <c r="H1944" s="250"/>
      <c r="I1944" s="241"/>
      <c r="J1944" s="242"/>
      <c r="K1944" s="242"/>
      <c r="L1944" s="242"/>
    </row>
    <row r="1945" spans="1:12" ht="15.5">
      <c r="A1945" s="180"/>
      <c r="B1945" s="243">
        <f>SUM(B1937:B1944)</f>
        <v>8064152.398378198</v>
      </c>
      <c r="C1945" s="240">
        <f>SUM(C1937:C1944)</f>
        <v>1</v>
      </c>
      <c r="D1945" s="243">
        <f>SUM(D1937:D1944)</f>
        <v>3550664.9083781978</v>
      </c>
      <c r="E1945" s="243">
        <f>SUM(E1937:E1943)</f>
        <v>1532927.43</v>
      </c>
      <c r="F1945" s="243">
        <f>SUM(F1937:F1943)</f>
        <v>2980560.06</v>
      </c>
      <c r="G1945" s="32">
        <f>+B1945-B1934</f>
        <v>-11407.084301370196</v>
      </c>
      <c r="H1945" s="243">
        <f>SUM(H1937:H1944)</f>
        <v>-11407.084301369847</v>
      </c>
      <c r="I1945" s="240">
        <f>SUM(I1937:I1944)</f>
        <v>1.0000000000000004</v>
      </c>
      <c r="J1945" s="243">
        <f>SUM(J1937:J1944)</f>
        <v>37132.665698630153</v>
      </c>
      <c r="K1945" s="243">
        <f>SUM(K1937:K1944)</f>
        <v>-10429.959999999963</v>
      </c>
      <c r="L1945" s="243">
        <f>SUM(L1937:L1944)</f>
        <v>-38109.790000000037</v>
      </c>
    </row>
    <row r="1946" spans="1:12" ht="16" thickBot="1">
      <c r="A1946" s="180"/>
      <c r="B1946" s="334"/>
      <c r="C1946" s="335"/>
      <c r="D1946" s="334"/>
      <c r="E1946" s="334"/>
      <c r="F1946" s="334"/>
      <c r="G1946" s="32"/>
      <c r="H1946" s="334"/>
      <c r="I1946" s="335"/>
      <c r="J1946" s="334"/>
      <c r="K1946" s="334"/>
      <c r="L1946" s="334"/>
    </row>
    <row r="1947" spans="1:12" ht="16" thickBot="1">
      <c r="A1947" s="253">
        <v>45258</v>
      </c>
      <c r="B1947" s="251">
        <v>900</v>
      </c>
      <c r="C1947" s="238" t="s">
        <v>3</v>
      </c>
      <c r="D1947" s="238" t="s">
        <v>4</v>
      </c>
      <c r="E1947" s="238" t="s">
        <v>5</v>
      </c>
      <c r="F1947" s="238" t="s">
        <v>6</v>
      </c>
      <c r="H1947" s="251">
        <f>+B1947-B1936</f>
        <v>50</v>
      </c>
      <c r="I1947" s="238" t="s">
        <v>3</v>
      </c>
      <c r="J1947" s="238" t="s">
        <v>4</v>
      </c>
      <c r="K1947" s="238" t="s">
        <v>5</v>
      </c>
      <c r="L1947" s="238" t="s">
        <v>114</v>
      </c>
    </row>
    <row r="1948" spans="1:12" ht="15.5">
      <c r="A1948" s="180" t="s">
        <v>7</v>
      </c>
      <c r="B1948" s="250">
        <f>SUM(D1948:F1948)</f>
        <v>5170243.7523838384</v>
      </c>
      <c r="C1948" s="241">
        <f>+B1948/$B$1956</f>
        <v>0.59799205118441079</v>
      </c>
      <c r="D1948" s="242">
        <v>75309.012383838388</v>
      </c>
      <c r="E1948" s="242">
        <v>1831940.2</v>
      </c>
      <c r="F1948" s="242">
        <v>3262994.54</v>
      </c>
      <c r="H1948" s="250">
        <f>SUM(J1948:L1948)</f>
        <v>585301.43463717168</v>
      </c>
      <c r="I1948" s="241">
        <f>+H1948/$H$1956</f>
        <v>1.0059230295378394</v>
      </c>
      <c r="J1948" s="242">
        <f>+D1948-D1937</f>
        <v>3854.1846371717111</v>
      </c>
      <c r="K1948" s="849">
        <f>+E1948-E1937</f>
        <v>299012.77</v>
      </c>
      <c r="L1948" s="242">
        <f>+F1948-F1937</f>
        <v>282434.48</v>
      </c>
    </row>
    <row r="1949" spans="1:12" ht="15.5">
      <c r="A1949" s="180" t="s">
        <v>8</v>
      </c>
      <c r="B1949" s="250">
        <f t="shared" ref="B1949:B1954" si="1202">SUM(D1949:F1949)</f>
        <v>0</v>
      </c>
      <c r="C1949" s="241">
        <f t="shared" ref="C1949:C1955" si="1203">+B1949/$B$1956</f>
        <v>0</v>
      </c>
      <c r="D1949" s="242">
        <v>0</v>
      </c>
      <c r="F1949" s="242"/>
      <c r="G1949" s="32"/>
      <c r="H1949" s="250">
        <f t="shared" ref="H1949:H1954" si="1204">SUM(J1949:L1949)</f>
        <v>0</v>
      </c>
      <c r="I1949" s="241">
        <f t="shared" ref="I1949:I1954" si="1205">+H1949/$H$1956</f>
        <v>0</v>
      </c>
      <c r="J1949" s="242">
        <f t="shared" ref="J1949:J1954" si="1206">+D1949-D1938</f>
        <v>0</v>
      </c>
      <c r="K1949" s="849">
        <f>+E1949-E1938</f>
        <v>0</v>
      </c>
      <c r="L1949" s="242">
        <f t="shared" ref="L1949:L1954" si="1207">+F1949-F1938</f>
        <v>0</v>
      </c>
    </row>
    <row r="1950" spans="1:12" ht="15.5">
      <c r="A1950" s="180" t="s">
        <v>9</v>
      </c>
      <c r="B1950" s="250">
        <f t="shared" si="1202"/>
        <v>566023.63011573278</v>
      </c>
      <c r="C1950" s="241">
        <f t="shared" si="1203"/>
        <v>6.5466474658122595E-2</v>
      </c>
      <c r="D1950" s="242">
        <v>566023.63011573278</v>
      </c>
      <c r="E1950" s="242"/>
      <c r="F1950" s="242"/>
      <c r="H1950" s="250">
        <f t="shared" si="1204"/>
        <v>-176766.16155002068</v>
      </c>
      <c r="I1950" s="241">
        <f t="shared" si="1205"/>
        <v>-0.30379756860906776</v>
      </c>
      <c r="J1950" s="242">
        <f t="shared" si="1206"/>
        <v>-176766.16155002068</v>
      </c>
      <c r="K1950" s="849">
        <f t="shared" ref="K1950:K1954" si="1208">+E1950-E1939</f>
        <v>0</v>
      </c>
      <c r="L1950" s="242">
        <f t="shared" si="1207"/>
        <v>0</v>
      </c>
    </row>
    <row r="1951" spans="1:12" ht="15.5">
      <c r="A1951" s="180" t="s">
        <v>10</v>
      </c>
      <c r="B1951" s="250">
        <f t="shared" si="1202"/>
        <v>173629.15</v>
      </c>
      <c r="C1951" s="241">
        <f t="shared" si="1203"/>
        <v>2.0082003194923544E-2</v>
      </c>
      <c r="D1951" s="242">
        <v>173629.15</v>
      </c>
      <c r="E1951" s="242"/>
      <c r="F1951" s="242"/>
      <c r="H1951" s="250">
        <f t="shared" si="1204"/>
        <v>173629.15</v>
      </c>
      <c r="I1951" s="241">
        <f t="shared" si="1205"/>
        <v>0.2984061720134859</v>
      </c>
      <c r="J1951" s="242">
        <f t="shared" si="1206"/>
        <v>173629.15</v>
      </c>
      <c r="K1951" s="849">
        <f t="shared" si="1208"/>
        <v>0</v>
      </c>
      <c r="L1951" s="242">
        <f t="shared" si="1207"/>
        <v>0</v>
      </c>
    </row>
    <row r="1952" spans="1:12" ht="15.5">
      <c r="A1952" s="180" t="s">
        <v>11</v>
      </c>
      <c r="B1952" s="250">
        <f t="shared" si="1202"/>
        <v>0</v>
      </c>
      <c r="C1952" s="241">
        <f t="shared" si="1203"/>
        <v>0</v>
      </c>
      <c r="D1952" s="242">
        <v>0</v>
      </c>
      <c r="E1952" s="242"/>
      <c r="F1952" s="242"/>
      <c r="H1952" s="250">
        <f t="shared" si="1204"/>
        <v>0</v>
      </c>
      <c r="I1952" s="241">
        <f t="shared" si="1205"/>
        <v>0</v>
      </c>
      <c r="J1952" s="242">
        <f t="shared" si="1206"/>
        <v>0</v>
      </c>
      <c r="K1952" s="849">
        <f t="shared" si="1208"/>
        <v>0</v>
      </c>
      <c r="L1952" s="242">
        <f t="shared" si="1207"/>
        <v>0</v>
      </c>
    </row>
    <row r="1953" spans="1:12" ht="15.5">
      <c r="A1953" s="180" t="s">
        <v>12</v>
      </c>
      <c r="B1953" s="250">
        <f t="shared" si="1202"/>
        <v>966.66666666666663</v>
      </c>
      <c r="C1953" s="241">
        <f t="shared" si="1203"/>
        <v>1.1180497680502433E-4</v>
      </c>
      <c r="D1953" s="242">
        <v>966.66666666666663</v>
      </c>
      <c r="E1953" s="242"/>
      <c r="F1953" s="242"/>
      <c r="H1953" s="250">
        <f t="shared" si="1204"/>
        <v>-309.33333333333337</v>
      </c>
      <c r="I1953" s="241">
        <f t="shared" si="1205"/>
        <v>-5.3163294225751646E-4</v>
      </c>
      <c r="J1953" s="242">
        <f t="shared" si="1206"/>
        <v>-309.33333333333337</v>
      </c>
      <c r="K1953" s="849">
        <f t="shared" si="1208"/>
        <v>0</v>
      </c>
      <c r="L1953" s="242">
        <f t="shared" si="1207"/>
        <v>0</v>
      </c>
    </row>
    <row r="1954" spans="1:12" ht="15.5">
      <c r="A1954" s="180" t="s">
        <v>13</v>
      </c>
      <c r="B1954" s="250">
        <f t="shared" si="1202"/>
        <v>2735144.2889657775</v>
      </c>
      <c r="C1954" s="241">
        <f t="shared" si="1203"/>
        <v>0.31634766598573816</v>
      </c>
      <c r="D1954" s="242">
        <v>2735144.2889657775</v>
      </c>
      <c r="E1954" s="242">
        <v>0</v>
      </c>
      <c r="F1954" s="242">
        <v>0</v>
      </c>
      <c r="G1954" s="32"/>
      <c r="H1954" s="250">
        <f t="shared" si="1204"/>
        <v>0</v>
      </c>
      <c r="I1954" s="241">
        <f t="shared" si="1205"/>
        <v>0</v>
      </c>
      <c r="J1954" s="242">
        <f t="shared" si="1206"/>
        <v>0</v>
      </c>
      <c r="K1954" s="849">
        <f t="shared" si="1208"/>
        <v>0</v>
      </c>
      <c r="L1954" s="242">
        <f t="shared" si="1207"/>
        <v>0</v>
      </c>
    </row>
    <row r="1955" spans="1:12" ht="15.5">
      <c r="A1955" s="180"/>
      <c r="B1955" s="242">
        <v>0</v>
      </c>
      <c r="C1955" s="241">
        <f t="shared" si="1203"/>
        <v>0</v>
      </c>
      <c r="D1955" s="242"/>
      <c r="E1955" s="242"/>
      <c r="F1955" s="242"/>
      <c r="G1955" s="32"/>
      <c r="H1955" s="242">
        <v>0</v>
      </c>
      <c r="I1955" s="241">
        <v>0</v>
      </c>
      <c r="J1955" s="242"/>
      <c r="K1955" s="242"/>
      <c r="L1955" s="242"/>
    </row>
    <row r="1956" spans="1:12" ht="15.5">
      <c r="A1956" s="180"/>
      <c r="B1956" s="243">
        <f>SUM(B1948:B1955)</f>
        <v>8646007.4881320149</v>
      </c>
      <c r="C1956" s="240">
        <f>SUM(C1948:C1955)</f>
        <v>1.0000000000000002</v>
      </c>
      <c r="D1956" s="243">
        <f>SUM(D1948:D1955)</f>
        <v>3551072.7481320156</v>
      </c>
      <c r="E1956" s="243">
        <f>SUM(E1948:E1954)</f>
        <v>1831940.2</v>
      </c>
      <c r="F1956" s="243">
        <f>SUM(F1948:F1954)</f>
        <v>3262994.54</v>
      </c>
      <c r="G1956" s="32">
        <f>+B1956-B1945</f>
        <v>581855.08975381684</v>
      </c>
      <c r="H1956" s="243">
        <f>SUM(H1948:H1955)</f>
        <v>581855.08975381765</v>
      </c>
      <c r="I1956" s="240">
        <f>SUM(I1948:I1955)</f>
        <v>1</v>
      </c>
      <c r="J1956" s="243">
        <f t="shared" ref="J1956:L1956" si="1209">SUM(J1948:J1955)</f>
        <v>407.83975381768926</v>
      </c>
      <c r="K1956" s="243">
        <f t="shared" si="1209"/>
        <v>299012.77</v>
      </c>
      <c r="L1956" s="243">
        <f t="shared" si="1209"/>
        <v>282434.48</v>
      </c>
    </row>
    <row r="1957" spans="1:12" ht="16" thickBot="1">
      <c r="A1957" s="180"/>
      <c r="B1957" s="334"/>
      <c r="C1957" s="335"/>
      <c r="D1957" s="334"/>
      <c r="E1957" s="334"/>
      <c r="F1957" s="334"/>
      <c r="G1957" s="32"/>
      <c r="H1957" s="334"/>
      <c r="I1957" s="335"/>
      <c r="J1957" s="334"/>
      <c r="K1957" s="334"/>
      <c r="L1957" s="334"/>
    </row>
    <row r="1958" spans="1:12" ht="16" thickBot="1">
      <c r="A1958" s="253">
        <v>45288</v>
      </c>
      <c r="B1958" s="251">
        <v>990</v>
      </c>
      <c r="C1958" s="238" t="s">
        <v>3</v>
      </c>
      <c r="D1958" s="238" t="s">
        <v>4</v>
      </c>
      <c r="E1958" s="238" t="s">
        <v>5</v>
      </c>
      <c r="F1958" s="238" t="s">
        <v>6</v>
      </c>
      <c r="H1958" s="251">
        <f>+B1958-B1947</f>
        <v>90</v>
      </c>
      <c r="I1958" s="238" t="s">
        <v>3</v>
      </c>
      <c r="J1958" s="238" t="s">
        <v>4</v>
      </c>
      <c r="K1958" s="238" t="s">
        <v>5</v>
      </c>
      <c r="L1958" s="238" t="s">
        <v>114</v>
      </c>
    </row>
    <row r="1959" spans="1:12" ht="15.5">
      <c r="A1959" s="180" t="s">
        <v>7</v>
      </c>
      <c r="B1959" s="250">
        <f>SUM(D1959:F1959)</f>
        <v>5484171.8197171716</v>
      </c>
      <c r="C1959" s="241">
        <f>+B1959/$B$1967</f>
        <v>0.61189331709091854</v>
      </c>
      <c r="D1959" s="242">
        <v>84208.079717171713</v>
      </c>
      <c r="E1959" s="242">
        <v>1995299.59</v>
      </c>
      <c r="F1959" s="242">
        <v>3404664.15</v>
      </c>
      <c r="H1959" s="250">
        <f>SUM(J1959:L1959)</f>
        <v>313928.06733333331</v>
      </c>
      <c r="I1959" s="241">
        <f>+H1959/$H$1967</f>
        <v>0.99149813145311183</v>
      </c>
      <c r="J1959" s="242">
        <f>+D1959-D1948</f>
        <v>8899.0673333333252</v>
      </c>
      <c r="K1959" s="849">
        <f>+E1959-E1948</f>
        <v>163359.39000000013</v>
      </c>
      <c r="L1959" s="242">
        <f>+F1959-F1948</f>
        <v>141669.60999999987</v>
      </c>
    </row>
    <row r="1960" spans="1:12" ht="15.5">
      <c r="A1960" s="180" t="s">
        <v>8</v>
      </c>
      <c r="B1960" s="250">
        <f t="shared" ref="B1960:B1965" si="1210">SUM(D1960:F1960)</f>
        <v>0</v>
      </c>
      <c r="C1960" s="241">
        <f t="shared" ref="C1960:C1966" si="1211">+B1960/$B$1967</f>
        <v>0</v>
      </c>
      <c r="D1960" s="242">
        <v>0</v>
      </c>
      <c r="F1960" s="242"/>
      <c r="G1960" s="32"/>
      <c r="H1960" s="250">
        <f t="shared" ref="H1960:H1965" si="1212">SUM(J1960:L1960)</f>
        <v>0</v>
      </c>
      <c r="I1960" s="241">
        <f t="shared" ref="I1960:I1966" si="1213">+H1960/$H$1967</f>
        <v>0</v>
      </c>
      <c r="J1960" s="242">
        <f t="shared" ref="J1960:J1965" si="1214">+D1960-D1949</f>
        <v>0</v>
      </c>
      <c r="K1960" s="849">
        <f>+E1960-E1949</f>
        <v>0</v>
      </c>
      <c r="L1960" s="242">
        <f t="shared" ref="L1960:L1965" si="1215">+F1960-F1949</f>
        <v>0</v>
      </c>
    </row>
    <row r="1961" spans="1:12" ht="15.5">
      <c r="A1961" s="180" t="s">
        <v>9</v>
      </c>
      <c r="B1961" s="250">
        <f t="shared" si="1210"/>
        <v>567902.33112583379</v>
      </c>
      <c r="C1961" s="241">
        <f t="shared" si="1211"/>
        <v>6.3363376020952711E-2</v>
      </c>
      <c r="D1961" s="242">
        <v>567902.33112583379</v>
      </c>
      <c r="E1961" s="242"/>
      <c r="F1961" s="242"/>
      <c r="H1961" s="250">
        <f t="shared" si="1212"/>
        <v>1878.7010101010092</v>
      </c>
      <c r="I1961" s="241">
        <f t="shared" si="1213"/>
        <v>5.9336158021714974E-3</v>
      </c>
      <c r="J1961" s="242">
        <f t="shared" si="1214"/>
        <v>1878.7010101010092</v>
      </c>
      <c r="K1961" s="849">
        <f t="shared" ref="K1961:K1965" si="1216">+E1961-E1950</f>
        <v>0</v>
      </c>
      <c r="L1961" s="242">
        <f t="shared" si="1215"/>
        <v>0</v>
      </c>
    </row>
    <row r="1962" spans="1:12" ht="15.5">
      <c r="A1962" s="180" t="s">
        <v>10</v>
      </c>
      <c r="B1962" s="250">
        <f t="shared" si="1210"/>
        <v>174442.31</v>
      </c>
      <c r="C1962" s="241">
        <f t="shared" si="1211"/>
        <v>1.9463300424531024E-2</v>
      </c>
      <c r="D1962" s="242">
        <v>174442.31</v>
      </c>
      <c r="E1962" s="242"/>
      <c r="F1962" s="242"/>
      <c r="H1962" s="250">
        <f t="shared" si="1212"/>
        <v>813.16000000000349</v>
      </c>
      <c r="I1962" s="241">
        <f t="shared" si="1213"/>
        <v>2.5682527447166157E-3</v>
      </c>
      <c r="J1962" s="242">
        <f t="shared" si="1214"/>
        <v>813.16000000000349</v>
      </c>
      <c r="K1962" s="849">
        <f t="shared" si="1216"/>
        <v>0</v>
      </c>
      <c r="L1962" s="242">
        <f t="shared" si="1215"/>
        <v>0</v>
      </c>
    </row>
    <row r="1963" spans="1:12" ht="15.5">
      <c r="A1963" s="180" t="s">
        <v>11</v>
      </c>
      <c r="B1963" s="250">
        <f t="shared" si="1210"/>
        <v>0</v>
      </c>
      <c r="C1963" s="241">
        <f t="shared" si="1211"/>
        <v>0</v>
      </c>
      <c r="D1963" s="242">
        <v>0</v>
      </c>
      <c r="E1963" s="242"/>
      <c r="F1963" s="242"/>
      <c r="H1963" s="250">
        <f t="shared" si="1212"/>
        <v>0</v>
      </c>
      <c r="I1963" s="241">
        <f t="shared" si="1213"/>
        <v>0</v>
      </c>
      <c r="J1963" s="242">
        <f t="shared" si="1214"/>
        <v>0</v>
      </c>
      <c r="K1963" s="849">
        <f t="shared" si="1216"/>
        <v>0</v>
      </c>
      <c r="L1963" s="242">
        <f t="shared" si="1215"/>
        <v>0</v>
      </c>
    </row>
    <row r="1964" spans="1:12" ht="15.5">
      <c r="A1964" s="180" t="s">
        <v>12</v>
      </c>
      <c r="B1964" s="250">
        <f t="shared" si="1210"/>
        <v>966.66666666666663</v>
      </c>
      <c r="C1964" s="241">
        <f t="shared" si="1211"/>
        <v>1.0785527744796158E-4</v>
      </c>
      <c r="D1964" s="242">
        <v>966.66666666666663</v>
      </c>
      <c r="E1964" s="242"/>
      <c r="F1964" s="242"/>
      <c r="H1964" s="250">
        <f t="shared" si="1212"/>
        <v>0</v>
      </c>
      <c r="I1964" s="241">
        <f t="shared" si="1213"/>
        <v>0</v>
      </c>
      <c r="J1964" s="242">
        <f t="shared" si="1214"/>
        <v>0</v>
      </c>
      <c r="K1964" s="849">
        <f t="shared" si="1216"/>
        <v>0</v>
      </c>
      <c r="L1964" s="242">
        <f t="shared" si="1215"/>
        <v>0</v>
      </c>
    </row>
    <row r="1965" spans="1:12" ht="15.5">
      <c r="A1965" s="180" t="s">
        <v>13</v>
      </c>
      <c r="B1965" s="250">
        <f t="shared" si="1210"/>
        <v>2735144.2889657775</v>
      </c>
      <c r="C1965" s="241">
        <f t="shared" si="1211"/>
        <v>0.30517215118614988</v>
      </c>
      <c r="D1965" s="242">
        <v>2735144.2889657775</v>
      </c>
      <c r="E1965" s="242">
        <v>0</v>
      </c>
      <c r="F1965" s="242">
        <v>0</v>
      </c>
      <c r="G1965" s="32"/>
      <c r="H1965" s="250">
        <f t="shared" si="1212"/>
        <v>0</v>
      </c>
      <c r="I1965" s="241">
        <f t="shared" si="1213"/>
        <v>0</v>
      </c>
      <c r="J1965" s="242">
        <f t="shared" si="1214"/>
        <v>0</v>
      </c>
      <c r="K1965" s="849">
        <f t="shared" si="1216"/>
        <v>0</v>
      </c>
      <c r="L1965" s="242">
        <f t="shared" si="1215"/>
        <v>0</v>
      </c>
    </row>
    <row r="1966" spans="1:12" ht="15.5">
      <c r="A1966" s="180"/>
      <c r="B1966" s="242">
        <v>0</v>
      </c>
      <c r="C1966" s="241">
        <f t="shared" si="1211"/>
        <v>0</v>
      </c>
      <c r="D1966" s="242"/>
      <c r="E1966" s="242"/>
      <c r="F1966" s="242"/>
      <c r="G1966" s="32"/>
      <c r="H1966" s="242">
        <v>0</v>
      </c>
      <c r="I1966" s="241">
        <f t="shared" si="1213"/>
        <v>0</v>
      </c>
      <c r="J1966" s="242"/>
      <c r="K1966" s="242"/>
      <c r="L1966" s="242"/>
    </row>
    <row r="1967" spans="1:12" ht="15.5">
      <c r="A1967" s="180"/>
      <c r="B1967" s="243">
        <f>SUM(B1959:B1966)</f>
        <v>8962627.4164754488</v>
      </c>
      <c r="C1967" s="240">
        <f>SUM(C1959:C1966)</f>
        <v>1.0000000000000002</v>
      </c>
      <c r="D1967" s="243">
        <f>SUM(D1959:D1966)</f>
        <v>3562663.6764754495</v>
      </c>
      <c r="E1967" s="243">
        <f>SUM(E1959:E1965)</f>
        <v>1995299.59</v>
      </c>
      <c r="F1967" s="243">
        <f>SUM(F1959:F1965)</f>
        <v>3404664.15</v>
      </c>
      <c r="G1967" s="32">
        <f>+B1967-B1956</f>
        <v>316619.92834343389</v>
      </c>
      <c r="H1967" s="243">
        <f>SUM(H1959:H1966)</f>
        <v>316619.92834343435</v>
      </c>
      <c r="I1967" s="240">
        <f>SUM(I1959:I1966)</f>
        <v>0.99999999999999989</v>
      </c>
      <c r="J1967" s="243">
        <f t="shared" ref="J1967:L1967" si="1217">SUM(J1959:J1966)</f>
        <v>11590.928343434338</v>
      </c>
      <c r="K1967" s="243">
        <f t="shared" si="1217"/>
        <v>163359.39000000013</v>
      </c>
      <c r="L1967" s="243">
        <f t="shared" si="1217"/>
        <v>141669.60999999987</v>
      </c>
    </row>
    <row r="1969" spans="1:12" ht="16" thickBot="1">
      <c r="A1969" s="253">
        <v>45319</v>
      </c>
      <c r="B1969" s="251">
        <v>1150</v>
      </c>
      <c r="C1969" s="238" t="s">
        <v>3</v>
      </c>
      <c r="D1969" s="238" t="s">
        <v>4</v>
      </c>
      <c r="E1969" s="238" t="s">
        <v>5</v>
      </c>
      <c r="F1969" s="238" t="s">
        <v>6</v>
      </c>
      <c r="H1969" s="251">
        <f>+B1969-B1958</f>
        <v>160</v>
      </c>
      <c r="I1969" s="238" t="s">
        <v>3</v>
      </c>
      <c r="J1969" s="238" t="s">
        <v>4</v>
      </c>
      <c r="K1969" s="238" t="s">
        <v>5</v>
      </c>
      <c r="L1969" s="238" t="s">
        <v>114</v>
      </c>
    </row>
    <row r="1970" spans="1:12" ht="15.5">
      <c r="A1970" s="180" t="s">
        <v>7</v>
      </c>
      <c r="B1970" s="250">
        <f>SUM(D1970:F1970)</f>
        <v>5479846.5651739128</v>
      </c>
      <c r="C1970" s="241">
        <f>+B1970/$B$1978</f>
        <v>0.6113120405628214</v>
      </c>
      <c r="D1970" s="242">
        <v>89954.505173913029</v>
      </c>
      <c r="E1970" s="242">
        <v>1964404.41</v>
      </c>
      <c r="F1970" s="242">
        <v>3425487.65</v>
      </c>
      <c r="H1970" s="250">
        <f>SUM(J1970:L1970)</f>
        <v>-4325.2545432588522</v>
      </c>
      <c r="I1970" s="241">
        <f>+H1970/$H$1978</f>
        <v>-2.9893149575001479</v>
      </c>
      <c r="J1970" s="242">
        <f>+D1970-D1959</f>
        <v>5746.4254567413154</v>
      </c>
      <c r="K1970" s="849">
        <f>+E1970-E1959</f>
        <v>-30895.180000000168</v>
      </c>
      <c r="L1970" s="242">
        <f>+F1970-F1959</f>
        <v>20823.5</v>
      </c>
    </row>
    <row r="1971" spans="1:12" ht="15.5">
      <c r="A1971" s="180" t="s">
        <v>8</v>
      </c>
      <c r="B1971" s="250">
        <f t="shared" ref="B1971:B1976" si="1218">SUM(D1971:F1971)</f>
        <v>0</v>
      </c>
      <c r="C1971" s="241">
        <f t="shared" ref="C1971:C1976" si="1219">+B1971/$B$1978</f>
        <v>0</v>
      </c>
      <c r="D1971" s="242">
        <v>0</v>
      </c>
      <c r="F1971" s="242"/>
      <c r="G1971" s="32"/>
      <c r="H1971" s="250">
        <f t="shared" ref="H1971:H1976" si="1220">SUM(J1971:L1971)</f>
        <v>0</v>
      </c>
      <c r="I1971" s="241">
        <f t="shared" ref="I1971:I1976" si="1221">+H1971/$H$1978</f>
        <v>0</v>
      </c>
      <c r="J1971" s="242">
        <f t="shared" ref="J1971:J1976" si="1222">+D1971-D1960</f>
        <v>0</v>
      </c>
      <c r="K1971" s="849">
        <f>+E1971-E1960</f>
        <v>0</v>
      </c>
      <c r="L1971" s="242">
        <f t="shared" ref="L1971:L1976" si="1223">+F1971-F1960</f>
        <v>0</v>
      </c>
    </row>
    <row r="1972" spans="1:12" ht="15.5">
      <c r="A1972" s="180" t="s">
        <v>9</v>
      </c>
      <c r="B1972" s="250">
        <f t="shared" si="1218"/>
        <v>508982.34335068497</v>
      </c>
      <c r="C1972" s="241">
        <f t="shared" si="1219"/>
        <v>5.6780245801330932E-2</v>
      </c>
      <c r="D1972" s="242">
        <v>508982.34335068497</v>
      </c>
      <c r="E1972" s="242"/>
      <c r="F1972" s="242"/>
      <c r="H1972" s="250">
        <f t="shared" si="1220"/>
        <v>-58919.987775148824</v>
      </c>
      <c r="I1972" s="241">
        <f t="shared" si="1221"/>
        <v>-40.721395467114689</v>
      </c>
      <c r="J1972" s="242">
        <f t="shared" si="1222"/>
        <v>-58919.987775148824</v>
      </c>
      <c r="K1972" s="849">
        <f t="shared" ref="K1972:K1976" si="1224">+E1972-E1961</f>
        <v>0</v>
      </c>
      <c r="L1972" s="242">
        <f t="shared" si="1223"/>
        <v>0</v>
      </c>
    </row>
    <row r="1973" spans="1:12" ht="15.5">
      <c r="A1973" s="180" t="s">
        <v>10</v>
      </c>
      <c r="B1973" s="250">
        <f t="shared" si="1218"/>
        <v>239268.95</v>
      </c>
      <c r="C1973" s="241">
        <f t="shared" si="1219"/>
        <v>2.6691986413889968E-2</v>
      </c>
      <c r="D1973" s="242">
        <v>239268.95</v>
      </c>
      <c r="E1973" s="242"/>
      <c r="F1973" s="242"/>
      <c r="H1973" s="250">
        <f t="shared" si="1220"/>
        <v>64826.640000000014</v>
      </c>
      <c r="I1973" s="241">
        <f t="shared" si="1221"/>
        <v>44.803662456931129</v>
      </c>
      <c r="J1973" s="242">
        <f t="shared" si="1222"/>
        <v>64826.640000000014</v>
      </c>
      <c r="K1973" s="849">
        <f t="shared" si="1224"/>
        <v>0</v>
      </c>
      <c r="L1973" s="242">
        <f t="shared" si="1223"/>
        <v>0</v>
      </c>
    </row>
    <row r="1974" spans="1:12" ht="15.5">
      <c r="A1974" s="180" t="s">
        <v>11</v>
      </c>
      <c r="B1974" s="250">
        <f t="shared" si="1218"/>
        <v>0</v>
      </c>
      <c r="C1974" s="241">
        <f t="shared" si="1219"/>
        <v>0</v>
      </c>
      <c r="D1974" s="242">
        <v>0</v>
      </c>
      <c r="E1974" s="242"/>
      <c r="F1974" s="242"/>
      <c r="H1974" s="250">
        <f t="shared" si="1220"/>
        <v>0</v>
      </c>
      <c r="I1974" s="241">
        <f t="shared" si="1221"/>
        <v>0</v>
      </c>
      <c r="J1974" s="242">
        <f t="shared" si="1222"/>
        <v>0</v>
      </c>
      <c r="K1974" s="849">
        <f t="shared" si="1224"/>
        <v>0</v>
      </c>
      <c r="L1974" s="242">
        <f t="shared" si="1223"/>
        <v>0</v>
      </c>
    </row>
    <row r="1975" spans="1:12" ht="15.5">
      <c r="A1975" s="180" t="s">
        <v>12</v>
      </c>
      <c r="B1975" s="250">
        <f t="shared" si="1218"/>
        <v>832.17391304347825</v>
      </c>
      <c r="C1975" s="241">
        <f t="shared" si="1219"/>
        <v>9.2834338851531604E-5</v>
      </c>
      <c r="D1975" s="242">
        <v>832.17391304347825</v>
      </c>
      <c r="E1975" s="242"/>
      <c r="F1975" s="242"/>
      <c r="H1975" s="250">
        <f t="shared" si="1220"/>
        <v>-134.49275362318838</v>
      </c>
      <c r="I1975" s="241">
        <f t="shared" si="1221"/>
        <v>-9.2952032316290512E-2</v>
      </c>
      <c r="J1975" s="242">
        <f t="shared" si="1222"/>
        <v>-134.49275362318838</v>
      </c>
      <c r="K1975" s="849">
        <f t="shared" si="1224"/>
        <v>0</v>
      </c>
      <c r="L1975" s="242">
        <f t="shared" si="1223"/>
        <v>0</v>
      </c>
    </row>
    <row r="1976" spans="1:12" ht="15.5">
      <c r="A1976" s="180" t="s">
        <v>13</v>
      </c>
      <c r="B1976" s="250">
        <f t="shared" si="1218"/>
        <v>2735144.2889657775</v>
      </c>
      <c r="C1976" s="241">
        <f t="shared" si="1219"/>
        <v>0.30512289288310607</v>
      </c>
      <c r="D1976" s="242">
        <v>2735144.2889657775</v>
      </c>
      <c r="E1976" s="242">
        <v>0</v>
      </c>
      <c r="F1976" s="242">
        <v>0</v>
      </c>
      <c r="G1976" s="32"/>
      <c r="H1976" s="250">
        <f t="shared" si="1220"/>
        <v>0</v>
      </c>
      <c r="I1976" s="241">
        <f t="shared" si="1221"/>
        <v>0</v>
      </c>
      <c r="J1976" s="242">
        <f t="shared" si="1222"/>
        <v>0</v>
      </c>
      <c r="K1976" s="849">
        <f t="shared" si="1224"/>
        <v>0</v>
      </c>
      <c r="L1976" s="242">
        <f t="shared" si="1223"/>
        <v>0</v>
      </c>
    </row>
    <row r="1977" spans="1:12" ht="15.5">
      <c r="A1977" s="180"/>
      <c r="B1977" s="242">
        <v>0</v>
      </c>
      <c r="C1977" s="241">
        <f t="shared" ref="C1977" si="1225">+B1977/$B$1967</f>
        <v>0</v>
      </c>
      <c r="D1977" s="242"/>
      <c r="E1977" s="242"/>
      <c r="F1977" s="242"/>
      <c r="G1977" s="32"/>
      <c r="H1977" s="242">
        <v>0</v>
      </c>
      <c r="I1977" s="241">
        <f t="shared" ref="I1977" si="1226">+H1977/$H$1967</f>
        <v>0</v>
      </c>
      <c r="J1977" s="242"/>
      <c r="K1977" s="242"/>
      <c r="L1977" s="242"/>
    </row>
    <row r="1978" spans="1:12" ht="15.5">
      <c r="A1978" s="180"/>
      <c r="B1978" s="243">
        <f>SUM(B1970:B1977)</f>
        <v>8964074.3214034196</v>
      </c>
      <c r="C1978" s="240">
        <f>SUM(C1970:C1977)</f>
        <v>0.99999999999999978</v>
      </c>
      <c r="D1978" s="243">
        <f>SUM(D1970:D1977)</f>
        <v>3574182.2614034191</v>
      </c>
      <c r="E1978" s="243">
        <f>SUM(E1970:E1976)</f>
        <v>1964404.41</v>
      </c>
      <c r="F1978" s="243">
        <f>SUM(F1970:F1976)</f>
        <v>3425487.65</v>
      </c>
      <c r="G1978" s="32">
        <f>+B1978-B1967</f>
        <v>1446.9049279708415</v>
      </c>
      <c r="H1978" s="243">
        <f>SUM(H1970:H1977)</f>
        <v>1446.9049279691494</v>
      </c>
      <c r="I1978" s="240">
        <f>SUM(I1970:I1977)</f>
        <v>1</v>
      </c>
      <c r="J1978" s="243">
        <f t="shared" ref="J1978:L1978" si="1227">SUM(J1970:J1977)</f>
        <v>11518.584927969318</v>
      </c>
      <c r="K1978" s="243">
        <f t="shared" si="1227"/>
        <v>-30895.180000000168</v>
      </c>
      <c r="L1978" s="243">
        <f t="shared" si="1227"/>
        <v>20823.5</v>
      </c>
    </row>
    <row r="1979" spans="1:12" ht="16" thickBot="1">
      <c r="A1979" s="180"/>
      <c r="B1979" s="334"/>
      <c r="C1979" s="335"/>
      <c r="D1979" s="334"/>
      <c r="E1979" s="334"/>
      <c r="F1979" s="334"/>
      <c r="G1979" s="32"/>
      <c r="H1979" s="334"/>
      <c r="I1979" s="335"/>
      <c r="J1979" s="334"/>
      <c r="K1979" s="334"/>
      <c r="L1979" s="334"/>
    </row>
    <row r="1980" spans="1:12" ht="16" thickBot="1">
      <c r="A1980" s="253">
        <v>45350</v>
      </c>
      <c r="B1980" s="251">
        <v>1000</v>
      </c>
      <c r="C1980" s="238" t="s">
        <v>3</v>
      </c>
      <c r="D1980" s="238" t="s">
        <v>4</v>
      </c>
      <c r="E1980" s="238" t="s">
        <v>5</v>
      </c>
      <c r="F1980" s="238" t="s">
        <v>6</v>
      </c>
      <c r="H1980" s="251">
        <f>+B1980-B1969</f>
        <v>-150</v>
      </c>
      <c r="I1980" s="238" t="s">
        <v>3</v>
      </c>
      <c r="J1980" s="238" t="s">
        <v>4</v>
      </c>
      <c r="K1980" s="238" t="s">
        <v>5</v>
      </c>
      <c r="L1980" s="238" t="s">
        <v>114</v>
      </c>
    </row>
    <row r="1981" spans="1:12" ht="15.5">
      <c r="A1981" s="180" t="s">
        <v>7</v>
      </c>
      <c r="B1981" s="250">
        <f>SUM(D1981:F1981)</f>
        <v>5730266.6590500008</v>
      </c>
      <c r="C1981" s="241">
        <f>+B1981/$B$1978</f>
        <v>0.63924800861678577</v>
      </c>
      <c r="D1981" s="242">
        <v>83328.839049999995</v>
      </c>
      <c r="E1981" s="242">
        <v>2105354.91</v>
      </c>
      <c r="F1981" s="242">
        <v>3541582.91</v>
      </c>
      <c r="H1981" s="250">
        <f>SUM(J1981:L1981)</f>
        <v>250420.09387608746</v>
      </c>
      <c r="I1981" s="241">
        <f>+H1981/$H$1978</f>
        <v>173.07294282809082</v>
      </c>
      <c r="J1981" s="242">
        <f>+D1981-D1970</f>
        <v>-6625.6661239130335</v>
      </c>
      <c r="K1981" s="849">
        <f>+E1981-E1970</f>
        <v>140950.50000000023</v>
      </c>
      <c r="L1981" s="242">
        <f>+F1981-F1970</f>
        <v>116095.26000000024</v>
      </c>
    </row>
    <row r="1982" spans="1:12" ht="15.5">
      <c r="A1982" s="180" t="s">
        <v>8</v>
      </c>
      <c r="B1982" s="250">
        <f t="shared" ref="B1982:B1987" si="1228">SUM(D1982:F1982)</f>
        <v>0</v>
      </c>
      <c r="C1982" s="241">
        <f t="shared" ref="C1982:C1987" si="1229">+B1982/$B$1978</f>
        <v>0</v>
      </c>
      <c r="D1982" s="242">
        <v>0</v>
      </c>
      <c r="F1982" s="242"/>
      <c r="G1982" s="32"/>
      <c r="H1982" s="250">
        <f t="shared" ref="H1982:H1987" si="1230">SUM(J1982:L1982)</f>
        <v>0</v>
      </c>
      <c r="I1982" s="241">
        <f t="shared" ref="I1982:I1987" si="1231">+H1982/$H$1978</f>
        <v>0</v>
      </c>
      <c r="J1982" s="242">
        <f t="shared" ref="J1982:J1987" si="1232">+D1982-D1971</f>
        <v>0</v>
      </c>
      <c r="K1982" s="849">
        <f>+E1982-E1971</f>
        <v>0</v>
      </c>
      <c r="L1982" s="242">
        <f t="shared" ref="L1982:L1987" si="1233">+F1982-F1971</f>
        <v>0</v>
      </c>
    </row>
    <row r="1983" spans="1:12" ht="15.5">
      <c r="A1983" s="180" t="s">
        <v>9</v>
      </c>
      <c r="B1983" s="250">
        <f t="shared" si="1228"/>
        <v>513170.81954116118</v>
      </c>
      <c r="C1983" s="241">
        <f t="shared" si="1229"/>
        <v>5.7247497191747841E-2</v>
      </c>
      <c r="D1983" s="242">
        <v>513170.81954116118</v>
      </c>
      <c r="E1983" s="242"/>
      <c r="F1983" s="242"/>
      <c r="H1983" s="250">
        <f t="shared" si="1230"/>
        <v>4188.4761904762127</v>
      </c>
      <c r="I1983" s="241">
        <f t="shared" si="1231"/>
        <v>2.8947832780935268</v>
      </c>
      <c r="J1983" s="242">
        <f t="shared" si="1232"/>
        <v>4188.4761904762127</v>
      </c>
      <c r="K1983" s="849">
        <f t="shared" ref="K1983:K1987" si="1234">+E1983-E1972</f>
        <v>0</v>
      </c>
      <c r="L1983" s="242">
        <f t="shared" si="1233"/>
        <v>0</v>
      </c>
    </row>
    <row r="1984" spans="1:12" ht="15.5">
      <c r="A1984" s="180" t="s">
        <v>10</v>
      </c>
      <c r="B1984" s="250">
        <f t="shared" si="1228"/>
        <v>239268.95</v>
      </c>
      <c r="C1984" s="241">
        <f t="shared" si="1229"/>
        <v>2.6691986413889968E-2</v>
      </c>
      <c r="D1984" s="242">
        <v>239268.95</v>
      </c>
      <c r="E1984" s="242"/>
      <c r="F1984" s="242"/>
      <c r="H1984" s="250">
        <f t="shared" si="1230"/>
        <v>0</v>
      </c>
      <c r="I1984" s="241">
        <f t="shared" si="1231"/>
        <v>0</v>
      </c>
      <c r="J1984" s="242">
        <f t="shared" si="1232"/>
        <v>0</v>
      </c>
      <c r="K1984" s="849">
        <f t="shared" si="1234"/>
        <v>0</v>
      </c>
      <c r="L1984" s="242">
        <f t="shared" si="1233"/>
        <v>0</v>
      </c>
    </row>
    <row r="1985" spans="1:12" ht="15.5">
      <c r="A1985" s="180" t="s">
        <v>11</v>
      </c>
      <c r="B1985" s="250">
        <f t="shared" si="1228"/>
        <v>0</v>
      </c>
      <c r="C1985" s="241">
        <f t="shared" si="1229"/>
        <v>0</v>
      </c>
      <c r="D1985" s="242">
        <v>0</v>
      </c>
      <c r="E1985" s="242"/>
      <c r="F1985" s="242"/>
      <c r="H1985" s="250">
        <f t="shared" si="1230"/>
        <v>0</v>
      </c>
      <c r="I1985" s="241">
        <f t="shared" si="1231"/>
        <v>0</v>
      </c>
      <c r="J1985" s="242">
        <f t="shared" si="1232"/>
        <v>0</v>
      </c>
      <c r="K1985" s="849">
        <f t="shared" si="1234"/>
        <v>0</v>
      </c>
      <c r="L1985" s="242">
        <f t="shared" si="1233"/>
        <v>0</v>
      </c>
    </row>
    <row r="1986" spans="1:12" ht="15.5">
      <c r="A1986" s="180" t="s">
        <v>12</v>
      </c>
      <c r="B1986" s="250">
        <f t="shared" si="1228"/>
        <v>911.42857142857144</v>
      </c>
      <c r="C1986" s="241">
        <f t="shared" si="1229"/>
        <v>1.0167570445643938E-4</v>
      </c>
      <c r="D1986" s="242">
        <v>911.42857142857144</v>
      </c>
      <c r="E1986" s="242"/>
      <c r="F1986" s="242"/>
      <c r="H1986" s="250">
        <f t="shared" si="1230"/>
        <v>79.254658385093194</v>
      </c>
      <c r="I1986" s="241">
        <f t="shared" si="1231"/>
        <v>5.4775304757814086E-2</v>
      </c>
      <c r="J1986" s="242">
        <f t="shared" si="1232"/>
        <v>79.254658385093194</v>
      </c>
      <c r="K1986" s="849">
        <f t="shared" si="1234"/>
        <v>0</v>
      </c>
      <c r="L1986" s="242">
        <f t="shared" si="1233"/>
        <v>0</v>
      </c>
    </row>
    <row r="1987" spans="1:12" ht="15.5">
      <c r="A1987" s="180" t="s">
        <v>13</v>
      </c>
      <c r="B1987" s="250">
        <f t="shared" si="1228"/>
        <v>2735144.2889657775</v>
      </c>
      <c r="C1987" s="241">
        <f t="shared" si="1229"/>
        <v>0.30512289288310607</v>
      </c>
      <c r="D1987" s="242">
        <v>2735144.2889657775</v>
      </c>
      <c r="E1987" s="242">
        <v>0</v>
      </c>
      <c r="F1987" s="242">
        <v>0</v>
      </c>
      <c r="G1987" s="32"/>
      <c r="H1987" s="250">
        <f t="shared" si="1230"/>
        <v>0</v>
      </c>
      <c r="I1987" s="241">
        <f t="shared" si="1231"/>
        <v>0</v>
      </c>
      <c r="J1987" s="242">
        <f t="shared" si="1232"/>
        <v>0</v>
      </c>
      <c r="K1987" s="849">
        <f t="shared" si="1234"/>
        <v>0</v>
      </c>
      <c r="L1987" s="242">
        <f t="shared" si="1233"/>
        <v>0</v>
      </c>
    </row>
    <row r="1988" spans="1:12" ht="15.5">
      <c r="A1988" s="180"/>
      <c r="B1988" s="242">
        <v>0</v>
      </c>
      <c r="C1988" s="241">
        <f t="shared" ref="C1988" si="1235">+B1988/$B$1967</f>
        <v>0</v>
      </c>
      <c r="D1988" s="242"/>
      <c r="E1988" s="242"/>
      <c r="F1988" s="242"/>
      <c r="G1988" s="32"/>
      <c r="H1988" s="242">
        <v>0</v>
      </c>
      <c r="I1988" s="241">
        <f t="shared" ref="I1988" si="1236">+H1988/$H$1967</f>
        <v>0</v>
      </c>
      <c r="J1988" s="242"/>
      <c r="K1988" s="242"/>
      <c r="L1988" s="242"/>
    </row>
    <row r="1989" spans="1:12" ht="15.5">
      <c r="A1989" s="180"/>
      <c r="B1989" s="243">
        <f>SUM(B1981:B1988)</f>
        <v>9218762.1461283676</v>
      </c>
      <c r="C1989" s="240">
        <f>SUM(C1981:C1988)</f>
        <v>1.028412060809986</v>
      </c>
      <c r="D1989" s="243">
        <f>SUM(D1981:D1988)</f>
        <v>3571824.3261283673</v>
      </c>
      <c r="E1989" s="243">
        <f>SUM(E1981:E1987)</f>
        <v>2105354.91</v>
      </c>
      <c r="F1989" s="243">
        <f>SUM(F1981:F1987)</f>
        <v>3541582.91</v>
      </c>
      <c r="G1989" s="32">
        <f>+B1989-B1978</f>
        <v>254687.82472494803</v>
      </c>
      <c r="H1989" s="243">
        <f>SUM(H1981:H1988)</f>
        <v>254687.82472494876</v>
      </c>
      <c r="I1989" s="240">
        <f>SUM(I1981:I1988)</f>
        <v>176.02250141094214</v>
      </c>
      <c r="J1989" s="243">
        <f t="shared" ref="J1989:L1989" si="1237">SUM(J1981:J1988)</f>
        <v>-2357.9352750517278</v>
      </c>
      <c r="K1989" s="243">
        <f t="shared" si="1237"/>
        <v>140950.50000000023</v>
      </c>
      <c r="L1989" s="243">
        <f t="shared" si="1237"/>
        <v>116095.26000000024</v>
      </c>
    </row>
    <row r="1990" spans="1:12" ht="16" thickBot="1">
      <c r="A1990" s="180"/>
      <c r="B1990" s="334"/>
      <c r="C1990" s="335"/>
      <c r="D1990" s="334"/>
      <c r="E1990" s="334"/>
      <c r="F1990" s="334"/>
      <c r="G1990" s="32"/>
      <c r="H1990" s="334"/>
      <c r="I1990" s="335"/>
      <c r="J1990" s="334"/>
      <c r="K1990" s="334"/>
      <c r="L1990" s="334"/>
    </row>
    <row r="1991" spans="1:12" ht="16" thickBot="1">
      <c r="A1991" s="253">
        <v>45379</v>
      </c>
      <c r="B1991" s="251">
        <v>1000</v>
      </c>
      <c r="C1991" s="238" t="s">
        <v>3</v>
      </c>
      <c r="D1991" s="238" t="s">
        <v>4</v>
      </c>
      <c r="E1991" s="238" t="s">
        <v>5</v>
      </c>
      <c r="F1991" s="238" t="s">
        <v>6</v>
      </c>
      <c r="H1991" s="251">
        <f>+B1991-B1980</f>
        <v>0</v>
      </c>
      <c r="I1991" s="238" t="s">
        <v>3</v>
      </c>
      <c r="J1991" s="238" t="s">
        <v>4</v>
      </c>
      <c r="K1991" s="238" t="s">
        <v>5</v>
      </c>
      <c r="L1991" s="238" t="s">
        <v>114</v>
      </c>
    </row>
    <row r="1992" spans="1:12" ht="15.5">
      <c r="A1992" s="180" t="s">
        <v>7</v>
      </c>
      <c r="B1992" s="250">
        <f>SUM(D1992:F1992)</f>
        <v>6059646.693</v>
      </c>
      <c r="C1992" s="241">
        <f>+B1992/$B$2000</f>
        <v>0.63335865881836939</v>
      </c>
      <c r="D1992" s="242">
        <v>92478.172999999995</v>
      </c>
      <c r="E1992" s="242">
        <v>2342451</v>
      </c>
      <c r="F1992" s="242">
        <v>3624717.52</v>
      </c>
      <c r="H1992" s="250">
        <f>SUM(J1992:L1992)</f>
        <v>329380.03394999972</v>
      </c>
      <c r="I1992" s="241">
        <f>+H1992/$H$2000</f>
        <v>0.94454426637466193</v>
      </c>
      <c r="J1992" s="242">
        <f>+D1992-D1981</f>
        <v>9149.3339500000002</v>
      </c>
      <c r="K1992" s="849">
        <f>+E1992-E1981</f>
        <v>237096.08999999985</v>
      </c>
      <c r="L1992" s="242">
        <f>+F1992-F1981</f>
        <v>83134.60999999987</v>
      </c>
    </row>
    <row r="1993" spans="1:12" ht="15.5">
      <c r="A1993" s="180" t="s">
        <v>8</v>
      </c>
      <c r="B1993" s="250">
        <f t="shared" ref="B1993:B1998" si="1238">SUM(D1993:F1993)</f>
        <v>0</v>
      </c>
      <c r="C1993" s="241">
        <f t="shared" ref="C1993:C1998" si="1239">+B1993/$B$2000</f>
        <v>0</v>
      </c>
      <c r="D1993" s="242">
        <v>0</v>
      </c>
      <c r="F1993" s="242"/>
      <c r="G1993" s="32"/>
      <c r="H1993" s="250">
        <f t="shared" ref="H1993:H1998" si="1240">SUM(J1993:L1993)</f>
        <v>0</v>
      </c>
      <c r="I1993" s="241">
        <f t="shared" ref="I1993:I1999" si="1241">+H1993/$H$2000</f>
        <v>0</v>
      </c>
      <c r="J1993" s="242">
        <f t="shared" ref="J1993:J1998" si="1242">+D1993-D1982</f>
        <v>0</v>
      </c>
      <c r="K1993" s="849">
        <f>+E1993-E1982</f>
        <v>0</v>
      </c>
      <c r="L1993" s="242">
        <f t="shared" ref="L1993:L1998" si="1243">+F1993-F1982</f>
        <v>0</v>
      </c>
    </row>
    <row r="1994" spans="1:12" ht="15.5">
      <c r="A1994" s="180" t="s">
        <v>9</v>
      </c>
      <c r="B1994" s="250">
        <f t="shared" si="1238"/>
        <v>530464.54684383562</v>
      </c>
      <c r="C1994" s="241">
        <f t="shared" si="1239"/>
        <v>5.544453842957834E-2</v>
      </c>
      <c r="D1994" s="242">
        <v>530464.54684383562</v>
      </c>
      <c r="E1994" s="242"/>
      <c r="F1994" s="242"/>
      <c r="H1994" s="250">
        <f t="shared" si="1240"/>
        <v>17293.727302674437</v>
      </c>
      <c r="I1994" s="241">
        <f t="shared" si="1241"/>
        <v>4.9592231721209044E-2</v>
      </c>
      <c r="J1994" s="242">
        <f t="shared" si="1242"/>
        <v>17293.727302674437</v>
      </c>
      <c r="K1994" s="849">
        <f t="shared" ref="K1994:K1998" si="1244">+E1994-E1983</f>
        <v>0</v>
      </c>
      <c r="L1994" s="242">
        <f t="shared" si="1243"/>
        <v>0</v>
      </c>
    </row>
    <row r="1995" spans="1:12" ht="15.5">
      <c r="A1995" s="180" t="s">
        <v>10</v>
      </c>
      <c r="B1995" s="250">
        <f t="shared" si="1238"/>
        <v>241268.09</v>
      </c>
      <c r="C1995" s="241">
        <f t="shared" si="1239"/>
        <v>2.5217515416301784E-2</v>
      </c>
      <c r="D1995" s="242">
        <v>241268.09</v>
      </c>
      <c r="E1995" s="242"/>
      <c r="F1995" s="242"/>
      <c r="H1995" s="250">
        <f t="shared" si="1240"/>
        <v>1999.1399999999849</v>
      </c>
      <c r="I1995" s="241">
        <f t="shared" si="1241"/>
        <v>5.7328193273757143E-3</v>
      </c>
      <c r="J1995" s="242">
        <f t="shared" si="1242"/>
        <v>1999.1399999999849</v>
      </c>
      <c r="K1995" s="849">
        <f t="shared" si="1244"/>
        <v>0</v>
      </c>
      <c r="L1995" s="242">
        <f t="shared" si="1243"/>
        <v>0</v>
      </c>
    </row>
    <row r="1996" spans="1:12" ht="15.5">
      <c r="A1996" s="180" t="s">
        <v>11</v>
      </c>
      <c r="B1996" s="250">
        <f t="shared" si="1238"/>
        <v>0</v>
      </c>
      <c r="C1996" s="241">
        <f t="shared" si="1239"/>
        <v>0</v>
      </c>
      <c r="D1996" s="242">
        <v>0</v>
      </c>
      <c r="E1996" s="242"/>
      <c r="F1996" s="242"/>
      <c r="H1996" s="250">
        <f t="shared" si="1240"/>
        <v>0</v>
      </c>
      <c r="I1996" s="241">
        <f t="shared" si="1241"/>
        <v>0</v>
      </c>
      <c r="J1996" s="242">
        <f t="shared" si="1242"/>
        <v>0</v>
      </c>
      <c r="K1996" s="849">
        <f t="shared" si="1244"/>
        <v>0</v>
      </c>
      <c r="L1996" s="242">
        <f t="shared" si="1243"/>
        <v>0</v>
      </c>
    </row>
    <row r="1997" spans="1:12" ht="15.5">
      <c r="A1997" s="180" t="s">
        <v>12</v>
      </c>
      <c r="B1997" s="250">
        <f t="shared" si="1238"/>
        <v>957</v>
      </c>
      <c r="C1997" s="241">
        <f t="shared" si="1239"/>
        <v>1.0002633275457524E-4</v>
      </c>
      <c r="D1997" s="242">
        <v>957</v>
      </c>
      <c r="E1997" s="242"/>
      <c r="F1997" s="242"/>
      <c r="H1997" s="250">
        <f t="shared" si="1240"/>
        <v>45.571428571428555</v>
      </c>
      <c r="I1997" s="241">
        <f t="shared" si="1241"/>
        <v>1.3068257675320861E-4</v>
      </c>
      <c r="J1997" s="242">
        <f t="shared" si="1242"/>
        <v>45.571428571428555</v>
      </c>
      <c r="K1997" s="849">
        <f t="shared" si="1244"/>
        <v>0</v>
      </c>
      <c r="L1997" s="242">
        <f t="shared" si="1243"/>
        <v>0</v>
      </c>
    </row>
    <row r="1998" spans="1:12" ht="15.5">
      <c r="A1998" s="180" t="s">
        <v>13</v>
      </c>
      <c r="B1998" s="250">
        <f t="shared" si="1238"/>
        <v>2735144.2889657775</v>
      </c>
      <c r="C1998" s="241">
        <f t="shared" si="1239"/>
        <v>0.28587926100299582</v>
      </c>
      <c r="D1998" s="242">
        <v>2735144.2889657775</v>
      </c>
      <c r="E1998" s="242">
        <v>0</v>
      </c>
      <c r="F1998" s="242">
        <v>0</v>
      </c>
      <c r="G1998" s="32"/>
      <c r="H1998" s="250">
        <f t="shared" si="1240"/>
        <v>0</v>
      </c>
      <c r="I1998" s="241">
        <f t="shared" si="1241"/>
        <v>0</v>
      </c>
      <c r="J1998" s="242">
        <f t="shared" si="1242"/>
        <v>0</v>
      </c>
      <c r="K1998" s="849">
        <f t="shared" si="1244"/>
        <v>0</v>
      </c>
      <c r="L1998" s="242">
        <f t="shared" si="1243"/>
        <v>0</v>
      </c>
    </row>
    <row r="1999" spans="1:12" ht="15.5">
      <c r="A1999" s="180"/>
      <c r="B1999" s="242">
        <v>0</v>
      </c>
      <c r="C1999" s="241">
        <f t="shared" ref="C1999" si="1245">+B1999/$B$1967</f>
        <v>0</v>
      </c>
      <c r="D1999" s="242"/>
      <c r="E1999" s="242"/>
      <c r="F1999" s="242"/>
      <c r="G1999" s="32"/>
      <c r="H1999" s="242">
        <v>0</v>
      </c>
      <c r="I1999" s="241">
        <f t="shared" si="1241"/>
        <v>0</v>
      </c>
      <c r="J1999" s="242"/>
      <c r="K1999" s="242"/>
      <c r="L1999" s="242"/>
    </row>
    <row r="2000" spans="1:12" ht="15.5">
      <c r="A2000" s="180"/>
      <c r="B2000" s="243">
        <f>SUM(B1992:B1999)</f>
        <v>9567480.6188096143</v>
      </c>
      <c r="C2000" s="240">
        <f>SUM(C1992:C1999)</f>
        <v>0.99999999999999978</v>
      </c>
      <c r="D2000" s="243">
        <f>SUM(D1992:D1999)</f>
        <v>3600312.0988096129</v>
      </c>
      <c r="E2000" s="243">
        <f>SUM(E1992:E1998)</f>
        <v>2342451</v>
      </c>
      <c r="F2000" s="243">
        <f>SUM(F1992:F1998)</f>
        <v>3624717.52</v>
      </c>
      <c r="G2000" s="32">
        <f>+B2000-B1989</f>
        <v>348718.4726812467</v>
      </c>
      <c r="H2000" s="243">
        <f>SUM(H1992:H1999)</f>
        <v>348718.47268124559</v>
      </c>
      <c r="I2000" s="240">
        <f>SUM(I1992:I1999)</f>
        <v>0.99999999999999989</v>
      </c>
      <c r="J2000" s="243">
        <f t="shared" ref="J2000:L2000" si="1246">SUM(J1992:J1999)</f>
        <v>28487.77268124585</v>
      </c>
      <c r="K2000" s="243">
        <f t="shared" si="1246"/>
        <v>237096.08999999985</v>
      </c>
      <c r="L2000" s="243">
        <f t="shared" si="1246"/>
        <v>83134.60999999987</v>
      </c>
    </row>
    <row r="2002" spans="1:12" ht="16" thickBot="1">
      <c r="A2002" s="253">
        <v>45410</v>
      </c>
      <c r="B2002" s="251">
        <v>1000</v>
      </c>
      <c r="C2002" s="238" t="s">
        <v>3</v>
      </c>
      <c r="D2002" s="238" t="s">
        <v>4</v>
      </c>
      <c r="E2002" s="238" t="s">
        <v>5</v>
      </c>
      <c r="F2002" s="238" t="s">
        <v>6</v>
      </c>
      <c r="H2002" s="251">
        <f>+B2002-B1991</f>
        <v>0</v>
      </c>
      <c r="I2002" s="238" t="s">
        <v>3</v>
      </c>
      <c r="J2002" s="238" t="s">
        <v>4</v>
      </c>
      <c r="K2002" s="238" t="s">
        <v>5</v>
      </c>
      <c r="L2002" s="238" t="s">
        <v>114</v>
      </c>
    </row>
    <row r="2003" spans="1:12" ht="15.5">
      <c r="A2003" s="180" t="s">
        <v>7</v>
      </c>
      <c r="B2003" s="250">
        <f>SUM(D2003:F2003)</f>
        <v>6089954.19355</v>
      </c>
      <c r="C2003" s="241">
        <f>+B2003/$B$2000</f>
        <v>0.63652642071489374</v>
      </c>
      <c r="D2003" s="242">
        <v>92045.083549999996</v>
      </c>
      <c r="E2003" s="242">
        <v>2521459.2000000002</v>
      </c>
      <c r="F2003" s="242">
        <v>3476449.91</v>
      </c>
      <c r="H2003" s="250">
        <f>SUM(J2003:L2003)</f>
        <v>30307.500550000317</v>
      </c>
      <c r="I2003" s="241">
        <f>+H2003/$H$2000</f>
        <v>8.6911084224963353E-2</v>
      </c>
      <c r="J2003" s="242">
        <f>+D2003-D1992</f>
        <v>-433.08944999999949</v>
      </c>
      <c r="K2003" s="849">
        <f>+E2003-E1992</f>
        <v>179008.20000000019</v>
      </c>
      <c r="L2003" s="242">
        <f>+F2003-F1992</f>
        <v>-148267.60999999987</v>
      </c>
    </row>
    <row r="2004" spans="1:12" ht="15.5">
      <c r="A2004" s="180" t="s">
        <v>8</v>
      </c>
      <c r="B2004" s="250">
        <f t="shared" ref="B2004:B2009" si="1247">SUM(D2004:F2004)</f>
        <v>0</v>
      </c>
      <c r="C2004" s="241">
        <f t="shared" ref="C2004:C2009" si="1248">+B2004/$B$2000</f>
        <v>0</v>
      </c>
      <c r="D2004" s="242">
        <v>0</v>
      </c>
      <c r="F2004" s="242"/>
      <c r="G2004" s="32"/>
      <c r="H2004" s="250">
        <f t="shared" ref="H2004:H2009" si="1249">SUM(J2004:L2004)</f>
        <v>0</v>
      </c>
      <c r="I2004" s="241">
        <f t="shared" ref="I2004:I2010" si="1250">+H2004/$H$2000</f>
        <v>0</v>
      </c>
      <c r="J2004" s="242">
        <f t="shared" ref="J2004:J2009" si="1251">+D2004-D1993</f>
        <v>0</v>
      </c>
      <c r="K2004" s="849">
        <f>+E2004-E1993</f>
        <v>0</v>
      </c>
      <c r="L2004" s="242">
        <f t="shared" ref="L2004:L2009" si="1252">+F2004-F1993</f>
        <v>0</v>
      </c>
    </row>
    <row r="2005" spans="1:12" ht="15.5">
      <c r="A2005" s="180" t="s">
        <v>9</v>
      </c>
      <c r="B2005" s="250">
        <f t="shared" si="1247"/>
        <v>533231.84684383566</v>
      </c>
      <c r="C2005" s="241">
        <f t="shared" si="1248"/>
        <v>5.5733778628775564E-2</v>
      </c>
      <c r="D2005" s="242">
        <v>533231.84684383566</v>
      </c>
      <c r="E2005" s="242"/>
      <c r="F2005" s="242"/>
      <c r="H2005" s="250">
        <f t="shared" si="1249"/>
        <v>2767.3000000000466</v>
      </c>
      <c r="I2005" s="241">
        <f t="shared" si="1250"/>
        <v>7.9356277822699769E-3</v>
      </c>
      <c r="J2005" s="242">
        <f t="shared" si="1251"/>
        <v>2767.3000000000466</v>
      </c>
      <c r="K2005" s="849">
        <f t="shared" ref="K2005:K2009" si="1253">+E2005-E1994</f>
        <v>0</v>
      </c>
      <c r="L2005" s="242">
        <f t="shared" si="1252"/>
        <v>0</v>
      </c>
    </row>
    <row r="2006" spans="1:12" ht="15.5">
      <c r="A2006" s="180" t="s">
        <v>10</v>
      </c>
      <c r="B2006" s="250">
        <f t="shared" si="1247"/>
        <v>242268.94</v>
      </c>
      <c r="C2006" s="241">
        <f t="shared" si="1248"/>
        <v>2.5322124982798563E-2</v>
      </c>
      <c r="D2006" s="242">
        <v>242268.94</v>
      </c>
      <c r="E2006" s="242"/>
      <c r="F2006" s="242"/>
      <c r="H2006" s="250">
        <f t="shared" si="1249"/>
        <v>1000.8500000000058</v>
      </c>
      <c r="I2006" s="241">
        <f t="shared" si="1250"/>
        <v>2.8700802464079857E-3</v>
      </c>
      <c r="J2006" s="242">
        <f t="shared" si="1251"/>
        <v>1000.8500000000058</v>
      </c>
      <c r="K2006" s="849">
        <f t="shared" si="1253"/>
        <v>0</v>
      </c>
      <c r="L2006" s="242">
        <f t="shared" si="1252"/>
        <v>0</v>
      </c>
    </row>
    <row r="2007" spans="1:12" ht="15.5">
      <c r="A2007" s="180" t="s">
        <v>11</v>
      </c>
      <c r="B2007" s="250">
        <f t="shared" si="1247"/>
        <v>0</v>
      </c>
      <c r="C2007" s="241">
        <f t="shared" si="1248"/>
        <v>0</v>
      </c>
      <c r="D2007" s="242">
        <v>0</v>
      </c>
      <c r="E2007" s="242"/>
      <c r="F2007" s="242"/>
      <c r="H2007" s="250">
        <f t="shared" si="1249"/>
        <v>0</v>
      </c>
      <c r="I2007" s="241">
        <f t="shared" si="1250"/>
        <v>0</v>
      </c>
      <c r="J2007" s="242">
        <f t="shared" si="1251"/>
        <v>0</v>
      </c>
      <c r="K2007" s="849">
        <f t="shared" si="1253"/>
        <v>0</v>
      </c>
      <c r="L2007" s="242">
        <f t="shared" si="1252"/>
        <v>0</v>
      </c>
    </row>
    <row r="2008" spans="1:12" ht="15.5">
      <c r="A2008" s="180" t="s">
        <v>12</v>
      </c>
      <c r="B2008" s="250">
        <f t="shared" si="1247"/>
        <v>957</v>
      </c>
      <c r="C2008" s="241">
        <f t="shared" si="1248"/>
        <v>1.0002633275457524E-4</v>
      </c>
      <c r="D2008" s="242">
        <v>957</v>
      </c>
      <c r="E2008" s="242"/>
      <c r="F2008" s="242"/>
      <c r="H2008" s="250">
        <f t="shared" si="1249"/>
        <v>0</v>
      </c>
      <c r="I2008" s="241">
        <f t="shared" si="1250"/>
        <v>0</v>
      </c>
      <c r="J2008" s="242">
        <f t="shared" si="1251"/>
        <v>0</v>
      </c>
      <c r="K2008" s="849">
        <f t="shared" si="1253"/>
        <v>0</v>
      </c>
      <c r="L2008" s="242">
        <f t="shared" si="1252"/>
        <v>0</v>
      </c>
    </row>
    <row r="2009" spans="1:12" ht="15.5">
      <c r="A2009" s="180" t="s">
        <v>13</v>
      </c>
      <c r="B2009" s="250">
        <f t="shared" si="1247"/>
        <v>2735144.2889657775</v>
      </c>
      <c r="C2009" s="241">
        <f t="shared" si="1248"/>
        <v>0.28587926100299582</v>
      </c>
      <c r="D2009" s="242">
        <v>2735144.2889657775</v>
      </c>
      <c r="E2009" s="242">
        <v>0</v>
      </c>
      <c r="F2009" s="242">
        <v>0</v>
      </c>
      <c r="G2009" s="32"/>
      <c r="H2009" s="250">
        <f t="shared" si="1249"/>
        <v>0</v>
      </c>
      <c r="I2009" s="241">
        <f t="shared" si="1250"/>
        <v>0</v>
      </c>
      <c r="J2009" s="242">
        <f t="shared" si="1251"/>
        <v>0</v>
      </c>
      <c r="K2009" s="849">
        <f t="shared" si="1253"/>
        <v>0</v>
      </c>
      <c r="L2009" s="242">
        <f t="shared" si="1252"/>
        <v>0</v>
      </c>
    </row>
    <row r="2010" spans="1:12" ht="15.5">
      <c r="A2010" s="180"/>
      <c r="B2010" s="242">
        <v>0</v>
      </c>
      <c r="C2010" s="241">
        <f t="shared" ref="C2010" si="1254">+B2010/$B$1967</f>
        <v>0</v>
      </c>
      <c r="D2010" s="242"/>
      <c r="E2010" s="242"/>
      <c r="F2010" s="242"/>
      <c r="G2010" s="32"/>
      <c r="H2010" s="242">
        <v>0</v>
      </c>
      <c r="I2010" s="241">
        <f t="shared" si="1250"/>
        <v>0</v>
      </c>
      <c r="J2010" s="242"/>
      <c r="K2010" s="242"/>
      <c r="L2010" s="242"/>
    </row>
    <row r="2011" spans="1:12" ht="15.5">
      <c r="A2011" s="180"/>
      <c r="B2011" s="243">
        <f>SUM(B2003:B2010)</f>
        <v>9601556.2693596147</v>
      </c>
      <c r="C2011" s="240">
        <f>SUM(C2003:C2010)</f>
        <v>1.0035616116622181</v>
      </c>
      <c r="D2011" s="243">
        <f>SUM(D2003:D2010)</f>
        <v>3603647.1593596134</v>
      </c>
      <c r="E2011" s="243">
        <f>SUM(E2003:E2009)</f>
        <v>2521459.2000000002</v>
      </c>
      <c r="F2011" s="243">
        <f>SUM(F2003:F2009)</f>
        <v>3476449.91</v>
      </c>
      <c r="G2011" s="32">
        <f>+B2011-B2000</f>
        <v>34075.65055000037</v>
      </c>
      <c r="H2011" s="243">
        <f>SUM(H2003:H2010)</f>
        <v>34075.65055000037</v>
      </c>
      <c r="I2011" s="240">
        <f>SUM(I2003:I2010)</f>
        <v>9.7716792253641313E-2</v>
      </c>
      <c r="J2011" s="243">
        <f t="shared" ref="J2011:L2011" si="1255">SUM(J2003:J2010)</f>
        <v>3335.0605500000529</v>
      </c>
      <c r="K2011" s="243">
        <f t="shared" si="1255"/>
        <v>179008.20000000019</v>
      </c>
      <c r="L2011" s="243">
        <f t="shared" si="1255"/>
        <v>-148267.60999999987</v>
      </c>
    </row>
    <row r="2012" spans="1:12" ht="16" thickBot="1">
      <c r="A2012" s="180"/>
      <c r="B2012" s="334"/>
      <c r="C2012" s="335"/>
      <c r="D2012" s="334"/>
      <c r="E2012" s="334"/>
      <c r="F2012" s="334"/>
      <c r="G2012" s="32"/>
      <c r="H2012" s="334"/>
      <c r="I2012" s="335"/>
      <c r="J2012" s="334"/>
      <c r="K2012" s="334"/>
      <c r="L2012" s="334"/>
    </row>
    <row r="2013" spans="1:12" ht="16" thickBot="1">
      <c r="A2013" s="253">
        <v>45440</v>
      </c>
      <c r="B2013" s="251">
        <v>1250</v>
      </c>
      <c r="C2013" s="238" t="s">
        <v>3</v>
      </c>
      <c r="D2013" s="238" t="s">
        <v>4</v>
      </c>
      <c r="E2013" s="238" t="s">
        <v>5</v>
      </c>
      <c r="F2013" s="238" t="s">
        <v>6</v>
      </c>
      <c r="H2013" s="251">
        <f>+B2013-B2002</f>
        <v>250</v>
      </c>
      <c r="I2013" s="238" t="s">
        <v>3</v>
      </c>
      <c r="J2013" s="238" t="s">
        <v>4</v>
      </c>
      <c r="K2013" s="238" t="s">
        <v>5</v>
      </c>
      <c r="L2013" s="238" t="s">
        <v>114</v>
      </c>
    </row>
    <row r="2014" spans="1:12" ht="15.5">
      <c r="A2014" s="180" t="s">
        <v>7</v>
      </c>
      <c r="B2014" s="250">
        <f>SUM(D2014:F2014)</f>
        <v>6171743.0811599996</v>
      </c>
      <c r="C2014" s="241">
        <f>+B2014/$B$2000</f>
        <v>0.64507505445335178</v>
      </c>
      <c r="D2014" s="242">
        <v>88087.36116</v>
      </c>
      <c r="E2014" s="242">
        <v>2454940.6</v>
      </c>
      <c r="F2014" s="242">
        <v>3628715.12</v>
      </c>
      <c r="H2014" s="250">
        <f>SUM(J2014:L2014)</f>
        <v>81788.887609999874</v>
      </c>
      <c r="I2014" s="241">
        <f>+H2014/$H$2000</f>
        <v>0.23454131059113967</v>
      </c>
      <c r="J2014" s="242">
        <f>+D2014-D2003</f>
        <v>-3957.7223899999954</v>
      </c>
      <c r="K2014" s="849">
        <f>+E2014-E2003</f>
        <v>-66518.600000000093</v>
      </c>
      <c r="L2014" s="242">
        <f>+F2014-F2003</f>
        <v>152265.20999999996</v>
      </c>
    </row>
    <row r="2015" spans="1:12" ht="15.5">
      <c r="A2015" s="180" t="s">
        <v>8</v>
      </c>
      <c r="B2015" s="250">
        <f t="shared" ref="B2015:B2020" si="1256">SUM(D2015:F2015)</f>
        <v>0</v>
      </c>
      <c r="C2015" s="241">
        <f t="shared" ref="C2015:C2020" si="1257">+B2015/$B$2000</f>
        <v>0</v>
      </c>
      <c r="D2015" s="242">
        <v>0</v>
      </c>
      <c r="F2015" s="242"/>
      <c r="G2015" s="32"/>
      <c r="H2015" s="250">
        <f t="shared" ref="H2015:H2020" si="1258">SUM(J2015:L2015)</f>
        <v>0</v>
      </c>
      <c r="I2015" s="241">
        <f t="shared" ref="I2015:I2021" si="1259">+H2015/$H$2000</f>
        <v>0</v>
      </c>
      <c r="J2015" s="242">
        <f t="shared" ref="J2015:J2020" si="1260">+D2015-D2004</f>
        <v>0</v>
      </c>
      <c r="K2015" s="849">
        <f>+E2015-E2004</f>
        <v>0</v>
      </c>
      <c r="L2015" s="242">
        <f t="shared" ref="L2015:L2020" si="1261">+F2015-F2004</f>
        <v>0</v>
      </c>
    </row>
    <row r="2016" spans="1:12" ht="15.5">
      <c r="A2016" s="180" t="s">
        <v>9</v>
      </c>
      <c r="B2016" s="250">
        <f t="shared" si="1256"/>
        <v>531978.7881558357</v>
      </c>
      <c r="C2016" s="241">
        <f t="shared" si="1257"/>
        <v>5.5602808027639831E-2</v>
      </c>
      <c r="D2016" s="242">
        <v>531978.7881558357</v>
      </c>
      <c r="E2016" s="242"/>
      <c r="F2016" s="242"/>
      <c r="H2016" s="250">
        <f t="shared" si="1258"/>
        <v>-1253.058687999961</v>
      </c>
      <c r="I2016" s="241">
        <f t="shared" si="1259"/>
        <v>-3.593324662055827E-3</v>
      </c>
      <c r="J2016" s="242">
        <f t="shared" si="1260"/>
        <v>-1253.058687999961</v>
      </c>
      <c r="K2016" s="849">
        <f t="shared" ref="K2016:K2020" si="1262">+E2016-E2005</f>
        <v>0</v>
      </c>
      <c r="L2016" s="242">
        <f t="shared" si="1261"/>
        <v>0</v>
      </c>
    </row>
    <row r="2017" spans="1:12" ht="15.5">
      <c r="A2017" s="180" t="s">
        <v>10</v>
      </c>
      <c r="B2017" s="250">
        <f t="shared" si="1256"/>
        <v>242983.08000000002</v>
      </c>
      <c r="C2017" s="241">
        <f t="shared" si="1257"/>
        <v>2.5396767412551285E-2</v>
      </c>
      <c r="D2017" s="242">
        <v>242983.08000000002</v>
      </c>
      <c r="E2017" s="242"/>
      <c r="F2017" s="242"/>
      <c r="H2017" s="250">
        <f t="shared" si="1258"/>
        <v>714.14000000001397</v>
      </c>
      <c r="I2017" s="241">
        <f t="shared" si="1259"/>
        <v>2.0478983935353222E-3</v>
      </c>
      <c r="J2017" s="242">
        <f t="shared" si="1260"/>
        <v>714.14000000001397</v>
      </c>
      <c r="K2017" s="849">
        <f t="shared" si="1262"/>
        <v>0</v>
      </c>
      <c r="L2017" s="242">
        <f t="shared" si="1261"/>
        <v>0</v>
      </c>
    </row>
    <row r="2018" spans="1:12" ht="15.5">
      <c r="A2018" s="180" t="s">
        <v>11</v>
      </c>
      <c r="B2018" s="250">
        <f t="shared" si="1256"/>
        <v>0</v>
      </c>
      <c r="C2018" s="241">
        <f t="shared" si="1257"/>
        <v>0</v>
      </c>
      <c r="D2018" s="242">
        <v>0</v>
      </c>
      <c r="E2018" s="242"/>
      <c r="F2018" s="242"/>
      <c r="H2018" s="250">
        <f t="shared" si="1258"/>
        <v>0</v>
      </c>
      <c r="I2018" s="241">
        <f t="shared" si="1259"/>
        <v>0</v>
      </c>
      <c r="J2018" s="242">
        <f t="shared" si="1260"/>
        <v>0</v>
      </c>
      <c r="K2018" s="849">
        <f t="shared" si="1262"/>
        <v>0</v>
      </c>
      <c r="L2018" s="242">
        <f t="shared" si="1261"/>
        <v>0</v>
      </c>
    </row>
    <row r="2019" spans="1:12" ht="15.5">
      <c r="A2019" s="180" t="s">
        <v>12</v>
      </c>
      <c r="B2019" s="250">
        <f t="shared" si="1256"/>
        <v>765.6</v>
      </c>
      <c r="C2019" s="241">
        <f t="shared" si="1257"/>
        <v>8.0021066203660201E-5</v>
      </c>
      <c r="D2019" s="242">
        <v>765.6</v>
      </c>
      <c r="E2019" s="242"/>
      <c r="F2019" s="242"/>
      <c r="H2019" s="250">
        <f t="shared" si="1258"/>
        <v>-191.39999999999998</v>
      </c>
      <c r="I2019" s="241">
        <f t="shared" si="1259"/>
        <v>-5.4886682236347632E-4</v>
      </c>
      <c r="J2019" s="242">
        <f t="shared" si="1260"/>
        <v>-191.39999999999998</v>
      </c>
      <c r="K2019" s="849">
        <f t="shared" si="1262"/>
        <v>0</v>
      </c>
      <c r="L2019" s="242">
        <f t="shared" si="1261"/>
        <v>0</v>
      </c>
    </row>
    <row r="2020" spans="1:12" ht="15.5">
      <c r="A2020" s="180" t="s">
        <v>13</v>
      </c>
      <c r="B2020" s="250">
        <f t="shared" si="1256"/>
        <v>2735144.2889657775</v>
      </c>
      <c r="C2020" s="241">
        <f t="shared" si="1257"/>
        <v>0.28587926100299582</v>
      </c>
      <c r="D2020" s="242">
        <v>2735144.2889657775</v>
      </c>
      <c r="E2020" s="242">
        <v>0</v>
      </c>
      <c r="F2020" s="242">
        <v>0</v>
      </c>
      <c r="G2020" s="32"/>
      <c r="H2020" s="250">
        <f t="shared" si="1258"/>
        <v>0</v>
      </c>
      <c r="I2020" s="241">
        <f t="shared" si="1259"/>
        <v>0</v>
      </c>
      <c r="J2020" s="242">
        <f t="shared" si="1260"/>
        <v>0</v>
      </c>
      <c r="K2020" s="849">
        <f t="shared" si="1262"/>
        <v>0</v>
      </c>
      <c r="L2020" s="242">
        <f t="shared" si="1261"/>
        <v>0</v>
      </c>
    </row>
    <row r="2021" spans="1:12" ht="15.5">
      <c r="A2021" s="180"/>
      <c r="B2021" s="242">
        <v>0</v>
      </c>
      <c r="C2021" s="241">
        <f t="shared" ref="C2021" si="1263">+B2021/$B$1967</f>
        <v>0</v>
      </c>
      <c r="D2021" s="242"/>
      <c r="E2021" s="242"/>
      <c r="F2021" s="242"/>
      <c r="G2021" s="32"/>
      <c r="H2021" s="242">
        <v>0</v>
      </c>
      <c r="I2021" s="241">
        <f t="shared" si="1259"/>
        <v>0</v>
      </c>
      <c r="J2021" s="242"/>
      <c r="K2021" s="242"/>
      <c r="L2021" s="242"/>
    </row>
    <row r="2022" spans="1:12" ht="15.5">
      <c r="A2022" s="180"/>
      <c r="B2022" s="243">
        <f>SUM(B2014:B2021)</f>
        <v>9682614.8382816128</v>
      </c>
      <c r="C2022" s="240">
        <f>SUM(C2014:C2021)</f>
        <v>1.0120339119627424</v>
      </c>
      <c r="D2022" s="243">
        <f>SUM(D2014:D2021)</f>
        <v>3598959.1182816131</v>
      </c>
      <c r="E2022" s="243">
        <f>SUM(E2014:E2020)</f>
        <v>2454940.6</v>
      </c>
      <c r="F2022" s="243">
        <f>SUM(F2014:F2020)</f>
        <v>3628715.12</v>
      </c>
      <c r="G2022" s="32">
        <f>+B2022-B2011</f>
        <v>81058.568921998143</v>
      </c>
      <c r="H2022" s="243">
        <f>SUM(H2014:H2021)</f>
        <v>81058.568921999933</v>
      </c>
      <c r="I2022" s="240">
        <f>SUM(I2014:I2021)</f>
        <v>0.2324470175002557</v>
      </c>
      <c r="J2022" s="243">
        <f t="shared" ref="J2022:L2022" si="1264">SUM(J2014:J2021)</f>
        <v>-4688.041077999942</v>
      </c>
      <c r="K2022" s="243">
        <f t="shared" si="1264"/>
        <v>-66518.600000000093</v>
      </c>
      <c r="L2022" s="243">
        <f t="shared" si="1264"/>
        <v>152265.20999999996</v>
      </c>
    </row>
    <row r="2023" spans="1:12" ht="16" thickBot="1">
      <c r="A2023" s="180"/>
      <c r="B2023" s="334"/>
      <c r="C2023" s="335"/>
      <c r="D2023" s="334"/>
      <c r="E2023" s="334"/>
      <c r="F2023" s="334"/>
      <c r="G2023" s="32"/>
      <c r="H2023" s="334"/>
      <c r="I2023" s="335"/>
      <c r="J2023" s="334"/>
      <c r="K2023" s="334"/>
      <c r="L2023" s="334"/>
    </row>
    <row r="2024" spans="1:12" ht="16" thickBot="1">
      <c r="A2024" s="253">
        <v>45471</v>
      </c>
      <c r="B2024" s="251">
        <v>1350</v>
      </c>
      <c r="C2024" s="238" t="s">
        <v>3</v>
      </c>
      <c r="D2024" s="238" t="s">
        <v>4</v>
      </c>
      <c r="E2024" s="238" t="s">
        <v>5</v>
      </c>
      <c r="F2024" s="238" t="s">
        <v>6</v>
      </c>
      <c r="H2024" s="251">
        <f>+B2024-B2013</f>
        <v>100</v>
      </c>
      <c r="I2024" s="238" t="s">
        <v>3</v>
      </c>
      <c r="J2024" s="238" t="s">
        <v>4</v>
      </c>
      <c r="K2024" s="238" t="s">
        <v>5</v>
      </c>
      <c r="L2024" s="238" t="s">
        <v>114</v>
      </c>
    </row>
    <row r="2025" spans="1:12" ht="15.5">
      <c r="A2025" s="180" t="s">
        <v>7</v>
      </c>
      <c r="B2025" s="250">
        <f>SUM(D2025:F2025)</f>
        <v>6215444.3344814815</v>
      </c>
      <c r="C2025" s="241">
        <f>+B2025/$B$2033</f>
        <v>0.63895814133334428</v>
      </c>
      <c r="D2025" s="242">
        <v>78784.094481481472</v>
      </c>
      <c r="E2025" s="242">
        <v>2410684.15</v>
      </c>
      <c r="F2025" s="242">
        <v>3725976.09</v>
      </c>
      <c r="H2025" s="250">
        <f>SUM(J2025:L2025)</f>
        <v>43701.253321481025</v>
      </c>
      <c r="I2025" s="241">
        <f>+H2025/$H$2033</f>
        <v>0.97433654771246014</v>
      </c>
      <c r="J2025" s="242">
        <f>+D2025-D2014</f>
        <v>-9303.2666785185284</v>
      </c>
      <c r="K2025" s="849">
        <f>+E2025-E2014</f>
        <v>-44256.450000000186</v>
      </c>
      <c r="L2025" s="242">
        <f>+F2025-F2014</f>
        <v>97260.969999999739</v>
      </c>
    </row>
    <row r="2026" spans="1:12" ht="15.5">
      <c r="A2026" s="180" t="s">
        <v>8</v>
      </c>
      <c r="B2026" s="250">
        <f t="shared" ref="B2026:B2031" si="1265">SUM(D2026:F2026)</f>
        <v>0</v>
      </c>
      <c r="C2026" s="241">
        <f t="shared" ref="C2026:C2031" si="1266">+B2026/$B$2033</f>
        <v>0</v>
      </c>
      <c r="D2026" s="242">
        <v>0</v>
      </c>
      <c r="F2026" s="242"/>
      <c r="G2026" s="32"/>
      <c r="H2026" s="250">
        <f t="shared" ref="H2026:H2031" si="1267">SUM(J2026:L2026)</f>
        <v>0</v>
      </c>
      <c r="I2026" s="241">
        <f t="shared" ref="I2026:I2032" si="1268">+H2026/$H$2033</f>
        <v>0</v>
      </c>
      <c r="J2026" s="242">
        <f t="shared" ref="J2026:J2031" si="1269">+D2026-D2015</f>
        <v>0</v>
      </c>
      <c r="K2026" s="849">
        <f>+E2026-E2015</f>
        <v>0</v>
      </c>
      <c r="L2026" s="242">
        <f t="shared" ref="L2026:L2031" si="1270">+F2026-F2015</f>
        <v>0</v>
      </c>
    </row>
    <row r="2027" spans="1:12" ht="15.5">
      <c r="A2027" s="180" t="s">
        <v>9</v>
      </c>
      <c r="B2027" s="250">
        <f t="shared" si="1265"/>
        <v>532252.65460690006</v>
      </c>
      <c r="C2027" s="241">
        <f t="shared" si="1266"/>
        <v>5.4716468945053276E-2</v>
      </c>
      <c r="D2027" s="242">
        <v>532252.65460690006</v>
      </c>
      <c r="E2027" s="242"/>
      <c r="F2027" s="242"/>
      <c r="H2027" s="250">
        <f t="shared" si="1267"/>
        <v>273.86645106435753</v>
      </c>
      <c r="I2027" s="241">
        <f t="shared" si="1268"/>
        <v>6.1059597193096346E-3</v>
      </c>
      <c r="J2027" s="242">
        <f t="shared" si="1269"/>
        <v>273.86645106435753</v>
      </c>
      <c r="K2027" s="849">
        <f t="shared" ref="K2027:K2031" si="1271">+E2027-E2016</f>
        <v>0</v>
      </c>
      <c r="L2027" s="242">
        <f t="shared" si="1270"/>
        <v>0</v>
      </c>
    </row>
    <row r="2028" spans="1:12" ht="15.5">
      <c r="A2028" s="180" t="s">
        <v>10</v>
      </c>
      <c r="B2028" s="250">
        <f t="shared" si="1265"/>
        <v>243916.99000000002</v>
      </c>
      <c r="C2028" s="241">
        <f t="shared" si="1266"/>
        <v>2.5075077208140714E-2</v>
      </c>
      <c r="D2028" s="242">
        <v>243916.99000000002</v>
      </c>
      <c r="E2028" s="242"/>
      <c r="F2028" s="242"/>
      <c r="H2028" s="250">
        <f t="shared" si="1267"/>
        <v>933.91000000000349</v>
      </c>
      <c r="I2028" s="241">
        <f t="shared" si="1268"/>
        <v>2.0821888987492071E-2</v>
      </c>
      <c r="J2028" s="242">
        <f t="shared" si="1269"/>
        <v>933.91000000000349</v>
      </c>
      <c r="K2028" s="849">
        <f t="shared" si="1271"/>
        <v>0</v>
      </c>
      <c r="L2028" s="242">
        <f t="shared" si="1270"/>
        <v>0</v>
      </c>
    </row>
    <row r="2029" spans="1:12" ht="15.5">
      <c r="A2029" s="180" t="s">
        <v>11</v>
      </c>
      <c r="B2029" s="250">
        <f t="shared" si="1265"/>
        <v>0</v>
      </c>
      <c r="C2029" s="241">
        <f t="shared" si="1266"/>
        <v>0</v>
      </c>
      <c r="D2029" s="242">
        <v>0</v>
      </c>
      <c r="E2029" s="242"/>
      <c r="F2029" s="242"/>
      <c r="H2029" s="250">
        <f t="shared" si="1267"/>
        <v>0</v>
      </c>
      <c r="I2029" s="241">
        <f t="shared" si="1268"/>
        <v>0</v>
      </c>
      <c r="J2029" s="242">
        <f t="shared" si="1269"/>
        <v>0</v>
      </c>
      <c r="K2029" s="849">
        <f t="shared" si="1271"/>
        <v>0</v>
      </c>
      <c r="L2029" s="242">
        <f t="shared" si="1270"/>
        <v>0</v>
      </c>
    </row>
    <row r="2030" spans="1:12" ht="15.5">
      <c r="A2030" s="180" t="s">
        <v>12</v>
      </c>
      <c r="B2030" s="250">
        <f t="shared" si="1265"/>
        <v>708.88888888888891</v>
      </c>
      <c r="C2030" s="241">
        <f t="shared" si="1266"/>
        <v>7.2874971197709406E-5</v>
      </c>
      <c r="D2030" s="242">
        <v>708.88888888888891</v>
      </c>
      <c r="E2030" s="242"/>
      <c r="F2030" s="242"/>
      <c r="H2030" s="250">
        <f t="shared" si="1267"/>
        <v>-56.711111111111109</v>
      </c>
      <c r="I2030" s="241">
        <f t="shared" si="1268"/>
        <v>-1.2643964192618981E-3</v>
      </c>
      <c r="J2030" s="242">
        <f t="shared" si="1269"/>
        <v>-56.711111111111109</v>
      </c>
      <c r="K2030" s="849">
        <f t="shared" si="1271"/>
        <v>0</v>
      </c>
      <c r="L2030" s="242">
        <f t="shared" si="1270"/>
        <v>0</v>
      </c>
    </row>
    <row r="2031" spans="1:12" ht="15.5">
      <c r="A2031" s="180" t="s">
        <v>13</v>
      </c>
      <c r="B2031" s="250">
        <f t="shared" si="1265"/>
        <v>2735144.2889657775</v>
      </c>
      <c r="C2031" s="241">
        <f t="shared" si="1266"/>
        <v>0.28117743754226387</v>
      </c>
      <c r="D2031" s="242">
        <v>2735144.2889657775</v>
      </c>
      <c r="E2031" s="242">
        <v>0</v>
      </c>
      <c r="F2031" s="242">
        <v>0</v>
      </c>
      <c r="G2031" s="32"/>
      <c r="H2031" s="250">
        <f t="shared" si="1267"/>
        <v>0</v>
      </c>
      <c r="I2031" s="241">
        <f t="shared" si="1268"/>
        <v>0</v>
      </c>
      <c r="J2031" s="242">
        <f t="shared" si="1269"/>
        <v>0</v>
      </c>
      <c r="K2031" s="849">
        <f t="shared" si="1271"/>
        <v>0</v>
      </c>
      <c r="L2031" s="242">
        <f t="shared" si="1270"/>
        <v>0</v>
      </c>
    </row>
    <row r="2032" spans="1:12" ht="15.5">
      <c r="A2032" s="180"/>
      <c r="B2032" s="242">
        <v>0</v>
      </c>
      <c r="C2032" s="241">
        <f t="shared" ref="C2032" si="1272">+B2032/$B$1967</f>
        <v>0</v>
      </c>
      <c r="D2032" s="242"/>
      <c r="E2032" s="242"/>
      <c r="F2032" s="242"/>
      <c r="G2032" s="32"/>
      <c r="H2032" s="242">
        <v>0</v>
      </c>
      <c r="I2032" s="241">
        <f t="shared" si="1268"/>
        <v>0</v>
      </c>
      <c r="J2032" s="242"/>
      <c r="K2032" s="242"/>
      <c r="L2032" s="242"/>
    </row>
    <row r="2033" spans="1:12" ht="15.5">
      <c r="A2033" s="180"/>
      <c r="B2033" s="243">
        <f>SUM(B2025:B2032)</f>
        <v>9727467.1569430493</v>
      </c>
      <c r="C2033" s="240">
        <f>SUM(C2025:C2032)</f>
        <v>0.99999999999999978</v>
      </c>
      <c r="D2033" s="243">
        <f>SUM(D2025:D2032)</f>
        <v>3590806.9169430481</v>
      </c>
      <c r="E2033" s="243">
        <f>SUM(E2025:E2031)</f>
        <v>2410684.15</v>
      </c>
      <c r="F2033" s="243">
        <f>SUM(F2025:F2031)</f>
        <v>3725976.09</v>
      </c>
      <c r="G2033" s="32">
        <f>+B2033-B2022</f>
        <v>44852.318661436439</v>
      </c>
      <c r="H2033" s="243">
        <f>SUM(H2025:H2032)</f>
        <v>44852.318661434278</v>
      </c>
      <c r="I2033" s="240">
        <f>SUM(I2025:I2032)</f>
        <v>0.99999999999999989</v>
      </c>
      <c r="J2033" s="243">
        <f t="shared" ref="J2033:L2033" si="1273">SUM(J2025:J2032)</f>
        <v>-8152.2013385652781</v>
      </c>
      <c r="K2033" s="243">
        <f t="shared" si="1273"/>
        <v>-44256.450000000186</v>
      </c>
      <c r="L2033" s="243">
        <f t="shared" si="1273"/>
        <v>97260.969999999739</v>
      </c>
    </row>
    <row r="2034" spans="1:12" ht="16" thickBot="1">
      <c r="A2034" s="180"/>
      <c r="B2034" s="334"/>
      <c r="C2034" s="335"/>
      <c r="D2034" s="334"/>
      <c r="E2034" s="334"/>
      <c r="F2034" s="334"/>
      <c r="G2034" s="32"/>
      <c r="H2034" s="334"/>
      <c r="I2034" s="335"/>
      <c r="J2034" s="334"/>
      <c r="K2034" s="334"/>
      <c r="L2034" s="334"/>
    </row>
    <row r="2035" spans="1:12" ht="16" thickBot="1">
      <c r="A2035" s="253">
        <v>45501</v>
      </c>
      <c r="B2035" s="251">
        <v>1350</v>
      </c>
      <c r="C2035" s="238" t="s">
        <v>3</v>
      </c>
      <c r="D2035" s="238" t="s">
        <v>4</v>
      </c>
      <c r="E2035" s="238" t="s">
        <v>5</v>
      </c>
      <c r="F2035" s="238" t="s">
        <v>6</v>
      </c>
      <c r="H2035" s="251">
        <f>+B2035-B2024</f>
        <v>0</v>
      </c>
      <c r="I2035" s="238" t="s">
        <v>3</v>
      </c>
      <c r="J2035" s="238" t="s">
        <v>4</v>
      </c>
      <c r="K2035" s="238" t="s">
        <v>5</v>
      </c>
      <c r="L2035" s="238" t="s">
        <v>114</v>
      </c>
    </row>
    <row r="2036" spans="1:12" ht="15.5">
      <c r="A2036" s="180" t="s">
        <v>7</v>
      </c>
      <c r="B2036" s="250">
        <f>SUM(D2036:F2036)</f>
        <v>6200312.1707037035</v>
      </c>
      <c r="C2036" s="241">
        <f>+B2036/$B$2044</f>
        <v>0.64311689171048081</v>
      </c>
      <c r="D2036" s="242">
        <v>74743.800703703702</v>
      </c>
      <c r="E2036" s="242">
        <v>2392071.11</v>
      </c>
      <c r="F2036" s="242">
        <v>3733497.26</v>
      </c>
      <c r="H2036" s="250">
        <f>SUM(J2036:L2036)</f>
        <v>-15132.163777777881</v>
      </c>
      <c r="I2036" s="241">
        <f>+H2036/$H$2044</f>
        <v>0.17507470592252963</v>
      </c>
      <c r="J2036" s="242">
        <f>+D2036-D2025</f>
        <v>-4040.2937777777697</v>
      </c>
      <c r="K2036" s="849">
        <f>+E2036-E2025</f>
        <v>-18613.040000000037</v>
      </c>
      <c r="L2036" s="242">
        <f>+F2036-F2025</f>
        <v>7521.1699999999255</v>
      </c>
    </row>
    <row r="2037" spans="1:12" ht="15.5">
      <c r="A2037" s="180" t="s">
        <v>8</v>
      </c>
      <c r="B2037" s="250">
        <f t="shared" ref="B2037:B2042" si="1274">SUM(D2037:F2037)</f>
        <v>0</v>
      </c>
      <c r="C2037" s="241">
        <f t="shared" ref="C2037:C2043" si="1275">+B2037/$B$2044</f>
        <v>0</v>
      </c>
      <c r="D2037" s="242">
        <v>0</v>
      </c>
      <c r="F2037" s="242"/>
      <c r="G2037" s="32"/>
      <c r="H2037" s="250">
        <f t="shared" ref="H2037:H2042" si="1276">SUM(J2037:L2037)</f>
        <v>0</v>
      </c>
      <c r="I2037" s="241">
        <f t="shared" ref="I2037:I2043" si="1277">+H2037/$H$2044</f>
        <v>0</v>
      </c>
      <c r="J2037" s="242">
        <f t="shared" ref="J2037:J2042" si="1278">+D2037-D2026</f>
        <v>0</v>
      </c>
      <c r="K2037" s="849">
        <f>+E2037-E2026</f>
        <v>0</v>
      </c>
      <c r="L2037" s="242">
        <f t="shared" ref="L2037:L2042" si="1279">+F2037-F2026</f>
        <v>0</v>
      </c>
    </row>
    <row r="2038" spans="1:12" ht="15.5">
      <c r="A2038" s="180" t="s">
        <v>9</v>
      </c>
      <c r="B2038" s="250">
        <f t="shared" si="1274"/>
        <v>460952.20838518522</v>
      </c>
      <c r="C2038" s="241">
        <f t="shared" si="1275"/>
        <v>4.7811488086754998E-2</v>
      </c>
      <c r="D2038" s="242">
        <v>460952.20838518522</v>
      </c>
      <c r="E2038" s="242"/>
      <c r="F2038" s="242"/>
      <c r="H2038" s="250">
        <f t="shared" si="1276"/>
        <v>-71300.446221714839</v>
      </c>
      <c r="I2038" s="241">
        <f t="shared" si="1277"/>
        <v>0.82492529407747039</v>
      </c>
      <c r="J2038" s="242">
        <f t="shared" si="1278"/>
        <v>-71300.446221714839</v>
      </c>
      <c r="K2038" s="849">
        <f t="shared" ref="K2038:K2042" si="1280">+E2038-E2027</f>
        <v>0</v>
      </c>
      <c r="L2038" s="242">
        <f t="shared" si="1279"/>
        <v>0</v>
      </c>
    </row>
    <row r="2039" spans="1:12" ht="15.5">
      <c r="A2039" s="180" t="s">
        <v>10</v>
      </c>
      <c r="B2039" s="250">
        <f t="shared" si="1274"/>
        <v>243916.99000000002</v>
      </c>
      <c r="C2039" s="241">
        <f t="shared" si="1275"/>
        <v>2.5299877187695347E-2</v>
      </c>
      <c r="D2039" s="242">
        <v>243916.99000000002</v>
      </c>
      <c r="E2039" s="242"/>
      <c r="F2039" s="242"/>
      <c r="H2039" s="250">
        <f t="shared" si="1276"/>
        <v>0</v>
      </c>
      <c r="I2039" s="241">
        <f t="shared" si="1277"/>
        <v>0</v>
      </c>
      <c r="J2039" s="242">
        <f t="shared" si="1278"/>
        <v>0</v>
      </c>
      <c r="K2039" s="849">
        <f t="shared" si="1280"/>
        <v>0</v>
      </c>
      <c r="L2039" s="242">
        <f t="shared" si="1279"/>
        <v>0</v>
      </c>
    </row>
    <row r="2040" spans="1:12" ht="15.5">
      <c r="A2040" s="180" t="s">
        <v>11</v>
      </c>
      <c r="B2040" s="250">
        <f t="shared" si="1274"/>
        <v>0</v>
      </c>
      <c r="C2040" s="241">
        <f t="shared" si="1275"/>
        <v>0</v>
      </c>
      <c r="D2040" s="242">
        <v>0</v>
      </c>
      <c r="E2040" s="242"/>
      <c r="F2040" s="242"/>
      <c r="H2040" s="250">
        <f t="shared" si="1276"/>
        <v>0</v>
      </c>
      <c r="I2040" s="241">
        <f t="shared" si="1277"/>
        <v>0</v>
      </c>
      <c r="J2040" s="242">
        <f t="shared" si="1278"/>
        <v>0</v>
      </c>
      <c r="K2040" s="849">
        <f t="shared" si="1280"/>
        <v>0</v>
      </c>
      <c r="L2040" s="242">
        <f t="shared" si="1279"/>
        <v>0</v>
      </c>
    </row>
    <row r="2041" spans="1:12" ht="15.5">
      <c r="A2041" s="180" t="s">
        <v>12</v>
      </c>
      <c r="B2041" s="250">
        <f t="shared" si="1274"/>
        <v>708.88888888888891</v>
      </c>
      <c r="C2041" s="241">
        <f t="shared" si="1275"/>
        <v>7.3528300872402125E-5</v>
      </c>
      <c r="D2041" s="242">
        <v>708.88888888888891</v>
      </c>
      <c r="E2041" s="242"/>
      <c r="F2041" s="242"/>
      <c r="H2041" s="250">
        <f t="shared" si="1276"/>
        <v>0</v>
      </c>
      <c r="I2041" s="241">
        <f t="shared" si="1277"/>
        <v>0</v>
      </c>
      <c r="J2041" s="242">
        <f t="shared" si="1278"/>
        <v>0</v>
      </c>
      <c r="K2041" s="849">
        <f t="shared" si="1280"/>
        <v>0</v>
      </c>
      <c r="L2041" s="242">
        <f t="shared" si="1279"/>
        <v>0</v>
      </c>
    </row>
    <row r="2042" spans="1:12" ht="15.5">
      <c r="A2042" s="180" t="s">
        <v>13</v>
      </c>
      <c r="B2042" s="250">
        <f t="shared" si="1274"/>
        <v>2735144.2889657775</v>
      </c>
      <c r="C2042" s="241">
        <f t="shared" si="1275"/>
        <v>0.28369821471419632</v>
      </c>
      <c r="D2042" s="242">
        <v>2735144.2889657775</v>
      </c>
      <c r="E2042" s="242">
        <v>0</v>
      </c>
      <c r="F2042" s="242">
        <v>0</v>
      </c>
      <c r="G2042" s="32"/>
      <c r="H2042" s="250">
        <f t="shared" si="1276"/>
        <v>0</v>
      </c>
      <c r="I2042" s="241">
        <f t="shared" si="1277"/>
        <v>0</v>
      </c>
      <c r="J2042" s="242">
        <f t="shared" si="1278"/>
        <v>0</v>
      </c>
      <c r="K2042" s="849">
        <f t="shared" si="1280"/>
        <v>0</v>
      </c>
      <c r="L2042" s="242">
        <f t="shared" si="1279"/>
        <v>0</v>
      </c>
    </row>
    <row r="2043" spans="1:12" ht="15.5">
      <c r="A2043" s="180"/>
      <c r="B2043" s="242">
        <v>0</v>
      </c>
      <c r="C2043" s="241">
        <f t="shared" si="1275"/>
        <v>0</v>
      </c>
      <c r="D2043" s="242"/>
      <c r="E2043" s="242"/>
      <c r="F2043" s="242"/>
      <c r="G2043" s="32"/>
      <c r="H2043" s="242">
        <v>0</v>
      </c>
      <c r="I2043" s="241">
        <f t="shared" si="1277"/>
        <v>0</v>
      </c>
      <c r="J2043" s="242"/>
      <c r="K2043" s="242"/>
      <c r="L2043" s="242"/>
    </row>
    <row r="2044" spans="1:12" ht="15.5">
      <c r="A2044" s="180"/>
      <c r="B2044" s="243">
        <f>SUM(B2036:B2043)</f>
        <v>9641034.5469435565</v>
      </c>
      <c r="C2044" s="240">
        <f>SUM(C2036:C2043)</f>
        <v>0.99999999999999978</v>
      </c>
      <c r="D2044" s="243">
        <f>SUM(D2036:D2043)</f>
        <v>3515466.1769435555</v>
      </c>
      <c r="E2044" s="243">
        <f>SUM(E2036:E2042)</f>
        <v>2392071.11</v>
      </c>
      <c r="F2044" s="243">
        <f>SUM(F2036:F2042)</f>
        <v>3733497.26</v>
      </c>
      <c r="G2044" s="32">
        <f>+B2044-B2033</f>
        <v>-86432.609999492764</v>
      </c>
      <c r="H2044" s="243">
        <f>SUM(H2036:H2043)</f>
        <v>-86432.609999492721</v>
      </c>
      <c r="I2044" s="240">
        <f>SUM(I2036:I2043)</f>
        <v>1</v>
      </c>
      <c r="J2044" s="243">
        <f t="shared" ref="J2044:L2044" si="1281">SUM(J2036:J2043)</f>
        <v>-75340.739999492609</v>
      </c>
      <c r="K2044" s="243">
        <f t="shared" si="1281"/>
        <v>-18613.040000000037</v>
      </c>
      <c r="L2044" s="243">
        <f t="shared" si="1281"/>
        <v>7521.1699999999255</v>
      </c>
    </row>
    <row r="2045" spans="1:12" ht="16" thickBot="1">
      <c r="A2045" s="180"/>
      <c r="B2045" s="334"/>
      <c r="C2045" s="335"/>
      <c r="D2045" s="334"/>
      <c r="E2045" s="334"/>
      <c r="F2045" s="334"/>
      <c r="G2045" s="32"/>
      <c r="H2045" s="334"/>
      <c r="I2045" s="335"/>
      <c r="J2045" s="334"/>
      <c r="K2045" s="334"/>
      <c r="L2045" s="334"/>
    </row>
    <row r="2046" spans="1:12" ht="16" thickBot="1">
      <c r="A2046" s="253">
        <v>45532</v>
      </c>
      <c r="B2046" s="251">
        <v>1300</v>
      </c>
      <c r="C2046" s="238" t="s">
        <v>3</v>
      </c>
      <c r="D2046" s="238" t="s">
        <v>4</v>
      </c>
      <c r="E2046" s="238" t="s">
        <v>5</v>
      </c>
      <c r="F2046" s="238" t="s">
        <v>6</v>
      </c>
      <c r="H2046" s="251">
        <f>+B2046-B2035</f>
        <v>-50</v>
      </c>
      <c r="I2046" s="238" t="s">
        <v>3</v>
      </c>
      <c r="J2046" s="238" t="s">
        <v>4</v>
      </c>
      <c r="K2046" s="238" t="s">
        <v>5</v>
      </c>
      <c r="L2046" s="238" t="s">
        <v>114</v>
      </c>
    </row>
    <row r="2047" spans="1:12" ht="15.5">
      <c r="A2047" s="180" t="s">
        <v>7</v>
      </c>
      <c r="B2047" s="250">
        <f>SUM(D2047:F2047)</f>
        <v>6421541.1693846155</v>
      </c>
      <c r="C2047" s="241">
        <f>+B2047/$B$2055</f>
        <v>0.65055094310942596</v>
      </c>
      <c r="D2047" s="242">
        <v>87027.489384615386</v>
      </c>
      <c r="E2047" s="242">
        <v>2538715.9900000002</v>
      </c>
      <c r="F2047" s="242">
        <v>3795797.69</v>
      </c>
      <c r="H2047" s="250">
        <f>SUM(J2047:L2047)</f>
        <v>221228.99868091219</v>
      </c>
      <c r="I2047" s="241">
        <f>+H2047/$H$2055</f>
        <v>0.96231325439037396</v>
      </c>
      <c r="J2047" s="242">
        <f>+D2047-D2036</f>
        <v>12283.688680911684</v>
      </c>
      <c r="K2047" s="849">
        <f>+E2047-E2036</f>
        <v>146644.88000000035</v>
      </c>
      <c r="L2047" s="242">
        <f>+F2047-F2036</f>
        <v>62300.430000000168</v>
      </c>
    </row>
    <row r="2048" spans="1:12" ht="15.5">
      <c r="A2048" s="180" t="s">
        <v>8</v>
      </c>
      <c r="B2048" s="250">
        <f t="shared" ref="B2048:B2053" si="1282">SUM(D2048:F2048)</f>
        <v>0</v>
      </c>
      <c r="C2048" s="241">
        <f t="shared" ref="C2048:C2054" si="1283">+B2048/$B$2055</f>
        <v>0</v>
      </c>
      <c r="D2048" s="242">
        <v>0</v>
      </c>
      <c r="F2048" s="242"/>
      <c r="G2048" s="32"/>
      <c r="H2048" s="250">
        <f t="shared" ref="H2048:H2053" si="1284">SUM(J2048:L2048)</f>
        <v>0</v>
      </c>
      <c r="I2048" s="241">
        <f t="shared" ref="I2048:I2054" si="1285">+H2048/$H$2055</f>
        <v>0</v>
      </c>
      <c r="J2048" s="242">
        <f t="shared" ref="J2048:J2053" si="1286">+D2048-D2037</f>
        <v>0</v>
      </c>
      <c r="K2048" s="849">
        <f>+E2048-E2037</f>
        <v>0</v>
      </c>
      <c r="L2048" s="242">
        <f t="shared" ref="L2048:L2053" si="1287">+F2048-F2037</f>
        <v>0</v>
      </c>
    </row>
    <row r="2049" spans="1:12" ht="15.5">
      <c r="A2049" s="180" t="s">
        <v>9</v>
      </c>
      <c r="B2049" s="250">
        <f t="shared" si="1282"/>
        <v>469591.67972567049</v>
      </c>
      <c r="C2049" s="241">
        <f t="shared" si="1283"/>
        <v>4.7573207437857208E-2</v>
      </c>
      <c r="D2049" s="242">
        <v>469591.67972567049</v>
      </c>
      <c r="E2049" s="242"/>
      <c r="F2049" s="242"/>
      <c r="H2049" s="250">
        <f t="shared" si="1284"/>
        <v>8639.4713404852664</v>
      </c>
      <c r="I2049" s="241">
        <f t="shared" si="1285"/>
        <v>3.7580415910421383E-2</v>
      </c>
      <c r="J2049" s="242">
        <f t="shared" si="1286"/>
        <v>8639.4713404852664</v>
      </c>
      <c r="K2049" s="849">
        <f t="shared" ref="K2049:K2053" si="1288">+E2049-E2038</f>
        <v>0</v>
      </c>
      <c r="L2049" s="242">
        <f t="shared" si="1287"/>
        <v>0</v>
      </c>
    </row>
    <row r="2050" spans="1:12" ht="15.5">
      <c r="A2050" s="180" t="s">
        <v>10</v>
      </c>
      <c r="B2050" s="250">
        <f t="shared" si="1282"/>
        <v>243916.99000000002</v>
      </c>
      <c r="C2050" s="241">
        <f t="shared" si="1283"/>
        <v>2.4710645575463777E-2</v>
      </c>
      <c r="D2050" s="242">
        <v>243916.99000000002</v>
      </c>
      <c r="E2050" s="242"/>
      <c r="F2050" s="242"/>
      <c r="H2050" s="250">
        <f t="shared" si="1284"/>
        <v>0</v>
      </c>
      <c r="I2050" s="241">
        <f t="shared" si="1285"/>
        <v>0</v>
      </c>
      <c r="J2050" s="242">
        <f t="shared" si="1286"/>
        <v>0</v>
      </c>
      <c r="K2050" s="849">
        <f t="shared" si="1288"/>
        <v>0</v>
      </c>
      <c r="L2050" s="242">
        <f t="shared" si="1287"/>
        <v>0</v>
      </c>
    </row>
    <row r="2051" spans="1:12" ht="15.5">
      <c r="A2051" s="180" t="s">
        <v>11</v>
      </c>
      <c r="B2051" s="250">
        <f t="shared" si="1282"/>
        <v>0</v>
      </c>
      <c r="C2051" s="241">
        <f t="shared" si="1283"/>
        <v>0</v>
      </c>
      <c r="D2051" s="242">
        <v>0</v>
      </c>
      <c r="E2051" s="242"/>
      <c r="F2051" s="242"/>
      <c r="H2051" s="250">
        <f t="shared" si="1284"/>
        <v>0</v>
      </c>
      <c r="I2051" s="241">
        <f t="shared" si="1285"/>
        <v>0</v>
      </c>
      <c r="J2051" s="242">
        <f t="shared" si="1286"/>
        <v>0</v>
      </c>
      <c r="K2051" s="849">
        <f t="shared" si="1288"/>
        <v>0</v>
      </c>
      <c r="L2051" s="242">
        <f t="shared" si="1287"/>
        <v>0</v>
      </c>
    </row>
    <row r="2052" spans="1:12" ht="15.5">
      <c r="A2052" s="180" t="s">
        <v>12</v>
      </c>
      <c r="B2052" s="250">
        <f t="shared" si="1282"/>
        <v>733.33333333333337</v>
      </c>
      <c r="C2052" s="241">
        <f t="shared" si="1283"/>
        <v>7.42922421626859E-5</v>
      </c>
      <c r="D2052" s="242">
        <v>733.33333333333337</v>
      </c>
      <c r="E2052" s="242"/>
      <c r="F2052" s="242"/>
      <c r="H2052" s="250">
        <f t="shared" si="1284"/>
        <v>24.444444444444457</v>
      </c>
      <c r="I2052" s="241">
        <f t="shared" si="1285"/>
        <v>1.0632969920469854E-4</v>
      </c>
      <c r="J2052" s="242">
        <f t="shared" si="1286"/>
        <v>24.444444444444457</v>
      </c>
      <c r="K2052" s="849">
        <f t="shared" si="1288"/>
        <v>0</v>
      </c>
      <c r="L2052" s="242">
        <f t="shared" si="1287"/>
        <v>0</v>
      </c>
    </row>
    <row r="2053" spans="1:12" ht="15.5">
      <c r="A2053" s="180" t="s">
        <v>13</v>
      </c>
      <c r="B2053" s="250">
        <f t="shared" si="1282"/>
        <v>2735144.2889657775</v>
      </c>
      <c r="C2053" s="241">
        <f t="shared" si="1283"/>
        <v>0.27709091163509031</v>
      </c>
      <c r="D2053" s="242">
        <v>2735144.2889657775</v>
      </c>
      <c r="E2053" s="242">
        <v>0</v>
      </c>
      <c r="F2053" s="242">
        <v>0</v>
      </c>
      <c r="G2053" s="32"/>
      <c r="H2053" s="250">
        <f t="shared" si="1284"/>
        <v>0</v>
      </c>
      <c r="I2053" s="241">
        <f t="shared" si="1285"/>
        <v>0</v>
      </c>
      <c r="J2053" s="242">
        <f t="shared" si="1286"/>
        <v>0</v>
      </c>
      <c r="K2053" s="849">
        <f t="shared" si="1288"/>
        <v>0</v>
      </c>
      <c r="L2053" s="242">
        <f t="shared" si="1287"/>
        <v>0</v>
      </c>
    </row>
    <row r="2054" spans="1:12" ht="15.5">
      <c r="A2054" s="180"/>
      <c r="B2054" s="242">
        <v>0</v>
      </c>
      <c r="C2054" s="241">
        <f t="shared" si="1283"/>
        <v>0</v>
      </c>
      <c r="D2054" s="242"/>
      <c r="E2054" s="242"/>
      <c r="F2054" s="242"/>
      <c r="G2054" s="32"/>
      <c r="H2054" s="242">
        <v>0</v>
      </c>
      <c r="I2054" s="241">
        <f t="shared" si="1285"/>
        <v>0</v>
      </c>
      <c r="J2054" s="242"/>
      <c r="K2054" s="242"/>
      <c r="L2054" s="242"/>
    </row>
    <row r="2055" spans="1:12" ht="15.5">
      <c r="A2055" s="180"/>
      <c r="B2055" s="243">
        <f>SUM(B2047:B2054)</f>
        <v>9870927.4614093974</v>
      </c>
      <c r="C2055" s="240">
        <f>SUM(C2047:C2054)</f>
        <v>1</v>
      </c>
      <c r="D2055" s="243">
        <f>SUM(D2047:D2054)</f>
        <v>3536413.7814093968</v>
      </c>
      <c r="E2055" s="243">
        <f>SUM(E2047:E2053)</f>
        <v>2538715.9900000002</v>
      </c>
      <c r="F2055" s="243">
        <f>SUM(F2047:F2053)</f>
        <v>3795797.69</v>
      </c>
      <c r="G2055" s="32">
        <f>+B2055-B2044</f>
        <v>229892.91446584091</v>
      </c>
      <c r="H2055" s="243">
        <f>SUM(H2047:H2054)</f>
        <v>229892.9144658419</v>
      </c>
      <c r="I2055" s="240">
        <f>SUM(I2047:I2054)</f>
        <v>1</v>
      </c>
      <c r="J2055" s="243">
        <f t="shared" ref="J2055:L2055" si="1289">SUM(J2047:J2054)</f>
        <v>20947.604465841396</v>
      </c>
      <c r="K2055" s="243">
        <f t="shared" si="1289"/>
        <v>146644.88000000035</v>
      </c>
      <c r="L2055" s="243">
        <f t="shared" si="1289"/>
        <v>62300.430000000168</v>
      </c>
    </row>
    <row r="2056" spans="1:12" ht="16" thickBot="1">
      <c r="A2056" s="180" t="s">
        <v>797</v>
      </c>
      <c r="B2056" s="1031">
        <f>50000000/1220</f>
        <v>40983.606557377047</v>
      </c>
      <c r="C2056" s="335"/>
      <c r="D2056" s="334"/>
      <c r="E2056" s="334"/>
      <c r="F2056" s="334"/>
      <c r="G2056" s="32"/>
      <c r="H2056" s="334"/>
      <c r="I2056" s="335"/>
      <c r="J2056" s="334"/>
      <c r="K2056" s="334"/>
      <c r="L2056" s="334"/>
    </row>
    <row r="2057" spans="1:12" ht="16" thickBot="1">
      <c r="A2057" s="253">
        <v>45563</v>
      </c>
      <c r="B2057" s="251">
        <v>1220</v>
      </c>
      <c r="C2057" s="238" t="s">
        <v>3</v>
      </c>
      <c r="D2057" s="238" t="s">
        <v>4</v>
      </c>
      <c r="E2057" s="238" t="s">
        <v>5</v>
      </c>
      <c r="F2057" s="238" t="s">
        <v>6</v>
      </c>
      <c r="H2057" s="251">
        <f>+B2057-B2046</f>
        <v>-80</v>
      </c>
      <c r="I2057" s="238" t="s">
        <v>3</v>
      </c>
      <c r="J2057" s="238" t="s">
        <v>4</v>
      </c>
      <c r="K2057" s="238" t="s">
        <v>5</v>
      </c>
      <c r="L2057" s="238" t="s">
        <v>114</v>
      </c>
    </row>
    <row r="2058" spans="1:12" ht="15.5">
      <c r="A2058" s="180" t="s">
        <v>7</v>
      </c>
      <c r="B2058" s="250">
        <f>SUM(D2058:F2058)</f>
        <v>6700097.9876666665</v>
      </c>
      <c r="C2058" s="241">
        <f>+B2058/$B$2066</f>
        <v>0.66062246589167994</v>
      </c>
      <c r="D2058" s="242">
        <v>93320.217666666664</v>
      </c>
      <c r="E2058" s="242">
        <v>2721271.24</v>
      </c>
      <c r="F2058" s="242">
        <v>3885506.53</v>
      </c>
      <c r="H2058" s="250">
        <f>SUM(J2058:L2058)</f>
        <v>278556.81828205113</v>
      </c>
      <c r="I2058" s="241">
        <f>+H2058/$H$2066</f>
        <v>1.0272373705641185</v>
      </c>
      <c r="J2058" s="242">
        <f>+D2058-D2047</f>
        <v>6292.7282820512773</v>
      </c>
      <c r="K2058" s="849">
        <f>+E2058-E2047</f>
        <v>182555.25</v>
      </c>
      <c r="L2058" s="242">
        <f>+F2058-F2047</f>
        <v>89708.839999999851</v>
      </c>
    </row>
    <row r="2059" spans="1:12" ht="15.5">
      <c r="A2059" s="180" t="s">
        <v>8</v>
      </c>
      <c r="B2059" s="250">
        <f t="shared" ref="B2059:B2064" si="1290">SUM(D2059:F2059)</f>
        <v>0</v>
      </c>
      <c r="C2059" s="241">
        <f t="shared" ref="C2059:C2064" si="1291">+B2059/$B$2066</f>
        <v>0</v>
      </c>
      <c r="D2059" s="242">
        <v>0</v>
      </c>
      <c r="F2059" s="242"/>
      <c r="G2059" s="32"/>
      <c r="H2059" s="250">
        <f t="shared" ref="H2059:H2064" si="1292">SUM(J2059:L2059)</f>
        <v>0</v>
      </c>
      <c r="I2059" s="241">
        <f t="shared" ref="I2059:I2065" si="1293">+H2059/$H$2066</f>
        <v>0</v>
      </c>
      <c r="J2059" s="242">
        <f t="shared" ref="J2059:J2064" si="1294">+D2059-D2048</f>
        <v>0</v>
      </c>
      <c r="K2059" s="849">
        <f>+E2059-E2048</f>
        <v>0</v>
      </c>
      <c r="L2059" s="242">
        <f t="shared" ref="L2059:L2064" si="1295">+F2059-F2048</f>
        <v>0</v>
      </c>
    </row>
    <row r="2060" spans="1:12" ht="15.5">
      <c r="A2060" s="180" t="s">
        <v>9</v>
      </c>
      <c r="B2060" s="250">
        <f t="shared" si="1290"/>
        <v>462141.53246666666</v>
      </c>
      <c r="C2060" s="241">
        <f t="shared" si="1291"/>
        <v>4.5566658775898196E-2</v>
      </c>
      <c r="D2060" s="242">
        <v>462141.53246666666</v>
      </c>
      <c r="E2060" s="242"/>
      <c r="F2060" s="242"/>
      <c r="H2060" s="250">
        <f t="shared" si="1292"/>
        <v>-7450.147259003832</v>
      </c>
      <c r="I2060" s="241">
        <f t="shared" si="1293"/>
        <v>-2.7473998762096351E-2</v>
      </c>
      <c r="J2060" s="242">
        <f t="shared" si="1294"/>
        <v>-7450.147259003832</v>
      </c>
      <c r="K2060" s="849">
        <f t="shared" ref="K2060:K2064" si="1296">+E2060-E2049</f>
        <v>0</v>
      </c>
      <c r="L2060" s="242">
        <f t="shared" si="1295"/>
        <v>0</v>
      </c>
    </row>
    <row r="2061" spans="1:12" ht="15.5">
      <c r="A2061" s="180" t="s">
        <v>10</v>
      </c>
      <c r="B2061" s="250">
        <f t="shared" si="1290"/>
        <v>243916.99000000002</v>
      </c>
      <c r="C2061" s="241">
        <f t="shared" si="1291"/>
        <v>2.404995325490647E-2</v>
      </c>
      <c r="D2061" s="242">
        <v>243916.99000000002</v>
      </c>
      <c r="E2061" s="242"/>
      <c r="F2061" s="242"/>
      <c r="H2061" s="250">
        <f t="shared" si="1292"/>
        <v>0</v>
      </c>
      <c r="I2061" s="241">
        <f t="shared" si="1293"/>
        <v>0</v>
      </c>
      <c r="J2061" s="242">
        <f t="shared" si="1294"/>
        <v>0</v>
      </c>
      <c r="K2061" s="849">
        <f t="shared" si="1296"/>
        <v>0</v>
      </c>
      <c r="L2061" s="242">
        <f t="shared" si="1295"/>
        <v>0</v>
      </c>
    </row>
    <row r="2062" spans="1:12" ht="15.5">
      <c r="A2062" s="180" t="s">
        <v>11</v>
      </c>
      <c r="B2062" s="250">
        <f t="shared" si="1290"/>
        <v>0</v>
      </c>
      <c r="C2062" s="241">
        <f t="shared" si="1291"/>
        <v>0</v>
      </c>
      <c r="D2062" s="242">
        <v>0</v>
      </c>
      <c r="E2062" s="242"/>
      <c r="F2062" s="242"/>
      <c r="H2062" s="250">
        <f t="shared" si="1292"/>
        <v>0</v>
      </c>
      <c r="I2062" s="241">
        <f t="shared" si="1293"/>
        <v>0</v>
      </c>
      <c r="J2062" s="242">
        <f t="shared" si="1294"/>
        <v>0</v>
      </c>
      <c r="K2062" s="849">
        <f t="shared" si="1296"/>
        <v>0</v>
      </c>
      <c r="L2062" s="242">
        <f t="shared" si="1295"/>
        <v>0</v>
      </c>
    </row>
    <row r="2063" spans="1:12" ht="15.5">
      <c r="A2063" s="180" t="s">
        <v>12</v>
      </c>
      <c r="B2063" s="250">
        <f t="shared" si="1290"/>
        <v>797.5</v>
      </c>
      <c r="C2063" s="241">
        <f t="shared" si="1291"/>
        <v>7.8632643510351236E-5</v>
      </c>
      <c r="D2063" s="242">
        <v>797.5</v>
      </c>
      <c r="E2063" s="242"/>
      <c r="F2063" s="242"/>
      <c r="H2063" s="250">
        <f t="shared" si="1292"/>
        <v>64.166666666666629</v>
      </c>
      <c r="I2063" s="241">
        <f t="shared" si="1293"/>
        <v>2.3662819797787049E-4</v>
      </c>
      <c r="J2063" s="242">
        <f t="shared" si="1294"/>
        <v>64.166666666666629</v>
      </c>
      <c r="K2063" s="849">
        <f t="shared" si="1296"/>
        <v>0</v>
      </c>
      <c r="L2063" s="242">
        <f t="shared" si="1295"/>
        <v>0</v>
      </c>
    </row>
    <row r="2064" spans="1:12" ht="15.5">
      <c r="A2064" s="180" t="s">
        <v>13</v>
      </c>
      <c r="B2064" s="250">
        <f t="shared" si="1290"/>
        <v>2735144.2889657775</v>
      </c>
      <c r="C2064" s="241">
        <f t="shared" si="1291"/>
        <v>0.26968228943400513</v>
      </c>
      <c r="D2064" s="242">
        <v>2735144.2889657775</v>
      </c>
      <c r="E2064" s="242">
        <v>0</v>
      </c>
      <c r="F2064" s="242">
        <v>0</v>
      </c>
      <c r="G2064" s="32"/>
      <c r="H2064" s="250">
        <f t="shared" si="1292"/>
        <v>0</v>
      </c>
      <c r="I2064" s="241">
        <f t="shared" si="1293"/>
        <v>0</v>
      </c>
      <c r="J2064" s="242">
        <f t="shared" si="1294"/>
        <v>0</v>
      </c>
      <c r="K2064" s="849">
        <f t="shared" si="1296"/>
        <v>0</v>
      </c>
      <c r="L2064" s="242">
        <f t="shared" si="1295"/>
        <v>0</v>
      </c>
    </row>
    <row r="2065" spans="1:12" ht="15.5">
      <c r="A2065" s="180"/>
      <c r="B2065" s="242">
        <v>0</v>
      </c>
      <c r="C2065" s="241">
        <f t="shared" ref="C2065" si="1297">+B2065/$B$2055</f>
        <v>0</v>
      </c>
      <c r="D2065" s="242"/>
      <c r="E2065" s="242"/>
      <c r="F2065" s="242"/>
      <c r="G2065" s="32"/>
      <c r="H2065" s="242">
        <v>0</v>
      </c>
      <c r="I2065" s="241">
        <f t="shared" si="1293"/>
        <v>0</v>
      </c>
      <c r="J2065" s="242"/>
      <c r="K2065" s="242"/>
      <c r="L2065" s="242"/>
    </row>
    <row r="2066" spans="1:12" ht="15.5">
      <c r="A2066" s="180"/>
      <c r="B2066" s="243">
        <f>SUM(B2058:B2065)</f>
        <v>10142098.29909911</v>
      </c>
      <c r="C2066" s="240">
        <f>SUM(C2058:C2065)</f>
        <v>1</v>
      </c>
      <c r="D2066" s="243">
        <f>SUM(D2058:D2065)</f>
        <v>3535320.5290991105</v>
      </c>
      <c r="E2066" s="243">
        <f>SUM(E2058:E2064)</f>
        <v>2721271.24</v>
      </c>
      <c r="F2066" s="243">
        <f>SUM(F2058:F2064)</f>
        <v>3885506.53</v>
      </c>
      <c r="G2066" s="32">
        <f>+B2066-B2055</f>
        <v>271170.83768971264</v>
      </c>
      <c r="H2066" s="243">
        <f>SUM(H2058:H2065)</f>
        <v>271170.83768971398</v>
      </c>
      <c r="I2066" s="240">
        <f>SUM(I2058:I2065)</f>
        <v>1</v>
      </c>
      <c r="J2066" s="243">
        <f t="shared" ref="J2066:L2066" si="1298">SUM(J2058:J2065)</f>
        <v>-1093.2523102858881</v>
      </c>
      <c r="K2066" s="243">
        <f t="shared" si="1298"/>
        <v>182555.25</v>
      </c>
      <c r="L2066" s="243">
        <f t="shared" si="1298"/>
        <v>89708.839999999851</v>
      </c>
    </row>
    <row r="2067" spans="1:12" ht="16" thickBot="1">
      <c r="A2067" s="180" t="s">
        <v>798</v>
      </c>
      <c r="B2067" s="1031">
        <f>143288*1.1</f>
        <v>157616.80000000002</v>
      </c>
      <c r="C2067" s="335"/>
      <c r="D2067" s="334"/>
      <c r="E2067" s="334"/>
      <c r="F2067" s="334"/>
      <c r="G2067" s="32"/>
      <c r="H2067" s="334"/>
      <c r="I2067" s="335"/>
      <c r="J2067" s="334"/>
      <c r="K2067" s="334"/>
      <c r="L2067" s="334"/>
    </row>
    <row r="2068" spans="1:12" ht="16" thickBot="1">
      <c r="A2068" s="253">
        <v>45593</v>
      </c>
      <c r="B2068" s="251">
        <v>1220</v>
      </c>
      <c r="C2068" s="238" t="s">
        <v>3</v>
      </c>
      <c r="D2068" s="238" t="s">
        <v>4</v>
      </c>
      <c r="E2068" s="238" t="s">
        <v>5</v>
      </c>
      <c r="F2068" s="238" t="s">
        <v>6</v>
      </c>
      <c r="H2068" s="251">
        <f>+B2068-B2057</f>
        <v>0</v>
      </c>
      <c r="I2068" s="238" t="s">
        <v>3</v>
      </c>
      <c r="J2068" s="238" t="s">
        <v>4</v>
      </c>
      <c r="K2068" s="238" t="s">
        <v>5</v>
      </c>
      <c r="L2068" s="238" t="s">
        <v>114</v>
      </c>
    </row>
    <row r="2069" spans="1:12" ht="15.5">
      <c r="A2069" s="180" t="s">
        <v>7</v>
      </c>
      <c r="B2069" s="250">
        <f>SUM(D2069:F2069)</f>
        <v>6923152.8236666666</v>
      </c>
      <c r="C2069" s="241">
        <f>+B2069/$B$2077</f>
        <v>0.65866033304755001</v>
      </c>
      <c r="D2069" s="242">
        <v>98034.053666666659</v>
      </c>
      <c r="E2069" s="242">
        <v>2979662.22</v>
      </c>
      <c r="F2069" s="242">
        <v>3845456.55</v>
      </c>
      <c r="H2069" s="250">
        <f>SUM(J2069:L2069)</f>
        <v>223054.83600000001</v>
      </c>
      <c r="I2069" s="241">
        <f>+H2069/$H$2077</f>
        <v>0.60471027372289621</v>
      </c>
      <c r="J2069" s="242">
        <f>+D2069-D2058</f>
        <v>4713.8359999999957</v>
      </c>
      <c r="K2069" s="849">
        <f>+E2069-E2058</f>
        <v>258390.97999999998</v>
      </c>
      <c r="L2069" s="242">
        <f>+F2069-F2058</f>
        <v>-40049.979999999981</v>
      </c>
    </row>
    <row r="2070" spans="1:12" ht="15.5">
      <c r="A2070" s="180" t="s">
        <v>8</v>
      </c>
      <c r="B2070" s="250">
        <f t="shared" ref="B2070:B2075" si="1299">SUM(D2070:F2070)</f>
        <v>0</v>
      </c>
      <c r="C2070" s="241">
        <f t="shared" ref="C2070:C2075" si="1300">+B2070/$B$2077</f>
        <v>0</v>
      </c>
      <c r="D2070" s="242">
        <v>0</v>
      </c>
      <c r="F2070" s="242"/>
      <c r="G2070" s="32"/>
      <c r="H2070" s="250">
        <f t="shared" ref="H2070:H2075" si="1301">SUM(J2070:L2070)</f>
        <v>0</v>
      </c>
      <c r="I2070" s="241">
        <f t="shared" ref="I2070:I2075" si="1302">+H2070/$H$2077</f>
        <v>0</v>
      </c>
      <c r="J2070" s="242">
        <f t="shared" ref="J2070:J2075" si="1303">+D2070-D2059</f>
        <v>0</v>
      </c>
      <c r="K2070" s="849">
        <f>+E2070-E2059</f>
        <v>0</v>
      </c>
      <c r="L2070" s="242">
        <f t="shared" ref="L2070:L2075" si="1304">+F2070-F2059</f>
        <v>0</v>
      </c>
    </row>
    <row r="2071" spans="1:12" ht="15.5">
      <c r="A2071" s="180" t="s">
        <v>9</v>
      </c>
      <c r="B2071" s="250">
        <f t="shared" si="1299"/>
        <v>332828.79895833298</v>
      </c>
      <c r="C2071" s="241">
        <f t="shared" si="1300"/>
        <v>3.1664926826446532E-2</v>
      </c>
      <c r="D2071" s="242">
        <f>-B2067+490445.598958333</f>
        <v>332828.79895833298</v>
      </c>
      <c r="E2071" s="242"/>
      <c r="F2071" s="242"/>
      <c r="H2071" s="250">
        <f t="shared" si="1301"/>
        <v>-129312.73350833368</v>
      </c>
      <c r="I2071" s="241">
        <f t="shared" si="1302"/>
        <v>-0.35057181398963433</v>
      </c>
      <c r="J2071" s="242">
        <f t="shared" si="1303"/>
        <v>-129312.73350833368</v>
      </c>
      <c r="K2071" s="849">
        <f t="shared" ref="K2071:K2075" si="1305">+E2071-E2060</f>
        <v>0</v>
      </c>
      <c r="L2071" s="242">
        <f t="shared" si="1304"/>
        <v>0</v>
      </c>
    </row>
    <row r="2072" spans="1:12" ht="15.5">
      <c r="A2072" s="180" t="s">
        <v>10</v>
      </c>
      <c r="B2072" s="250">
        <f t="shared" si="1299"/>
        <v>361420.41</v>
      </c>
      <c r="C2072" s="241">
        <f t="shared" si="1300"/>
        <v>3.4385097900338328E-2</v>
      </c>
      <c r="D2072" s="242">
        <v>361420.41</v>
      </c>
      <c r="E2072" s="242"/>
      <c r="F2072" s="242"/>
      <c r="H2072" s="250">
        <f t="shared" si="1301"/>
        <v>117503.41999999995</v>
      </c>
      <c r="I2072" s="241">
        <f t="shared" si="1302"/>
        <v>0.31855630904849069</v>
      </c>
      <c r="J2072" s="242">
        <f t="shared" si="1303"/>
        <v>117503.41999999995</v>
      </c>
      <c r="K2072" s="849">
        <f t="shared" si="1305"/>
        <v>0</v>
      </c>
      <c r="L2072" s="242">
        <f t="shared" si="1304"/>
        <v>0</v>
      </c>
    </row>
    <row r="2073" spans="1:12" ht="15.5">
      <c r="A2073" s="180" t="s">
        <v>11</v>
      </c>
      <c r="B2073" s="250">
        <f t="shared" si="1299"/>
        <v>0</v>
      </c>
      <c r="C2073" s="241">
        <f t="shared" si="1300"/>
        <v>0</v>
      </c>
      <c r="D2073" s="242">
        <v>0</v>
      </c>
      <c r="E2073" s="242"/>
      <c r="F2073" s="242"/>
      <c r="H2073" s="250">
        <f t="shared" si="1301"/>
        <v>0</v>
      </c>
      <c r="I2073" s="241">
        <f t="shared" si="1302"/>
        <v>0</v>
      </c>
      <c r="J2073" s="242">
        <f t="shared" si="1303"/>
        <v>0</v>
      </c>
      <c r="K2073" s="849">
        <f t="shared" si="1305"/>
        <v>0</v>
      </c>
      <c r="L2073" s="242">
        <f t="shared" si="1304"/>
        <v>0</v>
      </c>
    </row>
    <row r="2074" spans="1:12" ht="15.5">
      <c r="A2074" s="180" t="s">
        <v>12</v>
      </c>
      <c r="B2074" s="250">
        <f t="shared" si="1299"/>
        <v>797.5</v>
      </c>
      <c r="C2074" s="241">
        <f t="shared" si="1300"/>
        <v>7.5873179313586125E-5</v>
      </c>
      <c r="D2074" s="242">
        <v>797.5</v>
      </c>
      <c r="E2074" s="242"/>
      <c r="F2074" s="242"/>
      <c r="H2074" s="250">
        <f t="shared" si="1301"/>
        <v>0</v>
      </c>
      <c r="I2074" s="241">
        <f t="shared" si="1302"/>
        <v>0</v>
      </c>
      <c r="J2074" s="242">
        <f t="shared" si="1303"/>
        <v>0</v>
      </c>
      <c r="K2074" s="849">
        <f t="shared" si="1305"/>
        <v>0</v>
      </c>
      <c r="L2074" s="242">
        <f t="shared" si="1304"/>
        <v>0</v>
      </c>
    </row>
    <row r="2075" spans="1:12" ht="15.5">
      <c r="A2075" s="180" t="s">
        <v>13</v>
      </c>
      <c r="B2075" s="250">
        <f t="shared" si="1299"/>
        <v>2892761.0889657796</v>
      </c>
      <c r="C2075" s="241">
        <f t="shared" si="1300"/>
        <v>0.27521376904635148</v>
      </c>
      <c r="D2075" s="242">
        <f>143288*1.1+2735144.28896578</f>
        <v>2892761.0889657796</v>
      </c>
      <c r="E2075" s="242">
        <v>0</v>
      </c>
      <c r="F2075" s="242">
        <v>0</v>
      </c>
      <c r="G2075" s="32"/>
      <c r="H2075" s="250">
        <f t="shared" si="1301"/>
        <v>157616.80000000214</v>
      </c>
      <c r="I2075" s="241">
        <f t="shared" si="1302"/>
        <v>0.42730523121824748</v>
      </c>
      <c r="J2075" s="242">
        <f t="shared" si="1303"/>
        <v>157616.80000000214</v>
      </c>
      <c r="K2075" s="849">
        <f t="shared" si="1305"/>
        <v>0</v>
      </c>
      <c r="L2075" s="242">
        <f t="shared" si="1304"/>
        <v>0</v>
      </c>
    </row>
    <row r="2076" spans="1:12" ht="15.5">
      <c r="A2076" s="180"/>
      <c r="B2076" s="242">
        <v>0</v>
      </c>
      <c r="C2076" s="241">
        <f t="shared" ref="C2076" si="1306">+B2076/$B$2055</f>
        <v>0</v>
      </c>
      <c r="D2076" s="242"/>
      <c r="E2076" s="242"/>
      <c r="F2076" s="242"/>
      <c r="G2076" s="32"/>
      <c r="H2076" s="242">
        <v>0</v>
      </c>
      <c r="I2076" s="241">
        <f t="shared" ref="I2076" si="1307">+H2076/$H$2066</f>
        <v>0</v>
      </c>
      <c r="J2076" s="242"/>
      <c r="K2076" s="242"/>
      <c r="L2076" s="242"/>
    </row>
    <row r="2077" spans="1:12" ht="15.5">
      <c r="A2077" s="180"/>
      <c r="B2077" s="243">
        <f>SUM(B2069:B2076)</f>
        <v>10510960.62159078</v>
      </c>
      <c r="C2077" s="240">
        <f>SUM(C2069:C2076)</f>
        <v>0.99999999999999978</v>
      </c>
      <c r="D2077" s="243">
        <f>SUM(D2069:D2076)</f>
        <v>3685841.8515907791</v>
      </c>
      <c r="E2077" s="243">
        <f>SUM(E2069:E2075)</f>
        <v>2979662.22</v>
      </c>
      <c r="F2077" s="243">
        <f>SUM(F2069:F2075)</f>
        <v>3845456.55</v>
      </c>
      <c r="G2077" s="32">
        <f>+B2077-B2066</f>
        <v>368862.32249167003</v>
      </c>
      <c r="H2077" s="243">
        <f>SUM(H2069:H2076)</f>
        <v>368862.3224916684</v>
      </c>
      <c r="I2077" s="240">
        <f>SUM(I2069:I2076)</f>
        <v>1</v>
      </c>
      <c r="J2077" s="243">
        <f t="shared" ref="J2077:L2077" si="1308">SUM(J2069:J2076)</f>
        <v>150521.3224916684</v>
      </c>
      <c r="K2077" s="243">
        <f t="shared" si="1308"/>
        <v>258390.97999999998</v>
      </c>
      <c r="L2077" s="243">
        <f t="shared" si="1308"/>
        <v>-40049.979999999981</v>
      </c>
    </row>
    <row r="2078" spans="1:12" ht="16" thickBot="1">
      <c r="A2078" s="180" t="s">
        <v>802</v>
      </c>
      <c r="B2078" s="1031"/>
      <c r="C2078" s="335"/>
      <c r="D2078" s="334"/>
      <c r="E2078" s="334"/>
      <c r="F2078" s="334"/>
      <c r="G2078" s="32"/>
      <c r="H2078" s="334"/>
      <c r="I2078" s="335"/>
      <c r="J2078" s="334"/>
      <c r="K2078" s="334"/>
      <c r="L2078" s="334"/>
    </row>
    <row r="2079" spans="1:12" ht="16" thickBot="1">
      <c r="A2079" s="253">
        <v>45624</v>
      </c>
      <c r="B2079" s="251">
        <v>1220</v>
      </c>
      <c r="C2079" s="238" t="s">
        <v>3</v>
      </c>
      <c r="D2079" s="238" t="s">
        <v>4</v>
      </c>
      <c r="E2079" s="238" t="s">
        <v>5</v>
      </c>
      <c r="F2079" s="238" t="s">
        <v>6</v>
      </c>
      <c r="H2079" s="251">
        <f>+B2079-B2068</f>
        <v>0</v>
      </c>
      <c r="I2079" s="238" t="s">
        <v>3</v>
      </c>
      <c r="J2079" s="238" t="s">
        <v>4</v>
      </c>
      <c r="K2079" s="238" t="s">
        <v>5</v>
      </c>
      <c r="L2079" s="238" t="s">
        <v>114</v>
      </c>
    </row>
    <row r="2080" spans="1:12" ht="15.5">
      <c r="A2080" s="180" t="s">
        <v>7</v>
      </c>
      <c r="B2080" s="250">
        <f>SUM(D2080:F2080)</f>
        <v>7498195.3445982141</v>
      </c>
      <c r="C2080" s="241">
        <f>+B2080/$B$2088</f>
        <v>0.67618378463275031</v>
      </c>
      <c r="D2080" s="242">
        <v>135122.77459821431</v>
      </c>
      <c r="E2080" s="242">
        <v>3285627.32</v>
      </c>
      <c r="F2080" s="242">
        <v>4077445.25</v>
      </c>
      <c r="H2080" s="250">
        <f>SUM(J2080:L2080)</f>
        <v>575042.52093154751</v>
      </c>
      <c r="I2080" s="241">
        <f>+H2080/$H$2088</f>
        <v>0.99483238717103839</v>
      </c>
      <c r="J2080" s="242">
        <f>+D2080-D2069</f>
        <v>37088.72093154765</v>
      </c>
      <c r="K2080" s="849">
        <f>+E2080-E2069</f>
        <v>305965.09999999963</v>
      </c>
      <c r="L2080" s="242">
        <f>+F2080-F2069</f>
        <v>231988.70000000019</v>
      </c>
    </row>
    <row r="2081" spans="1:12" ht="15.5">
      <c r="A2081" s="180" t="s">
        <v>8</v>
      </c>
      <c r="B2081" s="250">
        <f t="shared" ref="B2081:B2086" si="1309">SUM(D2081:F2081)</f>
        <v>0</v>
      </c>
      <c r="C2081" s="241">
        <f t="shared" ref="C2081:C2086" si="1310">+B2081/$B$2088</f>
        <v>0</v>
      </c>
      <c r="D2081" s="242">
        <v>0</v>
      </c>
      <c r="F2081" s="242"/>
      <c r="G2081" s="32"/>
      <c r="H2081" s="250">
        <f t="shared" ref="H2081:H2086" si="1311">SUM(J2081:L2081)</f>
        <v>0</v>
      </c>
      <c r="I2081" s="241">
        <f t="shared" ref="I2081:I2086" si="1312">+H2081/$H$2088</f>
        <v>0</v>
      </c>
      <c r="J2081" s="242">
        <f t="shared" ref="J2081:J2086" si="1313">+D2081-D2070</f>
        <v>0</v>
      </c>
      <c r="K2081" s="849">
        <f>+E2081-E2070</f>
        <v>0</v>
      </c>
      <c r="L2081" s="242">
        <f t="shared" ref="L2081:L2086" si="1314">+F2081-F2070</f>
        <v>0</v>
      </c>
    </row>
    <row r="2082" spans="1:12" ht="15.5">
      <c r="A2082" s="180" t="s">
        <v>9</v>
      </c>
      <c r="B2082" s="250">
        <f t="shared" si="1309"/>
        <v>244171.68761071429</v>
      </c>
      <c r="C2082" s="241">
        <f t="shared" si="1310"/>
        <v>2.2019289741193781E-2</v>
      </c>
      <c r="D2082" s="242">
        <v>244171.68761071429</v>
      </c>
      <c r="E2082" s="242"/>
      <c r="F2082" s="242"/>
      <c r="H2082" s="250">
        <f t="shared" si="1311"/>
        <v>-88657.111347618687</v>
      </c>
      <c r="I2082" s="241">
        <f t="shared" si="1312"/>
        <v>-0.15337816337261637</v>
      </c>
      <c r="J2082" s="242">
        <f t="shared" si="1313"/>
        <v>-88657.111347618687</v>
      </c>
      <c r="K2082" s="849">
        <f t="shared" ref="K2082:K2086" si="1315">+E2082-E2071</f>
        <v>0</v>
      </c>
      <c r="L2082" s="242">
        <f t="shared" si="1314"/>
        <v>0</v>
      </c>
    </row>
    <row r="2083" spans="1:12" ht="15.5">
      <c r="A2083" s="180" t="s">
        <v>10</v>
      </c>
      <c r="B2083" s="250">
        <f t="shared" si="1309"/>
        <v>453007.59</v>
      </c>
      <c r="C2083" s="241">
        <f t="shared" si="1310"/>
        <v>4.085201473101592E-2</v>
      </c>
      <c r="D2083" s="242">
        <v>453007.59</v>
      </c>
      <c r="E2083" s="242"/>
      <c r="F2083" s="242"/>
      <c r="H2083" s="250">
        <f t="shared" si="1311"/>
        <v>91587.180000000051</v>
      </c>
      <c r="I2083" s="241">
        <f t="shared" si="1312"/>
        <v>0.15844722711298379</v>
      </c>
      <c r="J2083" s="242">
        <f t="shared" si="1313"/>
        <v>91587.180000000051</v>
      </c>
      <c r="K2083" s="849">
        <f t="shared" si="1315"/>
        <v>0</v>
      </c>
      <c r="L2083" s="242">
        <f t="shared" si="1314"/>
        <v>0</v>
      </c>
    </row>
    <row r="2084" spans="1:12" ht="15.5">
      <c r="A2084" s="180" t="s">
        <v>11</v>
      </c>
      <c r="B2084" s="250">
        <f t="shared" si="1309"/>
        <v>0</v>
      </c>
      <c r="C2084" s="241">
        <f t="shared" si="1310"/>
        <v>0</v>
      </c>
      <c r="D2084" s="242">
        <v>0</v>
      </c>
      <c r="E2084" s="242"/>
      <c r="F2084" s="242"/>
      <c r="H2084" s="250">
        <f t="shared" si="1311"/>
        <v>0</v>
      </c>
      <c r="I2084" s="241">
        <f t="shared" si="1312"/>
        <v>0</v>
      </c>
      <c r="J2084" s="242">
        <f t="shared" si="1313"/>
        <v>0</v>
      </c>
      <c r="K2084" s="849">
        <f t="shared" si="1315"/>
        <v>0</v>
      </c>
      <c r="L2084" s="242">
        <f t="shared" si="1314"/>
        <v>0</v>
      </c>
    </row>
    <row r="2085" spans="1:12" ht="15.5">
      <c r="A2085" s="180" t="s">
        <v>12</v>
      </c>
      <c r="B2085" s="250">
        <f t="shared" si="1309"/>
        <v>854.46428571428567</v>
      </c>
      <c r="C2085" s="241">
        <f t="shared" si="1310"/>
        <v>7.705519368257604E-5</v>
      </c>
      <c r="D2085" s="242">
        <v>854.46428571428567</v>
      </c>
      <c r="E2085" s="242"/>
      <c r="F2085" s="242"/>
      <c r="H2085" s="250">
        <f t="shared" si="1311"/>
        <v>56.964285714285666</v>
      </c>
      <c r="I2085" s="241">
        <f t="shared" si="1312"/>
        <v>9.8549088594062108E-5</v>
      </c>
      <c r="J2085" s="242">
        <f t="shared" si="1313"/>
        <v>56.964285714285666</v>
      </c>
      <c r="K2085" s="849">
        <f t="shared" si="1315"/>
        <v>0</v>
      </c>
      <c r="L2085" s="242">
        <f t="shared" si="1314"/>
        <v>0</v>
      </c>
    </row>
    <row r="2086" spans="1:12" ht="15.5">
      <c r="A2086" s="180" t="s">
        <v>13</v>
      </c>
      <c r="B2086" s="250">
        <f t="shared" si="1309"/>
        <v>2892761.0889657796</v>
      </c>
      <c r="C2086" s="241">
        <f t="shared" si="1310"/>
        <v>0.2608678557013574</v>
      </c>
      <c r="D2086" s="242">
        <v>2892761.0889657796</v>
      </c>
      <c r="E2086" s="242">
        <v>0</v>
      </c>
      <c r="F2086" s="242">
        <v>0</v>
      </c>
      <c r="G2086" s="32"/>
      <c r="H2086" s="250">
        <f t="shared" si="1311"/>
        <v>0</v>
      </c>
      <c r="I2086" s="241">
        <f t="shared" si="1312"/>
        <v>0</v>
      </c>
      <c r="J2086" s="242">
        <f t="shared" si="1313"/>
        <v>0</v>
      </c>
      <c r="K2086" s="849">
        <f t="shared" si="1315"/>
        <v>0</v>
      </c>
      <c r="L2086" s="242">
        <f t="shared" si="1314"/>
        <v>0</v>
      </c>
    </row>
    <row r="2087" spans="1:12" ht="15.5">
      <c r="A2087" s="180"/>
      <c r="B2087" s="242">
        <v>0</v>
      </c>
      <c r="C2087" s="241">
        <f t="shared" ref="C2087" si="1316">+B2087/$B$2055</f>
        <v>0</v>
      </c>
      <c r="D2087" s="242"/>
      <c r="E2087" s="242"/>
      <c r="F2087" s="242"/>
      <c r="G2087" s="32"/>
      <c r="H2087" s="242">
        <v>0</v>
      </c>
      <c r="I2087" s="241">
        <f t="shared" ref="I2087" si="1317">+H2087/$H$2066</f>
        <v>0</v>
      </c>
      <c r="J2087" s="242"/>
      <c r="K2087" s="242"/>
      <c r="L2087" s="242"/>
    </row>
    <row r="2088" spans="1:12" ht="15.5">
      <c r="A2088" s="180"/>
      <c r="B2088" s="243">
        <f>SUM(B2080:B2087)</f>
        <v>11088990.175460422</v>
      </c>
      <c r="C2088" s="240">
        <f>SUM(C2080:C2087)</f>
        <v>1</v>
      </c>
      <c r="D2088" s="243">
        <f>SUM(D2080:D2087)</f>
        <v>3725917.6054604226</v>
      </c>
      <c r="E2088" s="243">
        <f>SUM(E2080:E2086)</f>
        <v>3285627.32</v>
      </c>
      <c r="F2088" s="243">
        <f>SUM(F2080:F2086)</f>
        <v>4077445.25</v>
      </c>
      <c r="G2088" s="32">
        <f>+B2088-B2077</f>
        <v>578029.55386964232</v>
      </c>
      <c r="H2088" s="243">
        <f>SUM(H2080:H2087)</f>
        <v>578029.55386964325</v>
      </c>
      <c r="I2088" s="240">
        <f>SUM(I2080:I2087)</f>
        <v>0.99999999999999989</v>
      </c>
      <c r="J2088" s="243">
        <f t="shared" ref="J2088:L2088" si="1318">SUM(J2080:J2087)</f>
        <v>40075.753869643297</v>
      </c>
      <c r="K2088" s="243">
        <f t="shared" si="1318"/>
        <v>305965.09999999963</v>
      </c>
      <c r="L2088" s="243">
        <f t="shared" si="1318"/>
        <v>231988.70000000019</v>
      </c>
    </row>
    <row r="2089" spans="1:12" ht="16" thickBot="1">
      <c r="A2089" s="180"/>
      <c r="B2089" s="1031"/>
      <c r="C2089" s="335"/>
      <c r="D2089" s="334"/>
      <c r="E2089" s="334"/>
      <c r="F2089" s="334"/>
      <c r="G2089" s="32"/>
      <c r="H2089" s="334"/>
      <c r="I2089" s="335"/>
      <c r="J2089" s="334"/>
      <c r="K2089" s="334"/>
      <c r="L2089" s="334"/>
    </row>
    <row r="2090" spans="1:12" ht="16" thickBot="1">
      <c r="A2090" s="253">
        <v>45654</v>
      </c>
      <c r="B2090" s="251">
        <v>1200</v>
      </c>
      <c r="C2090" s="238" t="s">
        <v>3</v>
      </c>
      <c r="D2090" s="238" t="s">
        <v>4</v>
      </c>
      <c r="E2090" s="238" t="s">
        <v>5</v>
      </c>
      <c r="F2090" s="238" t="s">
        <v>6</v>
      </c>
      <c r="H2090" s="251">
        <f>+B2090-B2079</f>
        <v>-20</v>
      </c>
      <c r="I2090" s="238" t="s">
        <v>3</v>
      </c>
      <c r="J2090" s="238" t="s">
        <v>4</v>
      </c>
      <c r="K2090" s="238" t="s">
        <v>5</v>
      </c>
      <c r="L2090" s="238" t="s">
        <v>114</v>
      </c>
    </row>
    <row r="2091" spans="1:12" ht="15.5">
      <c r="A2091" s="180" t="s">
        <v>7</v>
      </c>
      <c r="B2091" s="250">
        <f>SUM(D2091:F2091)</f>
        <v>7509940.9345416669</v>
      </c>
      <c r="C2091" s="241">
        <f>+B2091/$B$2099</f>
        <v>0.67593647249977107</v>
      </c>
      <c r="D2091" s="242">
        <v>133763.98454166669</v>
      </c>
      <c r="E2091" s="242">
        <v>3388026.41</v>
      </c>
      <c r="F2091" s="242">
        <v>3988150.54</v>
      </c>
      <c r="H2091" s="250">
        <f>SUM(J2091:L2091)</f>
        <v>11745.589943452738</v>
      </c>
      <c r="I2091" s="241">
        <f>+H2091/$H$2099</f>
        <v>0.547988351166942</v>
      </c>
      <c r="J2091" s="242">
        <f>+D2091-D2080</f>
        <v>-1358.7900565476157</v>
      </c>
      <c r="K2091" s="849">
        <f>+E2091-E2080</f>
        <v>102399.09000000032</v>
      </c>
      <c r="L2091" s="242">
        <f>+F2091-F2080</f>
        <v>-89294.709999999963</v>
      </c>
    </row>
    <row r="2092" spans="1:12" ht="15.5">
      <c r="A2092" s="180" t="s">
        <v>8</v>
      </c>
      <c r="B2092" s="250">
        <f t="shared" ref="B2092:B2097" si="1319">SUM(D2092:F2092)</f>
        <v>0</v>
      </c>
      <c r="C2092" s="241">
        <f t="shared" ref="C2092:C2097" si="1320">+B2092/$B$2099</f>
        <v>0</v>
      </c>
      <c r="D2092" s="242">
        <v>0</v>
      </c>
      <c r="F2092" s="242"/>
      <c r="G2092" s="32"/>
      <c r="H2092" s="250">
        <f t="shared" ref="H2092:H2097" si="1321">SUM(J2092:L2092)</f>
        <v>0</v>
      </c>
      <c r="I2092" s="241">
        <f t="shared" ref="I2092:I2098" si="1322">+H2092/$H$2099</f>
        <v>0</v>
      </c>
      <c r="J2092" s="242">
        <f t="shared" ref="J2092:J2097" si="1323">+D2092-D2081</f>
        <v>0</v>
      </c>
      <c r="K2092" s="849">
        <f>+E2092-E2081</f>
        <v>0</v>
      </c>
      <c r="L2092" s="242">
        <f t="shared" ref="L2092:L2097" si="1324">+F2092-F2081</f>
        <v>0</v>
      </c>
    </row>
    <row r="2093" spans="1:12" ht="15.5">
      <c r="A2093" s="180" t="s">
        <v>9</v>
      </c>
      <c r="B2093" s="250">
        <f t="shared" si="1319"/>
        <v>253049.01586666668</v>
      </c>
      <c r="C2093" s="241">
        <f t="shared" si="1320"/>
        <v>2.2775819496494109E-2</v>
      </c>
      <c r="D2093" s="242">
        <v>253049.01586666668</v>
      </c>
      <c r="E2093" s="242"/>
      <c r="F2093" s="242"/>
      <c r="H2093" s="250">
        <f t="shared" si="1321"/>
        <v>8877.3282559523941</v>
      </c>
      <c r="I2093" s="241">
        <f t="shared" si="1322"/>
        <v>0.4141701265894045</v>
      </c>
      <c r="J2093" s="242">
        <f t="shared" si="1323"/>
        <v>8877.3282559523941</v>
      </c>
      <c r="K2093" s="849">
        <f t="shared" ref="K2093:K2097" si="1325">+E2093-E2082</f>
        <v>0</v>
      </c>
      <c r="L2093" s="242">
        <f t="shared" si="1324"/>
        <v>0</v>
      </c>
    </row>
    <row r="2094" spans="1:12" ht="15.5">
      <c r="A2094" s="180" t="s">
        <v>10</v>
      </c>
      <c r="B2094" s="250">
        <f t="shared" si="1319"/>
        <v>453875.65</v>
      </c>
      <c r="C2094" s="241">
        <f t="shared" si="1320"/>
        <v>4.0851334050241002E-2</v>
      </c>
      <c r="D2094" s="242">
        <v>453875.65</v>
      </c>
      <c r="E2094" s="242"/>
      <c r="F2094" s="242"/>
      <c r="H2094" s="250">
        <f t="shared" si="1321"/>
        <v>868.05999999999767</v>
      </c>
      <c r="I2094" s="241">
        <f t="shared" si="1322"/>
        <v>4.0499180577909848E-2</v>
      </c>
      <c r="J2094" s="242">
        <f t="shared" si="1323"/>
        <v>868.05999999999767</v>
      </c>
      <c r="K2094" s="849">
        <f t="shared" si="1325"/>
        <v>0</v>
      </c>
      <c r="L2094" s="242">
        <f t="shared" si="1324"/>
        <v>0</v>
      </c>
    </row>
    <row r="2095" spans="1:12" ht="15.5">
      <c r="A2095" s="180" t="s">
        <v>11</v>
      </c>
      <c r="B2095" s="250">
        <f t="shared" si="1319"/>
        <v>0</v>
      </c>
      <c r="C2095" s="241">
        <f t="shared" si="1320"/>
        <v>0</v>
      </c>
      <c r="D2095" s="242">
        <v>0</v>
      </c>
      <c r="E2095" s="242"/>
      <c r="F2095" s="242"/>
      <c r="H2095" s="250">
        <f t="shared" si="1321"/>
        <v>0</v>
      </c>
      <c r="I2095" s="241">
        <f t="shared" si="1322"/>
        <v>0</v>
      </c>
      <c r="J2095" s="242">
        <f t="shared" si="1323"/>
        <v>0</v>
      </c>
      <c r="K2095" s="849">
        <f t="shared" si="1325"/>
        <v>0</v>
      </c>
      <c r="L2095" s="242">
        <f t="shared" si="1324"/>
        <v>0</v>
      </c>
    </row>
    <row r="2096" spans="1:12" ht="15.5">
      <c r="A2096" s="180" t="s">
        <v>12</v>
      </c>
      <c r="B2096" s="250">
        <f t="shared" si="1319"/>
        <v>797.5</v>
      </c>
      <c r="C2096" s="241">
        <f t="shared" si="1320"/>
        <v>7.1779437617037177E-5</v>
      </c>
      <c r="D2096" s="242">
        <v>797.5</v>
      </c>
      <c r="E2096" s="242"/>
      <c r="F2096" s="242"/>
      <c r="H2096" s="250">
        <f t="shared" si="1321"/>
        <v>-56.964285714285666</v>
      </c>
      <c r="I2096" s="241">
        <f t="shared" si="1322"/>
        <v>-2.6576583342562861E-3</v>
      </c>
      <c r="J2096" s="242">
        <f t="shared" si="1323"/>
        <v>-56.964285714285666</v>
      </c>
      <c r="K2096" s="849">
        <f t="shared" si="1325"/>
        <v>0</v>
      </c>
      <c r="L2096" s="242">
        <f t="shared" si="1324"/>
        <v>0</v>
      </c>
    </row>
    <row r="2097" spans="1:12" ht="15.5">
      <c r="A2097" s="180" t="s">
        <v>13</v>
      </c>
      <c r="B2097" s="250">
        <f t="shared" si="1319"/>
        <v>2892761.0889657796</v>
      </c>
      <c r="C2097" s="241">
        <f t="shared" si="1320"/>
        <v>0.26036459451587673</v>
      </c>
      <c r="D2097" s="242">
        <v>2892761.0889657796</v>
      </c>
      <c r="E2097" s="242">
        <v>0</v>
      </c>
      <c r="F2097" s="242">
        <v>0</v>
      </c>
      <c r="G2097" s="32"/>
      <c r="H2097" s="250">
        <f t="shared" si="1321"/>
        <v>0</v>
      </c>
      <c r="I2097" s="241">
        <f t="shared" si="1322"/>
        <v>0</v>
      </c>
      <c r="J2097" s="242">
        <f t="shared" si="1323"/>
        <v>0</v>
      </c>
      <c r="K2097" s="849">
        <f t="shared" si="1325"/>
        <v>0</v>
      </c>
      <c r="L2097" s="242">
        <f t="shared" si="1324"/>
        <v>0</v>
      </c>
    </row>
    <row r="2098" spans="1:12" ht="15.5">
      <c r="A2098" s="180"/>
      <c r="B2098" s="242">
        <v>0</v>
      </c>
      <c r="C2098" s="241">
        <f t="shared" ref="C2098" si="1326">+B2098/$B$2055</f>
        <v>0</v>
      </c>
      <c r="D2098" s="242"/>
      <c r="E2098" s="242"/>
      <c r="F2098" s="242"/>
      <c r="G2098" s="32"/>
      <c r="H2098" s="242">
        <v>0</v>
      </c>
      <c r="I2098" s="241">
        <f t="shared" si="1322"/>
        <v>0</v>
      </c>
      <c r="J2098" s="242"/>
      <c r="K2098" s="242"/>
      <c r="L2098" s="242"/>
    </row>
    <row r="2099" spans="1:12" ht="15.5">
      <c r="A2099" s="180"/>
      <c r="B2099" s="243">
        <f>SUM(B2091:B2098)</f>
        <v>11110424.189374113</v>
      </c>
      <c r="C2099" s="240">
        <f>SUM(C2091:C2098)</f>
        <v>1</v>
      </c>
      <c r="D2099" s="243">
        <f>SUM(D2091:D2098)</f>
        <v>3734247.2393741133</v>
      </c>
      <c r="E2099" s="243">
        <f>SUM(E2091:E2097)</f>
        <v>3388026.41</v>
      </c>
      <c r="F2099" s="243">
        <f>SUM(F2091:F2097)</f>
        <v>3988150.54</v>
      </c>
      <c r="G2099" s="32">
        <f>+B2099-B2088</f>
        <v>21434.013913691044</v>
      </c>
      <c r="H2099" s="243">
        <f>SUM(H2091:H2098)</f>
        <v>21434.013913690844</v>
      </c>
      <c r="I2099" s="240">
        <f>SUM(I2091:I2098)</f>
        <v>1</v>
      </c>
      <c r="J2099" s="243">
        <f t="shared" ref="J2099:L2099" si="1327">SUM(J2091:J2098)</f>
        <v>8329.6339136904899</v>
      </c>
      <c r="K2099" s="243">
        <f t="shared" si="1327"/>
        <v>102399.09000000032</v>
      </c>
      <c r="L2099" s="243">
        <f t="shared" si="1327"/>
        <v>-89294.709999999963</v>
      </c>
    </row>
    <row r="2100" spans="1:12" ht="16" thickBot="1">
      <c r="A2100" s="180"/>
      <c r="B2100" s="1031"/>
      <c r="C2100" s="335"/>
      <c r="D2100" s="334"/>
      <c r="E2100" s="334"/>
      <c r="F2100" s="334"/>
      <c r="G2100" s="32"/>
      <c r="H2100" s="334"/>
      <c r="I2100" s="335"/>
      <c r="J2100" s="334"/>
      <c r="K2100" s="334"/>
      <c r="L2100" s="334"/>
    </row>
    <row r="2101" spans="1:12" ht="16" thickBot="1">
      <c r="A2101" s="253">
        <v>45685</v>
      </c>
      <c r="B2101" s="251">
        <v>1220</v>
      </c>
      <c r="C2101" s="238" t="s">
        <v>3</v>
      </c>
      <c r="D2101" s="238" t="s">
        <v>4</v>
      </c>
      <c r="E2101" s="238" t="s">
        <v>5</v>
      </c>
      <c r="F2101" s="238" t="s">
        <v>6</v>
      </c>
      <c r="H2101" s="251">
        <f>+B2101-B2090</f>
        <v>20</v>
      </c>
      <c r="I2101" s="238" t="s">
        <v>3</v>
      </c>
      <c r="J2101" s="238" t="s">
        <v>4</v>
      </c>
      <c r="K2101" s="238" t="s">
        <v>5</v>
      </c>
      <c r="L2101" s="238" t="s">
        <v>114</v>
      </c>
    </row>
    <row r="2102" spans="1:12" ht="15.5">
      <c r="A2102" s="180" t="s">
        <v>7</v>
      </c>
      <c r="B2102" s="250">
        <f>SUM(D2102:F2102)</f>
        <v>7762813.5923360661</v>
      </c>
      <c r="C2102" s="241">
        <f>+B2102/$B$2110</f>
        <v>0.68291341342705303</v>
      </c>
      <c r="D2102" s="242">
        <v>131571.13233606558</v>
      </c>
      <c r="E2102" s="242">
        <v>3527132.78</v>
      </c>
      <c r="F2102" s="242">
        <v>4104109.68</v>
      </c>
      <c r="H2102" s="250">
        <f>SUM(J2102:L2102)</f>
        <v>252872.65779439866</v>
      </c>
      <c r="I2102" s="241">
        <f>+H2102/$H$2110</f>
        <v>0.98479803139645528</v>
      </c>
      <c r="J2102" s="242">
        <f>+D2102-D2091</f>
        <v>-2192.8522056011134</v>
      </c>
      <c r="K2102" s="849">
        <f>+E2102-E2091</f>
        <v>139106.36999999965</v>
      </c>
      <c r="L2102" s="242">
        <f>+F2102-F2091</f>
        <v>115959.14000000013</v>
      </c>
    </row>
    <row r="2103" spans="1:12" ht="15.5">
      <c r="A2103" s="180" t="s">
        <v>8</v>
      </c>
      <c r="B2103" s="250">
        <f t="shared" ref="B2103:B2108" si="1328">SUM(D2103:F2103)</f>
        <v>0</v>
      </c>
      <c r="C2103" s="241">
        <f t="shared" ref="C2103:C2109" si="1329">+B2103/$B$2110</f>
        <v>0</v>
      </c>
      <c r="D2103" s="242">
        <v>0</v>
      </c>
      <c r="F2103" s="242"/>
      <c r="G2103" s="32"/>
      <c r="H2103" s="250">
        <f t="shared" ref="H2103:H2108" si="1330">SUM(J2103:L2103)</f>
        <v>0</v>
      </c>
      <c r="I2103" s="241">
        <f t="shared" ref="I2103:I2108" si="1331">+H2103/$H$2110</f>
        <v>0</v>
      </c>
      <c r="J2103" s="242">
        <f t="shared" ref="J2103:J2108" si="1332">+D2103-D2092</f>
        <v>0</v>
      </c>
      <c r="K2103" s="849">
        <f>+E2103-E2092</f>
        <v>0</v>
      </c>
      <c r="L2103" s="242">
        <f t="shared" ref="L2103:L2108" si="1333">+F2103-F2092</f>
        <v>0</v>
      </c>
    </row>
    <row r="2104" spans="1:12" ht="15.5">
      <c r="A2104" s="180" t="s">
        <v>9</v>
      </c>
      <c r="B2104" s="250">
        <f t="shared" si="1328"/>
        <v>256199.19277377051</v>
      </c>
      <c r="C2104" s="241">
        <f t="shared" si="1329"/>
        <v>2.2538460208180764E-2</v>
      </c>
      <c r="D2104" s="242">
        <v>256199.19277377051</v>
      </c>
      <c r="E2104" s="242"/>
      <c r="F2104" s="242"/>
      <c r="H2104" s="250">
        <f t="shared" si="1330"/>
        <v>3150.1769071038289</v>
      </c>
      <c r="I2104" s="241">
        <f t="shared" si="1331"/>
        <v>1.226818290172273E-2</v>
      </c>
      <c r="J2104" s="242">
        <f t="shared" si="1332"/>
        <v>3150.1769071038289</v>
      </c>
      <c r="K2104" s="849">
        <f t="shared" ref="K2104:K2108" si="1334">+E2104-E2093</f>
        <v>0</v>
      </c>
      <c r="L2104" s="242">
        <f t="shared" si="1333"/>
        <v>0</v>
      </c>
    </row>
    <row r="2105" spans="1:12" ht="15.5">
      <c r="A2105" s="180" t="s">
        <v>10</v>
      </c>
      <c r="B2105" s="250">
        <f t="shared" si="1328"/>
        <v>454642.05</v>
      </c>
      <c r="C2105" s="241">
        <f t="shared" si="1329"/>
        <v>3.9995956435112556E-2</v>
      </c>
      <c r="D2105" s="242">
        <v>454642.05</v>
      </c>
      <c r="E2105" s="242"/>
      <c r="F2105" s="242"/>
      <c r="H2105" s="250">
        <f t="shared" si="1330"/>
        <v>766.39999999996508</v>
      </c>
      <c r="I2105" s="241">
        <f t="shared" si="1331"/>
        <v>2.9847007495601495E-3</v>
      </c>
      <c r="J2105" s="242">
        <f t="shared" si="1332"/>
        <v>766.39999999996508</v>
      </c>
      <c r="K2105" s="849">
        <f t="shared" si="1334"/>
        <v>0</v>
      </c>
      <c r="L2105" s="242">
        <f t="shared" si="1333"/>
        <v>0</v>
      </c>
    </row>
    <row r="2106" spans="1:12" ht="15.5">
      <c r="A2106" s="180" t="s">
        <v>11</v>
      </c>
      <c r="B2106" s="250">
        <f t="shared" si="1328"/>
        <v>0</v>
      </c>
      <c r="C2106" s="241">
        <f t="shared" si="1329"/>
        <v>0</v>
      </c>
      <c r="D2106" s="242">
        <v>0</v>
      </c>
      <c r="E2106" s="242"/>
      <c r="F2106" s="242"/>
      <c r="H2106" s="250">
        <f t="shared" si="1330"/>
        <v>0</v>
      </c>
      <c r="I2106" s="241">
        <f t="shared" si="1331"/>
        <v>0</v>
      </c>
      <c r="J2106" s="242">
        <f t="shared" si="1332"/>
        <v>0</v>
      </c>
      <c r="K2106" s="849">
        <f t="shared" si="1334"/>
        <v>0</v>
      </c>
      <c r="L2106" s="242">
        <f t="shared" si="1333"/>
        <v>0</v>
      </c>
    </row>
    <row r="2107" spans="1:12" ht="15.5">
      <c r="A2107" s="180" t="s">
        <v>12</v>
      </c>
      <c r="B2107" s="250">
        <f t="shared" si="1328"/>
        <v>784.42622950819668</v>
      </c>
      <c r="C2107" s="241">
        <f t="shared" si="1329"/>
        <v>6.9007865202898501E-5</v>
      </c>
      <c r="D2107" s="242">
        <v>784.42622950819668</v>
      </c>
      <c r="E2107" s="242"/>
      <c r="F2107" s="242"/>
      <c r="H2107" s="250">
        <f t="shared" si="1330"/>
        <v>-13.073770491803316</v>
      </c>
      <c r="I2107" s="241">
        <f t="shared" si="1331"/>
        <v>-5.0915047738079985E-5</v>
      </c>
      <c r="J2107" s="242">
        <f t="shared" si="1332"/>
        <v>-13.073770491803316</v>
      </c>
      <c r="K2107" s="849">
        <f t="shared" si="1334"/>
        <v>0</v>
      </c>
      <c r="L2107" s="242">
        <f t="shared" si="1333"/>
        <v>0</v>
      </c>
    </row>
    <row r="2108" spans="1:12" ht="15.5">
      <c r="A2108" s="180" t="s">
        <v>13</v>
      </c>
      <c r="B2108" s="250">
        <f t="shared" si="1328"/>
        <v>2892761.0889657796</v>
      </c>
      <c r="C2108" s="241">
        <f t="shared" si="1329"/>
        <v>0.25448316206445065</v>
      </c>
      <c r="D2108" s="242">
        <v>2892761.0889657796</v>
      </c>
      <c r="E2108" s="242">
        <v>0</v>
      </c>
      <c r="F2108" s="242">
        <v>0</v>
      </c>
      <c r="G2108" s="32"/>
      <c r="H2108" s="250">
        <f t="shared" si="1330"/>
        <v>0</v>
      </c>
      <c r="I2108" s="241">
        <f t="shared" si="1331"/>
        <v>0</v>
      </c>
      <c r="J2108" s="242">
        <f t="shared" si="1332"/>
        <v>0</v>
      </c>
      <c r="K2108" s="849">
        <f t="shared" si="1334"/>
        <v>0</v>
      </c>
      <c r="L2108" s="242">
        <f t="shared" si="1333"/>
        <v>0</v>
      </c>
    </row>
    <row r="2109" spans="1:12" ht="15.5">
      <c r="A2109" s="180"/>
      <c r="B2109" s="242">
        <v>0</v>
      </c>
      <c r="C2109" s="241">
        <f t="shared" si="1329"/>
        <v>0</v>
      </c>
      <c r="D2109" s="242"/>
      <c r="E2109" s="242"/>
      <c r="F2109" s="242"/>
      <c r="G2109" s="32"/>
      <c r="H2109" s="242">
        <v>0</v>
      </c>
      <c r="I2109" s="241">
        <f t="shared" ref="I2109" si="1335">+H2109/$H$2099</f>
        <v>0</v>
      </c>
      <c r="J2109" s="242"/>
      <c r="K2109" s="242"/>
      <c r="L2109" s="242"/>
    </row>
    <row r="2110" spans="1:12" ht="15.5">
      <c r="A2110" s="180"/>
      <c r="B2110" s="243">
        <f>SUM(B2102:B2109)</f>
        <v>11367200.350305125</v>
      </c>
      <c r="C2110" s="240">
        <f>SUM(C2102:C2109)</f>
        <v>0.99999999999999989</v>
      </c>
      <c r="D2110" s="243">
        <f>SUM(D2102:D2109)</f>
        <v>3735957.8903051238</v>
      </c>
      <c r="E2110" s="243">
        <f>SUM(E2102:E2108)</f>
        <v>3527132.78</v>
      </c>
      <c r="F2110" s="243">
        <f>SUM(F2102:F2108)</f>
        <v>4104109.68</v>
      </c>
      <c r="G2110" s="32">
        <f>+B2110-B2099</f>
        <v>256776.16093101166</v>
      </c>
      <c r="H2110" s="243">
        <f>SUM(H2102:H2109)</f>
        <v>256776.16093101064</v>
      </c>
      <c r="I2110" s="240">
        <f>SUM(I2102:I2109)</f>
        <v>1</v>
      </c>
      <c r="J2110" s="243">
        <f t="shared" ref="J2110:L2110" si="1336">SUM(J2102:J2109)</f>
        <v>1710.6509310108772</v>
      </c>
      <c r="K2110" s="243">
        <f t="shared" si="1336"/>
        <v>139106.36999999965</v>
      </c>
      <c r="L2110" s="243">
        <f t="shared" si="1336"/>
        <v>115959.14000000013</v>
      </c>
    </row>
    <row r="2111" spans="1:12" ht="16" thickBot="1">
      <c r="A2111" s="180"/>
      <c r="B2111" s="1031"/>
      <c r="C2111" s="335"/>
      <c r="D2111" s="334"/>
      <c r="E2111" s="334"/>
      <c r="F2111" s="334"/>
      <c r="G2111" s="32"/>
      <c r="H2111" s="334"/>
      <c r="I2111" s="335"/>
      <c r="J2111" s="334"/>
      <c r="K2111" s="334"/>
      <c r="L2111" s="334"/>
    </row>
    <row r="2112" spans="1:12" ht="16" thickBot="1">
      <c r="A2112" s="253">
        <v>45716</v>
      </c>
      <c r="B2112" s="251">
        <v>1230</v>
      </c>
      <c r="C2112" s="238" t="s">
        <v>3</v>
      </c>
      <c r="D2112" s="238" t="s">
        <v>4</v>
      </c>
      <c r="E2112" s="238" t="s">
        <v>5</v>
      </c>
      <c r="F2112" s="238" t="s">
        <v>6</v>
      </c>
      <c r="H2112" s="251">
        <f>+B2112-B2101</f>
        <v>10</v>
      </c>
      <c r="I2112" s="238" t="s">
        <v>3</v>
      </c>
      <c r="J2112" s="238" t="s">
        <v>4</v>
      </c>
      <c r="K2112" s="238" t="s">
        <v>5</v>
      </c>
      <c r="L2112" s="238" t="s">
        <v>114</v>
      </c>
    </row>
    <row r="2113" spans="1:12" ht="15.5">
      <c r="A2113" s="180" t="s">
        <v>7</v>
      </c>
      <c r="B2113" s="250">
        <f t="shared" ref="B2113:B2119" si="1337">SUM(D2113:F2113)</f>
        <v>7512613.6983333332</v>
      </c>
      <c r="C2113" s="241">
        <f>+B2113/$B$2121</f>
        <v>0.67521991666240933</v>
      </c>
      <c r="D2113" s="242">
        <v>130501.44833333335</v>
      </c>
      <c r="E2113" s="242">
        <v>3340272.48</v>
      </c>
      <c r="F2113" s="242">
        <v>4041839.77</v>
      </c>
      <c r="H2113" s="250">
        <f>SUM(J2113:L2113)</f>
        <v>-250199.89400273218</v>
      </c>
      <c r="I2113" s="241">
        <f>+H2113/$H$2121</f>
        <v>1.0380566184485394</v>
      </c>
      <c r="J2113" s="242">
        <f>+D2113-D2102</f>
        <v>-1069.6840027322323</v>
      </c>
      <c r="K2113" s="849">
        <f>+E2113-E2102</f>
        <v>-186860.29999999981</v>
      </c>
      <c r="L2113" s="242">
        <f>+F2113-F2102</f>
        <v>-62269.910000000149</v>
      </c>
    </row>
    <row r="2114" spans="1:12" ht="15.5">
      <c r="A2114" s="180" t="s">
        <v>8</v>
      </c>
      <c r="B2114" s="250">
        <f t="shared" si="1337"/>
        <v>0</v>
      </c>
      <c r="C2114" s="241">
        <f t="shared" ref="C2114:C2119" si="1338">+B2114/$B$2121</f>
        <v>0</v>
      </c>
      <c r="D2114" s="242">
        <v>0</v>
      </c>
      <c r="F2114" s="242"/>
      <c r="G2114" s="32"/>
      <c r="H2114" s="250">
        <f t="shared" ref="H2114:H2119" si="1339">SUM(J2114:L2114)</f>
        <v>0</v>
      </c>
      <c r="I2114" s="241">
        <f t="shared" ref="I2114:I2119" si="1340">+H2114/$H$2121</f>
        <v>0</v>
      </c>
      <c r="J2114" s="242">
        <f t="shared" ref="J2114:J2119" si="1341">+D2114-D2103</f>
        <v>0</v>
      </c>
      <c r="K2114" s="849">
        <f>+E2114-E2103</f>
        <v>0</v>
      </c>
      <c r="L2114" s="242">
        <f t="shared" ref="L2114:L2119" si="1342">+F2114-F2103</f>
        <v>0</v>
      </c>
    </row>
    <row r="2115" spans="1:12" ht="15.5">
      <c r="A2115" s="180" t="s">
        <v>9</v>
      </c>
      <c r="B2115" s="250">
        <f t="shared" si="1337"/>
        <v>258700.84091544716</v>
      </c>
      <c r="C2115" s="241">
        <f t="shared" si="1338"/>
        <v>2.3251556283557618E-2</v>
      </c>
      <c r="D2115" s="242">
        <v>258700.84091544716</v>
      </c>
      <c r="E2115" s="242"/>
      <c r="F2115" s="242"/>
      <c r="H2115" s="250">
        <f t="shared" si="1339"/>
        <v>2501.6481416766474</v>
      </c>
      <c r="I2115" s="241">
        <f t="shared" si="1340"/>
        <v>-1.0379110754014051E-2</v>
      </c>
      <c r="J2115" s="242">
        <f t="shared" si="1341"/>
        <v>2501.6481416766474</v>
      </c>
      <c r="K2115" s="849">
        <f t="shared" ref="K2115:K2119" si="1343">+E2115-E2104</f>
        <v>0</v>
      </c>
      <c r="L2115" s="242">
        <f t="shared" si="1342"/>
        <v>0</v>
      </c>
    </row>
    <row r="2116" spans="1:12" ht="15.5">
      <c r="A2116" s="180" t="s">
        <v>10</v>
      </c>
      <c r="B2116" s="250">
        <f t="shared" si="1337"/>
        <v>461319.46</v>
      </c>
      <c r="C2116" s="241">
        <f t="shared" si="1338"/>
        <v>4.1462545505973766E-2</v>
      </c>
      <c r="D2116" s="242">
        <v>461319.46</v>
      </c>
      <c r="E2116" s="242"/>
      <c r="F2116" s="242"/>
      <c r="H2116" s="250">
        <f t="shared" si="1339"/>
        <v>6677.4100000000326</v>
      </c>
      <c r="I2116" s="241">
        <f t="shared" si="1340"/>
        <v>-2.7703967150836617E-2</v>
      </c>
      <c r="J2116" s="242">
        <f t="shared" si="1341"/>
        <v>6677.4100000000326</v>
      </c>
      <c r="K2116" s="849">
        <f t="shared" si="1343"/>
        <v>0</v>
      </c>
      <c r="L2116" s="242">
        <f t="shared" si="1342"/>
        <v>0</v>
      </c>
    </row>
    <row r="2117" spans="1:12" ht="15.5">
      <c r="A2117" s="180" t="s">
        <v>11</v>
      </c>
      <c r="B2117" s="250">
        <f t="shared" si="1337"/>
        <v>0</v>
      </c>
      <c r="C2117" s="241">
        <f t="shared" si="1338"/>
        <v>0</v>
      </c>
      <c r="D2117" s="242">
        <v>0</v>
      </c>
      <c r="E2117" s="242"/>
      <c r="F2117" s="242"/>
      <c r="H2117" s="250">
        <f t="shared" si="1339"/>
        <v>0</v>
      </c>
      <c r="I2117" s="241">
        <f t="shared" si="1340"/>
        <v>0</v>
      </c>
      <c r="J2117" s="242">
        <f t="shared" si="1341"/>
        <v>0</v>
      </c>
      <c r="K2117" s="849">
        <f t="shared" si="1343"/>
        <v>0</v>
      </c>
      <c r="L2117" s="242">
        <f t="shared" si="1342"/>
        <v>0</v>
      </c>
    </row>
    <row r="2118" spans="1:12" ht="15.5">
      <c r="A2118" s="180" t="s">
        <v>12</v>
      </c>
      <c r="B2118" s="250">
        <f t="shared" si="1337"/>
        <v>778.04878048780483</v>
      </c>
      <c r="C2118" s="241">
        <f t="shared" si="1338"/>
        <v>6.9929594920715028E-5</v>
      </c>
      <c r="D2118" s="242">
        <v>778.04878048780483</v>
      </c>
      <c r="E2118" s="242"/>
      <c r="F2118" s="242"/>
      <c r="H2118" s="250">
        <f t="shared" si="1339"/>
        <v>-6.3774490203918504</v>
      </c>
      <c r="I2118" s="241">
        <f t="shared" si="1340"/>
        <v>2.6459456311214995E-5</v>
      </c>
      <c r="J2118" s="242">
        <f t="shared" si="1341"/>
        <v>-6.3774490203918504</v>
      </c>
      <c r="K2118" s="849">
        <f t="shared" si="1343"/>
        <v>0</v>
      </c>
      <c r="L2118" s="242">
        <f t="shared" si="1342"/>
        <v>0</v>
      </c>
    </row>
    <row r="2119" spans="1:12" ht="15.5">
      <c r="A2119" s="180" t="s">
        <v>13</v>
      </c>
      <c r="B2119" s="250">
        <f t="shared" si="1337"/>
        <v>2892761.0889657796</v>
      </c>
      <c r="C2119" s="241">
        <f t="shared" si="1338"/>
        <v>0.25999605195313863</v>
      </c>
      <c r="D2119" s="242">
        <v>2892761.0889657796</v>
      </c>
      <c r="E2119" s="242">
        <v>0</v>
      </c>
      <c r="F2119" s="242">
        <v>0</v>
      </c>
      <c r="G2119" s="32"/>
      <c r="H2119" s="250">
        <f t="shared" si="1339"/>
        <v>0</v>
      </c>
      <c r="I2119" s="241">
        <f t="shared" si="1340"/>
        <v>0</v>
      </c>
      <c r="J2119" s="242">
        <f t="shared" si="1341"/>
        <v>0</v>
      </c>
      <c r="K2119" s="849">
        <f t="shared" si="1343"/>
        <v>0</v>
      </c>
      <c r="L2119" s="242">
        <f t="shared" si="1342"/>
        <v>0</v>
      </c>
    </row>
    <row r="2120" spans="1:12" ht="15.5">
      <c r="A2120" s="180"/>
      <c r="B2120" s="242">
        <v>0</v>
      </c>
      <c r="C2120" s="241">
        <f t="shared" ref="C2120" si="1344">+B2120/$B$2110</f>
        <v>0</v>
      </c>
      <c r="D2120" s="242"/>
      <c r="E2120" s="242"/>
      <c r="F2120" s="242"/>
      <c r="G2120" s="32"/>
      <c r="H2120" s="242">
        <v>0</v>
      </c>
      <c r="I2120" s="241">
        <f t="shared" ref="I2120" si="1345">+H2120/$H$2099</f>
        <v>0</v>
      </c>
      <c r="J2120" s="242"/>
      <c r="K2120" s="242"/>
      <c r="L2120" s="242"/>
    </row>
    <row r="2121" spans="1:12" ht="15.5">
      <c r="A2121" s="180"/>
      <c r="B2121" s="243">
        <f>SUM(B2113:B2120)</f>
        <v>11126173.136995047</v>
      </c>
      <c r="C2121" s="240">
        <f>SUM(C2113:C2120)</f>
        <v>1</v>
      </c>
      <c r="D2121" s="243">
        <f>SUM(D2113:D2120)</f>
        <v>3744060.8869950483</v>
      </c>
      <c r="E2121" s="243">
        <f>SUM(E2113:E2119)</f>
        <v>3340272.48</v>
      </c>
      <c r="F2121" s="243">
        <f>SUM(F2113:F2119)</f>
        <v>4041839.77</v>
      </c>
      <c r="G2121" s="32">
        <f>+B2121-B2110</f>
        <v>-241027.21331007779</v>
      </c>
      <c r="H2121" s="243">
        <f>SUM(H2113:H2120)</f>
        <v>-241027.21331007589</v>
      </c>
      <c r="I2121" s="240">
        <f>SUM(I2113:I2120)</f>
        <v>0.99999999999999989</v>
      </c>
      <c r="J2121" s="243">
        <f t="shared" ref="J2121:L2121" si="1346">SUM(J2113:J2120)</f>
        <v>8102.9966899240553</v>
      </c>
      <c r="K2121" s="243">
        <f t="shared" si="1346"/>
        <v>-186860.29999999981</v>
      </c>
      <c r="L2121" s="243">
        <f t="shared" si="1346"/>
        <v>-62269.910000000149</v>
      </c>
    </row>
    <row r="2122" spans="1:12" ht="16" thickBot="1">
      <c r="A2122" s="180"/>
      <c r="B2122" s="1031"/>
      <c r="C2122" s="335"/>
      <c r="D2122" s="334"/>
      <c r="E2122" s="334"/>
      <c r="F2122" s="334"/>
      <c r="G2122" s="32"/>
      <c r="H2122" s="334"/>
      <c r="I2122" s="335"/>
      <c r="J2122" s="334"/>
      <c r="K2122" s="334"/>
      <c r="L2122" s="334"/>
    </row>
    <row r="2123" spans="1:12" ht="16" thickBot="1">
      <c r="A2123" s="253">
        <v>45744</v>
      </c>
      <c r="B2123" s="251">
        <v>1320</v>
      </c>
      <c r="C2123" s="238" t="s">
        <v>3</v>
      </c>
      <c r="D2123" s="238" t="s">
        <v>4</v>
      </c>
      <c r="E2123" s="238" t="s">
        <v>5</v>
      </c>
      <c r="F2123" s="238" t="s">
        <v>6</v>
      </c>
      <c r="H2123" s="251">
        <f>+B2123-B2112</f>
        <v>90</v>
      </c>
      <c r="I2123" s="238" t="s">
        <v>3</v>
      </c>
      <c r="J2123" s="238" t="s">
        <v>4</v>
      </c>
      <c r="K2123" s="238" t="s">
        <v>5</v>
      </c>
      <c r="L2123" s="238" t="s">
        <v>114</v>
      </c>
    </row>
    <row r="2124" spans="1:12" ht="15.5">
      <c r="A2124" s="180" t="s">
        <v>7</v>
      </c>
      <c r="B2124" s="250">
        <f t="shared" ref="B2124:B2130" si="1347">SUM(D2124:F2124)</f>
        <v>7296735.4323106064</v>
      </c>
      <c r="C2124" s="241">
        <f>+B2124/$B$2132</f>
        <v>0.66855594089081549</v>
      </c>
      <c r="D2124" s="242">
        <v>121603.62231060608</v>
      </c>
      <c r="E2124" s="242">
        <v>3334694.15</v>
      </c>
      <c r="F2124" s="242">
        <v>3840437.66</v>
      </c>
      <c r="H2124" s="250">
        <f>SUM(J2124:L2124)</f>
        <v>-215878.26602272721</v>
      </c>
      <c r="I2124" s="241">
        <f>+H2124/$H$2132</f>
        <v>1.0182947254300758</v>
      </c>
      <c r="J2124" s="242">
        <f>+D2124-D2113</f>
        <v>-8897.8260227272694</v>
      </c>
      <c r="K2124" s="849">
        <f>+E2124-E2113</f>
        <v>-5578.3300000000745</v>
      </c>
      <c r="L2124" s="242">
        <f>+F2124-F2113</f>
        <v>-201402.10999999987</v>
      </c>
    </row>
    <row r="2125" spans="1:12" ht="15.5">
      <c r="A2125" s="180" t="s">
        <v>8</v>
      </c>
      <c r="B2125" s="250">
        <f t="shared" si="1347"/>
        <v>0</v>
      </c>
      <c r="C2125" s="241">
        <f t="shared" ref="C2125:C2131" si="1348">+B2125/$B$2132</f>
        <v>0</v>
      </c>
      <c r="D2125" s="242">
        <v>0</v>
      </c>
      <c r="F2125" s="242"/>
      <c r="G2125" s="32"/>
      <c r="H2125" s="250">
        <f t="shared" ref="H2125:H2130" si="1349">SUM(J2125:L2125)</f>
        <v>0</v>
      </c>
      <c r="I2125" s="241">
        <f t="shared" ref="I2125:I2131" si="1350">+H2125/$H$2132</f>
        <v>0</v>
      </c>
      <c r="J2125" s="242">
        <f t="shared" ref="J2125:J2130" si="1351">+D2125-D2114</f>
        <v>0</v>
      </c>
      <c r="K2125" s="849">
        <f>+E2125-E2114</f>
        <v>0</v>
      </c>
      <c r="L2125" s="242">
        <f t="shared" ref="L2125:L2130" si="1352">+F2125-F2114</f>
        <v>0</v>
      </c>
    </row>
    <row r="2126" spans="1:12" ht="15.5">
      <c r="A2126" s="180" t="s">
        <v>9</v>
      </c>
      <c r="B2126" s="250">
        <f t="shared" si="1347"/>
        <v>261916.42761060607</v>
      </c>
      <c r="C2126" s="241">
        <f t="shared" si="1348"/>
        <v>2.3997825509828083E-2</v>
      </c>
      <c r="D2126" s="242">
        <v>261916.42761060607</v>
      </c>
      <c r="E2126" s="242"/>
      <c r="F2126" s="242"/>
      <c r="H2126" s="250">
        <f t="shared" si="1349"/>
        <v>3215.5866951589123</v>
      </c>
      <c r="I2126" s="241">
        <f t="shared" si="1350"/>
        <v>-1.5167876929763397E-2</v>
      </c>
      <c r="J2126" s="242">
        <f t="shared" si="1351"/>
        <v>3215.5866951589123</v>
      </c>
      <c r="K2126" s="849">
        <f t="shared" ref="K2126:K2130" si="1353">+E2126-E2115</f>
        <v>0</v>
      </c>
      <c r="L2126" s="242">
        <f t="shared" si="1352"/>
        <v>0</v>
      </c>
    </row>
    <row r="2127" spans="1:12" ht="15.5">
      <c r="A2127" s="180" t="s">
        <v>10</v>
      </c>
      <c r="B2127" s="250">
        <f t="shared" si="1347"/>
        <v>462035.4</v>
      </c>
      <c r="C2127" s="241">
        <f t="shared" si="1348"/>
        <v>4.2333522222012129E-2</v>
      </c>
      <c r="D2127" s="242">
        <v>462035.4</v>
      </c>
      <c r="E2127" s="242"/>
      <c r="F2127" s="242"/>
      <c r="H2127" s="250">
        <f t="shared" si="1349"/>
        <v>715.94000000000233</v>
      </c>
      <c r="I2127" s="241">
        <f t="shared" si="1350"/>
        <v>-3.377078847055679E-3</v>
      </c>
      <c r="J2127" s="242">
        <f t="shared" si="1351"/>
        <v>715.94000000000233</v>
      </c>
      <c r="K2127" s="849">
        <f t="shared" si="1353"/>
        <v>0</v>
      </c>
      <c r="L2127" s="242">
        <f t="shared" si="1352"/>
        <v>0</v>
      </c>
    </row>
    <row r="2128" spans="1:12" ht="15.5">
      <c r="A2128" s="180" t="s">
        <v>11</v>
      </c>
      <c r="B2128" s="250">
        <f t="shared" si="1347"/>
        <v>0</v>
      </c>
      <c r="C2128" s="241">
        <f t="shared" si="1348"/>
        <v>0</v>
      </c>
      <c r="D2128" s="242">
        <v>0</v>
      </c>
      <c r="E2128" s="242"/>
      <c r="F2128" s="242"/>
      <c r="H2128" s="250">
        <f t="shared" si="1349"/>
        <v>0</v>
      </c>
      <c r="I2128" s="241">
        <f t="shared" si="1350"/>
        <v>0</v>
      </c>
      <c r="J2128" s="242">
        <f t="shared" si="1351"/>
        <v>0</v>
      </c>
      <c r="K2128" s="849">
        <f t="shared" si="1353"/>
        <v>0</v>
      </c>
      <c r="L2128" s="242">
        <f t="shared" si="1352"/>
        <v>0</v>
      </c>
    </row>
    <row r="2129" spans="1:12" ht="15.5">
      <c r="A2129" s="180" t="s">
        <v>12</v>
      </c>
      <c r="B2129" s="250">
        <f t="shared" si="1347"/>
        <v>725</v>
      </c>
      <c r="C2129" s="241">
        <f t="shared" si="1348"/>
        <v>6.6427385457821605E-5</v>
      </c>
      <c r="D2129" s="242">
        <v>725</v>
      </c>
      <c r="E2129" s="242"/>
      <c r="F2129" s="242"/>
      <c r="H2129" s="250">
        <f t="shared" si="1349"/>
        <v>-53.048780487804834</v>
      </c>
      <c r="I2129" s="241">
        <f t="shared" si="1350"/>
        <v>2.5023034674339354E-4</v>
      </c>
      <c r="J2129" s="242">
        <f t="shared" si="1351"/>
        <v>-53.048780487804834</v>
      </c>
      <c r="K2129" s="849">
        <f t="shared" si="1353"/>
        <v>0</v>
      </c>
      <c r="L2129" s="242">
        <f t="shared" si="1352"/>
        <v>0</v>
      </c>
    </row>
    <row r="2130" spans="1:12" ht="15.5">
      <c r="A2130" s="180" t="s">
        <v>13</v>
      </c>
      <c r="B2130" s="250">
        <f t="shared" si="1347"/>
        <v>2892761.0889657796</v>
      </c>
      <c r="C2130" s="241">
        <f t="shared" si="1348"/>
        <v>0.2650462839918864</v>
      </c>
      <c r="D2130" s="242">
        <v>2892761.0889657796</v>
      </c>
      <c r="E2130" s="242">
        <v>0</v>
      </c>
      <c r="F2130" s="242">
        <v>0</v>
      </c>
      <c r="G2130" s="32"/>
      <c r="H2130" s="250">
        <f t="shared" si="1349"/>
        <v>0</v>
      </c>
      <c r="I2130" s="241">
        <f t="shared" si="1350"/>
        <v>0</v>
      </c>
      <c r="J2130" s="242">
        <f t="shared" si="1351"/>
        <v>0</v>
      </c>
      <c r="K2130" s="849">
        <f t="shared" si="1353"/>
        <v>0</v>
      </c>
      <c r="L2130" s="242">
        <f t="shared" si="1352"/>
        <v>0</v>
      </c>
    </row>
    <row r="2131" spans="1:12" ht="15.5">
      <c r="A2131" s="180"/>
      <c r="B2131" s="242">
        <v>0</v>
      </c>
      <c r="C2131" s="241">
        <f t="shared" si="1348"/>
        <v>0</v>
      </c>
      <c r="D2131" s="242"/>
      <c r="E2131" s="242"/>
      <c r="F2131" s="242"/>
      <c r="G2131" s="32"/>
      <c r="H2131" s="242">
        <v>0</v>
      </c>
      <c r="I2131" s="241">
        <f t="shared" si="1350"/>
        <v>0</v>
      </c>
      <c r="J2131" s="242"/>
      <c r="K2131" s="242"/>
      <c r="L2131" s="242"/>
    </row>
    <row r="2132" spans="1:12" ht="15.5">
      <c r="A2132" s="180"/>
      <c r="B2132" s="243">
        <f>SUM(B2124:B2131)</f>
        <v>10914173.348886993</v>
      </c>
      <c r="C2132" s="240">
        <f>SUM(C2124:C2131)</f>
        <v>1</v>
      </c>
      <c r="D2132" s="243">
        <f>SUM(D2124:D2131)</f>
        <v>3739041.5388869918</v>
      </c>
      <c r="E2132" s="243">
        <f>SUM(E2124:E2130)</f>
        <v>3334694.15</v>
      </c>
      <c r="F2132" s="243">
        <f>SUM(F2124:F2130)</f>
        <v>3840437.66</v>
      </c>
      <c r="G2132" s="32">
        <f>+B2132-B2121</f>
        <v>-211999.78810805455</v>
      </c>
      <c r="H2132" s="243">
        <f>SUM(H2124:H2131)</f>
        <v>-211999.78810805609</v>
      </c>
      <c r="I2132" s="240">
        <f>SUM(I2124:I2131)</f>
        <v>1.0000000000000002</v>
      </c>
      <c r="J2132" s="243">
        <f t="shared" ref="J2132:L2132" si="1354">SUM(J2124:J2131)</f>
        <v>-5019.3481080561596</v>
      </c>
      <c r="K2132" s="243">
        <f t="shared" si="1354"/>
        <v>-5578.3300000000745</v>
      </c>
      <c r="L2132" s="243">
        <f t="shared" si="1354"/>
        <v>-201402.10999999987</v>
      </c>
    </row>
    <row r="2133" spans="1:12" ht="16" thickBot="1">
      <c r="A2133" s="180"/>
      <c r="B2133" s="1031"/>
      <c r="C2133" s="335"/>
      <c r="D2133" s="334"/>
      <c r="E2133" s="334"/>
      <c r="F2133" s="334"/>
      <c r="G2133" s="32"/>
      <c r="H2133" s="334"/>
      <c r="I2133" s="335"/>
      <c r="J2133" s="334"/>
      <c r="K2133" s="334"/>
      <c r="L2133" s="334"/>
    </row>
    <row r="2134" spans="1:12" ht="16" thickBot="1">
      <c r="A2134" s="253">
        <v>45775</v>
      </c>
      <c r="B2134" s="251">
        <v>1185</v>
      </c>
      <c r="C2134" s="238" t="s">
        <v>3</v>
      </c>
      <c r="D2134" s="238" t="s">
        <v>4</v>
      </c>
      <c r="E2134" s="238" t="s">
        <v>5</v>
      </c>
      <c r="F2134" s="238" t="s">
        <v>6</v>
      </c>
      <c r="H2134" s="251">
        <f>+B2134-B2123</f>
        <v>-135</v>
      </c>
      <c r="I2134" s="238" t="s">
        <v>3</v>
      </c>
      <c r="J2134" s="238" t="s">
        <v>4</v>
      </c>
      <c r="K2134" s="238" t="s">
        <v>5</v>
      </c>
      <c r="L2134" s="238" t="s">
        <v>114</v>
      </c>
    </row>
    <row r="2135" spans="1:12" ht="15.5">
      <c r="A2135" s="180" t="s">
        <v>7</v>
      </c>
      <c r="B2135" s="250">
        <f t="shared" ref="B2135:B2141" si="1355">SUM(D2135:F2135)</f>
        <v>7310589.0095358649</v>
      </c>
      <c r="C2135" s="241">
        <f>+B2135/$B$2143</f>
        <v>0.66793966964808338</v>
      </c>
      <c r="D2135" s="242">
        <v>135457.19953586499</v>
      </c>
      <c r="E2135" s="242">
        <v>3334694.15</v>
      </c>
      <c r="F2135" s="242">
        <v>3840437.66</v>
      </c>
      <c r="H2135" s="250">
        <f>SUM(J2135:L2135)</f>
        <v>13853.577225258909</v>
      </c>
      <c r="I2135" s="241">
        <f>+H2135/$H$2143</f>
        <v>0.4496357091942344</v>
      </c>
      <c r="J2135" s="242">
        <f>+D2135-D2124</f>
        <v>13853.577225258909</v>
      </c>
      <c r="K2135" s="849">
        <f>+E2135-E2124</f>
        <v>0</v>
      </c>
      <c r="L2135" s="242">
        <f>+F2135-F2124</f>
        <v>0</v>
      </c>
    </row>
    <row r="2136" spans="1:12" ht="15.5">
      <c r="A2136" s="180" t="s">
        <v>8</v>
      </c>
      <c r="B2136" s="250">
        <f t="shared" si="1355"/>
        <v>0</v>
      </c>
      <c r="C2136" s="241">
        <f t="shared" ref="C2136:C2142" si="1356">+B2136/$B$2143</f>
        <v>0</v>
      </c>
      <c r="D2136" s="242">
        <v>0</v>
      </c>
      <c r="F2136" s="242"/>
      <c r="G2136" s="32"/>
      <c r="H2136" s="250">
        <f t="shared" ref="H2136:H2141" si="1357">SUM(J2136:L2136)</f>
        <v>0</v>
      </c>
      <c r="I2136" s="241">
        <f t="shared" ref="I2136:I2142" si="1358">+H2136/$H$2143</f>
        <v>0</v>
      </c>
      <c r="J2136" s="242">
        <f t="shared" ref="J2136:J2141" si="1359">+D2136-D2125</f>
        <v>0</v>
      </c>
      <c r="K2136" s="849">
        <f>+E2136-E2125</f>
        <v>0</v>
      </c>
      <c r="L2136" s="242">
        <f t="shared" ref="L2136:L2141" si="1360">+F2136-F2125</f>
        <v>0</v>
      </c>
    </row>
    <row r="2137" spans="1:12" ht="15.5">
      <c r="A2137" s="180" t="s">
        <v>9</v>
      </c>
      <c r="B2137" s="250">
        <f t="shared" si="1355"/>
        <v>278790.92493502115</v>
      </c>
      <c r="C2137" s="241">
        <f t="shared" si="1356"/>
        <v>2.5472026680625027E-2</v>
      </c>
      <c r="D2137" s="242">
        <v>278790.92493502115</v>
      </c>
      <c r="E2137" s="242"/>
      <c r="F2137" s="242"/>
      <c r="H2137" s="250">
        <f t="shared" si="1357"/>
        <v>16874.497324415075</v>
      </c>
      <c r="I2137" s="241">
        <f t="shared" si="1358"/>
        <v>0.54768356565159892</v>
      </c>
      <c r="J2137" s="242">
        <f t="shared" si="1359"/>
        <v>16874.497324415075</v>
      </c>
      <c r="K2137" s="849">
        <f t="shared" ref="K2137:K2141" si="1361">+E2137-E2126</f>
        <v>0</v>
      </c>
      <c r="L2137" s="242">
        <f t="shared" si="1360"/>
        <v>0</v>
      </c>
    </row>
    <row r="2138" spans="1:12" ht="15.5">
      <c r="A2138" s="180" t="s">
        <v>10</v>
      </c>
      <c r="B2138" s="250">
        <f t="shared" si="1355"/>
        <v>462035.4</v>
      </c>
      <c r="C2138" s="241">
        <f t="shared" si="1356"/>
        <v>4.221435127035178E-2</v>
      </c>
      <c r="D2138" s="242">
        <v>462035.4</v>
      </c>
      <c r="E2138" s="242"/>
      <c r="F2138" s="242"/>
      <c r="H2138" s="250">
        <f t="shared" si="1357"/>
        <v>0</v>
      </c>
      <c r="I2138" s="241">
        <f t="shared" si="1358"/>
        <v>0</v>
      </c>
      <c r="J2138" s="242">
        <f t="shared" si="1359"/>
        <v>0</v>
      </c>
      <c r="K2138" s="849">
        <f t="shared" si="1361"/>
        <v>0</v>
      </c>
      <c r="L2138" s="242">
        <f t="shared" si="1360"/>
        <v>0</v>
      </c>
    </row>
    <row r="2139" spans="1:12" ht="15.5">
      <c r="A2139" s="180" t="s">
        <v>11</v>
      </c>
      <c r="B2139" s="250">
        <f t="shared" si="1355"/>
        <v>0</v>
      </c>
      <c r="C2139" s="241">
        <f t="shared" si="1356"/>
        <v>0</v>
      </c>
      <c r="D2139" s="242">
        <v>0</v>
      </c>
      <c r="E2139" s="242"/>
      <c r="F2139" s="242"/>
      <c r="H2139" s="250">
        <f t="shared" si="1357"/>
        <v>0</v>
      </c>
      <c r="I2139" s="241">
        <f t="shared" si="1358"/>
        <v>0</v>
      </c>
      <c r="J2139" s="242">
        <f t="shared" si="1359"/>
        <v>0</v>
      </c>
      <c r="K2139" s="849">
        <f t="shared" si="1361"/>
        <v>0</v>
      </c>
      <c r="L2139" s="242">
        <f t="shared" si="1360"/>
        <v>0</v>
      </c>
    </row>
    <row r="2140" spans="1:12" ht="15.5">
      <c r="A2140" s="180" t="s">
        <v>12</v>
      </c>
      <c r="B2140" s="250">
        <f t="shared" si="1355"/>
        <v>807.59493670886081</v>
      </c>
      <c r="C2140" s="241">
        <f t="shared" si="1356"/>
        <v>7.3786762534613931E-5</v>
      </c>
      <c r="D2140" s="242">
        <v>807.59493670886081</v>
      </c>
      <c r="E2140" s="242"/>
      <c r="F2140" s="242"/>
      <c r="H2140" s="250">
        <f t="shared" si="1357"/>
        <v>82.594936708860814</v>
      </c>
      <c r="I2140" s="241">
        <f t="shared" si="1358"/>
        <v>2.6807251541666327E-3</v>
      </c>
      <c r="J2140" s="242">
        <f t="shared" si="1359"/>
        <v>82.594936708860814</v>
      </c>
      <c r="K2140" s="849">
        <f t="shared" si="1361"/>
        <v>0</v>
      </c>
      <c r="L2140" s="242">
        <f t="shared" si="1360"/>
        <v>0</v>
      </c>
    </row>
    <row r="2141" spans="1:12" ht="15.5">
      <c r="A2141" s="180" t="s">
        <v>13</v>
      </c>
      <c r="B2141" s="250">
        <f t="shared" si="1355"/>
        <v>2892761.0889657796</v>
      </c>
      <c r="C2141" s="241">
        <f t="shared" si="1356"/>
        <v>0.26430016563840508</v>
      </c>
      <c r="D2141" s="242">
        <v>2892761.0889657796</v>
      </c>
      <c r="E2141" s="242">
        <v>0</v>
      </c>
      <c r="F2141" s="242">
        <v>0</v>
      </c>
      <c r="G2141" s="32"/>
      <c r="H2141" s="250">
        <f t="shared" si="1357"/>
        <v>0</v>
      </c>
      <c r="I2141" s="241">
        <f t="shared" si="1358"/>
        <v>0</v>
      </c>
      <c r="J2141" s="242">
        <f t="shared" si="1359"/>
        <v>0</v>
      </c>
      <c r="K2141" s="849">
        <f t="shared" si="1361"/>
        <v>0</v>
      </c>
      <c r="L2141" s="242">
        <f t="shared" si="1360"/>
        <v>0</v>
      </c>
    </row>
    <row r="2142" spans="1:12" ht="15.5">
      <c r="A2142" s="180"/>
      <c r="B2142" s="242">
        <v>0</v>
      </c>
      <c r="C2142" s="241">
        <f t="shared" si="1356"/>
        <v>0</v>
      </c>
      <c r="D2142" s="242"/>
      <c r="E2142" s="242"/>
      <c r="F2142" s="242"/>
      <c r="G2142" s="32"/>
      <c r="H2142" s="242">
        <v>0</v>
      </c>
      <c r="I2142" s="241">
        <f t="shared" si="1358"/>
        <v>0</v>
      </c>
      <c r="J2142" s="242"/>
      <c r="K2142" s="242"/>
      <c r="L2142" s="242"/>
    </row>
    <row r="2143" spans="1:12" ht="15.5">
      <c r="A2143" s="180"/>
      <c r="B2143" s="243">
        <f>SUM(B2135:B2142)</f>
        <v>10944984.018373376</v>
      </c>
      <c r="C2143" s="240">
        <f>SUM(C2135:C2142)</f>
        <v>0.99999999999999989</v>
      </c>
      <c r="D2143" s="243">
        <f>SUM(D2135:D2142)</f>
        <v>3769852.2083733748</v>
      </c>
      <c r="E2143" s="243">
        <f>SUM(E2135:E2141)</f>
        <v>3334694.15</v>
      </c>
      <c r="F2143" s="243">
        <f>SUM(F2135:F2141)</f>
        <v>3840437.66</v>
      </c>
      <c r="G2143" s="32">
        <f>+B2143-B2132</f>
        <v>30810.669486382976</v>
      </c>
      <c r="H2143" s="243">
        <f>SUM(H2135:H2142)</f>
        <v>30810.669486382845</v>
      </c>
      <c r="I2143" s="240">
        <f>SUM(I2135:I2142)</f>
        <v>0.99999999999999989</v>
      </c>
      <c r="J2143" s="243">
        <f t="shared" ref="J2143:L2143" si="1362">SUM(J2135:J2142)</f>
        <v>30810.669486382845</v>
      </c>
      <c r="K2143" s="243">
        <f t="shared" si="1362"/>
        <v>0</v>
      </c>
      <c r="L2143" s="243">
        <f t="shared" si="1362"/>
        <v>0</v>
      </c>
    </row>
    <row r="2145" spans="1:12" ht="16" thickBot="1">
      <c r="A2145" s="253">
        <v>45805</v>
      </c>
      <c r="B2145" s="251">
        <v>1185</v>
      </c>
      <c r="C2145" s="238" t="s">
        <v>3</v>
      </c>
      <c r="D2145" s="238" t="s">
        <v>4</v>
      </c>
      <c r="E2145" s="238" t="s">
        <v>5</v>
      </c>
      <c r="F2145" s="238" t="s">
        <v>6</v>
      </c>
      <c r="H2145" s="251">
        <f>+B2145-B2134</f>
        <v>0</v>
      </c>
      <c r="I2145" s="238" t="s">
        <v>3</v>
      </c>
      <c r="J2145" s="238" t="s">
        <v>4</v>
      </c>
      <c r="K2145" s="238" t="s">
        <v>5</v>
      </c>
      <c r="L2145" s="238" t="s">
        <v>114</v>
      </c>
    </row>
    <row r="2146" spans="1:12" ht="15.5">
      <c r="A2146" s="180" t="s">
        <v>7</v>
      </c>
      <c r="B2146" s="250">
        <f t="shared" ref="B2146:B2152" si="1363">SUM(D2146:F2146)</f>
        <v>7917258.1395358648</v>
      </c>
      <c r="C2146" s="241">
        <f>+B2146/$B$2154</f>
        <v>0.6852180026578093</v>
      </c>
      <c r="D2146" s="242">
        <v>135457.19953586499</v>
      </c>
      <c r="E2146" s="242">
        <v>3668102.48</v>
      </c>
      <c r="F2146" s="242">
        <v>4113698.46</v>
      </c>
      <c r="H2146" s="250">
        <f>SUM(J2146:L2146)</f>
        <v>606669.12999999989</v>
      </c>
      <c r="I2146" s="241">
        <f>+H2146/$H$2154</f>
        <v>0.99555165609742935</v>
      </c>
      <c r="J2146" s="242">
        <f>+D2146-D2135</f>
        <v>0</v>
      </c>
      <c r="K2146" s="849">
        <f>+E2146-E2135</f>
        <v>333408.33000000007</v>
      </c>
      <c r="L2146" s="242">
        <f>+F2146-F2135</f>
        <v>273260.79999999981</v>
      </c>
    </row>
    <row r="2147" spans="1:12" ht="15.5">
      <c r="A2147" s="180" t="s">
        <v>8</v>
      </c>
      <c r="B2147" s="250">
        <f t="shared" si="1363"/>
        <v>0</v>
      </c>
      <c r="C2147" s="241">
        <f t="shared" ref="C2147:C2152" si="1364">+B2147/$B$2154</f>
        <v>0</v>
      </c>
      <c r="D2147" s="242">
        <v>0</v>
      </c>
      <c r="F2147" s="242"/>
      <c r="G2147" s="32"/>
      <c r="H2147" s="250">
        <f t="shared" ref="H2147:H2152" si="1365">SUM(J2147:L2147)</f>
        <v>0</v>
      </c>
      <c r="I2147" s="241">
        <f t="shared" ref="I2147:I2153" si="1366">+H2147/$H$2154</f>
        <v>0</v>
      </c>
      <c r="J2147" s="242">
        <f t="shared" ref="J2147:J2152" si="1367">+D2147-D2136</f>
        <v>0</v>
      </c>
      <c r="K2147" s="849">
        <f>+E2147-E2136</f>
        <v>0</v>
      </c>
      <c r="L2147" s="242">
        <f t="shared" ref="L2147:L2152" si="1368">+F2147-F2136</f>
        <v>0</v>
      </c>
    </row>
    <row r="2148" spans="1:12" ht="15.5">
      <c r="A2148" s="180" t="s">
        <v>9</v>
      </c>
      <c r="B2148" s="250">
        <f t="shared" si="1363"/>
        <v>281038.42612489453</v>
      </c>
      <c r="C2148" s="241">
        <f t="shared" si="1364"/>
        <v>2.4323141373622528E-2</v>
      </c>
      <c r="D2148" s="242">
        <v>281038.42612489453</v>
      </c>
      <c r="E2148" s="242"/>
      <c r="F2148" s="242"/>
      <c r="H2148" s="250">
        <f t="shared" si="1365"/>
        <v>2247.5011898733792</v>
      </c>
      <c r="I2148" s="241">
        <f t="shared" si="1366"/>
        <v>3.6881776589809115E-3</v>
      </c>
      <c r="J2148" s="242">
        <f t="shared" si="1367"/>
        <v>2247.5011898733792</v>
      </c>
      <c r="K2148" s="849">
        <f t="shared" ref="K2148:K2152" si="1369">+E2148-E2137</f>
        <v>0</v>
      </c>
      <c r="L2148" s="242">
        <f t="shared" si="1368"/>
        <v>0</v>
      </c>
    </row>
    <row r="2149" spans="1:12" ht="15.5">
      <c r="A2149" s="180" t="s">
        <v>10</v>
      </c>
      <c r="B2149" s="250">
        <f t="shared" si="1363"/>
        <v>462498.63</v>
      </c>
      <c r="C2149" s="241">
        <f t="shared" si="1364"/>
        <v>4.0028047828582179E-2</v>
      </c>
      <c r="D2149" s="242">
        <v>462498.63</v>
      </c>
      <c r="E2149" s="242"/>
      <c r="F2149" s="242"/>
      <c r="H2149" s="250">
        <f t="shared" si="1365"/>
        <v>463.22999999998137</v>
      </c>
      <c r="I2149" s="241">
        <f t="shared" si="1366"/>
        <v>7.6016624358980279E-4</v>
      </c>
      <c r="J2149" s="242">
        <f t="shared" si="1367"/>
        <v>463.22999999998137</v>
      </c>
      <c r="K2149" s="849">
        <f t="shared" si="1369"/>
        <v>0</v>
      </c>
      <c r="L2149" s="242">
        <f t="shared" si="1368"/>
        <v>0</v>
      </c>
    </row>
    <row r="2150" spans="1:12" ht="15.5">
      <c r="A2150" s="180" t="s">
        <v>11</v>
      </c>
      <c r="B2150" s="250">
        <f t="shared" si="1363"/>
        <v>0</v>
      </c>
      <c r="C2150" s="241">
        <f t="shared" si="1364"/>
        <v>0</v>
      </c>
      <c r="D2150" s="242">
        <v>0</v>
      </c>
      <c r="E2150" s="242"/>
      <c r="F2150" s="242"/>
      <c r="H2150" s="250">
        <f t="shared" si="1365"/>
        <v>0</v>
      </c>
      <c r="I2150" s="241">
        <f t="shared" si="1366"/>
        <v>0</v>
      </c>
      <c r="J2150" s="242">
        <f t="shared" si="1367"/>
        <v>0</v>
      </c>
      <c r="K2150" s="849">
        <f t="shared" si="1369"/>
        <v>0</v>
      </c>
      <c r="L2150" s="242">
        <f t="shared" si="1368"/>
        <v>0</v>
      </c>
    </row>
    <row r="2151" spans="1:12" ht="15.5">
      <c r="A2151" s="180" t="s">
        <v>12</v>
      </c>
      <c r="B2151" s="250">
        <f t="shared" si="1363"/>
        <v>807.59493670886081</v>
      </c>
      <c r="C2151" s="241">
        <f t="shared" si="1364"/>
        <v>6.9895231371178504E-5</v>
      </c>
      <c r="D2151" s="242">
        <v>807.59493670886081</v>
      </c>
      <c r="E2151" s="242"/>
      <c r="F2151" s="242"/>
      <c r="H2151" s="250">
        <f t="shared" si="1365"/>
        <v>0</v>
      </c>
      <c r="I2151" s="241">
        <f t="shared" si="1366"/>
        <v>0</v>
      </c>
      <c r="J2151" s="242">
        <f t="shared" si="1367"/>
        <v>0</v>
      </c>
      <c r="K2151" s="849">
        <f t="shared" si="1369"/>
        <v>0</v>
      </c>
      <c r="L2151" s="242">
        <f t="shared" si="1368"/>
        <v>0</v>
      </c>
    </row>
    <row r="2152" spans="1:12" ht="15.5">
      <c r="A2152" s="180" t="s">
        <v>13</v>
      </c>
      <c r="B2152" s="250">
        <f t="shared" si="1363"/>
        <v>2892761.0889657796</v>
      </c>
      <c r="C2152" s="241">
        <f t="shared" si="1364"/>
        <v>0.25036091290861484</v>
      </c>
      <c r="D2152" s="242">
        <v>2892761.0889657796</v>
      </c>
      <c r="E2152" s="242">
        <v>0</v>
      </c>
      <c r="F2152" s="242">
        <v>0</v>
      </c>
      <c r="G2152" s="32"/>
      <c r="H2152" s="250">
        <f t="shared" si="1365"/>
        <v>0</v>
      </c>
      <c r="I2152" s="241">
        <f t="shared" si="1366"/>
        <v>0</v>
      </c>
      <c r="J2152" s="242">
        <f t="shared" si="1367"/>
        <v>0</v>
      </c>
      <c r="K2152" s="849">
        <f t="shared" si="1369"/>
        <v>0</v>
      </c>
      <c r="L2152" s="242">
        <f t="shared" si="1368"/>
        <v>0</v>
      </c>
    </row>
    <row r="2153" spans="1:12" ht="15.5">
      <c r="A2153" s="180"/>
      <c r="B2153" s="242">
        <v>0</v>
      </c>
      <c r="C2153" s="241">
        <f t="shared" ref="C2153" si="1370">+B2153/$B$2143</f>
        <v>0</v>
      </c>
      <c r="D2153" s="242"/>
      <c r="E2153" s="242"/>
      <c r="F2153" s="242"/>
      <c r="G2153" s="32"/>
      <c r="H2153" s="242">
        <v>0</v>
      </c>
      <c r="I2153" s="241">
        <f t="shared" si="1366"/>
        <v>0</v>
      </c>
      <c r="J2153" s="242"/>
      <c r="K2153" s="242"/>
      <c r="L2153" s="242"/>
    </row>
    <row r="2154" spans="1:12" ht="15.5">
      <c r="A2154" s="180"/>
      <c r="B2154" s="243">
        <f>SUM(B2146:B2153)</f>
        <v>11554363.879563248</v>
      </c>
      <c r="C2154" s="240">
        <f>SUM(C2146:C2153)</f>
        <v>1</v>
      </c>
      <c r="D2154" s="243">
        <f>SUM(D2146:D2153)</f>
        <v>3772562.9395632478</v>
      </c>
      <c r="E2154" s="243">
        <f>SUM(E2146:E2152)</f>
        <v>3668102.48</v>
      </c>
      <c r="F2154" s="243">
        <f>SUM(F2146:F2152)</f>
        <v>4113698.46</v>
      </c>
      <c r="G2154" s="32">
        <f>+B2154-B2143</f>
        <v>609379.86118987203</v>
      </c>
      <c r="H2154" s="243">
        <f>SUM(H2146:H2153)</f>
        <v>609379.86118987319</v>
      </c>
      <c r="I2154" s="240">
        <f>SUM(I2146:I2153)</f>
        <v>1</v>
      </c>
      <c r="J2154" s="243">
        <f t="shared" ref="J2154:L2154" si="1371">SUM(J2146:J2153)</f>
        <v>2710.7311898733606</v>
      </c>
      <c r="K2154" s="243">
        <f t="shared" si="1371"/>
        <v>333408.33000000007</v>
      </c>
      <c r="L2154" s="243">
        <f t="shared" si="1371"/>
        <v>273260.79999999981</v>
      </c>
    </row>
    <row r="2155" spans="1:12" ht="16" thickBot="1">
      <c r="A2155" s="180"/>
      <c r="B2155" s="1031"/>
      <c r="C2155" s="335"/>
      <c r="D2155" s="334"/>
      <c r="E2155" s="334"/>
      <c r="F2155" s="334"/>
      <c r="G2155" s="32"/>
      <c r="H2155" s="334"/>
      <c r="I2155" s="335"/>
      <c r="J2155" s="334"/>
      <c r="K2155" s="334"/>
      <c r="L2155" s="334"/>
    </row>
    <row r="2156" spans="1:12" ht="16" thickBot="1">
      <c r="A2156" s="253">
        <v>45836</v>
      </c>
      <c r="B2156" s="251">
        <v>1240</v>
      </c>
      <c r="C2156" s="238" t="s">
        <v>3</v>
      </c>
      <c r="D2156" s="238" t="s">
        <v>4</v>
      </c>
      <c r="E2156" s="238" t="s">
        <v>5</v>
      </c>
      <c r="F2156" s="238" t="s">
        <v>6</v>
      </c>
      <c r="H2156" s="251">
        <f>+B2156-B2145</f>
        <v>55</v>
      </c>
      <c r="I2156" s="238" t="s">
        <v>3</v>
      </c>
      <c r="J2156" s="238" t="s">
        <v>4</v>
      </c>
      <c r="K2156" s="238" t="s">
        <v>5</v>
      </c>
      <c r="L2156" s="238" t="s">
        <v>114</v>
      </c>
    </row>
    <row r="2157" spans="1:12" ht="15.5">
      <c r="A2157" s="180" t="s">
        <v>7</v>
      </c>
      <c r="B2157" s="250">
        <f t="shared" ref="B2157:B2163" si="1372">SUM(D2157:F2157)</f>
        <v>8172669.117298387</v>
      </c>
      <c r="C2157" s="241">
        <f>+B2157/$B$2165</f>
        <v>0.69186352982113886</v>
      </c>
      <c r="D2157" s="242">
        <v>129449.01729838712</v>
      </c>
      <c r="E2157" s="242">
        <v>3748273.37</v>
      </c>
      <c r="F2157" s="242">
        <v>4294946.7300000004</v>
      </c>
      <c r="H2157" s="250">
        <f>SUM(J2157:L2157)</f>
        <v>255410.97776252276</v>
      </c>
      <c r="I2157" s="241">
        <f>+H2157/$H$2165</f>
        <v>0.98927033787159901</v>
      </c>
      <c r="J2157" s="242">
        <f>+D2157-D2146</f>
        <v>-6008.1822374778712</v>
      </c>
      <c r="K2157" s="849">
        <f>+E2157-E2146</f>
        <v>80170.89000000013</v>
      </c>
      <c r="L2157" s="242">
        <f>+F2157-F2146</f>
        <v>181248.27000000048</v>
      </c>
    </row>
    <row r="2158" spans="1:12" ht="15.5">
      <c r="A2158" s="180" t="s">
        <v>8</v>
      </c>
      <c r="B2158" s="250">
        <f t="shared" si="1372"/>
        <v>0</v>
      </c>
      <c r="C2158" s="241">
        <f t="shared" ref="C2158:C2163" si="1373">+B2158/$B$2165</f>
        <v>0</v>
      </c>
      <c r="D2158" s="242">
        <v>0</v>
      </c>
      <c r="F2158" s="242"/>
      <c r="G2158" s="32"/>
      <c r="H2158" s="250">
        <f t="shared" ref="H2158:H2163" si="1374">SUM(J2158:L2158)</f>
        <v>0</v>
      </c>
      <c r="I2158" s="241">
        <f t="shared" ref="I2158:I2163" si="1375">+H2158/$H$2165</f>
        <v>0</v>
      </c>
      <c r="J2158" s="242">
        <f t="shared" ref="J2158:J2163" si="1376">+D2158-D2147</f>
        <v>0</v>
      </c>
      <c r="K2158" s="849">
        <f>+E2158-E2147</f>
        <v>0</v>
      </c>
      <c r="L2158" s="242">
        <f t="shared" ref="L2158:L2163" si="1377">+F2158-F2147</f>
        <v>0</v>
      </c>
    </row>
    <row r="2159" spans="1:12" ht="15.5">
      <c r="A2159" s="180" t="s">
        <v>9</v>
      </c>
      <c r="B2159" s="250">
        <f t="shared" si="1372"/>
        <v>275206.7936387097</v>
      </c>
      <c r="C2159" s="241">
        <f t="shared" si="1373"/>
        <v>2.3297840759834553E-2</v>
      </c>
      <c r="D2159" s="242">
        <v>275206.7936387097</v>
      </c>
      <c r="E2159" s="242"/>
      <c r="F2159" s="242"/>
      <c r="H2159" s="250">
        <f t="shared" si="1374"/>
        <v>-5831.6324861848261</v>
      </c>
      <c r="I2159" s="241">
        <f t="shared" si="1375"/>
        <v>-2.2587365235784973E-2</v>
      </c>
      <c r="J2159" s="242">
        <f t="shared" si="1376"/>
        <v>-5831.6324861848261</v>
      </c>
      <c r="K2159" s="849">
        <f t="shared" ref="K2159:K2163" si="1378">+E2159-E2148</f>
        <v>0</v>
      </c>
      <c r="L2159" s="242">
        <f t="shared" si="1377"/>
        <v>0</v>
      </c>
    </row>
    <row r="2160" spans="1:12" ht="15.5">
      <c r="A2160" s="180" t="s">
        <v>10</v>
      </c>
      <c r="B2160" s="250">
        <f t="shared" si="1372"/>
        <v>471136.28</v>
      </c>
      <c r="C2160" s="241">
        <f t="shared" si="1373"/>
        <v>3.9884400681004524E-2</v>
      </c>
      <c r="D2160" s="242">
        <v>471136.28</v>
      </c>
      <c r="E2160" s="242"/>
      <c r="F2160" s="242"/>
      <c r="H2160" s="250">
        <f t="shared" si="1374"/>
        <v>8637.6500000000233</v>
      </c>
      <c r="I2160" s="241">
        <f t="shared" si="1375"/>
        <v>3.3455770025130338E-2</v>
      </c>
      <c r="J2160" s="242">
        <f t="shared" si="1376"/>
        <v>8637.6500000000233</v>
      </c>
      <c r="K2160" s="849">
        <f t="shared" si="1378"/>
        <v>0</v>
      </c>
      <c r="L2160" s="242">
        <f t="shared" si="1377"/>
        <v>0</v>
      </c>
    </row>
    <row r="2161" spans="1:12" ht="15.5">
      <c r="A2161" s="180" t="s">
        <v>11</v>
      </c>
      <c r="B2161" s="250">
        <f t="shared" si="1372"/>
        <v>0</v>
      </c>
      <c r="C2161" s="241">
        <f t="shared" si="1373"/>
        <v>0</v>
      </c>
      <c r="D2161" s="242">
        <v>0</v>
      </c>
      <c r="E2161" s="242"/>
      <c r="F2161" s="242"/>
      <c r="H2161" s="250">
        <f t="shared" si="1374"/>
        <v>0</v>
      </c>
      <c r="I2161" s="241">
        <f t="shared" si="1375"/>
        <v>0</v>
      </c>
      <c r="J2161" s="242">
        <f t="shared" si="1376"/>
        <v>0</v>
      </c>
      <c r="K2161" s="849">
        <f t="shared" si="1378"/>
        <v>0</v>
      </c>
      <c r="L2161" s="242">
        <f t="shared" si="1377"/>
        <v>0</v>
      </c>
    </row>
    <row r="2162" spans="1:12" ht="15.5">
      <c r="A2162" s="180" t="s">
        <v>12</v>
      </c>
      <c r="B2162" s="250">
        <f t="shared" si="1372"/>
        <v>771.77419354838707</v>
      </c>
      <c r="C2162" s="241">
        <f t="shared" si="1373"/>
        <v>6.533513226946354E-5</v>
      </c>
      <c r="D2162" s="242">
        <v>771.77419354838707</v>
      </c>
      <c r="E2162" s="242"/>
      <c r="F2162" s="242"/>
      <c r="H2162" s="250">
        <f t="shared" si="1374"/>
        <v>-35.820743160473739</v>
      </c>
      <c r="I2162" s="241">
        <f t="shared" si="1375"/>
        <v>-1.3874266094436179E-4</v>
      </c>
      <c r="J2162" s="242">
        <f t="shared" si="1376"/>
        <v>-35.820743160473739</v>
      </c>
      <c r="K2162" s="849">
        <f t="shared" si="1378"/>
        <v>0</v>
      </c>
      <c r="L2162" s="242">
        <f t="shared" si="1377"/>
        <v>0</v>
      </c>
    </row>
    <row r="2163" spans="1:12" ht="15.5">
      <c r="A2163" s="180" t="s">
        <v>13</v>
      </c>
      <c r="B2163" s="250">
        <f t="shared" si="1372"/>
        <v>2892761.0889657796</v>
      </c>
      <c r="C2163" s="241">
        <f t="shared" si="1373"/>
        <v>0.24488889360575272</v>
      </c>
      <c r="D2163" s="242">
        <v>2892761.0889657796</v>
      </c>
      <c r="E2163" s="242">
        <v>0</v>
      </c>
      <c r="F2163" s="242">
        <v>0</v>
      </c>
      <c r="G2163" s="32"/>
      <c r="H2163" s="250">
        <f t="shared" si="1374"/>
        <v>0</v>
      </c>
      <c r="I2163" s="241">
        <f t="shared" si="1375"/>
        <v>0</v>
      </c>
      <c r="J2163" s="242">
        <f t="shared" si="1376"/>
        <v>0</v>
      </c>
      <c r="K2163" s="849">
        <f t="shared" si="1378"/>
        <v>0</v>
      </c>
      <c r="L2163" s="242">
        <f t="shared" si="1377"/>
        <v>0</v>
      </c>
    </row>
    <row r="2164" spans="1:12" ht="15.5">
      <c r="A2164" s="180"/>
      <c r="B2164" s="242">
        <v>0</v>
      </c>
      <c r="C2164" s="241">
        <f t="shared" ref="C2164" si="1379">+B2164/$B$2143</f>
        <v>0</v>
      </c>
      <c r="D2164" s="242"/>
      <c r="E2164" s="242"/>
      <c r="F2164" s="242"/>
      <c r="G2164" s="32"/>
      <c r="H2164" s="242">
        <v>0</v>
      </c>
      <c r="I2164" s="241">
        <f t="shared" ref="I2164" si="1380">+H2164/$H$2154</f>
        <v>0</v>
      </c>
      <c r="J2164" s="242"/>
      <c r="K2164" s="242"/>
      <c r="L2164" s="242"/>
    </row>
    <row r="2165" spans="1:12" ht="15.5">
      <c r="A2165" s="180"/>
      <c r="B2165" s="243">
        <f>SUM(B2157:B2164)</f>
        <v>11812545.054096423</v>
      </c>
      <c r="C2165" s="240">
        <f>SUM(C2157:C2164)</f>
        <v>1</v>
      </c>
      <c r="D2165" s="243">
        <f>SUM(D2157:D2164)</f>
        <v>3769324.9540964249</v>
      </c>
      <c r="E2165" s="243">
        <f>SUM(E2157:E2163)</f>
        <v>3748273.37</v>
      </c>
      <c r="F2165" s="243">
        <f>SUM(F2157:F2163)</f>
        <v>4294946.7300000004</v>
      </c>
      <c r="G2165" s="32">
        <f>+B2165-B2154</f>
        <v>258181.1745331753</v>
      </c>
      <c r="H2165" s="243">
        <f>SUM(H2157:H2164)</f>
        <v>258181.17453317749</v>
      </c>
      <c r="I2165" s="240">
        <f>SUM(I2157:I2164)</f>
        <v>1.0000000000000002</v>
      </c>
      <c r="J2165" s="243">
        <f t="shared" ref="J2165:L2165" si="1381">SUM(J2157:J2164)</f>
        <v>-3237.9854668231478</v>
      </c>
      <c r="K2165" s="243">
        <f t="shared" si="1381"/>
        <v>80170.89000000013</v>
      </c>
      <c r="L2165" s="243">
        <f t="shared" si="1381"/>
        <v>181248.27000000048</v>
      </c>
    </row>
    <row r="2166" spans="1:12" ht="16" thickBot="1">
      <c r="A2166" s="180"/>
      <c r="B2166" s="1031"/>
      <c r="C2166" s="335"/>
      <c r="D2166" s="334"/>
      <c r="E2166" s="334"/>
      <c r="F2166" s="334"/>
      <c r="G2166" s="32"/>
      <c r="H2166" s="334"/>
      <c r="I2166" s="335"/>
      <c r="J2166" s="334"/>
      <c r="K2166" s="334"/>
      <c r="L2166" s="334"/>
    </row>
    <row r="2167" spans="1:12" ht="16" thickBot="1">
      <c r="A2167" s="253">
        <v>45866</v>
      </c>
      <c r="B2167" s="251">
        <v>1350</v>
      </c>
      <c r="C2167" s="238" t="s">
        <v>3</v>
      </c>
      <c r="D2167" s="238" t="s">
        <v>4</v>
      </c>
      <c r="E2167" s="238" t="s">
        <v>5</v>
      </c>
      <c r="F2167" s="238" t="s">
        <v>6</v>
      </c>
      <c r="H2167" s="251">
        <f>+B2167-B2156</f>
        <v>110</v>
      </c>
      <c r="I2167" s="238" t="s">
        <v>3</v>
      </c>
      <c r="J2167" s="238" t="s">
        <v>4</v>
      </c>
      <c r="K2167" s="238" t="s">
        <v>5</v>
      </c>
      <c r="L2167" s="238" t="s">
        <v>114</v>
      </c>
    </row>
    <row r="2168" spans="1:12" ht="15.5">
      <c r="A2168" s="180" t="s">
        <v>7</v>
      </c>
      <c r="B2168" s="250">
        <f t="shared" ref="B2168:B2174" si="1382">SUM(D2168:F2168)</f>
        <v>8154516.3296296299</v>
      </c>
      <c r="C2168" s="241">
        <f>+B2168/$B$2176</f>
        <v>0.69112681172551549</v>
      </c>
      <c r="D2168" s="242">
        <v>111966.16962962963</v>
      </c>
      <c r="E2168" s="242">
        <v>3665970.06</v>
      </c>
      <c r="F2168" s="242">
        <v>4376580.0999999996</v>
      </c>
      <c r="H2168" s="250">
        <f>SUM(J2168:L2168)</f>
        <v>-18152.787668758363</v>
      </c>
      <c r="I2168" s="241">
        <f>+H2168/$H$2176</f>
        <v>1.327567958103212</v>
      </c>
      <c r="J2168" s="242">
        <f>+D2168-D2157</f>
        <v>-17482.847668757488</v>
      </c>
      <c r="K2168" s="849">
        <f>+E2168-E2157</f>
        <v>-82303.310000000056</v>
      </c>
      <c r="L2168" s="242">
        <f>+F2168-F2157</f>
        <v>81633.36999999918</v>
      </c>
    </row>
    <row r="2169" spans="1:12" ht="15.5">
      <c r="A2169" s="180" t="s">
        <v>8</v>
      </c>
      <c r="B2169" s="250">
        <f t="shared" si="1382"/>
        <v>0</v>
      </c>
      <c r="C2169" s="241">
        <f t="shared" ref="C2169:C2175" si="1383">+B2169/$B$2176</f>
        <v>0</v>
      </c>
      <c r="D2169" s="242">
        <v>0</v>
      </c>
      <c r="F2169" s="242"/>
      <c r="G2169" s="32"/>
      <c r="H2169" s="250">
        <f t="shared" ref="H2169:H2174" si="1384">SUM(J2169:L2169)</f>
        <v>0</v>
      </c>
      <c r="I2169" s="241">
        <f t="shared" ref="I2169:I2175" si="1385">+H2169/$H$2176</f>
        <v>0</v>
      </c>
      <c r="J2169" s="242">
        <f t="shared" ref="J2169:J2174" si="1386">+D2169-D2158</f>
        <v>0</v>
      </c>
      <c r="K2169" s="849">
        <f>+E2169-E2158</f>
        <v>0</v>
      </c>
      <c r="L2169" s="242">
        <f t="shared" ref="L2169:L2174" si="1387">+F2169-F2158</f>
        <v>0</v>
      </c>
    </row>
    <row r="2170" spans="1:12" ht="15.5">
      <c r="A2170" s="180" t="s">
        <v>9</v>
      </c>
      <c r="B2170" s="250">
        <f t="shared" si="1382"/>
        <v>279748.75028148148</v>
      </c>
      <c r="C2170" s="241">
        <f t="shared" si="1383"/>
        <v>2.3709789036012525E-2</v>
      </c>
      <c r="D2170" s="242">
        <v>279748.75028148148</v>
      </c>
      <c r="E2170" s="242"/>
      <c r="F2170" s="242"/>
      <c r="H2170" s="250">
        <f t="shared" si="1384"/>
        <v>4541.95664277178</v>
      </c>
      <c r="I2170" s="241">
        <f t="shared" si="1385"/>
        <v>-0.33216694956528864</v>
      </c>
      <c r="J2170" s="242">
        <f t="shared" si="1386"/>
        <v>4541.95664277178</v>
      </c>
      <c r="K2170" s="849">
        <f t="shared" ref="K2170:K2174" si="1388">+E2170-E2159</f>
        <v>0</v>
      </c>
      <c r="L2170" s="242">
        <f t="shared" si="1387"/>
        <v>0</v>
      </c>
    </row>
    <row r="2171" spans="1:12" ht="15.5">
      <c r="A2171" s="180" t="s">
        <v>10</v>
      </c>
      <c r="B2171" s="250">
        <f t="shared" si="1382"/>
        <v>471136.28</v>
      </c>
      <c r="C2171" s="241">
        <f t="shared" si="1383"/>
        <v>3.9930622727615397E-2</v>
      </c>
      <c r="D2171" s="242">
        <v>471136.28</v>
      </c>
      <c r="E2171" s="242"/>
      <c r="F2171" s="242"/>
      <c r="H2171" s="250">
        <f t="shared" si="1384"/>
        <v>0</v>
      </c>
      <c r="I2171" s="241">
        <f t="shared" si="1385"/>
        <v>0</v>
      </c>
      <c r="J2171" s="242">
        <f t="shared" si="1386"/>
        <v>0</v>
      </c>
      <c r="K2171" s="849">
        <f t="shared" si="1388"/>
        <v>0</v>
      </c>
      <c r="L2171" s="242">
        <f t="shared" si="1387"/>
        <v>0</v>
      </c>
    </row>
    <row r="2172" spans="1:12" ht="15.5">
      <c r="A2172" s="180" t="s">
        <v>11</v>
      </c>
      <c r="B2172" s="250">
        <f t="shared" si="1382"/>
        <v>0</v>
      </c>
      <c r="C2172" s="241">
        <f t="shared" si="1383"/>
        <v>0</v>
      </c>
      <c r="D2172" s="242">
        <v>0</v>
      </c>
      <c r="E2172" s="242"/>
      <c r="F2172" s="242"/>
      <c r="H2172" s="250">
        <f t="shared" si="1384"/>
        <v>0</v>
      </c>
      <c r="I2172" s="241">
        <f t="shared" si="1385"/>
        <v>0</v>
      </c>
      <c r="J2172" s="242">
        <f t="shared" si="1386"/>
        <v>0</v>
      </c>
      <c r="K2172" s="849">
        <f t="shared" si="1388"/>
        <v>0</v>
      </c>
      <c r="L2172" s="242">
        <f t="shared" si="1387"/>
        <v>0</v>
      </c>
    </row>
    <row r="2173" spans="1:12" ht="15.5">
      <c r="A2173" s="180" t="s">
        <v>12</v>
      </c>
      <c r="B2173" s="250">
        <f t="shared" si="1382"/>
        <v>708.88888888888891</v>
      </c>
      <c r="C2173" s="241">
        <f t="shared" si="1383"/>
        <v>6.0081076282261028E-5</v>
      </c>
      <c r="D2173" s="242">
        <v>708.88888888888891</v>
      </c>
      <c r="E2173" s="242"/>
      <c r="F2173" s="242"/>
      <c r="H2173" s="250">
        <f t="shared" si="1384"/>
        <v>-62.885304659498161</v>
      </c>
      <c r="I2173" s="241">
        <f t="shared" si="1385"/>
        <v>4.5989914620765604E-3</v>
      </c>
      <c r="J2173" s="242">
        <f t="shared" si="1386"/>
        <v>-62.885304659498161</v>
      </c>
      <c r="K2173" s="849">
        <f t="shared" si="1388"/>
        <v>0</v>
      </c>
      <c r="L2173" s="242">
        <f t="shared" si="1387"/>
        <v>0</v>
      </c>
    </row>
    <row r="2174" spans="1:12" ht="15.5">
      <c r="A2174" s="180" t="s">
        <v>13</v>
      </c>
      <c r="B2174" s="250">
        <f t="shared" si="1382"/>
        <v>2892761.0889657796</v>
      </c>
      <c r="C2174" s="241">
        <f t="shared" si="1383"/>
        <v>0.24517269543457451</v>
      </c>
      <c r="D2174" s="242">
        <v>2892761.0889657796</v>
      </c>
      <c r="E2174" s="242">
        <v>0</v>
      </c>
      <c r="F2174" s="242">
        <v>0</v>
      </c>
      <c r="G2174" s="32"/>
      <c r="H2174" s="250">
        <f t="shared" si="1384"/>
        <v>0</v>
      </c>
      <c r="I2174" s="241">
        <f t="shared" si="1385"/>
        <v>0</v>
      </c>
      <c r="J2174" s="242">
        <f t="shared" si="1386"/>
        <v>0</v>
      </c>
      <c r="K2174" s="849">
        <f t="shared" si="1388"/>
        <v>0</v>
      </c>
      <c r="L2174" s="242">
        <f t="shared" si="1387"/>
        <v>0</v>
      </c>
    </row>
    <row r="2175" spans="1:12" ht="15.5">
      <c r="A2175" s="180"/>
      <c r="B2175" s="242">
        <v>0</v>
      </c>
      <c r="C2175" s="241">
        <f t="shared" si="1383"/>
        <v>0</v>
      </c>
      <c r="D2175" s="242"/>
      <c r="E2175" s="242"/>
      <c r="F2175" s="242"/>
      <c r="G2175" s="32"/>
      <c r="H2175" s="242">
        <v>0</v>
      </c>
      <c r="I2175" s="241">
        <f t="shared" si="1385"/>
        <v>0</v>
      </c>
      <c r="J2175" s="242"/>
      <c r="K2175" s="242"/>
      <c r="L2175" s="242"/>
    </row>
    <row r="2176" spans="1:12" ht="15.5">
      <c r="A2176" s="180"/>
      <c r="B2176" s="243">
        <f>SUM(B2168:B2175)</f>
        <v>11798871.337765777</v>
      </c>
      <c r="C2176" s="240">
        <f>SUM(C2168:C2175)</f>
        <v>1.0000000000000002</v>
      </c>
      <c r="D2176" s="243">
        <f>SUM(D2168:D2175)</f>
        <v>3756321.1777657797</v>
      </c>
      <c r="E2176" s="243">
        <f>SUM(E2168:E2174)</f>
        <v>3665970.06</v>
      </c>
      <c r="F2176" s="243">
        <f>SUM(F2168:F2174)</f>
        <v>4376580.0999999996</v>
      </c>
      <c r="G2176" s="32">
        <f>+B2176-B2165</f>
        <v>-13673.716330645606</v>
      </c>
      <c r="H2176" s="243">
        <f>SUM(H2168:H2175)</f>
        <v>-13673.716330646081</v>
      </c>
      <c r="I2176" s="240">
        <f>SUM(I2168:I2175)</f>
        <v>1</v>
      </c>
      <c r="J2176" s="243">
        <f t="shared" ref="J2176:L2176" si="1389">SUM(J2168:J2175)</f>
        <v>-13003.776330645205</v>
      </c>
      <c r="K2176" s="243">
        <f t="shared" si="1389"/>
        <v>-82303.310000000056</v>
      </c>
      <c r="L2176" s="243">
        <f t="shared" si="1389"/>
        <v>81633.36999999918</v>
      </c>
    </row>
    <row r="2178" spans="1:12" ht="16" thickBot="1">
      <c r="A2178" s="253">
        <v>45897</v>
      </c>
      <c r="B2178" s="251">
        <v>1340</v>
      </c>
      <c r="C2178" s="238" t="s">
        <v>3</v>
      </c>
      <c r="D2178" s="238" t="s">
        <v>4</v>
      </c>
      <c r="E2178" s="238" t="s">
        <v>5</v>
      </c>
      <c r="F2178" s="238" t="s">
        <v>6</v>
      </c>
      <c r="H2178" s="251">
        <f>+B2178-B2167</f>
        <v>-10</v>
      </c>
      <c r="I2178" s="238" t="s">
        <v>3</v>
      </c>
      <c r="J2178" s="238" t="s">
        <v>4</v>
      </c>
      <c r="K2178" s="238" t="s">
        <v>5</v>
      </c>
      <c r="L2178" s="238" t="s">
        <v>114</v>
      </c>
    </row>
    <row r="2179" spans="1:12" ht="15.5">
      <c r="A2179" s="180" t="s">
        <v>7</v>
      </c>
      <c r="B2179" s="250">
        <f t="shared" ref="B2179:B2185" si="1390">SUM(D2179:F2179)</f>
        <v>8111465.115985075</v>
      </c>
      <c r="C2179" s="241">
        <f>+B2179/$B$2187</f>
        <v>0.68922754522101071</v>
      </c>
      <c r="D2179" s="242">
        <v>102228.65598507464</v>
      </c>
      <c r="E2179" s="242">
        <v>3578521.75</v>
      </c>
      <c r="F2179" s="242">
        <v>4430714.71</v>
      </c>
      <c r="H2179" s="250">
        <f>SUM(J2179:L2179)</f>
        <v>-43051.213644554708</v>
      </c>
      <c r="I2179" s="241">
        <f>+H2179/$H$2187</f>
        <v>1.4374607256787708</v>
      </c>
      <c r="J2179" s="242">
        <f>+D2179-D2168</f>
        <v>-9737.513644554987</v>
      </c>
      <c r="K2179" s="849">
        <f>+E2179-E2168</f>
        <v>-87448.310000000056</v>
      </c>
      <c r="L2179" s="242">
        <f>+F2179-F2168</f>
        <v>54134.610000000335</v>
      </c>
    </row>
    <row r="2180" spans="1:12" ht="15.5">
      <c r="A2180" s="180" t="s">
        <v>8</v>
      </c>
      <c r="B2180" s="250">
        <f t="shared" si="1390"/>
        <v>0</v>
      </c>
      <c r="C2180" s="241">
        <f t="shared" ref="C2180:C2185" si="1391">+B2180/$B$2187</f>
        <v>0</v>
      </c>
      <c r="D2180" s="242">
        <v>0</v>
      </c>
      <c r="F2180" s="242"/>
      <c r="G2180" s="32"/>
      <c r="H2180" s="250">
        <f t="shared" ref="H2180:H2185" si="1392">SUM(J2180:L2180)</f>
        <v>0</v>
      </c>
      <c r="I2180" s="241">
        <f t="shared" ref="I2180:I2186" si="1393">+H2180/$H$2187</f>
        <v>0</v>
      </c>
      <c r="J2180" s="242">
        <f t="shared" ref="J2180:J2185" si="1394">+D2180-D2169</f>
        <v>0</v>
      </c>
      <c r="K2180" s="849">
        <f>+E2180-E2169</f>
        <v>0</v>
      </c>
      <c r="L2180" s="242">
        <f t="shared" ref="L2180:L2185" si="1395">+F2180-F2169</f>
        <v>0</v>
      </c>
    </row>
    <row r="2181" spans="1:12" ht="15.5">
      <c r="A2181" s="180" t="s">
        <v>9</v>
      </c>
      <c r="B2181" s="250">
        <f t="shared" si="1390"/>
        <v>290072.9250910448</v>
      </c>
      <c r="C2181" s="241">
        <f t="shared" si="1391"/>
        <v>2.4647366072201797E-2</v>
      </c>
      <c r="D2181" s="242">
        <v>290072.9250910448</v>
      </c>
      <c r="E2181" s="242"/>
      <c r="F2181" s="242"/>
      <c r="H2181" s="250">
        <f t="shared" si="1392"/>
        <v>10324.174809563323</v>
      </c>
      <c r="I2181" s="241">
        <f t="shared" si="1393"/>
        <v>-0.34471956903046513</v>
      </c>
      <c r="J2181" s="242">
        <f t="shared" si="1394"/>
        <v>10324.174809563323</v>
      </c>
      <c r="K2181" s="849">
        <f t="shared" ref="K2181:K2185" si="1396">+E2181-E2170</f>
        <v>0</v>
      </c>
      <c r="L2181" s="242">
        <f t="shared" si="1395"/>
        <v>0</v>
      </c>
    </row>
    <row r="2182" spans="1:12" ht="15.5">
      <c r="A2182" s="180" t="s">
        <v>10</v>
      </c>
      <c r="B2182" s="250">
        <f t="shared" si="1390"/>
        <v>473908.54</v>
      </c>
      <c r="C2182" s="241">
        <f t="shared" si="1391"/>
        <v>4.0267795646410344E-2</v>
      </c>
      <c r="D2182" s="242">
        <v>473908.54</v>
      </c>
      <c r="E2182" s="242"/>
      <c r="F2182" s="242"/>
      <c r="H2182" s="250">
        <f t="shared" si="1392"/>
        <v>2772.2599999999511</v>
      </c>
      <c r="I2182" s="241">
        <f t="shared" si="1393"/>
        <v>-9.2564518721162697E-2</v>
      </c>
      <c r="J2182" s="242">
        <f t="shared" si="1394"/>
        <v>2772.2599999999511</v>
      </c>
      <c r="K2182" s="849">
        <f t="shared" si="1396"/>
        <v>0</v>
      </c>
      <c r="L2182" s="242">
        <f t="shared" si="1395"/>
        <v>0</v>
      </c>
    </row>
    <row r="2183" spans="1:12" ht="15.5">
      <c r="A2183" s="180" t="s">
        <v>11</v>
      </c>
      <c r="B2183" s="250">
        <f t="shared" si="1390"/>
        <v>0</v>
      </c>
      <c r="C2183" s="241">
        <f t="shared" si="1391"/>
        <v>0</v>
      </c>
      <c r="D2183" s="242">
        <v>0</v>
      </c>
      <c r="E2183" s="242"/>
      <c r="F2183" s="242"/>
      <c r="H2183" s="250">
        <f t="shared" si="1392"/>
        <v>0</v>
      </c>
      <c r="I2183" s="241">
        <f t="shared" si="1393"/>
        <v>0</v>
      </c>
      <c r="J2183" s="242">
        <f t="shared" si="1394"/>
        <v>0</v>
      </c>
      <c r="K2183" s="849">
        <f t="shared" si="1396"/>
        <v>0</v>
      </c>
      <c r="L2183" s="242">
        <f t="shared" si="1395"/>
        <v>0</v>
      </c>
    </row>
    <row r="2184" spans="1:12" ht="15.5">
      <c r="A2184" s="180" t="s">
        <v>12</v>
      </c>
      <c r="B2184" s="250">
        <f t="shared" si="1390"/>
        <v>714.17910447761199</v>
      </c>
      <c r="C2184" s="241">
        <f t="shared" si="1391"/>
        <v>6.0683477520875281E-5</v>
      </c>
      <c r="D2184" s="242">
        <v>714.17910447761199</v>
      </c>
      <c r="E2184" s="242"/>
      <c r="F2184" s="242"/>
      <c r="H2184" s="250">
        <f t="shared" si="1392"/>
        <v>5.290215588723072</v>
      </c>
      <c r="I2184" s="241">
        <f t="shared" si="1393"/>
        <v>-1.7663792714296355E-4</v>
      </c>
      <c r="J2184" s="242">
        <f t="shared" si="1394"/>
        <v>5.290215588723072</v>
      </c>
      <c r="K2184" s="849">
        <f t="shared" si="1396"/>
        <v>0</v>
      </c>
      <c r="L2184" s="242">
        <f t="shared" si="1395"/>
        <v>0</v>
      </c>
    </row>
    <row r="2185" spans="1:12" ht="15.5">
      <c r="A2185" s="180" t="s">
        <v>13</v>
      </c>
      <c r="B2185" s="250">
        <f t="shared" si="1390"/>
        <v>2892761.0889657796</v>
      </c>
      <c r="C2185" s="241">
        <f t="shared" si="1391"/>
        <v>0.24579660958285637</v>
      </c>
      <c r="D2185" s="242">
        <v>2892761.0889657796</v>
      </c>
      <c r="E2185" s="242">
        <v>0</v>
      </c>
      <c r="F2185" s="242">
        <v>0</v>
      </c>
      <c r="G2185" s="32"/>
      <c r="H2185" s="250">
        <f t="shared" si="1392"/>
        <v>0</v>
      </c>
      <c r="I2185" s="241">
        <f t="shared" si="1393"/>
        <v>0</v>
      </c>
      <c r="J2185" s="242">
        <f t="shared" si="1394"/>
        <v>0</v>
      </c>
      <c r="K2185" s="849">
        <f t="shared" si="1396"/>
        <v>0</v>
      </c>
      <c r="L2185" s="242">
        <f t="shared" si="1395"/>
        <v>0</v>
      </c>
    </row>
    <row r="2186" spans="1:12" ht="15.5">
      <c r="A2186" s="180"/>
      <c r="B2186" s="242">
        <v>0</v>
      </c>
      <c r="C2186" s="241">
        <f t="shared" ref="C2186" si="1397">+B2186/$B$2176</f>
        <v>0</v>
      </c>
      <c r="D2186" s="242"/>
      <c r="E2186" s="242"/>
      <c r="F2186" s="242"/>
      <c r="G2186" s="32"/>
      <c r="H2186" s="242">
        <v>0</v>
      </c>
      <c r="I2186" s="241">
        <f t="shared" si="1393"/>
        <v>0</v>
      </c>
      <c r="J2186" s="242"/>
      <c r="K2186" s="242"/>
      <c r="L2186" s="242"/>
    </row>
    <row r="2187" spans="1:12" ht="15.5">
      <c r="A2187" s="180"/>
      <c r="B2187" s="243">
        <f>SUM(B2179:B2186)</f>
        <v>11768921.849146375</v>
      </c>
      <c r="C2187" s="240">
        <f>SUM(C2179:C2186)</f>
        <v>1</v>
      </c>
      <c r="D2187" s="243">
        <f>SUM(D2179:D2186)</f>
        <v>3759685.3891463764</v>
      </c>
      <c r="E2187" s="243">
        <f>SUM(E2179:E2185)</f>
        <v>3578521.75</v>
      </c>
      <c r="F2187" s="243">
        <f>SUM(F2179:F2185)</f>
        <v>4430714.71</v>
      </c>
      <c r="G2187" s="32">
        <f>+B2187-B2176</f>
        <v>-29949.488619402051</v>
      </c>
      <c r="H2187" s="243">
        <f>SUM(H2179:H2186)</f>
        <v>-29949.488619402709</v>
      </c>
      <c r="I2187" s="240">
        <f>SUM(I2179:I2186)</f>
        <v>0.99999999999999989</v>
      </c>
      <c r="J2187" s="243">
        <f t="shared" ref="J2187:L2187" si="1398">SUM(J2179:J2186)</f>
        <v>3364.2113805970102</v>
      </c>
      <c r="K2187" s="243">
        <f t="shared" si="1398"/>
        <v>-87448.310000000056</v>
      </c>
      <c r="L2187" s="243">
        <f t="shared" si="1398"/>
        <v>54134.610000000335</v>
      </c>
    </row>
    <row r="2188" spans="1:12" ht="16" thickBot="1">
      <c r="A2188" s="180"/>
      <c r="B2188" s="334"/>
      <c r="C2188" s="240"/>
      <c r="D2188" s="243"/>
      <c r="E2188" s="243"/>
      <c r="F2188" s="243"/>
      <c r="G2188" s="32"/>
      <c r="H2188" s="334"/>
      <c r="I2188" s="240"/>
      <c r="J2188" s="243"/>
      <c r="K2188" s="243"/>
      <c r="L2188" s="243"/>
    </row>
    <row r="2189" spans="1:12" ht="16" thickBot="1">
      <c r="A2189" s="253">
        <v>45928</v>
      </c>
      <c r="B2189" s="251">
        <v>1450</v>
      </c>
      <c r="C2189" s="238" t="s">
        <v>3</v>
      </c>
      <c r="D2189" s="238" t="s">
        <v>4</v>
      </c>
      <c r="E2189" s="238" t="s">
        <v>5</v>
      </c>
      <c r="F2189" s="238" t="s">
        <v>6</v>
      </c>
      <c r="H2189" s="251">
        <f>+B2189-B2177</f>
        <v>1450</v>
      </c>
      <c r="I2189" s="238" t="s">
        <v>3</v>
      </c>
      <c r="J2189" s="238" t="s">
        <v>4</v>
      </c>
      <c r="K2189" s="238" t="s">
        <v>5</v>
      </c>
      <c r="L2189" s="238" t="s">
        <v>114</v>
      </c>
    </row>
    <row r="2190" spans="1:12" ht="15.5">
      <c r="A2190" s="180" t="s">
        <v>7</v>
      </c>
      <c r="B2190" s="250">
        <f>SUM(D2190:F2190)</f>
        <v>7847906.1471830988</v>
      </c>
      <c r="C2190" s="241">
        <f>+B2190/$B$2198</f>
        <v>0.6820320494270542</v>
      </c>
      <c r="D2190" s="242">
        <v>93311.097183098595</v>
      </c>
      <c r="E2190" s="242">
        <v>3183784.4</v>
      </c>
      <c r="F2190" s="242">
        <v>4570810.6500000004</v>
      </c>
      <c r="H2190" s="250">
        <f>SUM(J2190:L2190)</f>
        <v>-263558.96880197572</v>
      </c>
      <c r="I2190" s="241">
        <f>+H2190/$H$2198</f>
        <v>1.0049191829717057</v>
      </c>
      <c r="J2190" s="242">
        <f>+D2190-D2179</f>
        <v>-8917.5588019760471</v>
      </c>
      <c r="K2190" s="242">
        <f t="shared" ref="K2190:L2190" si="1399">+E2190-E2179</f>
        <v>-394737.35000000009</v>
      </c>
      <c r="L2190" s="242">
        <f t="shared" si="1399"/>
        <v>140095.94000000041</v>
      </c>
    </row>
    <row r="2191" spans="1:12" ht="15.5">
      <c r="A2191" s="180" t="s">
        <v>8</v>
      </c>
      <c r="B2191" s="242">
        <f>SUM(D2191:F2191)</f>
        <v>0</v>
      </c>
      <c r="C2191" s="241">
        <f t="shared" ref="C2191:C2197" si="1400">+B2191/$B$2198</f>
        <v>0</v>
      </c>
      <c r="D2191" s="242">
        <v>0</v>
      </c>
      <c r="F2191" s="242"/>
      <c r="G2191" s="32"/>
      <c r="H2191" s="250">
        <f t="shared" ref="H2191:H2196" si="1401">SUM(J2191:L2191)</f>
        <v>0</v>
      </c>
      <c r="I2191" s="241">
        <f t="shared" ref="I2191:I2197" si="1402">+H2191/$H$2198</f>
        <v>0</v>
      </c>
      <c r="J2191" s="242">
        <f t="shared" ref="J2191:J2196" si="1403">+D2191-D2180</f>
        <v>0</v>
      </c>
      <c r="K2191" s="242">
        <f t="shared" ref="K2191:K2196" si="1404">+E2191-E2180</f>
        <v>0</v>
      </c>
      <c r="L2191" s="242">
        <f t="shared" ref="L2191:L2196" si="1405">+F2191-F2180</f>
        <v>0</v>
      </c>
    </row>
    <row r="2192" spans="1:12" ht="15.5">
      <c r="A2192" s="180" t="s">
        <v>9</v>
      </c>
      <c r="B2192" s="242">
        <f t="shared" ref="B2192:B2196" si="1406">SUM(D2192:F2192)</f>
        <v>290522.53884929576</v>
      </c>
      <c r="C2192" s="241">
        <f t="shared" si="1400"/>
        <v>2.5248222756493834E-2</v>
      </c>
      <c r="D2192" s="242">
        <v>290522.53884929576</v>
      </c>
      <c r="E2192" s="242"/>
      <c r="F2192" s="242"/>
      <c r="H2192" s="250">
        <f t="shared" si="1401"/>
        <v>449.61375825095456</v>
      </c>
      <c r="I2192" s="241">
        <f t="shared" si="1402"/>
        <v>-1.714324094710907E-3</v>
      </c>
      <c r="J2192" s="242">
        <f t="shared" si="1403"/>
        <v>449.61375825095456</v>
      </c>
      <c r="K2192" s="242">
        <f t="shared" si="1404"/>
        <v>0</v>
      </c>
      <c r="L2192" s="242">
        <f t="shared" si="1405"/>
        <v>0</v>
      </c>
    </row>
    <row r="2193" spans="1:12" ht="15.5">
      <c r="A2193" s="180" t="s">
        <v>10</v>
      </c>
      <c r="B2193" s="242">
        <f t="shared" si="1406"/>
        <v>474789.31</v>
      </c>
      <c r="C2193" s="241">
        <f t="shared" si="1400"/>
        <v>4.126215579955532E-2</v>
      </c>
      <c r="D2193" s="242">
        <v>474789.31</v>
      </c>
      <c r="E2193" s="242"/>
      <c r="F2193" s="242"/>
      <c r="H2193" s="250">
        <f t="shared" si="1401"/>
        <v>880.77000000001863</v>
      </c>
      <c r="I2193" s="241">
        <f t="shared" si="1402"/>
        <v>-3.3582718615469587E-3</v>
      </c>
      <c r="J2193" s="242">
        <f t="shared" si="1403"/>
        <v>880.77000000001863</v>
      </c>
      <c r="K2193" s="242">
        <f t="shared" si="1404"/>
        <v>0</v>
      </c>
      <c r="L2193" s="242">
        <f t="shared" si="1405"/>
        <v>0</v>
      </c>
    </row>
    <row r="2194" spans="1:12" ht="15.5">
      <c r="A2194" s="180" t="s">
        <v>11</v>
      </c>
      <c r="B2194" s="242">
        <f t="shared" si="1406"/>
        <v>0</v>
      </c>
      <c r="C2194" s="241">
        <f t="shared" si="1400"/>
        <v>0</v>
      </c>
      <c r="D2194" s="242">
        <v>0</v>
      </c>
      <c r="E2194" s="242"/>
      <c r="F2194" s="242"/>
      <c r="H2194" s="250">
        <f t="shared" si="1401"/>
        <v>0</v>
      </c>
      <c r="I2194" s="241">
        <f t="shared" si="1402"/>
        <v>0</v>
      </c>
      <c r="J2194" s="242">
        <f t="shared" si="1403"/>
        <v>0</v>
      </c>
      <c r="K2194" s="242">
        <f t="shared" si="1404"/>
        <v>0</v>
      </c>
      <c r="L2194" s="242">
        <f t="shared" si="1405"/>
        <v>0</v>
      </c>
    </row>
    <row r="2195" spans="1:12" ht="15.5">
      <c r="A2195" s="180" t="s">
        <v>12</v>
      </c>
      <c r="B2195" s="242">
        <f t="shared" si="1406"/>
        <v>673.94366197183103</v>
      </c>
      <c r="C2195" s="241">
        <f t="shared" si="1400"/>
        <v>5.8569912579549317E-5</v>
      </c>
      <c r="D2195" s="242">
        <v>673.94366197183103</v>
      </c>
      <c r="E2195" s="242"/>
      <c r="F2195" s="242"/>
      <c r="H2195" s="250">
        <f t="shared" si="1401"/>
        <v>-40.235442505780952</v>
      </c>
      <c r="I2195" s="241">
        <f t="shared" si="1402"/>
        <v>1.5341298455221202E-4</v>
      </c>
      <c r="J2195" s="242">
        <f t="shared" si="1403"/>
        <v>-40.235442505780952</v>
      </c>
      <c r="K2195" s="242">
        <f t="shared" si="1404"/>
        <v>0</v>
      </c>
      <c r="L2195" s="242">
        <f t="shared" si="1405"/>
        <v>0</v>
      </c>
    </row>
    <row r="2196" spans="1:12" ht="15.5">
      <c r="A2196" s="180" t="s">
        <v>13</v>
      </c>
      <c r="B2196" s="242">
        <f t="shared" si="1406"/>
        <v>2892761.0889657796</v>
      </c>
      <c r="C2196" s="241">
        <f t="shared" si="1400"/>
        <v>0.2513990021043172</v>
      </c>
      <c r="D2196" s="242">
        <v>2892761.0889657796</v>
      </c>
      <c r="E2196" s="242">
        <v>0</v>
      </c>
      <c r="F2196" s="242">
        <v>0</v>
      </c>
      <c r="G2196" s="32"/>
      <c r="H2196" s="250">
        <f t="shared" si="1401"/>
        <v>0</v>
      </c>
      <c r="I2196" s="241">
        <f t="shared" si="1402"/>
        <v>0</v>
      </c>
      <c r="J2196" s="242">
        <f t="shared" si="1403"/>
        <v>0</v>
      </c>
      <c r="K2196" s="242">
        <f t="shared" si="1404"/>
        <v>0</v>
      </c>
      <c r="L2196" s="242">
        <f t="shared" si="1405"/>
        <v>0</v>
      </c>
    </row>
    <row r="2197" spans="1:12" ht="15.5">
      <c r="A2197" s="180"/>
      <c r="B2197" s="242">
        <f>SUM(D2197:E2197)</f>
        <v>0</v>
      </c>
      <c r="C2197" s="241">
        <f t="shared" si="1400"/>
        <v>0</v>
      </c>
      <c r="D2197" s="242"/>
      <c r="E2197" s="242"/>
      <c r="F2197" s="242"/>
      <c r="G2197" s="32"/>
      <c r="H2197" s="242">
        <v>0</v>
      </c>
      <c r="I2197" s="241">
        <f t="shared" si="1402"/>
        <v>0</v>
      </c>
      <c r="J2197" s="242"/>
      <c r="K2197" s="242"/>
      <c r="L2197" s="242"/>
    </row>
    <row r="2198" spans="1:12" ht="15.5">
      <c r="A2198" s="180"/>
      <c r="B2198" s="243">
        <f>SUM(B2190:B2197)</f>
        <v>11506653.028660145</v>
      </c>
      <c r="C2198" s="240">
        <f>SUM(C2190:C2197)</f>
        <v>1</v>
      </c>
      <c r="D2198" s="243">
        <f>SUM(D2190:D2197)</f>
        <v>3752057.9786601458</v>
      </c>
      <c r="E2198" s="243">
        <f>SUM(E2190:E2196)</f>
        <v>3183784.4</v>
      </c>
      <c r="F2198" s="243">
        <f>SUM(F2190:F2196)</f>
        <v>4570810.6500000004</v>
      </c>
      <c r="G2198" s="32">
        <f>+B2198-B2187</f>
        <v>-262268.82048623078</v>
      </c>
      <c r="H2198" s="243">
        <f>SUM(H2190:H2197)</f>
        <v>-262268.82048623054</v>
      </c>
      <c r="I2198" s="240">
        <f>SUM(I2190:I2197)</f>
        <v>1.0000000000000002</v>
      </c>
      <c r="J2198" s="243">
        <f t="shared" ref="J2198:L2198" si="1407">SUM(J2190:J2197)</f>
        <v>-7627.410486230855</v>
      </c>
      <c r="K2198" s="243">
        <f t="shared" si="1407"/>
        <v>-394737.35000000009</v>
      </c>
      <c r="L2198" s="243">
        <f t="shared" si="1407"/>
        <v>140095.94000000041</v>
      </c>
    </row>
    <row r="2199" spans="1:12" ht="16" thickBot="1">
      <c r="A2199" s="180"/>
      <c r="B2199" s="334"/>
      <c r="C2199" s="240"/>
      <c r="D2199" s="243"/>
      <c r="E2199" s="243"/>
      <c r="F2199" s="243"/>
      <c r="G2199" s="32"/>
      <c r="H2199" s="334"/>
      <c r="I2199" s="240"/>
      <c r="J2199" s="243"/>
      <c r="K2199" s="243"/>
      <c r="L2199" s="243"/>
    </row>
    <row r="2200" spans="1:12" ht="16" thickBot="1">
      <c r="A2200" s="253">
        <v>45958</v>
      </c>
      <c r="B2200" s="251">
        <v>1450</v>
      </c>
      <c r="C2200" s="238" t="s">
        <v>3</v>
      </c>
      <c r="D2200" s="238" t="s">
        <v>4</v>
      </c>
      <c r="E2200" s="238" t="s">
        <v>5</v>
      </c>
      <c r="F2200" s="238" t="s">
        <v>6</v>
      </c>
      <c r="H2200" s="251">
        <f>+B2200-B2188</f>
        <v>1450</v>
      </c>
      <c r="I2200" s="238" t="s">
        <v>3</v>
      </c>
      <c r="J2200" s="238" t="s">
        <v>4</v>
      </c>
      <c r="K2200" s="238" t="s">
        <v>5</v>
      </c>
      <c r="L2200" s="238" t="s">
        <v>114</v>
      </c>
    </row>
    <row r="2201" spans="1:12" ht="15.5">
      <c r="A2201" s="180" t="s">
        <v>7</v>
      </c>
      <c r="B2201" s="250">
        <f>SUM(D2201:F2201)</f>
        <v>7845975.5727586206</v>
      </c>
      <c r="C2201" s="241">
        <f>+B2201/$B$2209</f>
        <v>0.68159430606073923</v>
      </c>
      <c r="D2201" s="242">
        <v>91380.522758620689</v>
      </c>
      <c r="E2201" s="242">
        <v>3183784.4</v>
      </c>
      <c r="F2201" s="242">
        <v>4570810.6500000004</v>
      </c>
      <c r="H2201" s="250">
        <f>SUM(J2201:L2201)</f>
        <v>-1930.5744244779053</v>
      </c>
      <c r="I2201" s="241">
        <f>+H2201/$H$2209</f>
        <v>-0.42360101992970356</v>
      </c>
      <c r="J2201" s="242">
        <f>+D2201-D2190</f>
        <v>-1930.5744244779053</v>
      </c>
      <c r="K2201" s="242">
        <f t="shared" ref="K2201:K2207" si="1408">+E2201-E2190</f>
        <v>0</v>
      </c>
      <c r="L2201" s="242">
        <f t="shared" ref="L2201:L2207" si="1409">+F2201-F2190</f>
        <v>0</v>
      </c>
    </row>
    <row r="2202" spans="1:12" ht="15.5">
      <c r="A2202" s="180" t="s">
        <v>8</v>
      </c>
      <c r="B2202" s="242">
        <f>SUM(D2202:F2202)</f>
        <v>0</v>
      </c>
      <c r="C2202" s="241">
        <f t="shared" ref="C2202:C2207" si="1410">+B2202/$B$2209</f>
        <v>0</v>
      </c>
      <c r="D2202" s="242">
        <v>0</v>
      </c>
      <c r="F2202" s="242"/>
      <c r="G2202" s="32"/>
      <c r="H2202" s="250">
        <f t="shared" ref="H2202:H2207" si="1411">SUM(J2202:L2202)</f>
        <v>0</v>
      </c>
      <c r="I2202" s="241">
        <f t="shared" ref="I2202:I2208" si="1412">+H2202/$H$2209</f>
        <v>0</v>
      </c>
      <c r="J2202" s="242">
        <f t="shared" ref="J2202:J2207" si="1413">+D2202-D2191</f>
        <v>0</v>
      </c>
      <c r="K2202" s="242">
        <f t="shared" si="1408"/>
        <v>0</v>
      </c>
      <c r="L2202" s="242">
        <f t="shared" si="1409"/>
        <v>0</v>
      </c>
    </row>
    <row r="2203" spans="1:12" ht="15.5">
      <c r="A2203" s="180" t="s">
        <v>9</v>
      </c>
      <c r="B2203" s="242">
        <f t="shared" ref="B2203:B2207" si="1414">SUM(D2203:F2203)</f>
        <v>297024.58709655172</v>
      </c>
      <c r="C2203" s="241">
        <f t="shared" si="1410"/>
        <v>2.5803071325886232E-2</v>
      </c>
      <c r="D2203" s="242">
        <v>297024.58709655172</v>
      </c>
      <c r="E2203" s="242"/>
      <c r="F2203" s="242"/>
      <c r="H2203" s="250">
        <f t="shared" si="1411"/>
        <v>6502.048247255967</v>
      </c>
      <c r="I2203" s="241">
        <f t="shared" si="1412"/>
        <v>1.4266604976467669</v>
      </c>
      <c r="J2203" s="242">
        <f t="shared" si="1413"/>
        <v>6502.048247255967</v>
      </c>
      <c r="K2203" s="242">
        <f t="shared" si="1408"/>
        <v>0</v>
      </c>
      <c r="L2203" s="242">
        <f t="shared" si="1409"/>
        <v>0</v>
      </c>
    </row>
    <row r="2204" spans="1:12" ht="15.5">
      <c r="A2204" s="180" t="s">
        <v>10</v>
      </c>
      <c r="B2204" s="242">
        <f t="shared" si="1414"/>
        <v>474789.31</v>
      </c>
      <c r="C2204" s="241">
        <f t="shared" si="1410"/>
        <v>4.1245819244977028E-2</v>
      </c>
      <c r="D2204" s="242">
        <v>474789.31</v>
      </c>
      <c r="E2204" s="242"/>
      <c r="F2204" s="242"/>
      <c r="H2204" s="250">
        <f t="shared" si="1411"/>
        <v>0</v>
      </c>
      <c r="I2204" s="241">
        <f t="shared" si="1412"/>
        <v>0</v>
      </c>
      <c r="J2204" s="242">
        <f t="shared" si="1413"/>
        <v>0</v>
      </c>
      <c r="K2204" s="242">
        <f t="shared" si="1408"/>
        <v>0</v>
      </c>
      <c r="L2204" s="242">
        <f t="shared" si="1409"/>
        <v>0</v>
      </c>
    </row>
    <row r="2205" spans="1:12" ht="15.5">
      <c r="A2205" s="180" t="s">
        <v>11</v>
      </c>
      <c r="B2205" s="242">
        <f t="shared" si="1414"/>
        <v>0</v>
      </c>
      <c r="C2205" s="241">
        <f t="shared" si="1410"/>
        <v>0</v>
      </c>
      <c r="D2205" s="242">
        <v>0</v>
      </c>
      <c r="E2205" s="242"/>
      <c r="F2205" s="242"/>
      <c r="H2205" s="250">
        <f t="shared" si="1411"/>
        <v>0</v>
      </c>
      <c r="I2205" s="241">
        <f t="shared" si="1412"/>
        <v>0</v>
      </c>
      <c r="J2205" s="242">
        <f t="shared" si="1413"/>
        <v>0</v>
      </c>
      <c r="K2205" s="242">
        <f t="shared" si="1408"/>
        <v>0</v>
      </c>
      <c r="L2205" s="242">
        <f t="shared" si="1409"/>
        <v>0</v>
      </c>
    </row>
    <row r="2206" spans="1:12" ht="15.5">
      <c r="A2206" s="180" t="s">
        <v>12</v>
      </c>
      <c r="B2206" s="242">
        <f t="shared" si="1414"/>
        <v>660</v>
      </c>
      <c r="C2206" s="241">
        <f t="shared" si="1410"/>
        <v>5.7335411999239913E-5</v>
      </c>
      <c r="D2206" s="242">
        <v>660</v>
      </c>
      <c r="E2206" s="242"/>
      <c r="F2206" s="242"/>
      <c r="H2206" s="250">
        <f t="shared" si="1411"/>
        <v>-13.943661971831034</v>
      </c>
      <c r="I2206" s="241">
        <f t="shared" si="1412"/>
        <v>-3.0594777170633992E-3</v>
      </c>
      <c r="J2206" s="242">
        <f t="shared" si="1413"/>
        <v>-13.943661971831034</v>
      </c>
      <c r="K2206" s="242">
        <f t="shared" si="1408"/>
        <v>0</v>
      </c>
      <c r="L2206" s="242">
        <f t="shared" si="1409"/>
        <v>0</v>
      </c>
    </row>
    <row r="2207" spans="1:12" ht="15.5">
      <c r="A2207" s="180" t="s">
        <v>13</v>
      </c>
      <c r="B2207" s="242">
        <f t="shared" si="1414"/>
        <v>2892761.0889657796</v>
      </c>
      <c r="C2207" s="241">
        <f t="shared" si="1410"/>
        <v>0.25129946795639829</v>
      </c>
      <c r="D2207" s="242">
        <v>2892761.0889657796</v>
      </c>
      <c r="E2207" s="242">
        <v>0</v>
      </c>
      <c r="F2207" s="242">
        <v>0</v>
      </c>
      <c r="G2207" s="32"/>
      <c r="H2207" s="250">
        <f t="shared" si="1411"/>
        <v>0</v>
      </c>
      <c r="I2207" s="241">
        <f t="shared" si="1412"/>
        <v>0</v>
      </c>
      <c r="J2207" s="242">
        <f t="shared" si="1413"/>
        <v>0</v>
      </c>
      <c r="K2207" s="242">
        <f t="shared" si="1408"/>
        <v>0</v>
      </c>
      <c r="L2207" s="242">
        <f t="shared" si="1409"/>
        <v>0</v>
      </c>
    </row>
    <row r="2208" spans="1:12" ht="15.5">
      <c r="A2208" s="180"/>
      <c r="B2208" s="242">
        <f>SUM(D2208:E2208)</f>
        <v>0</v>
      </c>
      <c r="C2208" s="241">
        <f t="shared" ref="C2208" si="1415">+B2208/$B$2198</f>
        <v>0</v>
      </c>
      <c r="D2208" s="242"/>
      <c r="E2208" s="242"/>
      <c r="F2208" s="242"/>
      <c r="G2208" s="32"/>
      <c r="H2208" s="242">
        <v>0</v>
      </c>
      <c r="I2208" s="241">
        <f t="shared" si="1412"/>
        <v>0</v>
      </c>
      <c r="J2208" s="242"/>
      <c r="K2208" s="242"/>
      <c r="L2208" s="242"/>
    </row>
    <row r="2209" spans="1:12" ht="15.5">
      <c r="A2209" s="180"/>
      <c r="B2209" s="243">
        <f>SUM(B2201:B2208)</f>
        <v>11511210.558820952</v>
      </c>
      <c r="C2209" s="240">
        <f>SUM(C2201:C2208)</f>
        <v>1</v>
      </c>
      <c r="D2209" s="243">
        <f>SUM(D2201:D2208)</f>
        <v>3756615.5088209519</v>
      </c>
      <c r="E2209" s="243">
        <f>SUM(E2201:E2207)</f>
        <v>3183784.4</v>
      </c>
      <c r="F2209" s="243">
        <f>SUM(F2201:F2207)</f>
        <v>4570810.6500000004</v>
      </c>
      <c r="G2209" s="32">
        <f>+B2209-B2198</f>
        <v>4557.5301608070731</v>
      </c>
      <c r="H2209" s="243">
        <f>SUM(H2201:H2208)</f>
        <v>4557.5301608062309</v>
      </c>
      <c r="I2209" s="240">
        <f>SUM(I2201:I2208)</f>
        <v>1</v>
      </c>
      <c r="J2209" s="243">
        <f t="shared" ref="J2209:L2209" si="1416">SUM(J2201:J2208)</f>
        <v>4557.5301608062309</v>
      </c>
      <c r="K2209" s="243">
        <f t="shared" si="1416"/>
        <v>0</v>
      </c>
      <c r="L2209" s="243">
        <f t="shared" si="1416"/>
        <v>0</v>
      </c>
    </row>
    <row r="2239" spans="1:8">
      <c r="A2239" t="s">
        <v>182</v>
      </c>
      <c r="B2239" t="s">
        <v>250</v>
      </c>
      <c r="C2239" t="s">
        <v>855</v>
      </c>
      <c r="D2239" t="s">
        <v>856</v>
      </c>
      <c r="E2239" t="s">
        <v>857</v>
      </c>
      <c r="F2239" t="s">
        <v>858</v>
      </c>
      <c r="G2239" t="s">
        <v>859</v>
      </c>
      <c r="H2239" t="s">
        <v>825</v>
      </c>
    </row>
    <row r="2243" spans="1:10" ht="13">
      <c r="A2243" s="93" t="s">
        <v>175</v>
      </c>
      <c r="B2243" s="93" t="s">
        <v>22</v>
      </c>
      <c r="C2243" s="93" t="s">
        <v>4</v>
      </c>
      <c r="D2243" s="93" t="s">
        <v>5</v>
      </c>
      <c r="E2243" s="93" t="s">
        <v>114</v>
      </c>
      <c r="F2243" t="s">
        <v>182</v>
      </c>
      <c r="G2243" t="s">
        <v>176</v>
      </c>
      <c r="H2243" t="s">
        <v>250</v>
      </c>
    </row>
    <row r="2244" spans="1:10">
      <c r="A2244" s="415">
        <f>+A132</f>
        <v>40237</v>
      </c>
      <c r="B2244" s="32">
        <f>+B141</f>
        <v>5535309.3134704186</v>
      </c>
      <c r="C2244" s="32">
        <f>+D141</f>
        <v>4129826.9634704185</v>
      </c>
      <c r="D2244" s="32">
        <f>+E141</f>
        <v>757316.02</v>
      </c>
      <c r="E2244" s="32">
        <f>+F141</f>
        <v>648166.33000000007</v>
      </c>
      <c r="F2244">
        <v>0</v>
      </c>
      <c r="G2244" s="313">
        <v>0</v>
      </c>
      <c r="H2244" s="443">
        <f>+G2244</f>
        <v>0</v>
      </c>
      <c r="I2244" s="443"/>
    </row>
    <row r="2245" spans="1:10">
      <c r="A2245" s="850">
        <f>+A143</f>
        <v>40265</v>
      </c>
      <c r="B2245" s="32">
        <f>+B152</f>
        <v>5656061.9041477926</v>
      </c>
      <c r="C2245" s="32">
        <f>+D152</f>
        <v>4225285.7941477932</v>
      </c>
      <c r="D2245" s="32">
        <f>+E152</f>
        <v>780345.1100000001</v>
      </c>
      <c r="E2245" s="32">
        <f>+F152</f>
        <v>650431</v>
      </c>
      <c r="F2245" s="32">
        <f t="shared" ref="F2245:F2276" si="1417">+B2245-B2244</f>
        <v>120752.59067737404</v>
      </c>
      <c r="G2245" s="313">
        <f t="shared" ref="G2245:G2276" si="1418">+F2245/(B2244)</f>
        <v>2.181496712090096E-2</v>
      </c>
      <c r="H2245" s="443">
        <f>+H2244+G2245</f>
        <v>2.181496712090096E-2</v>
      </c>
      <c r="I2245" s="443"/>
      <c r="J2245" s="443">
        <f>+I2255</f>
        <v>0</v>
      </c>
    </row>
    <row r="2246" spans="1:10">
      <c r="A2246" s="415">
        <f>+A154</f>
        <v>40296</v>
      </c>
      <c r="B2246" s="32">
        <f>+B163</f>
        <v>5667124.6808654554</v>
      </c>
      <c r="C2246" s="32">
        <f>+D163</f>
        <v>4229441.8708654549</v>
      </c>
      <c r="D2246" s="32">
        <f>+E163</f>
        <v>788274.80999999994</v>
      </c>
      <c r="E2246" s="32">
        <f>+F163</f>
        <v>649408</v>
      </c>
      <c r="F2246" s="32">
        <f t="shared" si="1417"/>
        <v>11062.776717662811</v>
      </c>
      <c r="G2246" s="313">
        <f t="shared" si="1418"/>
        <v>1.955915070439749E-3</v>
      </c>
      <c r="H2246" s="443">
        <f>+H2245+G2246</f>
        <v>2.3770882191340711E-2</v>
      </c>
      <c r="I2246" s="443"/>
    </row>
    <row r="2247" spans="1:10">
      <c r="A2247" s="415">
        <f>+A165</f>
        <v>40326</v>
      </c>
      <c r="B2247" s="32">
        <f>+B174</f>
        <v>5557735.1793924943</v>
      </c>
      <c r="C2247" s="32">
        <f>+D174</f>
        <v>4173765.0593924941</v>
      </c>
      <c r="D2247" s="32">
        <f>+E174</f>
        <v>745203.22</v>
      </c>
      <c r="E2247" s="32">
        <f>+F174</f>
        <v>638766.9</v>
      </c>
      <c r="F2247" s="32">
        <f t="shared" si="1417"/>
        <v>-109389.50147296116</v>
      </c>
      <c r="G2247" s="313">
        <f t="shared" si="1418"/>
        <v>-1.9302469529619688E-2</v>
      </c>
      <c r="H2247" s="443">
        <f>+H2246+G2247</f>
        <v>4.4684126617210232E-3</v>
      </c>
      <c r="I2247" s="443"/>
    </row>
    <row r="2248" spans="1:10">
      <c r="A2248" s="850">
        <f>+A176</f>
        <v>40357</v>
      </c>
      <c r="B2248" s="32">
        <f>+B185</f>
        <v>5613318.7522416338</v>
      </c>
      <c r="C2248" s="32">
        <f>+D185</f>
        <v>4246116.7822416332</v>
      </c>
      <c r="D2248" s="32">
        <f>+E185</f>
        <v>728658.40999999992</v>
      </c>
      <c r="E2248" s="32">
        <f>+F185</f>
        <v>638543.56000000006</v>
      </c>
      <c r="F2248" s="32">
        <f t="shared" si="1417"/>
        <v>55583.572849139571</v>
      </c>
      <c r="G2248" s="313">
        <f t="shared" si="1418"/>
        <v>1.0001119350781178E-2</v>
      </c>
      <c r="H2248" s="443">
        <f t="shared" ref="H2248:H2288" si="1419">+H2247+G2248</f>
        <v>1.4469532012502201E-2</v>
      </c>
      <c r="I2248" s="443"/>
    </row>
    <row r="2249" spans="1:10">
      <c r="A2249" s="415">
        <f>+A187</f>
        <v>40387</v>
      </c>
      <c r="B2249" s="32">
        <f>+B196</f>
        <v>5716419.9402556326</v>
      </c>
      <c r="C2249" s="32">
        <f>+D196</f>
        <v>4295117.1702556331</v>
      </c>
      <c r="D2249" s="32">
        <f>+E196</f>
        <v>773524.87</v>
      </c>
      <c r="E2249" s="32">
        <f>+F196</f>
        <v>647777.9</v>
      </c>
      <c r="F2249" s="32">
        <f t="shared" si="1417"/>
        <v>103101.18801399879</v>
      </c>
      <c r="G2249" s="313">
        <f t="shared" si="1418"/>
        <v>1.8367242724783118E-2</v>
      </c>
      <c r="H2249" s="443">
        <f t="shared" si="1419"/>
        <v>3.2836774737285315E-2</v>
      </c>
      <c r="I2249" s="443"/>
    </row>
    <row r="2250" spans="1:10">
      <c r="A2250" s="415">
        <f>+A198</f>
        <v>40418</v>
      </c>
      <c r="B2250" s="32">
        <f>+B207</f>
        <v>5742054.5829798859</v>
      </c>
      <c r="C2250" s="32">
        <f>+D207</f>
        <v>4340401.1029798854</v>
      </c>
      <c r="D2250" s="32">
        <f>+E207</f>
        <v>753285.58</v>
      </c>
      <c r="E2250" s="32">
        <f>+F207</f>
        <v>648367.9</v>
      </c>
      <c r="F2250" s="32">
        <f t="shared" si="1417"/>
        <v>25634.642724253237</v>
      </c>
      <c r="G2250" s="313">
        <f t="shared" si="1418"/>
        <v>4.484387604859359E-3</v>
      </c>
      <c r="H2250" s="443">
        <f t="shared" si="1419"/>
        <v>3.7321162342144672E-2</v>
      </c>
      <c r="I2250" s="443"/>
    </row>
    <row r="2251" spans="1:10">
      <c r="A2251" s="850">
        <f>+A209</f>
        <v>40449</v>
      </c>
      <c r="B2251" s="32">
        <f>+B218</f>
        <v>5816493.1713334229</v>
      </c>
      <c r="C2251" s="32">
        <f>+D218</f>
        <v>4357404.3513334226</v>
      </c>
      <c r="D2251" s="32">
        <f>+E218</f>
        <v>798545.35</v>
      </c>
      <c r="E2251" s="32">
        <f>+F218</f>
        <v>660543.47</v>
      </c>
      <c r="F2251" s="32">
        <f t="shared" si="1417"/>
        <v>74438.588353537023</v>
      </c>
      <c r="G2251" s="313">
        <f t="shared" si="1418"/>
        <v>1.2963754920439385E-2</v>
      </c>
      <c r="H2251" s="443">
        <f t="shared" si="1419"/>
        <v>5.0284917262584057E-2</v>
      </c>
      <c r="I2251" s="443"/>
    </row>
    <row r="2252" spans="1:10">
      <c r="A2252" s="415">
        <f>+A220</f>
        <v>40479</v>
      </c>
      <c r="B2252" s="32">
        <f>+B229</f>
        <v>5931851.1374381203</v>
      </c>
      <c r="C2252" s="32">
        <f>+D229</f>
        <v>4436276.52743812</v>
      </c>
      <c r="D2252" s="32">
        <f>+E229</f>
        <v>828381.83</v>
      </c>
      <c r="E2252" s="32">
        <f>+F229</f>
        <v>667192.48</v>
      </c>
      <c r="F2252" s="32">
        <f t="shared" si="1417"/>
        <v>115357.96610469744</v>
      </c>
      <c r="G2252" s="313">
        <f t="shared" si="1418"/>
        <v>1.9832906651251477E-2</v>
      </c>
      <c r="H2252" s="443">
        <f>+H2251+G2252</f>
        <v>7.0117823913835531E-2</v>
      </c>
      <c r="I2252" s="443"/>
    </row>
    <row r="2253" spans="1:10">
      <c r="A2253" s="850">
        <f>+A231</f>
        <v>40510</v>
      </c>
      <c r="B2253" s="32">
        <f>+B240</f>
        <v>5955363.1078281365</v>
      </c>
      <c r="C2253" s="32">
        <f>+D240</f>
        <v>4465614.4878281364</v>
      </c>
      <c r="D2253" s="32">
        <f>+E240</f>
        <v>825422.72</v>
      </c>
      <c r="E2253" s="32">
        <f>+F240</f>
        <v>664325.9</v>
      </c>
      <c r="F2253" s="32">
        <f t="shared" si="1417"/>
        <v>23511.970390016213</v>
      </c>
      <c r="G2253" s="313">
        <f t="shared" si="1418"/>
        <v>3.9636817993667136E-3</v>
      </c>
      <c r="H2253" s="443">
        <f t="shared" si="1419"/>
        <v>7.4081505713202239E-2</v>
      </c>
      <c r="I2253" s="443"/>
    </row>
    <row r="2254" spans="1:10">
      <c r="A2254" s="415">
        <f>+A242</f>
        <v>40540</v>
      </c>
      <c r="B2254" s="32">
        <f>+B251</f>
        <v>6132325.1174178915</v>
      </c>
      <c r="C2254" s="32">
        <f>+D251</f>
        <v>4491503.6274178913</v>
      </c>
      <c r="D2254" s="32">
        <f>+E251</f>
        <v>969121.1</v>
      </c>
      <c r="E2254" s="32">
        <f>+F251</f>
        <v>671700.39</v>
      </c>
      <c r="F2254" s="32">
        <f t="shared" si="1417"/>
        <v>176962.00958975498</v>
      </c>
      <c r="G2254" s="313">
        <f t="shared" si="1418"/>
        <v>2.9714730468263808E-2</v>
      </c>
      <c r="H2254" s="443">
        <f t="shared" si="1419"/>
        <v>0.10379623618146605</v>
      </c>
      <c r="I2254" s="32">
        <f>+B2254-2735000</f>
        <v>3397325.1174178915</v>
      </c>
    </row>
    <row r="2255" spans="1:10" ht="13">
      <c r="A2255" s="415">
        <f>+A253</f>
        <v>40571</v>
      </c>
      <c r="B2255" s="32">
        <f>+B262</f>
        <v>6188090.7012829948</v>
      </c>
      <c r="C2255" s="32">
        <f>+D262</f>
        <v>4511286.3012829944</v>
      </c>
      <c r="D2255" s="32">
        <f>+E262</f>
        <v>994907.65999999992</v>
      </c>
      <c r="E2255" s="32">
        <f>+F262</f>
        <v>681896.74</v>
      </c>
      <c r="F2255" s="32">
        <f t="shared" si="1417"/>
        <v>55765.583865103312</v>
      </c>
      <c r="G2255" s="313">
        <f t="shared" si="1418"/>
        <v>9.0937096121518519E-3</v>
      </c>
      <c r="H2255" s="443">
        <f t="shared" si="1419"/>
        <v>0.1128899457936179</v>
      </c>
      <c r="I2255" s="451">
        <v>0</v>
      </c>
    </row>
    <row r="2256" spans="1:10">
      <c r="A2256" s="415">
        <f>+A264</f>
        <v>40602</v>
      </c>
      <c r="B2256" s="32">
        <f>+B273</f>
        <v>6235841.4280255651</v>
      </c>
      <c r="C2256" s="32">
        <f>+D273</f>
        <v>4548455.7780255657</v>
      </c>
      <c r="D2256" s="32">
        <f>+E273</f>
        <v>1001934.6400000001</v>
      </c>
      <c r="E2256" s="32">
        <f>+F273</f>
        <v>685451.01</v>
      </c>
      <c r="F2256" s="32">
        <f t="shared" si="1417"/>
        <v>47750.726742570288</v>
      </c>
      <c r="G2256" s="313">
        <f t="shared" si="1418"/>
        <v>7.7165524953714711E-3</v>
      </c>
      <c r="H2256" s="443">
        <f t="shared" si="1419"/>
        <v>0.12060649828898937</v>
      </c>
      <c r="I2256" s="443"/>
    </row>
    <row r="2257" spans="1:10">
      <c r="A2257" s="415">
        <f>+A275</f>
        <v>40630</v>
      </c>
      <c r="B2257" s="32">
        <f>+B284</f>
        <v>6440954.0464467574</v>
      </c>
      <c r="C2257" s="32">
        <f>+D284</f>
        <v>4573103.6764467573</v>
      </c>
      <c r="D2257" s="32">
        <f>+E284</f>
        <v>1180912.32</v>
      </c>
      <c r="E2257" s="32">
        <f>+F284</f>
        <v>686938.05</v>
      </c>
      <c r="F2257" s="32">
        <f t="shared" si="1417"/>
        <v>205112.61842119228</v>
      </c>
      <c r="G2257" s="313">
        <f t="shared" si="1418"/>
        <v>3.2892532754178201E-2</v>
      </c>
      <c r="H2257" s="443">
        <f t="shared" si="1419"/>
        <v>0.15349903104316756</v>
      </c>
      <c r="I2257" s="443"/>
      <c r="J2257" s="443">
        <f>+J2245+I2267</f>
        <v>5.1313251195267744E-2</v>
      </c>
    </row>
    <row r="2258" spans="1:10">
      <c r="A2258" s="415">
        <f>+A286</f>
        <v>40661</v>
      </c>
      <c r="B2258" s="32">
        <f>+B295</f>
        <v>6350293.0263441326</v>
      </c>
      <c r="C2258" s="32">
        <f>+D295</f>
        <v>4623490.176344133</v>
      </c>
      <c r="D2258" s="32">
        <f>+E295</f>
        <v>1018981.53</v>
      </c>
      <c r="E2258" s="32">
        <f>+F295</f>
        <v>707821.32</v>
      </c>
      <c r="F2258" s="32">
        <f t="shared" si="1417"/>
        <v>-90661.020102624781</v>
      </c>
      <c r="G2258" s="313">
        <f t="shared" si="1418"/>
        <v>-1.4075712922162394E-2</v>
      </c>
      <c r="H2258" s="443">
        <f t="shared" si="1419"/>
        <v>0.13942331812100517</v>
      </c>
      <c r="I2258" s="443"/>
    </row>
    <row r="2259" spans="1:10">
      <c r="A2259" s="415">
        <f>+A297</f>
        <v>40691</v>
      </c>
      <c r="B2259" s="32">
        <f>+B306</f>
        <v>6323420.3786983676</v>
      </c>
      <c r="C2259" s="32">
        <f>+D306</f>
        <v>4629753.6186983678</v>
      </c>
      <c r="D2259" s="32">
        <f>+E306</f>
        <v>995486.75</v>
      </c>
      <c r="E2259" s="32">
        <f>+F306</f>
        <v>698180.01</v>
      </c>
      <c r="F2259" s="32">
        <f t="shared" si="1417"/>
        <v>-26872.647645764984</v>
      </c>
      <c r="G2259" s="313">
        <f t="shared" si="1418"/>
        <v>-4.2317177387380476E-3</v>
      </c>
      <c r="H2259" s="443">
        <f t="shared" si="1419"/>
        <v>0.13519160038226713</v>
      </c>
      <c r="I2259" s="443"/>
    </row>
    <row r="2260" spans="1:10">
      <c r="A2260" s="415">
        <f>+A308</f>
        <v>40722</v>
      </c>
      <c r="B2260" s="32">
        <f>+B317</f>
        <v>6309318.5274642203</v>
      </c>
      <c r="C2260" s="32">
        <f>+D317</f>
        <v>4634791.0474642199</v>
      </c>
      <c r="D2260" s="32">
        <f>+E317</f>
        <v>988621.69</v>
      </c>
      <c r="E2260" s="32">
        <f>+F317</f>
        <v>685905.79</v>
      </c>
      <c r="F2260" s="32">
        <f t="shared" si="1417"/>
        <v>-14101.851234147325</v>
      </c>
      <c r="G2260" s="313">
        <f t="shared" si="1418"/>
        <v>-2.2300986475060343E-3</v>
      </c>
      <c r="H2260" s="443">
        <f t="shared" si="1419"/>
        <v>0.1329615017347611</v>
      </c>
      <c r="I2260" s="443"/>
    </row>
    <row r="2261" spans="1:10">
      <c r="A2261" s="415">
        <f>+A319</f>
        <v>40752</v>
      </c>
      <c r="B2261" s="32">
        <f>+B328</f>
        <v>6346013.8504626695</v>
      </c>
      <c r="C2261" s="32">
        <f>+D328</f>
        <v>4669015.5104626697</v>
      </c>
      <c r="D2261" s="32">
        <f>+E328</f>
        <v>981493.89</v>
      </c>
      <c r="E2261" s="32">
        <f>+F328</f>
        <v>695504.45</v>
      </c>
      <c r="F2261" s="32">
        <f t="shared" si="1417"/>
        <v>36695.322998449206</v>
      </c>
      <c r="G2261" s="313">
        <f t="shared" si="1418"/>
        <v>5.816051739774411E-3</v>
      </c>
      <c r="H2261" s="443">
        <f t="shared" si="1419"/>
        <v>0.13877755347453552</v>
      </c>
      <c r="I2261" s="443"/>
    </row>
    <row r="2262" spans="1:10">
      <c r="A2262" s="415">
        <f>+A330</f>
        <v>40783</v>
      </c>
      <c r="B2262" s="32">
        <f>+B339</f>
        <v>6228448.6213797461</v>
      </c>
      <c r="C2262" s="32">
        <f>+D339</f>
        <v>4639431.8013797458</v>
      </c>
      <c r="D2262" s="32">
        <f>+E339</f>
        <v>931692</v>
      </c>
      <c r="E2262" s="32">
        <f>+F339</f>
        <v>657324.82000000007</v>
      </c>
      <c r="F2262" s="32">
        <f t="shared" si="1417"/>
        <v>-117565.22908292338</v>
      </c>
      <c r="G2262" s="313">
        <f t="shared" si="1418"/>
        <v>-1.8525838715960578E-2</v>
      </c>
      <c r="H2262" s="443">
        <f t="shared" si="1419"/>
        <v>0.12025171475857493</v>
      </c>
      <c r="I2262" s="443"/>
    </row>
    <row r="2263" spans="1:10">
      <c r="A2263" s="415">
        <f>+A341</f>
        <v>40814</v>
      </c>
      <c r="B2263" s="32">
        <f>+B350</f>
        <v>6084721.7142775394</v>
      </c>
      <c r="C2263" s="32">
        <f>+D350</f>
        <v>4213948.2842775397</v>
      </c>
      <c r="D2263" s="32">
        <f>+E350</f>
        <v>1248901.49</v>
      </c>
      <c r="E2263" s="32">
        <f>+F350</f>
        <v>621871.93999999994</v>
      </c>
      <c r="F2263" s="32">
        <f t="shared" si="1417"/>
        <v>-143726.90710220672</v>
      </c>
      <c r="G2263" s="313">
        <f t="shared" si="1418"/>
        <v>-2.3075875846330394E-2</v>
      </c>
      <c r="H2263" s="443">
        <f t="shared" si="1419"/>
        <v>9.7175838912244544E-2</v>
      </c>
      <c r="I2263" s="443"/>
    </row>
    <row r="2264" spans="1:10">
      <c r="A2264" s="415">
        <f>+A352</f>
        <v>40844</v>
      </c>
      <c r="B2264" s="32">
        <f>+B361</f>
        <v>6394958.5766414888</v>
      </c>
      <c r="C2264" s="32">
        <f>+D361</f>
        <v>4613564.9966414887</v>
      </c>
      <c r="D2264" s="32">
        <f>+E361</f>
        <v>1118744.5699999998</v>
      </c>
      <c r="E2264" s="32">
        <f>+F361</f>
        <v>662649.01</v>
      </c>
      <c r="F2264" s="32">
        <f t="shared" si="1417"/>
        <v>310236.86236394942</v>
      </c>
      <c r="G2264" s="313">
        <f t="shared" si="1418"/>
        <v>5.0986203959992434E-2</v>
      </c>
      <c r="H2264" s="443">
        <f t="shared" si="1419"/>
        <v>0.14816204287223697</v>
      </c>
      <c r="I2264" s="443"/>
    </row>
    <row r="2265" spans="1:10">
      <c r="A2265" s="415">
        <f>+A363</f>
        <v>40875</v>
      </c>
      <c r="B2265" s="32">
        <f>+B372</f>
        <v>6223349.8843338396</v>
      </c>
      <c r="C2265" s="32">
        <f>+D372</f>
        <v>4501551.8003338408</v>
      </c>
      <c r="D2265" s="32">
        <f>+E372</f>
        <v>1092185.69</v>
      </c>
      <c r="E2265" s="32">
        <f>+F372</f>
        <v>629612.39400000009</v>
      </c>
      <c r="F2265" s="32">
        <f t="shared" si="1417"/>
        <v>-171608.69230764918</v>
      </c>
      <c r="G2265" s="313">
        <f t="shared" si="1418"/>
        <v>-2.68349967010693E-2</v>
      </c>
      <c r="H2265" s="443">
        <f t="shared" si="1419"/>
        <v>0.12132704617116767</v>
      </c>
      <c r="I2265" s="443"/>
    </row>
    <row r="2266" spans="1:10">
      <c r="A2266" s="415">
        <f>+A374</f>
        <v>40905</v>
      </c>
      <c r="B2266" s="32">
        <f>+B383</f>
        <v>6306652.9145599483</v>
      </c>
      <c r="C2266" s="32">
        <f>+D383</f>
        <v>4577061.3645599484</v>
      </c>
      <c r="D2266" s="32">
        <f>+E383</f>
        <v>1093892.19</v>
      </c>
      <c r="E2266" s="32">
        <f>+F383</f>
        <v>635699.36</v>
      </c>
      <c r="F2266" s="32">
        <f t="shared" si="1417"/>
        <v>83303.030226108618</v>
      </c>
      <c r="G2266" s="313">
        <f t="shared" si="1418"/>
        <v>1.3385561116499165E-2</v>
      </c>
      <c r="H2266" s="443">
        <f t="shared" si="1419"/>
        <v>0.13471260728766685</v>
      </c>
      <c r="I2266" s="32">
        <f>+B2266-2735000</f>
        <v>3571652.9145599483</v>
      </c>
    </row>
    <row r="2267" spans="1:10" ht="13">
      <c r="A2267" s="415">
        <f>+A385</f>
        <v>40936</v>
      </c>
      <c r="B2267" s="32">
        <f>+B394</f>
        <v>6424056.5552463979</v>
      </c>
      <c r="C2267" s="32">
        <f>+D394</f>
        <v>4609801.9452463975</v>
      </c>
      <c r="D2267" s="32">
        <f>+E394</f>
        <v>1151724.49</v>
      </c>
      <c r="E2267" s="32">
        <f>+F394</f>
        <v>662530.12</v>
      </c>
      <c r="F2267" s="32">
        <f t="shared" si="1417"/>
        <v>117403.64068644959</v>
      </c>
      <c r="G2267" s="313">
        <f t="shared" si="1418"/>
        <v>1.8615839856257813E-2</v>
      </c>
      <c r="H2267" s="443">
        <f t="shared" si="1419"/>
        <v>0.15332844714392466</v>
      </c>
      <c r="I2267" s="451">
        <f>(+I2266-I2254)/I2254</f>
        <v>5.1313251195267744E-2</v>
      </c>
    </row>
    <row r="2268" spans="1:10">
      <c r="A2268" s="415">
        <f>+A396</f>
        <v>40967</v>
      </c>
      <c r="B2268" s="32">
        <f>+B405</f>
        <v>6496178.6653386205</v>
      </c>
      <c r="C2268" s="32">
        <f>+D405</f>
        <v>4632460.4753386211</v>
      </c>
      <c r="D2268" s="32">
        <f>+E405</f>
        <v>1176060.1000000001</v>
      </c>
      <c r="E2268" s="32">
        <f>+F405</f>
        <v>687658.09</v>
      </c>
      <c r="F2268" s="32">
        <f t="shared" si="1417"/>
        <v>72122.110092222691</v>
      </c>
      <c r="G2268" s="313">
        <f t="shared" si="1418"/>
        <v>1.1226879693847343E-2</v>
      </c>
      <c r="H2268" s="443">
        <f t="shared" si="1419"/>
        <v>0.16455532683777199</v>
      </c>
      <c r="I2268" s="443"/>
    </row>
    <row r="2269" spans="1:10">
      <c r="A2269" s="415">
        <f>+A407</f>
        <v>40996</v>
      </c>
      <c r="B2269" s="32">
        <f>+B416</f>
        <v>6545048.8001672383</v>
      </c>
      <c r="C2269" s="32">
        <f>+D416</f>
        <v>4675876.2601672383</v>
      </c>
      <c r="D2269" s="32">
        <f>+E416</f>
        <v>1187980.6000000001</v>
      </c>
      <c r="E2269" s="32">
        <f>+F416</f>
        <v>681191.94</v>
      </c>
      <c r="F2269" s="32">
        <f t="shared" si="1417"/>
        <v>48870.134828617796</v>
      </c>
      <c r="G2269" s="313">
        <f t="shared" si="1418"/>
        <v>7.5229049794107508E-3</v>
      </c>
      <c r="H2269" s="443">
        <f t="shared" si="1419"/>
        <v>0.17207823181718274</v>
      </c>
      <c r="I2269" s="443"/>
      <c r="J2269" s="443">
        <f>+J2257+I2279</f>
        <v>0.12223127567403883</v>
      </c>
    </row>
    <row r="2270" spans="1:10">
      <c r="A2270" s="415">
        <f>+A418</f>
        <v>41027</v>
      </c>
      <c r="B2270" s="32">
        <f>+B427</f>
        <v>6484475.8588663582</v>
      </c>
      <c r="C2270" s="32">
        <f>+D427</f>
        <v>4410845.5288663581</v>
      </c>
      <c r="D2270" s="32">
        <f>+E427</f>
        <v>1391916.5899999999</v>
      </c>
      <c r="E2270" s="32">
        <f>+F427</f>
        <v>681713.74</v>
      </c>
      <c r="F2270" s="32">
        <f t="shared" si="1417"/>
        <v>-60572.941300880164</v>
      </c>
      <c r="G2270" s="313">
        <f t="shared" si="1418"/>
        <v>-9.2547730582745857E-3</v>
      </c>
      <c r="H2270" s="443">
        <f t="shared" si="1419"/>
        <v>0.16282345875890816</v>
      </c>
      <c r="I2270" s="443"/>
    </row>
    <row r="2271" spans="1:10">
      <c r="A2271" s="415">
        <f>+A429</f>
        <v>41057</v>
      </c>
      <c r="B2271" s="32">
        <f>+B438</f>
        <v>6315154.0354398256</v>
      </c>
      <c r="C2271" s="32">
        <f>+D438</f>
        <v>4376300.4954398246</v>
      </c>
      <c r="D2271" s="32">
        <f>+E438</f>
        <v>1293103.1700000002</v>
      </c>
      <c r="E2271" s="32">
        <f>+F438</f>
        <v>645750.37</v>
      </c>
      <c r="F2271" s="32">
        <f t="shared" si="1417"/>
        <v>-169321.82342653256</v>
      </c>
      <c r="G2271" s="313">
        <f t="shared" si="1418"/>
        <v>-2.6111875055408729E-2</v>
      </c>
      <c r="H2271" s="443">
        <f t="shared" si="1419"/>
        <v>0.13671158370349942</v>
      </c>
      <c r="I2271" s="443"/>
    </row>
    <row r="2272" spans="1:10">
      <c r="A2272" s="415">
        <f>+A440</f>
        <v>41088</v>
      </c>
      <c r="B2272" s="32">
        <f>+B449</f>
        <v>6415722.1812880896</v>
      </c>
      <c r="C2272" s="32">
        <f>+D449</f>
        <v>4439895.8912880896</v>
      </c>
      <c r="D2272" s="32">
        <f>+E449</f>
        <v>1326671.53</v>
      </c>
      <c r="E2272" s="32">
        <f>+F449</f>
        <v>649154.76</v>
      </c>
      <c r="F2272" s="32">
        <f t="shared" si="1417"/>
        <v>100568.14584826399</v>
      </c>
      <c r="G2272" s="313">
        <f t="shared" si="1418"/>
        <v>1.5924891979497032E-2</v>
      </c>
      <c r="H2272" s="443">
        <f t="shared" si="1419"/>
        <v>0.15263647568299646</v>
      </c>
      <c r="I2272" s="443"/>
    </row>
    <row r="2273" spans="1:10">
      <c r="A2273" s="415">
        <f>+A451</f>
        <v>41118</v>
      </c>
      <c r="B2273" s="32">
        <f>+B460</f>
        <v>6537920.9624360986</v>
      </c>
      <c r="C2273" s="32">
        <f>+D460</f>
        <v>4511048.4414360989</v>
      </c>
      <c r="D2273" s="32">
        <f>+E460</f>
        <v>1358610.882</v>
      </c>
      <c r="E2273" s="32">
        <f>+F460</f>
        <v>668261.63899999997</v>
      </c>
      <c r="F2273" s="32">
        <f t="shared" si="1417"/>
        <v>122198.781148009</v>
      </c>
      <c r="G2273" s="313">
        <f t="shared" si="1418"/>
        <v>1.9046769435311653E-2</v>
      </c>
      <c r="H2273" s="443">
        <f t="shared" si="1419"/>
        <v>0.17168324511830813</v>
      </c>
      <c r="I2273" s="443"/>
    </row>
    <row r="2274" spans="1:10">
      <c r="A2274" s="415">
        <f>+A462</f>
        <v>41149</v>
      </c>
      <c r="B2274" s="32">
        <f>+B471</f>
        <v>6564578.7375073396</v>
      </c>
      <c r="C2274" s="32">
        <f>+D471</f>
        <v>4513512.5675073396</v>
      </c>
      <c r="D2274" s="32">
        <f>+E471</f>
        <v>1374693.6800000002</v>
      </c>
      <c r="E2274" s="32">
        <f>+F471</f>
        <v>676372.49000000011</v>
      </c>
      <c r="F2274" s="32">
        <f t="shared" si="1417"/>
        <v>26657.775071240962</v>
      </c>
      <c r="G2274" s="313">
        <f t="shared" si="1418"/>
        <v>4.0774085866752347E-3</v>
      </c>
      <c r="H2274" s="443">
        <f t="shared" si="1419"/>
        <v>0.17576065370498337</v>
      </c>
      <c r="I2274" s="443"/>
    </row>
    <row r="2275" spans="1:10">
      <c r="A2275" s="415">
        <f>+A473</f>
        <v>41180</v>
      </c>
      <c r="B2275" s="32">
        <f>+B482</f>
        <v>6624555.3581338152</v>
      </c>
      <c r="C2275" s="32">
        <f>+D482</f>
        <v>4528706.9891338143</v>
      </c>
      <c r="D2275" s="32">
        <f>+E482</f>
        <v>1405862.4789999998</v>
      </c>
      <c r="E2275" s="32">
        <f>+F482</f>
        <v>689985.89</v>
      </c>
      <c r="F2275" s="32">
        <f t="shared" si="1417"/>
        <v>59976.620626475662</v>
      </c>
      <c r="G2275" s="313">
        <f t="shared" si="1418"/>
        <v>9.1364005254127856E-3</v>
      </c>
      <c r="H2275" s="443">
        <f t="shared" si="1419"/>
        <v>0.18489705423039615</v>
      </c>
      <c r="I2275" s="443"/>
    </row>
    <row r="2276" spans="1:10">
      <c r="A2276" s="415">
        <f>+A484</f>
        <v>41210</v>
      </c>
      <c r="B2276" s="32">
        <f>+B493</f>
        <v>6419824.4765127422</v>
      </c>
      <c r="C2276" s="32">
        <f>+D493</f>
        <v>3732604.1665127422</v>
      </c>
      <c r="D2276" s="32">
        <f>+E493</f>
        <v>1994356.8800000004</v>
      </c>
      <c r="E2276" s="32">
        <f>+F493</f>
        <v>692863.43</v>
      </c>
      <c r="F2276" s="32">
        <f t="shared" si="1417"/>
        <v>-204730.881621073</v>
      </c>
      <c r="G2276" s="313">
        <f t="shared" si="1418"/>
        <v>-3.0904848786522505E-2</v>
      </c>
      <c r="H2276" s="443">
        <f t="shared" si="1419"/>
        <v>0.15399220544387365</v>
      </c>
      <c r="I2276" s="443"/>
    </row>
    <row r="2277" spans="1:10">
      <c r="A2277" s="415">
        <f>+A495</f>
        <v>41241</v>
      </c>
      <c r="B2277" s="32">
        <f>+B504</f>
        <v>6400642.0903373975</v>
      </c>
      <c r="C2277" s="32">
        <f>+D504</f>
        <v>3746152.5303373979</v>
      </c>
      <c r="D2277" s="32">
        <f>+E504</f>
        <v>1958853.5499999998</v>
      </c>
      <c r="E2277" s="32">
        <f>+F504</f>
        <v>695636.01</v>
      </c>
      <c r="F2277" s="32">
        <f t="shared" ref="F2277:F2308" si="1420">+B2277-B2276</f>
        <v>-19182.386175344698</v>
      </c>
      <c r="G2277" s="313">
        <f t="shared" ref="G2277:G2308" si="1421">+F2277/(B2276)</f>
        <v>-2.9879923112422222E-3</v>
      </c>
      <c r="H2277" s="443">
        <f t="shared" si="1419"/>
        <v>0.15100421313263143</v>
      </c>
      <c r="I2277" s="443"/>
    </row>
    <row r="2278" spans="1:10">
      <c r="A2278" s="511">
        <f>+A506</f>
        <v>41271</v>
      </c>
      <c r="B2278" s="512">
        <f>+B515</f>
        <v>6559947.4833843848</v>
      </c>
      <c r="C2278" s="512">
        <f>+D515</f>
        <v>3807867.7533843843</v>
      </c>
      <c r="D2278" s="512">
        <f>+E515</f>
        <v>2044579.69</v>
      </c>
      <c r="E2278" s="512">
        <f>+F515</f>
        <v>707500.04</v>
      </c>
      <c r="F2278" s="32">
        <f t="shared" si="1420"/>
        <v>159305.39304698724</v>
      </c>
      <c r="G2278" s="313">
        <f t="shared" si="1421"/>
        <v>2.4888970637411436E-2</v>
      </c>
      <c r="H2278" s="443">
        <f t="shared" si="1419"/>
        <v>0.17589318377004287</v>
      </c>
      <c r="I2278" s="32">
        <f>+B2278-2735000</f>
        <v>3824947.4833843848</v>
      </c>
    </row>
    <row r="2279" spans="1:10" ht="13">
      <c r="A2279" s="415">
        <f>+A517</f>
        <v>41302</v>
      </c>
      <c r="B2279" s="32">
        <f>+B526</f>
        <v>6606825.2797126248</v>
      </c>
      <c r="C2279" s="32">
        <f>+D526</f>
        <v>3845152.8157126242</v>
      </c>
      <c r="D2279" s="32">
        <f>+E526</f>
        <v>2032522.6740000001</v>
      </c>
      <c r="E2279" s="32">
        <f>+F526</f>
        <v>729149.79</v>
      </c>
      <c r="F2279" s="32">
        <f t="shared" si="1420"/>
        <v>46877.796328240074</v>
      </c>
      <c r="G2279" s="313">
        <f t="shared" si="1421"/>
        <v>7.1460627462302563E-3</v>
      </c>
      <c r="H2279" s="443">
        <f t="shared" si="1419"/>
        <v>0.18303924651627312</v>
      </c>
      <c r="I2279" s="451">
        <f>(+I2278-I2266)/I2266</f>
        <v>7.0918024478771088E-2</v>
      </c>
    </row>
    <row r="2280" spans="1:10">
      <c r="A2280" s="415">
        <f>+A528</f>
        <v>41333</v>
      </c>
      <c r="B2280" s="32">
        <f>+B537</f>
        <v>6654819.535391245</v>
      </c>
      <c r="C2280" s="32">
        <f>+D537</f>
        <v>3842722.5453912448</v>
      </c>
      <c r="D2280" s="32">
        <f>+E537</f>
        <v>2082236.49</v>
      </c>
      <c r="E2280" s="32">
        <f>+F537</f>
        <v>729860.5</v>
      </c>
      <c r="F2280" s="32">
        <f t="shared" si="1420"/>
        <v>47994.255678620189</v>
      </c>
      <c r="G2280" s="313">
        <f t="shared" si="1421"/>
        <v>7.2643446204025816E-3</v>
      </c>
      <c r="H2280" s="443">
        <f t="shared" si="1419"/>
        <v>0.19030359113667569</v>
      </c>
      <c r="I2280" s="443"/>
    </row>
    <row r="2281" spans="1:10">
      <c r="A2281" s="415">
        <f>+A539</f>
        <v>41361</v>
      </c>
      <c r="B2281" s="32">
        <f>+B548</f>
        <v>6611663.577376049</v>
      </c>
      <c r="C2281" s="32">
        <f>+D548</f>
        <v>3846903.7373760492</v>
      </c>
      <c r="D2281" s="32">
        <f>+E548</f>
        <v>2037901.6999999997</v>
      </c>
      <c r="E2281" s="32">
        <f>+F548</f>
        <v>726858.14</v>
      </c>
      <c r="F2281" s="32">
        <f t="shared" si="1420"/>
        <v>-43155.958015196025</v>
      </c>
      <c r="G2281" s="313">
        <f t="shared" si="1421"/>
        <v>-6.4849178532470656E-3</v>
      </c>
      <c r="H2281" s="443">
        <f t="shared" si="1419"/>
        <v>0.18381867328342863</v>
      </c>
      <c r="I2281" s="443"/>
      <c r="J2281" s="443">
        <f>+J2269+I2291</f>
        <v>0.24950508911018357</v>
      </c>
    </row>
    <row r="2282" spans="1:10">
      <c r="A2282" s="415">
        <f>+A550</f>
        <v>41392</v>
      </c>
      <c r="B2282" s="32">
        <f>+B559</f>
        <v>6718691.4805856515</v>
      </c>
      <c r="C2282" s="32">
        <f>+D559</f>
        <v>3849190.6805856521</v>
      </c>
      <c r="D2282" s="32">
        <f>+E559</f>
        <v>2127880.54</v>
      </c>
      <c r="E2282" s="32">
        <f>+F559</f>
        <v>741620.25999999989</v>
      </c>
      <c r="F2282" s="32">
        <f t="shared" si="1420"/>
        <v>107027.90320960246</v>
      </c>
      <c r="G2282" s="313">
        <f t="shared" si="1421"/>
        <v>1.6187741853023668E-2</v>
      </c>
      <c r="H2282" s="443">
        <f t="shared" si="1419"/>
        <v>0.20000641513645229</v>
      </c>
      <c r="I2282" s="443"/>
    </row>
    <row r="2283" spans="1:10">
      <c r="A2283" s="415">
        <f>+A561</f>
        <v>41422</v>
      </c>
      <c r="B2283" s="32">
        <f>+B570</f>
        <v>6724525.6886932319</v>
      </c>
      <c r="C2283" s="32">
        <f>+D570</f>
        <v>3842095.7586932313</v>
      </c>
      <c r="D2283" s="32">
        <f>+E570</f>
        <v>2128690.21</v>
      </c>
      <c r="E2283" s="32">
        <f>+F570</f>
        <v>753739.72000000009</v>
      </c>
      <c r="F2283" s="32">
        <f t="shared" si="1420"/>
        <v>5834.2081075804308</v>
      </c>
      <c r="G2283" s="313">
        <f t="shared" si="1421"/>
        <v>8.6835481647564469E-4</v>
      </c>
      <c r="H2283" s="443">
        <f t="shared" si="1419"/>
        <v>0.20087476995292794</v>
      </c>
      <c r="I2283" s="443"/>
    </row>
    <row r="2284" spans="1:10">
      <c r="A2284" s="415">
        <f>+A572</f>
        <v>41453</v>
      </c>
      <c r="B2284" s="32">
        <f>+B581</f>
        <v>6625344.9284443017</v>
      </c>
      <c r="C2284" s="32">
        <f>+D581</f>
        <v>3829366.5084443018</v>
      </c>
      <c r="D2284" s="32">
        <f>+E581</f>
        <v>2076995.64</v>
      </c>
      <c r="E2284" s="32">
        <f>+F581</f>
        <v>718982.78</v>
      </c>
      <c r="F2284" s="32">
        <f t="shared" si="1420"/>
        <v>-99180.760248930193</v>
      </c>
      <c r="G2284" s="313">
        <f t="shared" si="1421"/>
        <v>-1.4749108686683277E-2</v>
      </c>
      <c r="H2284" s="443">
        <f t="shared" si="1419"/>
        <v>0.18612566126624466</v>
      </c>
      <c r="I2284" s="443"/>
    </row>
    <row r="2285" spans="1:10">
      <c r="A2285" s="415">
        <f>+A583</f>
        <v>41483</v>
      </c>
      <c r="B2285" s="32">
        <f>+B592</f>
        <v>6774880.005176954</v>
      </c>
      <c r="C2285" s="32">
        <f>+D592</f>
        <v>3837913.0851769536</v>
      </c>
      <c r="D2285" s="32">
        <f>+E592</f>
        <v>2203363.83</v>
      </c>
      <c r="E2285" s="32">
        <f>+F592</f>
        <v>733603.09000000008</v>
      </c>
      <c r="F2285" s="32">
        <f t="shared" si="1420"/>
        <v>149535.07673265226</v>
      </c>
      <c r="G2285" s="313">
        <f t="shared" si="1421"/>
        <v>2.2570157229197214E-2</v>
      </c>
      <c r="H2285" s="443">
        <f t="shared" si="1419"/>
        <v>0.20869581849544189</v>
      </c>
      <c r="I2285" s="443"/>
    </row>
    <row r="2286" spans="1:10">
      <c r="A2286" s="415">
        <f>+A594</f>
        <v>41514</v>
      </c>
      <c r="B2286" s="32">
        <f>+B603</f>
        <v>6737553.0644920887</v>
      </c>
      <c r="C2286" s="32">
        <f>+D603</f>
        <v>3847817.804492089</v>
      </c>
      <c r="D2286" s="32">
        <f>+E603</f>
        <v>2160601</v>
      </c>
      <c r="E2286" s="32">
        <f>+F603</f>
        <v>729134.26</v>
      </c>
      <c r="F2286" s="32">
        <f t="shared" si="1420"/>
        <v>-37326.940684865229</v>
      </c>
      <c r="G2286" s="313">
        <f t="shared" si="1421"/>
        <v>-5.5096091231641355E-3</v>
      </c>
      <c r="H2286" s="443">
        <f t="shared" si="1419"/>
        <v>0.20318620937227774</v>
      </c>
      <c r="I2286" s="443"/>
    </row>
    <row r="2287" spans="1:10">
      <c r="A2287" s="415">
        <f>+A605</f>
        <v>41545</v>
      </c>
      <c r="B2287" s="32">
        <f>+B614</f>
        <v>6868212.5416905656</v>
      </c>
      <c r="C2287" s="32">
        <f>+D614</f>
        <v>3880344.6116905655</v>
      </c>
      <c r="D2287" s="32">
        <f>+E614</f>
        <v>2239565</v>
      </c>
      <c r="E2287" s="32">
        <f>+F614</f>
        <v>748302.92999999993</v>
      </c>
      <c r="F2287" s="32">
        <f t="shared" si="1420"/>
        <v>130659.4771984769</v>
      </c>
      <c r="G2287" s="313">
        <f t="shared" si="1421"/>
        <v>1.9392719574569568E-2</v>
      </c>
      <c r="H2287" s="443">
        <f t="shared" si="1419"/>
        <v>0.2225789289468473</v>
      </c>
      <c r="I2287" s="443"/>
    </row>
    <row r="2288" spans="1:10">
      <c r="A2288" s="415">
        <f>+A616</f>
        <v>41575</v>
      </c>
      <c r="B2288" s="32">
        <f>+B625</f>
        <v>6988939.7860548384</v>
      </c>
      <c r="C2288" s="32">
        <f>+D625</f>
        <v>3900745.0660548382</v>
      </c>
      <c r="D2288" s="32">
        <f>+E625</f>
        <v>2323040.14</v>
      </c>
      <c r="E2288" s="32">
        <f>+F625</f>
        <v>765154.58</v>
      </c>
      <c r="F2288" s="32">
        <f t="shared" si="1420"/>
        <v>120727.2443642728</v>
      </c>
      <c r="G2288" s="313">
        <f t="shared" si="1421"/>
        <v>1.7577680310772181E-2</v>
      </c>
      <c r="H2288" s="443">
        <f t="shared" si="1419"/>
        <v>0.24015660925761947</v>
      </c>
      <c r="I2288" s="443"/>
    </row>
    <row r="2289" spans="1:12">
      <c r="A2289" s="415">
        <f>+A627</f>
        <v>41606</v>
      </c>
      <c r="B2289" s="32">
        <f>+B636</f>
        <v>7052241.243149912</v>
      </c>
      <c r="C2289" s="32">
        <f>+D636</f>
        <v>3880236.7931499113</v>
      </c>
      <c r="D2289" s="32">
        <f>+E636</f>
        <v>2406388.2000000002</v>
      </c>
      <c r="E2289" s="32">
        <f>+F636</f>
        <v>765616.25</v>
      </c>
      <c r="F2289" s="32">
        <f t="shared" si="1420"/>
        <v>63301.457095073536</v>
      </c>
      <c r="G2289" s="313">
        <f t="shared" si="1421"/>
        <v>9.0573762305664884E-3</v>
      </c>
      <c r="H2289" s="443">
        <f t="shared" ref="H2289:H2295" si="1422">+H2288+G2289</f>
        <v>0.24921398548818596</v>
      </c>
      <c r="I2289" s="443"/>
    </row>
    <row r="2290" spans="1:12">
      <c r="A2290" s="511">
        <f>+A638</f>
        <v>41636</v>
      </c>
      <c r="B2290" s="512">
        <f>+B647</f>
        <v>7046763.1357877003</v>
      </c>
      <c r="C2290" s="512">
        <f>+D647</f>
        <v>3795383.9957877006</v>
      </c>
      <c r="D2290" s="512">
        <f>+E647</f>
        <v>2428451.98</v>
      </c>
      <c r="E2290" s="512">
        <f>+F647</f>
        <v>822927.15999999992</v>
      </c>
      <c r="F2290" s="32">
        <f t="shared" si="1420"/>
        <v>-5478.1073622116819</v>
      </c>
      <c r="G2290" s="313">
        <f t="shared" si="1421"/>
        <v>-7.7678955857228495E-4</v>
      </c>
      <c r="H2290" s="443">
        <f t="shared" si="1422"/>
        <v>0.24843719592961369</v>
      </c>
      <c r="I2290" s="32">
        <f>+B2290-2735000</f>
        <v>4311763.1357877003</v>
      </c>
    </row>
    <row r="2291" spans="1:12" ht="13">
      <c r="A2291" s="415">
        <f>+A649</f>
        <v>41667</v>
      </c>
      <c r="B2291" s="32">
        <f>+B658</f>
        <v>6819526.6889859186</v>
      </c>
      <c r="C2291" s="32">
        <f>+D658</f>
        <v>3745353.6489859186</v>
      </c>
      <c r="D2291" s="32">
        <f>+E658</f>
        <v>2261673.2999999998</v>
      </c>
      <c r="E2291" s="32">
        <f>+F658</f>
        <v>812499.74</v>
      </c>
      <c r="F2291" s="32">
        <f t="shared" si="1420"/>
        <v>-227236.44680178165</v>
      </c>
      <c r="G2291" s="313">
        <f t="shared" si="1421"/>
        <v>-3.2246925634230324E-2</v>
      </c>
      <c r="H2291" s="443">
        <f t="shared" si="1422"/>
        <v>0.21619027029538337</v>
      </c>
      <c r="I2291" s="451">
        <f>(+I2290-I2278)/I2278</f>
        <v>0.12727381343614474</v>
      </c>
    </row>
    <row r="2292" spans="1:12">
      <c r="A2292" s="415">
        <f>+A660</f>
        <v>41698</v>
      </c>
      <c r="B2292" s="32">
        <f>+B669</f>
        <v>6993356.6209902251</v>
      </c>
      <c r="C2292" s="32">
        <f>+D669</f>
        <v>3757407.3709902251</v>
      </c>
      <c r="D2292" s="32">
        <f>+E669</f>
        <v>2403383.8200000003</v>
      </c>
      <c r="E2292" s="32">
        <f>+F669</f>
        <v>832565.42999999993</v>
      </c>
      <c r="F2292" s="32">
        <f t="shared" si="1420"/>
        <v>173829.93200430647</v>
      </c>
      <c r="G2292" s="313">
        <f t="shared" si="1421"/>
        <v>2.5490028843945391E-2</v>
      </c>
      <c r="H2292" s="443">
        <f t="shared" si="1422"/>
        <v>0.24168029913932876</v>
      </c>
      <c r="I2292" s="443"/>
      <c r="J2292" s="32">
        <f>+B2302-2735000</f>
        <v>4546109.7302441141</v>
      </c>
    </row>
    <row r="2293" spans="1:12">
      <c r="A2293" s="415">
        <f>+A671</f>
        <v>41726</v>
      </c>
      <c r="B2293" s="32">
        <f>+B680</f>
        <v>7001181.8799468745</v>
      </c>
      <c r="C2293" s="32">
        <f>+D680</f>
        <v>3738248.5499468744</v>
      </c>
      <c r="D2293" s="32">
        <f>+E680</f>
        <v>2429604.9</v>
      </c>
      <c r="E2293" s="32">
        <f>+F680</f>
        <v>833328.43</v>
      </c>
      <c r="F2293" s="32">
        <f t="shared" si="1420"/>
        <v>7825.2589566493407</v>
      </c>
      <c r="G2293" s="313">
        <f t="shared" si="1421"/>
        <v>1.1189560865753937E-3</v>
      </c>
      <c r="H2293" s="443">
        <f t="shared" si="1422"/>
        <v>0.24279925522590415</v>
      </c>
      <c r="I2293" s="443"/>
      <c r="J2293" s="443">
        <f>+J2281+I2303</f>
        <v>0.30385561511921533</v>
      </c>
    </row>
    <row r="2294" spans="1:12">
      <c r="A2294" s="415">
        <f>+A682</f>
        <v>41757</v>
      </c>
      <c r="B2294" s="32">
        <f>+B691</f>
        <v>7085729.3387073325</v>
      </c>
      <c r="C2294" s="32">
        <f>+D691</f>
        <v>3766325.6287073316</v>
      </c>
      <c r="D2294" s="32">
        <f>+E691</f>
        <v>2485782.7999999998</v>
      </c>
      <c r="E2294" s="32">
        <f>+F691</f>
        <v>833620.91</v>
      </c>
      <c r="F2294" s="32">
        <f t="shared" si="1420"/>
        <v>84547.458760458045</v>
      </c>
      <c r="G2294" s="313">
        <f t="shared" si="1421"/>
        <v>1.2076169453992187E-2</v>
      </c>
      <c r="H2294" s="443">
        <f t="shared" si="1422"/>
        <v>0.25487542467989632</v>
      </c>
      <c r="I2294" s="443"/>
      <c r="K2294" s="161">
        <f>(+J2304-J2292)/J2292</f>
        <v>5.6767738580973025E-2</v>
      </c>
      <c r="L2294" s="577" t="s">
        <v>177</v>
      </c>
    </row>
    <row r="2295" spans="1:12">
      <c r="A2295" s="415">
        <f>+A693</f>
        <v>41787</v>
      </c>
      <c r="B2295" s="32">
        <f>+B702</f>
        <v>7181435.7014357243</v>
      </c>
      <c r="C2295" s="32">
        <f>+D702</f>
        <v>3812953.3914357233</v>
      </c>
      <c r="D2295" s="32">
        <f>+E702</f>
        <v>2525433.4700000002</v>
      </c>
      <c r="E2295" s="32">
        <f>+F702</f>
        <v>843048.84000000008</v>
      </c>
      <c r="F2295" s="32">
        <f t="shared" si="1420"/>
        <v>95706.362728391774</v>
      </c>
      <c r="G2295" s="313">
        <f t="shared" si="1421"/>
        <v>1.3506917658507646E-2</v>
      </c>
      <c r="H2295" s="443">
        <f t="shared" si="1422"/>
        <v>0.26838234233840397</v>
      </c>
      <c r="I2295" s="443"/>
    </row>
    <row r="2296" spans="1:12">
      <c r="A2296" s="415">
        <f>+A704</f>
        <v>41818</v>
      </c>
      <c r="B2296" s="32">
        <f>+B713</f>
        <v>7250565.9599674232</v>
      </c>
      <c r="C2296" s="32">
        <f>+D713</f>
        <v>3818827.569967424</v>
      </c>
      <c r="D2296" s="32">
        <f>+E713</f>
        <v>2580396.15</v>
      </c>
      <c r="E2296" s="32">
        <f>+F713</f>
        <v>851342.24</v>
      </c>
      <c r="F2296" s="32">
        <f t="shared" si="1420"/>
        <v>69130.258531698957</v>
      </c>
      <c r="G2296" s="313">
        <f t="shared" si="1421"/>
        <v>9.6262448632490477E-3</v>
      </c>
      <c r="H2296" s="443">
        <f t="shared" ref="H2296:H2301" si="1423">+H2295+G2296</f>
        <v>0.278008587201653</v>
      </c>
      <c r="I2296" s="443"/>
    </row>
    <row r="2297" spans="1:12">
      <c r="A2297" s="415">
        <f>+A715</f>
        <v>41848</v>
      </c>
      <c r="B2297" s="32">
        <f>+B724</f>
        <v>7254913.1855850965</v>
      </c>
      <c r="C2297" s="32">
        <f>+D724</f>
        <v>3807713.0155850975</v>
      </c>
      <c r="D2297" s="32">
        <f>+E724</f>
        <v>1284954.08</v>
      </c>
      <c r="E2297" s="32">
        <f>+F724</f>
        <v>2162246.09</v>
      </c>
      <c r="F2297" s="32">
        <f t="shared" si="1420"/>
        <v>4347.2256176732481</v>
      </c>
      <c r="G2297" s="313">
        <f t="shared" si="1421"/>
        <v>5.9957052203587981E-4</v>
      </c>
      <c r="H2297" s="443">
        <f t="shared" si="1423"/>
        <v>0.27860815772368885</v>
      </c>
      <c r="I2297" s="443"/>
    </row>
    <row r="2298" spans="1:12">
      <c r="A2298" s="415">
        <f>+A726</f>
        <v>41879</v>
      </c>
      <c r="B2298" s="32">
        <f>+B735</f>
        <v>7260010.4438061342</v>
      </c>
      <c r="C2298" s="32">
        <f>+D735</f>
        <v>3844543.7238061354</v>
      </c>
      <c r="D2298" s="32">
        <f>+E735</f>
        <v>1253043.8999999999</v>
      </c>
      <c r="E2298" s="32">
        <f>+F735</f>
        <v>2162422.8199999998</v>
      </c>
      <c r="F2298" s="32">
        <f t="shared" si="1420"/>
        <v>5097.2582210376859</v>
      </c>
      <c r="G2298" s="313">
        <f t="shared" si="1421"/>
        <v>7.0259396503400068E-4</v>
      </c>
      <c r="H2298" s="443">
        <f t="shared" si="1423"/>
        <v>0.27931075168872288</v>
      </c>
      <c r="I2298" s="443"/>
    </row>
    <row r="2299" spans="1:12">
      <c r="A2299" s="415">
        <f>+A737</f>
        <v>41910</v>
      </c>
      <c r="B2299" s="32">
        <f>+B746</f>
        <v>7182348.7605888341</v>
      </c>
      <c r="C2299" s="32">
        <f>+D746</f>
        <v>3781527.5005888343</v>
      </c>
      <c r="D2299" s="32">
        <f>+E746</f>
        <v>1274346</v>
      </c>
      <c r="E2299" s="32">
        <f>+F746</f>
        <v>2126475.2599999998</v>
      </c>
      <c r="F2299" s="32">
        <f t="shared" si="1420"/>
        <v>-77661.683217300102</v>
      </c>
      <c r="G2299" s="313">
        <f t="shared" si="1421"/>
        <v>-1.0697186156744035E-2</v>
      </c>
      <c r="H2299" s="443">
        <f t="shared" si="1423"/>
        <v>0.26861356553197885</v>
      </c>
      <c r="I2299" s="443"/>
    </row>
    <row r="2300" spans="1:12">
      <c r="A2300" s="415">
        <f>+A748</f>
        <v>41940</v>
      </c>
      <c r="B2300" s="32">
        <f>+B757</f>
        <v>7244209.7091378123</v>
      </c>
      <c r="C2300" s="32">
        <f>+D757</f>
        <v>3816770.9491378125</v>
      </c>
      <c r="D2300" s="32">
        <f>+E757</f>
        <v>1287191.57</v>
      </c>
      <c r="E2300" s="32">
        <f>+F757</f>
        <v>2140247.19</v>
      </c>
      <c r="F2300" s="32">
        <f t="shared" si="1420"/>
        <v>61860.948548978195</v>
      </c>
      <c r="G2300" s="313">
        <f t="shared" si="1421"/>
        <v>8.6129134926478581E-3</v>
      </c>
      <c r="H2300" s="443">
        <f t="shared" si="1423"/>
        <v>0.27722647902462672</v>
      </c>
      <c r="I2300" s="443"/>
    </row>
    <row r="2301" spans="1:12">
      <c r="A2301" s="415">
        <f>+A759</f>
        <v>41971</v>
      </c>
      <c r="B2301" s="32">
        <f>+B768</f>
        <v>7339371.174104644</v>
      </c>
      <c r="C2301" s="32">
        <f>+D768</f>
        <v>3824629.6841046438</v>
      </c>
      <c r="D2301" s="32">
        <f>+E768</f>
        <v>1302441.54</v>
      </c>
      <c r="E2301" s="32">
        <f>+F768</f>
        <v>2212299.9500000002</v>
      </c>
      <c r="F2301" s="32">
        <f t="shared" si="1420"/>
        <v>95161.464966831729</v>
      </c>
      <c r="G2301" s="313">
        <f t="shared" si="1421"/>
        <v>1.3136210682415158E-2</v>
      </c>
      <c r="H2301" s="443">
        <f t="shared" si="1423"/>
        <v>0.29036268970704188</v>
      </c>
      <c r="I2301" s="443"/>
    </row>
    <row r="2302" spans="1:12">
      <c r="A2302" s="415">
        <f>+A770</f>
        <v>42001</v>
      </c>
      <c r="B2302" s="32">
        <f>+B779</f>
        <v>7281109.7302441141</v>
      </c>
      <c r="C2302" s="32">
        <f>+D779</f>
        <v>3791792.7502441141</v>
      </c>
      <c r="D2302" s="32">
        <f>+E779</f>
        <v>1297662.8899999999</v>
      </c>
      <c r="E2302" s="32">
        <f>+F779</f>
        <v>2191654.09</v>
      </c>
      <c r="F2302" s="32">
        <f t="shared" si="1420"/>
        <v>-58261.443860529922</v>
      </c>
      <c r="G2302" s="313">
        <f t="shared" si="1421"/>
        <v>-7.9382064864211531E-3</v>
      </c>
      <c r="H2302" s="443">
        <f t="shared" ref="H2302:H2307" si="1424">+H2301+G2302</f>
        <v>0.28242448322062075</v>
      </c>
      <c r="I2302" s="32">
        <f>+B2302-2735000</f>
        <v>4546109.7302441141</v>
      </c>
    </row>
    <row r="2303" spans="1:12" ht="13">
      <c r="A2303" s="415">
        <f>+A781</f>
        <v>42032</v>
      </c>
      <c r="B2303" s="32">
        <f>+B790</f>
        <v>7259055.2685805326</v>
      </c>
      <c r="C2303" s="32">
        <f>+D790</f>
        <v>3946551.2685805326</v>
      </c>
      <c r="D2303" s="32">
        <f>+E790</f>
        <v>1149956</v>
      </c>
      <c r="E2303" s="32">
        <f>+F790</f>
        <v>2162548</v>
      </c>
      <c r="F2303" s="32">
        <f t="shared" si="1420"/>
        <v>-22054.461663581431</v>
      </c>
      <c r="G2303" s="313">
        <f t="shared" si="1421"/>
        <v>-3.0289972930873559E-3</v>
      </c>
      <c r="H2303" s="443">
        <f t="shared" si="1424"/>
        <v>0.27939548592753338</v>
      </c>
      <c r="I2303" s="451">
        <f>(+I2302-I2290)/I2290</f>
        <v>5.4350526009031765E-2</v>
      </c>
    </row>
    <row r="2304" spans="1:12">
      <c r="A2304" s="415">
        <f>+A792</f>
        <v>42063</v>
      </c>
      <c r="B2304" s="32">
        <f>+B801</f>
        <v>7433503.7687051902</v>
      </c>
      <c r="C2304" s="32">
        <f>+D801</f>
        <v>4003820.4087051903</v>
      </c>
      <c r="D2304" s="32">
        <f>+E801</f>
        <v>1185274.68</v>
      </c>
      <c r="E2304" s="32">
        <f>+F801</f>
        <v>2244408.6800000002</v>
      </c>
      <c r="F2304" s="32">
        <f t="shared" si="1420"/>
        <v>174448.50012465753</v>
      </c>
      <c r="G2304" s="313">
        <f t="shared" si="1421"/>
        <v>2.4031846248605562E-2</v>
      </c>
      <c r="H2304" s="443">
        <f t="shared" si="1424"/>
        <v>0.30342733217613893</v>
      </c>
      <c r="I2304" s="443"/>
      <c r="J2304" s="32">
        <f>+B2314-2735000</f>
        <v>4804182.0989710297</v>
      </c>
    </row>
    <row r="2305" spans="1:9">
      <c r="A2305" s="415">
        <f>+A803</f>
        <v>42091</v>
      </c>
      <c r="B2305" s="32">
        <f>+B812</f>
        <v>7382129.6462894026</v>
      </c>
      <c r="C2305" s="32">
        <f>+D812</f>
        <v>3980249.606289403</v>
      </c>
      <c r="D2305" s="32">
        <f>+E812</f>
        <v>1179417.1100000001</v>
      </c>
      <c r="E2305" s="32">
        <f>+F812</f>
        <v>2222462.9300000002</v>
      </c>
      <c r="F2305" s="32">
        <f t="shared" si="1420"/>
        <v>-51374.12241578754</v>
      </c>
      <c r="G2305" s="313">
        <f t="shared" si="1421"/>
        <v>-6.9111584542501919E-3</v>
      </c>
      <c r="H2305" s="443">
        <f t="shared" si="1424"/>
        <v>0.29651617372188876</v>
      </c>
      <c r="I2305" s="443"/>
    </row>
    <row r="2306" spans="1:9">
      <c r="A2306" s="415">
        <f>+A814</f>
        <v>42122</v>
      </c>
      <c r="B2306" s="32">
        <f>+B823</f>
        <v>7503931.1767104166</v>
      </c>
      <c r="C2306" s="32">
        <f>+D823</f>
        <v>4418154.6667104177</v>
      </c>
      <c r="D2306" s="32">
        <f>+E823</f>
        <v>826264.5</v>
      </c>
      <c r="E2306" s="32">
        <f>+F823</f>
        <v>2259512.0099999998</v>
      </c>
      <c r="F2306" s="32">
        <f t="shared" si="1420"/>
        <v>121801.53042101394</v>
      </c>
      <c r="G2306" s="313">
        <f t="shared" si="1421"/>
        <v>1.6499511151532944E-2</v>
      </c>
      <c r="H2306" s="443">
        <f t="shared" si="1424"/>
        <v>0.31301568487342168</v>
      </c>
      <c r="I2306" s="443"/>
    </row>
    <row r="2307" spans="1:9">
      <c r="A2307" s="415">
        <f>+A825</f>
        <v>42152</v>
      </c>
      <c r="B2307" s="32">
        <f>+B834</f>
        <v>7520827.3417514702</v>
      </c>
      <c r="C2307" s="32">
        <f>+D834</f>
        <v>4425972.4717514701</v>
      </c>
      <c r="D2307" s="32">
        <f>+E834</f>
        <v>836683.28</v>
      </c>
      <c r="E2307" s="32">
        <f>+F834</f>
        <v>2258171.59</v>
      </c>
      <c r="F2307" s="32">
        <f t="shared" si="1420"/>
        <v>16896.165041053668</v>
      </c>
      <c r="G2307" s="313">
        <f t="shared" si="1421"/>
        <v>2.2516417919041512E-3</v>
      </c>
      <c r="H2307" s="443">
        <f t="shared" si="1424"/>
        <v>0.31526732666532581</v>
      </c>
      <c r="I2307" s="443"/>
    </row>
    <row r="2308" spans="1:9">
      <c r="A2308" s="415">
        <f>+A836</f>
        <v>42183</v>
      </c>
      <c r="B2308" s="32">
        <f>+B845</f>
        <v>7476502.806868623</v>
      </c>
      <c r="C2308" s="32">
        <f>+D845</f>
        <v>4446186.8168686228</v>
      </c>
      <c r="D2308" s="32">
        <f>+E845</f>
        <v>831951.64</v>
      </c>
      <c r="E2308" s="32">
        <f>+F845</f>
        <v>2198364.35</v>
      </c>
      <c r="F2308" s="32">
        <f t="shared" si="1420"/>
        <v>-44324.53488284722</v>
      </c>
      <c r="G2308" s="313">
        <f t="shared" si="1421"/>
        <v>-5.8935716602323707E-3</v>
      </c>
      <c r="H2308" s="443">
        <f t="shared" ref="H2308:H2313" si="1425">+H2307+G2308</f>
        <v>0.30937375500509345</v>
      </c>
      <c r="I2308" s="443"/>
    </row>
    <row r="2309" spans="1:9">
      <c r="A2309" s="415">
        <f>+A847</f>
        <v>42213</v>
      </c>
      <c r="B2309" s="32">
        <f>+B856</f>
        <v>7515385.5455379644</v>
      </c>
      <c r="C2309" s="32">
        <f>+D856</f>
        <v>4476252.9555379646</v>
      </c>
      <c r="D2309" s="32">
        <f>+E856</f>
        <v>833195.24</v>
      </c>
      <c r="E2309" s="32">
        <f>+F856</f>
        <v>2205937.35</v>
      </c>
      <c r="F2309" s="32">
        <f t="shared" ref="F2309:F2340" si="1426">+B2309-B2308</f>
        <v>38882.73866934143</v>
      </c>
      <c r="G2309" s="313">
        <f t="shared" ref="G2309:G2340" si="1427">+F2309/(B2308)</f>
        <v>5.2006586065372791E-3</v>
      </c>
      <c r="H2309" s="443">
        <f t="shared" si="1425"/>
        <v>0.31457441361163074</v>
      </c>
      <c r="I2309" s="443"/>
    </row>
    <row r="2310" spans="1:9">
      <c r="A2310" s="415">
        <f>+A858</f>
        <v>42244</v>
      </c>
      <c r="B2310" s="32">
        <f>+B867</f>
        <v>7403166.5150758969</v>
      </c>
      <c r="C2310" s="32">
        <f>+D867</f>
        <v>4473503.4850758966</v>
      </c>
      <c r="D2310" s="32">
        <f>+E867</f>
        <v>833804.2</v>
      </c>
      <c r="E2310" s="32">
        <f>+F867</f>
        <v>2095858.83</v>
      </c>
      <c r="F2310" s="32">
        <f t="shared" si="1426"/>
        <v>-112219.03046206757</v>
      </c>
      <c r="G2310" s="313">
        <f t="shared" si="1427"/>
        <v>-1.4931905992327202E-2</v>
      </c>
      <c r="H2310" s="443">
        <f t="shared" si="1425"/>
        <v>0.29964250761930356</v>
      </c>
      <c r="I2310" s="443"/>
    </row>
    <row r="2311" spans="1:9">
      <c r="A2311" s="415">
        <f>+A869</f>
        <v>42275</v>
      </c>
      <c r="B2311" s="32">
        <f>+B878</f>
        <v>7404211.0549802873</v>
      </c>
      <c r="C2311" s="32">
        <f>+D878</f>
        <v>4524114.9549802877</v>
      </c>
      <c r="D2311" s="32">
        <f>+E878</f>
        <v>845442.68</v>
      </c>
      <c r="E2311" s="32">
        <f>+F878</f>
        <v>2034653.42</v>
      </c>
      <c r="F2311" s="32">
        <f t="shared" si="1426"/>
        <v>1044.5399043904617</v>
      </c>
      <c r="G2311" s="313">
        <f t="shared" si="1427"/>
        <v>1.4109366610400403E-4</v>
      </c>
      <c r="H2311" s="443">
        <f t="shared" si="1425"/>
        <v>0.29978360128540754</v>
      </c>
      <c r="I2311" s="443"/>
    </row>
    <row r="2312" spans="1:9">
      <c r="A2312" s="415">
        <f>+A880</f>
        <v>42305</v>
      </c>
      <c r="B2312" s="32">
        <f>+B889</f>
        <v>7573893.9554125527</v>
      </c>
      <c r="C2312" s="32">
        <f>+D889</f>
        <v>4450050.8354125526</v>
      </c>
      <c r="D2312" s="32">
        <f>+E889</f>
        <v>921744.74</v>
      </c>
      <c r="E2312" s="32">
        <f>+F889</f>
        <v>2202098.38</v>
      </c>
      <c r="F2312" s="32">
        <f t="shared" si="1426"/>
        <v>169682.90043226536</v>
      </c>
      <c r="G2312" s="313">
        <f t="shared" si="1427"/>
        <v>2.2917080452228834E-2</v>
      </c>
      <c r="H2312" s="443">
        <f t="shared" si="1425"/>
        <v>0.32270068173763639</v>
      </c>
      <c r="I2312" s="443"/>
    </row>
    <row r="2313" spans="1:9">
      <c r="A2313" s="415">
        <f>+A891</f>
        <v>42336</v>
      </c>
      <c r="B2313" s="32">
        <f>+B900</f>
        <v>7582078.3600162081</v>
      </c>
      <c r="C2313" s="32">
        <f>+D900</f>
        <v>4461680.1800162084</v>
      </c>
      <c r="D2313" s="32">
        <f>+E900</f>
        <v>919772.55</v>
      </c>
      <c r="E2313" s="32">
        <f>+F900</f>
        <v>2200625.63</v>
      </c>
      <c r="F2313" s="32">
        <f t="shared" si="1426"/>
        <v>8184.40460365545</v>
      </c>
      <c r="G2313" s="313">
        <f t="shared" si="1427"/>
        <v>1.0806072347773771E-3</v>
      </c>
      <c r="H2313" s="443">
        <f t="shared" si="1425"/>
        <v>0.32378128897241376</v>
      </c>
      <c r="I2313" s="443"/>
    </row>
    <row r="2314" spans="1:9">
      <c r="A2314" s="415">
        <f>+A902</f>
        <v>42366</v>
      </c>
      <c r="B2314" s="32">
        <f>+B911</f>
        <v>7539182.0989710297</v>
      </c>
      <c r="C2314" s="32">
        <f>+D911</f>
        <v>4435522.4789710306</v>
      </c>
      <c r="D2314" s="32">
        <f>+E911</f>
        <v>939509.45</v>
      </c>
      <c r="E2314" s="32">
        <f>+F911</f>
        <v>2164150.17</v>
      </c>
      <c r="F2314" s="32">
        <f t="shared" si="1426"/>
        <v>-42896.261045178398</v>
      </c>
      <c r="G2314" s="313">
        <f t="shared" si="1427"/>
        <v>-5.6575860876603625E-3</v>
      </c>
      <c r="H2314" s="443">
        <f t="shared" ref="H2314:H2319" si="1428">+H2313+G2314</f>
        <v>0.31812370288475339</v>
      </c>
      <c r="I2314" s="32">
        <f>+B2314-2735000</f>
        <v>4804182.0989710297</v>
      </c>
    </row>
    <row r="2315" spans="1:9" ht="13">
      <c r="A2315" s="415">
        <f>+A913</f>
        <v>42397</v>
      </c>
      <c r="B2315" s="32">
        <f>+B922</f>
        <v>7416961.7627621898</v>
      </c>
      <c r="C2315" s="32">
        <f>+D922</f>
        <v>4595172.7927621901</v>
      </c>
      <c r="D2315" s="32">
        <f>+E922</f>
        <v>783340.63</v>
      </c>
      <c r="E2315" s="32">
        <f>+F922</f>
        <v>2038448.34</v>
      </c>
      <c r="F2315" s="32">
        <f t="shared" si="1426"/>
        <v>-122220.3362088399</v>
      </c>
      <c r="G2315" s="313">
        <f t="shared" si="1427"/>
        <v>-1.6211352187065611E-2</v>
      </c>
      <c r="H2315" s="443">
        <f t="shared" si="1428"/>
        <v>0.30191235069768779</v>
      </c>
      <c r="I2315" s="451">
        <f>(+I2314-I2302)/I2302</f>
        <v>5.6767738580973025E-2</v>
      </c>
    </row>
    <row r="2316" spans="1:9">
      <c r="A2316" s="415">
        <f>+A924</f>
        <v>42428</v>
      </c>
      <c r="B2316" s="32">
        <f>+B933</f>
        <v>7637960.0376450224</v>
      </c>
      <c r="C2316" s="32">
        <f>+D933</f>
        <v>4780546.1876450228</v>
      </c>
      <c r="D2316" s="32">
        <f>+E933</f>
        <v>796831.47</v>
      </c>
      <c r="E2316" s="32">
        <f>+F933</f>
        <v>2060582.38</v>
      </c>
      <c r="F2316" s="32">
        <f t="shared" si="1426"/>
        <v>220998.27488283254</v>
      </c>
      <c r="G2316" s="313">
        <f t="shared" si="1427"/>
        <v>2.979633466527801E-2</v>
      </c>
      <c r="H2316" s="443">
        <f t="shared" si="1428"/>
        <v>0.33170868536296583</v>
      </c>
      <c r="I2316" s="443"/>
    </row>
    <row r="2317" spans="1:9">
      <c r="A2317" s="415">
        <f>+A935</f>
        <v>42457</v>
      </c>
      <c r="B2317" s="32">
        <f>+B944</f>
        <v>7751403.3418564079</v>
      </c>
      <c r="C2317" s="32">
        <f>+D944</f>
        <v>4789391.4018564075</v>
      </c>
      <c r="D2317" s="32">
        <f>+E944</f>
        <v>803970.55</v>
      </c>
      <c r="E2317" s="32">
        <f>+F944</f>
        <v>2158041.39</v>
      </c>
      <c r="F2317" s="32">
        <f t="shared" si="1426"/>
        <v>113443.30421138555</v>
      </c>
      <c r="G2317" s="313">
        <f t="shared" si="1427"/>
        <v>1.4852565822845417E-2</v>
      </c>
      <c r="H2317" s="443">
        <f t="shared" si="1428"/>
        <v>0.34656125118581127</v>
      </c>
    </row>
    <row r="2318" spans="1:9">
      <c r="A2318" s="415">
        <f>+A946</f>
        <v>42488</v>
      </c>
      <c r="B2318" s="32">
        <f>+B955</f>
        <v>7798289.1862577265</v>
      </c>
      <c r="C2318" s="32">
        <f>+D955</f>
        <v>4799624.4262577267</v>
      </c>
      <c r="D2318" s="32">
        <f>+E955</f>
        <v>817886.57</v>
      </c>
      <c r="E2318" s="32">
        <f>+F955</f>
        <v>2180778.19</v>
      </c>
      <c r="F2318" s="32">
        <f t="shared" si="1426"/>
        <v>46885.84440131858</v>
      </c>
      <c r="G2318" s="313">
        <f t="shared" si="1427"/>
        <v>6.0486910993448242E-3</v>
      </c>
      <c r="H2318" s="443">
        <f t="shared" si="1428"/>
        <v>0.35260994228515607</v>
      </c>
    </row>
    <row r="2319" spans="1:9">
      <c r="A2319" s="415">
        <f>+A957</f>
        <v>42518</v>
      </c>
      <c r="B2319" s="32">
        <f>+B966</f>
        <v>7855082.4601324666</v>
      </c>
      <c r="C2319" s="32">
        <f>+D966</f>
        <v>4813351.9401324671</v>
      </c>
      <c r="D2319" s="32">
        <f>+E966</f>
        <v>839481.94</v>
      </c>
      <c r="E2319" s="32">
        <f>+F966</f>
        <v>2202248.58</v>
      </c>
      <c r="F2319" s="32">
        <f t="shared" si="1426"/>
        <v>56793.273874740116</v>
      </c>
      <c r="G2319" s="313">
        <f t="shared" si="1427"/>
        <v>7.2827863289325247E-3</v>
      </c>
      <c r="H2319" s="443">
        <f t="shared" si="1428"/>
        <v>0.35989272861408861</v>
      </c>
    </row>
    <row r="2320" spans="1:9">
      <c r="A2320" s="415">
        <f>+A968</f>
        <v>42549</v>
      </c>
      <c r="B2320" s="32">
        <f>+B977</f>
        <v>7877150.6196030164</v>
      </c>
      <c r="C2320" s="32">
        <f>+D977</f>
        <v>3768207.2496030172</v>
      </c>
      <c r="D2320" s="32">
        <f>+E977</f>
        <v>1932814.33</v>
      </c>
      <c r="E2320" s="32">
        <f>+F977</f>
        <v>2176129.04</v>
      </c>
      <c r="F2320" s="32">
        <f t="shared" si="1426"/>
        <v>22068.159470549785</v>
      </c>
      <c r="G2320" s="313">
        <f t="shared" si="1427"/>
        <v>2.8094115602928542E-3</v>
      </c>
      <c r="H2320" s="443">
        <f t="shared" ref="H2320:H2325" si="1429">+H2319+G2320</f>
        <v>0.36270214017438146</v>
      </c>
    </row>
    <row r="2321" spans="1:9">
      <c r="A2321" s="415">
        <f>+A979</f>
        <v>42579</v>
      </c>
      <c r="B2321" s="32">
        <f>+B988</f>
        <v>8028697.8365112366</v>
      </c>
      <c r="C2321" s="32">
        <f>+D988</f>
        <v>3800001.6365112374</v>
      </c>
      <c r="D2321" s="32">
        <f>+E988</f>
        <v>1959255.2</v>
      </c>
      <c r="E2321" s="32">
        <f>+F988</f>
        <v>2269441</v>
      </c>
      <c r="F2321" s="32">
        <f t="shared" si="1426"/>
        <v>151547.2169082202</v>
      </c>
      <c r="G2321" s="313">
        <f t="shared" si="1427"/>
        <v>1.923883701437433E-2</v>
      </c>
      <c r="H2321" s="443">
        <f t="shared" si="1429"/>
        <v>0.3819409771887558</v>
      </c>
    </row>
    <row r="2322" spans="1:9">
      <c r="A2322" s="415">
        <f>+A990</f>
        <v>42610</v>
      </c>
      <c r="B2322" s="32">
        <f>+B999</f>
        <v>8117889.4229694586</v>
      </c>
      <c r="C2322" s="32">
        <f>+D999</f>
        <v>3741073.8729694593</v>
      </c>
      <c r="D2322" s="32">
        <f>+E999</f>
        <v>2078291.02</v>
      </c>
      <c r="E2322" s="32">
        <f>+F999</f>
        <v>2298524.5299999998</v>
      </c>
      <c r="F2322" s="32">
        <f t="shared" si="1426"/>
        <v>89191.586458222009</v>
      </c>
      <c r="G2322" s="313">
        <f t="shared" si="1427"/>
        <v>1.1109097424568044E-2</v>
      </c>
      <c r="H2322" s="443">
        <f t="shared" si="1429"/>
        <v>0.39305007461332386</v>
      </c>
    </row>
    <row r="2323" spans="1:9">
      <c r="A2323" s="415">
        <f>+A1001</f>
        <v>42641</v>
      </c>
      <c r="B2323" s="32">
        <f>+B1010</f>
        <v>8176827.5518848281</v>
      </c>
      <c r="C2323" s="32">
        <f>+D1010</f>
        <v>3753305.6118848282</v>
      </c>
      <c r="D2323" s="32">
        <f>+E1010</f>
        <v>2116924.9300000002</v>
      </c>
      <c r="E2323" s="32">
        <f>+F1010</f>
        <v>2306597.0100000002</v>
      </c>
      <c r="F2323" s="32">
        <f t="shared" si="1426"/>
        <v>58938.128915369511</v>
      </c>
      <c r="G2323" s="313">
        <f t="shared" si="1427"/>
        <v>7.2602773756199326E-3</v>
      </c>
      <c r="H2323" s="443">
        <f t="shared" si="1429"/>
        <v>0.40031035198894377</v>
      </c>
    </row>
    <row r="2324" spans="1:9">
      <c r="A2324" s="415">
        <f>+A1012</f>
        <v>42671</v>
      </c>
      <c r="B2324" s="32">
        <f>+B1021</f>
        <v>8137840.2914945045</v>
      </c>
      <c r="C2324" s="32">
        <f>+D1021</f>
        <v>3780974.5514945034</v>
      </c>
      <c r="D2324" s="32">
        <f>+E1021</f>
        <v>2071490.81</v>
      </c>
      <c r="E2324" s="32">
        <f>+F1021</f>
        <v>2285374.9300000002</v>
      </c>
      <c r="F2324" s="32">
        <f t="shared" si="1426"/>
        <v>-38987.260390323587</v>
      </c>
      <c r="G2324" s="313">
        <f t="shared" si="1427"/>
        <v>-4.7680179315187704E-3</v>
      </c>
      <c r="H2324" s="443">
        <f t="shared" si="1429"/>
        <v>0.395542334057425</v>
      </c>
    </row>
    <row r="2325" spans="1:9">
      <c r="A2325" s="415">
        <f>+A1023</f>
        <v>42702</v>
      </c>
      <c r="B2325" s="32">
        <f>+B1032</f>
        <v>7996106.8268589871</v>
      </c>
      <c r="C2325" s="32">
        <f>+D1032</f>
        <v>3774371.9868589868</v>
      </c>
      <c r="D2325" s="32">
        <f>+E1032</f>
        <v>1946931.27</v>
      </c>
      <c r="E2325" s="32">
        <f>+F1032</f>
        <v>2274803.5699999998</v>
      </c>
      <c r="F2325" s="32">
        <f t="shared" si="1426"/>
        <v>-141733.46463551745</v>
      </c>
      <c r="G2325" s="313">
        <f t="shared" si="1427"/>
        <v>-1.7416594521233626E-2</v>
      </c>
      <c r="H2325" s="443">
        <f t="shared" si="1429"/>
        <v>0.37812573953619139</v>
      </c>
    </row>
    <row r="2326" spans="1:9">
      <c r="A2326" s="415">
        <f>+A1034</f>
        <v>42732</v>
      </c>
      <c r="B2326" s="32">
        <f>+B1043</f>
        <v>8028121.4805789115</v>
      </c>
      <c r="C2326" s="32">
        <f>+D1043</f>
        <v>3796036.8805789119</v>
      </c>
      <c r="D2326" s="32">
        <f>+E1043</f>
        <v>1957281.03</v>
      </c>
      <c r="E2326" s="32">
        <f>+F1043</f>
        <v>2274803.5699999998</v>
      </c>
      <c r="F2326" s="32">
        <f t="shared" si="1426"/>
        <v>32014.65371992439</v>
      </c>
      <c r="G2326" s="313">
        <f t="shared" si="1427"/>
        <v>4.0037801411540565E-3</v>
      </c>
      <c r="H2326" s="443">
        <f t="shared" ref="H2326" si="1430">+H2325+G2326</f>
        <v>0.38212951967734543</v>
      </c>
      <c r="I2326" s="32">
        <f>+B2326-2735000</f>
        <v>5293121.4805789115</v>
      </c>
    </row>
    <row r="2327" spans="1:9" ht="13">
      <c r="A2327" s="415">
        <f>+A1045</f>
        <v>42763</v>
      </c>
      <c r="B2327" s="32">
        <f>+B1054</f>
        <v>8175497.7320073051</v>
      </c>
      <c r="C2327" s="32">
        <f>+D1054</f>
        <v>3813457.2320073051</v>
      </c>
      <c r="D2327" s="32">
        <f>+E1054</f>
        <v>1999732.77</v>
      </c>
      <c r="E2327" s="32">
        <f>+F1054</f>
        <v>2362307.73</v>
      </c>
      <c r="F2327" s="32">
        <f t="shared" si="1426"/>
        <v>147376.25142839365</v>
      </c>
      <c r="G2327" s="313">
        <f t="shared" si="1427"/>
        <v>1.8357501413614169E-2</v>
      </c>
      <c r="H2327" s="443">
        <f t="shared" ref="H2327" si="1431">+H2326+G2327</f>
        <v>0.40048702109095957</v>
      </c>
      <c r="I2327" s="451">
        <f>(+I2326-I2314)/I2314</f>
        <v>0.1017736987348177</v>
      </c>
    </row>
    <row r="2328" spans="1:9">
      <c r="A2328" s="415">
        <f>+A1056</f>
        <v>42794</v>
      </c>
      <c r="B2328" s="32">
        <f>+B1065</f>
        <v>8302169.4644151991</v>
      </c>
      <c r="C2328" s="32">
        <f>+D1065</f>
        <v>3730094.1644152002</v>
      </c>
      <c r="D2328" s="32">
        <f>+E1065</f>
        <v>2140289.96</v>
      </c>
      <c r="E2328" s="32">
        <f>+F1065</f>
        <v>2431785.34</v>
      </c>
      <c r="F2328" s="32">
        <f t="shared" si="1426"/>
        <v>126671.73240789399</v>
      </c>
      <c r="G2328" s="313">
        <f t="shared" si="1427"/>
        <v>1.5494069787576427E-2</v>
      </c>
      <c r="H2328" s="443">
        <f t="shared" ref="H2328" si="1432">+H2327+G2328</f>
        <v>0.41598109087853602</v>
      </c>
    </row>
    <row r="2329" spans="1:9" ht="13">
      <c r="A2329" s="415">
        <f>+A1067</f>
        <v>42822</v>
      </c>
      <c r="B2329" s="32">
        <f>+B1076</f>
        <v>8104756.2375008091</v>
      </c>
      <c r="C2329" s="32">
        <f>+D1076</f>
        <v>3752184.6575008095</v>
      </c>
      <c r="D2329" s="32">
        <f>+E1076</f>
        <v>1899571.58</v>
      </c>
      <c r="E2329" s="32">
        <f>+F1076</f>
        <v>2453000</v>
      </c>
      <c r="F2329" s="32">
        <f t="shared" si="1426"/>
        <v>-197413.22691438999</v>
      </c>
      <c r="G2329" s="313">
        <f t="shared" si="1427"/>
        <v>-2.3778510877252454E-2</v>
      </c>
      <c r="H2329" s="443">
        <f t="shared" ref="H2329" si="1433">+H2328+G2329</f>
        <v>0.39220258000128355</v>
      </c>
      <c r="I2329" s="602" t="s">
        <v>178</v>
      </c>
    </row>
    <row r="2330" spans="1:9">
      <c r="A2330" s="415">
        <f>+A1078</f>
        <v>42853</v>
      </c>
      <c r="B2330" s="32">
        <f>+B1087</f>
        <v>8227020.4190913942</v>
      </c>
      <c r="C2330" s="32">
        <f>+D1087</f>
        <v>3774194.9290913939</v>
      </c>
      <c r="D2330" s="32">
        <f>+E1087</f>
        <v>1977849.53</v>
      </c>
      <c r="E2330" s="32">
        <f>+F1087</f>
        <v>2474975.96</v>
      </c>
      <c r="F2330" s="32">
        <f t="shared" si="1426"/>
        <v>122264.18159058504</v>
      </c>
      <c r="G2330" s="313">
        <f t="shared" si="1427"/>
        <v>1.5085485362886935E-2</v>
      </c>
      <c r="H2330" s="443">
        <f t="shared" ref="H2330" si="1434">+H2329+G2330</f>
        <v>0.4072880653641705</v>
      </c>
    </row>
    <row r="2331" spans="1:9">
      <c r="A2331" s="415">
        <f>+A1089</f>
        <v>42883</v>
      </c>
      <c r="B2331" s="32">
        <f>+B1098</f>
        <v>8303813.0120135248</v>
      </c>
      <c r="C2331" s="32">
        <f>+D1098</f>
        <v>3783919.8220135244</v>
      </c>
      <c r="D2331" s="32">
        <f>+E1098</f>
        <v>2003345.34</v>
      </c>
      <c r="E2331" s="32">
        <f>+F1098</f>
        <v>2516547.8499999996</v>
      </c>
      <c r="F2331" s="32">
        <f t="shared" si="1426"/>
        <v>76792.5929221306</v>
      </c>
      <c r="G2331" s="313">
        <f t="shared" si="1427"/>
        <v>9.3341925764433321E-3</v>
      </c>
      <c r="H2331" s="443">
        <f t="shared" ref="H2331" si="1435">+H2330+G2331</f>
        <v>0.41662225794061386</v>
      </c>
    </row>
    <row r="2332" spans="1:9">
      <c r="A2332" s="415">
        <f>+A1100</f>
        <v>42914</v>
      </c>
      <c r="B2332" s="32">
        <f>+B1109</f>
        <v>8263833.5690661883</v>
      </c>
      <c r="C2332" s="32">
        <f>+D1109</f>
        <v>3779410.1990661882</v>
      </c>
      <c r="D2332" s="32">
        <f>+E1109</f>
        <v>1973292.45</v>
      </c>
      <c r="E2332" s="32">
        <f>+F1109</f>
        <v>2511130.92</v>
      </c>
      <c r="F2332" s="32">
        <f t="shared" si="1426"/>
        <v>-39979.442947336473</v>
      </c>
      <c r="G2332" s="313">
        <f t="shared" si="1427"/>
        <v>-4.8145885377592554E-3</v>
      </c>
      <c r="H2332" s="443">
        <f t="shared" ref="H2332" si="1436">+H2331+G2332</f>
        <v>0.41180766940285463</v>
      </c>
    </row>
    <row r="2333" spans="1:9">
      <c r="A2333" s="415">
        <f>+A1111</f>
        <v>42944</v>
      </c>
      <c r="B2333" s="32">
        <f>+B1120</f>
        <v>8334319.4952619076</v>
      </c>
      <c r="C2333" s="32">
        <f>+D1120</f>
        <v>3764211.6552619073</v>
      </c>
      <c r="D2333" s="32">
        <f>+E1120</f>
        <v>2010666.21</v>
      </c>
      <c r="E2333" s="32">
        <f>+F1120</f>
        <v>2559441.63</v>
      </c>
      <c r="F2333" s="32">
        <f t="shared" si="1426"/>
        <v>70485.926195719279</v>
      </c>
      <c r="G2333" s="313">
        <f t="shared" si="1427"/>
        <v>8.5294464858982118E-3</v>
      </c>
      <c r="H2333" s="443">
        <f t="shared" ref="H2333" si="1437">+H2332+G2333</f>
        <v>0.42033711588875283</v>
      </c>
    </row>
    <row r="2334" spans="1:9">
      <c r="A2334" s="415">
        <f>+A1122</f>
        <v>42975</v>
      </c>
      <c r="B2334" s="32">
        <f>+B1131</f>
        <v>8502969.7760033421</v>
      </c>
      <c r="C2334" s="32">
        <f>+D1131</f>
        <v>3810066.7760033417</v>
      </c>
      <c r="D2334" s="32">
        <f>+E1131</f>
        <v>2103455.31</v>
      </c>
      <c r="E2334" s="32">
        <f>+F1131</f>
        <v>2589447.69</v>
      </c>
      <c r="F2334" s="32">
        <f t="shared" si="1426"/>
        <v>168650.28074143454</v>
      </c>
      <c r="G2334" s="313">
        <f t="shared" si="1427"/>
        <v>2.0235639014956515E-2</v>
      </c>
      <c r="H2334" s="443">
        <f t="shared" ref="H2334" si="1438">+H2333+G2334</f>
        <v>0.44057275490370934</v>
      </c>
    </row>
    <row r="2335" spans="1:9">
      <c r="A2335" s="415">
        <f>+A1133</f>
        <v>43006</v>
      </c>
      <c r="B2335" s="32">
        <f>+B1142</f>
        <v>8585146.9768862836</v>
      </c>
      <c r="C2335" s="32">
        <f>+D1142</f>
        <v>3827302.6068862835</v>
      </c>
      <c r="D2335" s="32">
        <f>+E1142</f>
        <v>2835203.25</v>
      </c>
      <c r="E2335" s="32">
        <f>+F1142</f>
        <v>1922641.12</v>
      </c>
      <c r="F2335" s="32">
        <f t="shared" si="1426"/>
        <v>82177.200882941484</v>
      </c>
      <c r="G2335" s="313">
        <f t="shared" si="1427"/>
        <v>9.6645293406614104E-3</v>
      </c>
      <c r="H2335" s="443">
        <f t="shared" ref="H2335" si="1439">+H2334+G2335</f>
        <v>0.45023728424437076</v>
      </c>
    </row>
    <row r="2336" spans="1:9">
      <c r="A2336" s="415">
        <f>+A1144</f>
        <v>43036</v>
      </c>
      <c r="B2336" s="32">
        <f>+B1153</f>
        <v>8722581.8488605395</v>
      </c>
      <c r="C2336" s="32">
        <f>+D1153</f>
        <v>3845613.328860539</v>
      </c>
      <c r="D2336" s="32">
        <f>+E1153</f>
        <v>2886700.37</v>
      </c>
      <c r="E2336" s="32">
        <f>+F1153</f>
        <v>1990268.15</v>
      </c>
      <c r="F2336" s="32">
        <f t="shared" si="1426"/>
        <v>137434.87197425589</v>
      </c>
      <c r="G2336" s="313">
        <f t="shared" si="1427"/>
        <v>1.6008447187249163E-2</v>
      </c>
      <c r="H2336" s="443">
        <f t="shared" ref="H2336" si="1440">+H2335+G2336</f>
        <v>0.4662457314316199</v>
      </c>
    </row>
    <row r="2337" spans="1:9">
      <c r="A2337" s="415">
        <f>+A1155</f>
        <v>43067</v>
      </c>
      <c r="B2337" s="32">
        <f>+B1164</f>
        <v>8775897.6528239995</v>
      </c>
      <c r="C2337" s="32">
        <f>+D1164</f>
        <v>3853729.7928240001</v>
      </c>
      <c r="D2337" s="32">
        <f>+E1164</f>
        <v>2893191.64</v>
      </c>
      <c r="E2337" s="32">
        <f>+F1164</f>
        <v>2028976.22</v>
      </c>
      <c r="F2337" s="32">
        <f t="shared" si="1426"/>
        <v>53315.803963460028</v>
      </c>
      <c r="G2337" s="313">
        <f t="shared" si="1427"/>
        <v>6.1123879245025201E-3</v>
      </c>
      <c r="H2337" s="443">
        <f t="shared" ref="H2337" si="1441">+H2336+G2337</f>
        <v>0.47235811935612243</v>
      </c>
    </row>
    <row r="2338" spans="1:9">
      <c r="A2338" s="415">
        <f>+A1166</f>
        <v>43097</v>
      </c>
      <c r="B2338" s="32">
        <f>+B1175</f>
        <v>8819006.6988459639</v>
      </c>
      <c r="C2338" s="32">
        <f>+D1175</f>
        <v>3855168.8888459629</v>
      </c>
      <c r="D2338" s="32">
        <f>+E1175</f>
        <v>2903875.64</v>
      </c>
      <c r="E2338" s="32">
        <f>+F1175</f>
        <v>2059962.17</v>
      </c>
      <c r="F2338" s="32">
        <f t="shared" si="1426"/>
        <v>43109.046021964401</v>
      </c>
      <c r="G2338" s="313">
        <f t="shared" si="1427"/>
        <v>4.9122092949764884E-3</v>
      </c>
      <c r="H2338" s="443">
        <f t="shared" ref="H2338" si="1442">+H2337+G2338</f>
        <v>0.47727032865109892</v>
      </c>
      <c r="I2338" s="32">
        <f>+B2338-2735000</f>
        <v>6084006.6988459639</v>
      </c>
    </row>
    <row r="2339" spans="1:9" ht="13">
      <c r="A2339" s="415">
        <f>+A1177</f>
        <v>43128</v>
      </c>
      <c r="B2339" s="32">
        <f>+B1186</f>
        <v>8971163.4186242037</v>
      </c>
      <c r="C2339" s="32">
        <f>+D1186</f>
        <v>3875113.6686242018</v>
      </c>
      <c r="D2339" s="32">
        <f>+E1186</f>
        <v>2918532.93</v>
      </c>
      <c r="E2339" s="32">
        <f>+F1186</f>
        <v>2177516.8199999998</v>
      </c>
      <c r="F2339" s="32">
        <f t="shared" si="1426"/>
        <v>152156.71977823973</v>
      </c>
      <c r="G2339" s="313">
        <f t="shared" si="1427"/>
        <v>1.725327182234147E-2</v>
      </c>
      <c r="H2339" s="443">
        <f t="shared" ref="H2339:H2341" si="1443">+H2338+G2339</f>
        <v>0.49452360047344041</v>
      </c>
      <c r="I2339" s="451">
        <f>(+I2338-I2326)/I2326</f>
        <v>0.14941754523656858</v>
      </c>
    </row>
    <row r="2340" spans="1:9">
      <c r="A2340" s="415">
        <f>+A1188</f>
        <v>43159</v>
      </c>
      <c r="B2340" s="32">
        <f>+B1197</f>
        <v>8806208.6871627402</v>
      </c>
      <c r="C2340" s="32">
        <f>+D1197</f>
        <v>3864795.73716274</v>
      </c>
      <c r="D2340" s="32">
        <f>+E1197</f>
        <v>2830695.06</v>
      </c>
      <c r="E2340" s="32">
        <f>+F1197</f>
        <v>2110717.89</v>
      </c>
      <c r="F2340" s="32">
        <f t="shared" si="1426"/>
        <v>-164954.7314614635</v>
      </c>
      <c r="G2340" s="313">
        <f t="shared" si="1427"/>
        <v>-1.8387217327801231E-2</v>
      </c>
      <c r="H2340" s="443">
        <f t="shared" si="1443"/>
        <v>0.47613638314563916</v>
      </c>
    </row>
    <row r="2341" spans="1:9">
      <c r="A2341" s="415">
        <f>+A1199</f>
        <v>43187</v>
      </c>
      <c r="B2341" s="32">
        <f>+B1208</f>
        <v>8765365.1414975468</v>
      </c>
      <c r="C2341" s="32">
        <f>+D1208</f>
        <v>3869311.4514975469</v>
      </c>
      <c r="D2341" s="32">
        <f>+E1208</f>
        <v>2829053.66</v>
      </c>
      <c r="E2341" s="32">
        <f>+F1208</f>
        <v>2067000.03</v>
      </c>
      <c r="F2341" s="32">
        <f t="shared" ref="F2341:F2348" si="1444">+B2341-B2340</f>
        <v>-40843.545665193349</v>
      </c>
      <c r="G2341" s="313">
        <f t="shared" ref="G2341:G2372" si="1445">+F2341/(B2340)</f>
        <v>-4.6380397190374408E-3</v>
      </c>
      <c r="H2341" s="443">
        <f t="shared" si="1443"/>
        <v>0.47149834342660174</v>
      </c>
    </row>
    <row r="2342" spans="1:9">
      <c r="A2342" s="415">
        <f>+A1210</f>
        <v>43218</v>
      </c>
      <c r="B2342" s="32">
        <f>+B1219</f>
        <v>8765057.7922350094</v>
      </c>
      <c r="C2342" s="32">
        <f>+D1219</f>
        <v>3876653.3722350085</v>
      </c>
      <c r="D2342" s="32">
        <f>+E1219</f>
        <v>2807213.53</v>
      </c>
      <c r="E2342" s="32">
        <f>+F1219</f>
        <v>2081190.89</v>
      </c>
      <c r="F2342" s="32">
        <f t="shared" si="1444"/>
        <v>-307.3492625374347</v>
      </c>
      <c r="G2342" s="313">
        <f t="shared" si="1445"/>
        <v>-3.5064056953242295E-5</v>
      </c>
      <c r="H2342" s="443">
        <f t="shared" ref="H2342" si="1446">+H2341+G2342</f>
        <v>0.47146327936964849</v>
      </c>
    </row>
    <row r="2343" spans="1:9">
      <c r="A2343" s="415">
        <f>+A1221</f>
        <v>43248</v>
      </c>
      <c r="B2343" s="32">
        <f>+B1230</f>
        <v>8567723.4469657764</v>
      </c>
      <c r="C2343" s="32">
        <f>+D1230</f>
        <v>3276774.6969657773</v>
      </c>
      <c r="D2343" s="32">
        <f>+E1230</f>
        <v>3207707.5</v>
      </c>
      <c r="E2343" s="32">
        <f>+F1230</f>
        <v>2083241.25</v>
      </c>
      <c r="F2343" s="32">
        <f t="shared" si="1444"/>
        <v>-197334.34526923299</v>
      </c>
      <c r="G2343" s="313">
        <f t="shared" si="1445"/>
        <v>-2.2513752897790597E-2</v>
      </c>
      <c r="H2343" s="443">
        <f t="shared" ref="H2343" si="1447">+H2342+G2343</f>
        <v>0.44894952647185787</v>
      </c>
    </row>
    <row r="2344" spans="1:9">
      <c r="A2344" s="415">
        <f>+A1232</f>
        <v>43279</v>
      </c>
      <c r="B2344" s="32">
        <f>+B1241</f>
        <v>8359117.1647090213</v>
      </c>
      <c r="C2344" s="32">
        <f>+D1241</f>
        <v>3247523.6447090209</v>
      </c>
      <c r="D2344" s="32">
        <f>+E1241</f>
        <v>3066196.31</v>
      </c>
      <c r="E2344" s="32">
        <f>+F1241</f>
        <v>2045397.21</v>
      </c>
      <c r="F2344" s="32">
        <f t="shared" si="1444"/>
        <v>-208606.28225675505</v>
      </c>
      <c r="G2344" s="313">
        <f t="shared" si="1445"/>
        <v>-2.4347924340465506E-2</v>
      </c>
      <c r="H2344" s="443">
        <f t="shared" ref="H2344" si="1448">+H2343+G2344</f>
        <v>0.42460160213139236</v>
      </c>
    </row>
    <row r="2345" spans="1:9">
      <c r="A2345" s="415">
        <f>+A1243</f>
        <v>43309</v>
      </c>
      <c r="B2345" s="32">
        <f>+B1252</f>
        <v>8543654.0153943487</v>
      </c>
      <c r="C2345" s="32">
        <f>+D1252</f>
        <v>3280166.8853943488</v>
      </c>
      <c r="D2345" s="32">
        <f>+E1252</f>
        <v>3145716.9</v>
      </c>
      <c r="E2345" s="32">
        <f>+F1252</f>
        <v>2117770.23</v>
      </c>
      <c r="F2345" s="32">
        <f t="shared" si="1444"/>
        <v>184536.85068532731</v>
      </c>
      <c r="G2345" s="313">
        <f t="shared" si="1445"/>
        <v>2.2076117256068034E-2</v>
      </c>
      <c r="H2345" s="443">
        <f t="shared" ref="H2345" si="1449">+H2344+G2345</f>
        <v>0.44667771938746037</v>
      </c>
    </row>
    <row r="2346" spans="1:9">
      <c r="A2346" s="415">
        <f>+A1254</f>
        <v>43340</v>
      </c>
      <c r="B2346" s="32">
        <f>+B1263</f>
        <v>8252883.9465973563</v>
      </c>
      <c r="C2346" s="32">
        <f>+D1263</f>
        <v>3238696.4765973566</v>
      </c>
      <c r="D2346" s="32">
        <f>+E1263</f>
        <v>2876446.67</v>
      </c>
      <c r="E2346" s="32">
        <f>+F1263</f>
        <v>2137740.7999999998</v>
      </c>
      <c r="F2346" s="32">
        <f t="shared" si="1444"/>
        <v>-290770.0687969923</v>
      </c>
      <c r="G2346" s="313">
        <f t="shared" si="1445"/>
        <v>-3.4033455506633274E-2</v>
      </c>
      <c r="H2346" s="443">
        <f t="shared" ref="H2346" si="1450">+H2345+G2346</f>
        <v>0.41264426388082709</v>
      </c>
    </row>
    <row r="2347" spans="1:9">
      <c r="A2347" s="415">
        <f>+A1265</f>
        <v>43371</v>
      </c>
      <c r="B2347" s="32">
        <f>+B1274</f>
        <v>8469804.4990862589</v>
      </c>
      <c r="C2347" s="32">
        <f>+D1274</f>
        <v>3245529.4790862594</v>
      </c>
      <c r="D2347" s="32">
        <f>+E1274</f>
        <v>3078325.75</v>
      </c>
      <c r="E2347" s="32">
        <f>+F1274</f>
        <v>2145949.27</v>
      </c>
      <c r="F2347" s="32">
        <f t="shared" si="1444"/>
        <v>216920.55248890258</v>
      </c>
      <c r="G2347" s="313">
        <f t="shared" si="1445"/>
        <v>2.6284212148450045E-2</v>
      </c>
      <c r="H2347" s="443">
        <f t="shared" ref="H2347" si="1451">+H2346+G2347</f>
        <v>0.43892847602927715</v>
      </c>
    </row>
    <row r="2348" spans="1:9">
      <c r="A2348" s="415">
        <f>+A1276</f>
        <v>43401</v>
      </c>
      <c r="B2348" s="32">
        <f>+B1285</f>
        <v>8276725.3456324441</v>
      </c>
      <c r="C2348" s="32">
        <f>+D1285</f>
        <v>3247858.1756324442</v>
      </c>
      <c r="D2348" s="32">
        <f>+E1285</f>
        <v>2988914.54</v>
      </c>
      <c r="E2348" s="32">
        <f>+F1285</f>
        <v>2039952.63</v>
      </c>
      <c r="F2348" s="32">
        <f t="shared" si="1444"/>
        <v>-193079.1534538148</v>
      </c>
      <c r="G2348" s="313">
        <f t="shared" si="1445"/>
        <v>-2.2796175929992789E-2</v>
      </c>
      <c r="H2348" s="443">
        <f t="shared" ref="H2348" si="1452">+H2347+G2348</f>
        <v>0.41613230009928437</v>
      </c>
    </row>
    <row r="2349" spans="1:9">
      <c r="A2349" s="415">
        <f>+A1287</f>
        <v>43432</v>
      </c>
      <c r="B2349" s="32">
        <f>+B1296</f>
        <v>8295276.3700324437</v>
      </c>
      <c r="C2349" s="32">
        <f>+D1296</f>
        <v>3257975.2400324442</v>
      </c>
      <c r="D2349" s="32">
        <f>+E1296</f>
        <v>2973896.2</v>
      </c>
      <c r="E2349" s="32">
        <f>+F1296</f>
        <v>2063404.93</v>
      </c>
      <c r="F2349" s="32">
        <f t="shared" ref="F2349" si="1453">+B2349-B2348</f>
        <v>18551.024399999529</v>
      </c>
      <c r="G2349" s="313">
        <f t="shared" si="1445"/>
        <v>2.2413483141359453E-3</v>
      </c>
      <c r="H2349" s="443">
        <f t="shared" ref="H2349" si="1454">+H2348+G2349</f>
        <v>0.41837364841342034</v>
      </c>
    </row>
    <row r="2350" spans="1:9">
      <c r="A2350" s="415">
        <f>+A1298</f>
        <v>43462</v>
      </c>
      <c r="B2350" s="32">
        <f>+B1307</f>
        <v>8076061.6996976929</v>
      </c>
      <c r="C2350" s="32">
        <f>+D1307</f>
        <v>3247216.0696976935</v>
      </c>
      <c r="D2350" s="32">
        <f>+E1307</f>
        <v>2903875.64</v>
      </c>
      <c r="E2350" s="32">
        <f>+F1307</f>
        <v>1924969.99</v>
      </c>
      <c r="F2350" s="32">
        <f t="shared" ref="F2350" si="1455">+B2350-B2349</f>
        <v>-219214.67033475079</v>
      </c>
      <c r="G2350" s="313">
        <f t="shared" si="1445"/>
        <v>-2.6426445672947895E-2</v>
      </c>
      <c r="H2350" s="443">
        <f t="shared" ref="H2350" si="1456">+H2349+G2350</f>
        <v>0.39194720274047246</v>
      </c>
      <c r="I2350" s="32">
        <f>+B2350-2735000</f>
        <v>5341061.6996976929</v>
      </c>
    </row>
    <row r="2351" spans="1:9" ht="13">
      <c r="A2351" s="415">
        <f>+A1309</f>
        <v>43493</v>
      </c>
      <c r="B2351" s="32">
        <f>+B1318</f>
        <v>8413911.0940310508</v>
      </c>
      <c r="C2351" s="32">
        <f>+D1318</f>
        <v>3250435.4940310516</v>
      </c>
      <c r="D2351" s="32">
        <f>+E1318</f>
        <v>3102854.87</v>
      </c>
      <c r="E2351" s="32">
        <f>+F1318</f>
        <v>2060620.73</v>
      </c>
      <c r="F2351" s="32">
        <f t="shared" ref="F2351" si="1457">+B2351-B2350</f>
        <v>337849.39433335792</v>
      </c>
      <c r="G2351" s="313">
        <f t="shared" si="1445"/>
        <v>4.1833434029609318E-2</v>
      </c>
      <c r="H2351" s="443">
        <f t="shared" ref="H2351" si="1458">+H2350+G2351</f>
        <v>0.43378063677008177</v>
      </c>
      <c r="I2351" s="451">
        <f>(+I2350-I2338)/I2338</f>
        <v>-0.12211442819239425</v>
      </c>
    </row>
    <row r="2352" spans="1:9">
      <c r="A2352" s="415">
        <f>+A1320</f>
        <v>43524</v>
      </c>
      <c r="B2352" s="32">
        <f>+B1329</f>
        <v>8437495.6838303357</v>
      </c>
      <c r="C2352" s="32">
        <f>+D1329</f>
        <v>3246837.9721303345</v>
      </c>
      <c r="D2352" s="32">
        <f>+E1329</f>
        <v>3071473.7116999999</v>
      </c>
      <c r="E2352" s="32">
        <f>+F1329</f>
        <v>2119184</v>
      </c>
      <c r="F2352" s="32">
        <f t="shared" ref="F2352" si="1459">+B2352-B2351</f>
        <v>23584.589799284935</v>
      </c>
      <c r="G2352" s="313">
        <f t="shared" si="1445"/>
        <v>2.803047184087336E-3</v>
      </c>
      <c r="H2352" s="443">
        <f t="shared" ref="H2352" si="1460">+H2351+G2352</f>
        <v>0.43658368395416913</v>
      </c>
    </row>
    <row r="2353" spans="1:9">
      <c r="A2353" s="415">
        <f>+A1331</f>
        <v>43552</v>
      </c>
      <c r="B2353" s="32">
        <f>+B1340</f>
        <v>8342460.4280566862</v>
      </c>
      <c r="C2353" s="32">
        <f>+D1340</f>
        <v>3231834.3980566869</v>
      </c>
      <c r="D2353" s="32">
        <f>+E1340</f>
        <v>2977063.65</v>
      </c>
      <c r="E2353" s="32">
        <f>+F1340</f>
        <v>2133562.38</v>
      </c>
      <c r="F2353" s="32">
        <f t="shared" ref="F2353" si="1461">+B2353-B2352</f>
        <v>-95035.255773649551</v>
      </c>
      <c r="G2353" s="313">
        <f t="shared" si="1445"/>
        <v>-1.1263443483091275E-2</v>
      </c>
      <c r="H2353" s="443">
        <f t="shared" ref="H2353" si="1462">+H2352+G2353</f>
        <v>0.42532024047107786</v>
      </c>
    </row>
    <row r="2354" spans="1:9">
      <c r="A2354" s="415">
        <f>+A1342</f>
        <v>43583</v>
      </c>
      <c r="B2354" s="32">
        <f>+B1351</f>
        <v>8209205.8652653368</v>
      </c>
      <c r="C2354" s="32">
        <f>+D1351</f>
        <v>3229507.7552653369</v>
      </c>
      <c r="D2354" s="32">
        <f>+E1351</f>
        <v>2777237.27</v>
      </c>
      <c r="E2354" s="32">
        <f>+F1351</f>
        <v>2202460.84</v>
      </c>
      <c r="F2354" s="32">
        <f t="shared" ref="F2354:F2356" si="1463">+B2354-B2353</f>
        <v>-133254.56279134937</v>
      </c>
      <c r="G2354" s="313">
        <f t="shared" si="1445"/>
        <v>-1.5973053026802311E-2</v>
      </c>
      <c r="H2354" s="443">
        <f t="shared" ref="H2354:H2356" si="1464">+H2353+G2354</f>
        <v>0.40934718744427556</v>
      </c>
    </row>
    <row r="2355" spans="1:9">
      <c r="A2355" s="415">
        <f>+A1353</f>
        <v>43613</v>
      </c>
      <c r="B2355" s="32">
        <f>+B1362</f>
        <v>8154015.6352976551</v>
      </c>
      <c r="C2355" s="32">
        <f>+D1362</f>
        <v>3237857.8452976551</v>
      </c>
      <c r="D2355" s="32">
        <f>+E1362</f>
        <v>2829470.78</v>
      </c>
      <c r="E2355" s="32">
        <f>+F1362</f>
        <v>2086687.01</v>
      </c>
      <c r="F2355" s="32">
        <f t="shared" si="1463"/>
        <v>-55190.229967681691</v>
      </c>
      <c r="G2355" s="313">
        <f t="shared" si="1445"/>
        <v>-6.7229681985686001E-3</v>
      </c>
      <c r="H2355" s="443">
        <f t="shared" si="1464"/>
        <v>0.40262421924570696</v>
      </c>
    </row>
    <row r="2356" spans="1:9">
      <c r="A2356" s="415">
        <f>+A1364</f>
        <v>43644</v>
      </c>
      <c r="B2356" s="32">
        <f>+B1373</f>
        <v>8484313.2380566858</v>
      </c>
      <c r="C2356" s="32">
        <f>+D1373</f>
        <v>3174327.9380566864</v>
      </c>
      <c r="D2356" s="32">
        <f>+E1373</f>
        <v>3099433.4</v>
      </c>
      <c r="E2356" s="32">
        <f>+F1373</f>
        <v>2210551.9</v>
      </c>
      <c r="F2356" s="32">
        <f t="shared" si="1463"/>
        <v>330297.60275903065</v>
      </c>
      <c r="G2356" s="313">
        <f t="shared" si="1445"/>
        <v>4.0507354600746164E-2</v>
      </c>
      <c r="H2356" s="443">
        <f t="shared" si="1464"/>
        <v>0.44313157384645313</v>
      </c>
    </row>
    <row r="2357" spans="1:9">
      <c r="A2357" s="415">
        <f>+A1375</f>
        <v>43674</v>
      </c>
      <c r="B2357" s="32">
        <f>+B1384</f>
        <v>8606448.8198546655</v>
      </c>
      <c r="C2357" s="32">
        <f>+D1384</f>
        <v>3181907.3698546663</v>
      </c>
      <c r="D2357" s="32">
        <f>+E1384</f>
        <v>3186135.32</v>
      </c>
      <c r="E2357" s="32">
        <f>+F1384</f>
        <v>2238406.13</v>
      </c>
      <c r="F2357" s="32">
        <f t="shared" ref="F2357" si="1465">+B2357-B2356</f>
        <v>122135.58179797977</v>
      </c>
      <c r="G2357" s="313">
        <f t="shared" si="1445"/>
        <v>1.4395458815704296E-2</v>
      </c>
      <c r="H2357" s="443">
        <f t="shared" ref="H2357" si="1466">+H2356+G2357</f>
        <v>0.45752703266215744</v>
      </c>
    </row>
    <row r="2358" spans="1:9" ht="13">
      <c r="A2358" s="415">
        <f>+A1386</f>
        <v>43705</v>
      </c>
      <c r="B2358" s="32">
        <f>+B1395</f>
        <v>7212508.2260625511</v>
      </c>
      <c r="C2358" s="32">
        <f>+D1395</f>
        <v>3141112.9460625518</v>
      </c>
      <c r="D2358" s="32">
        <f>+E1395</f>
        <v>1917326.68</v>
      </c>
      <c r="E2358" s="32">
        <f>+F1395</f>
        <v>2154068.6</v>
      </c>
      <c r="F2358" s="32">
        <f t="shared" ref="F2358" si="1467">+B2358-B2357</f>
        <v>-1393940.5937921144</v>
      </c>
      <c r="G2358" s="313">
        <f t="shared" si="1445"/>
        <v>-0.16196466428480469</v>
      </c>
      <c r="H2358" s="443">
        <f t="shared" ref="H2358" si="1468">+H2357+G2358</f>
        <v>0.29556236837735272</v>
      </c>
      <c r="I2358" s="602" t="s">
        <v>799</v>
      </c>
    </row>
    <row r="2359" spans="1:9">
      <c r="A2359" s="415">
        <f>+A1397</f>
        <v>43736</v>
      </c>
      <c r="B2359" s="32">
        <f>+B1406</f>
        <v>7413935.0634657778</v>
      </c>
      <c r="C2359" s="32">
        <f>+D1406</f>
        <v>3144516.9834657777</v>
      </c>
      <c r="D2359" s="32">
        <f>+E1406</f>
        <v>2065793.32</v>
      </c>
      <c r="E2359" s="32">
        <f>+F1406</f>
        <v>2203624.7599999998</v>
      </c>
      <c r="F2359" s="32">
        <f t="shared" ref="F2359:F2362" si="1469">+B2359-B2358</f>
        <v>201426.83740322664</v>
      </c>
      <c r="G2359" s="313">
        <f t="shared" si="1445"/>
        <v>2.792743260595066E-2</v>
      </c>
      <c r="H2359" s="443">
        <f t="shared" ref="H2359:H2362" si="1470">+H2358+G2359</f>
        <v>0.32348980098330338</v>
      </c>
    </row>
    <row r="2360" spans="1:9">
      <c r="A2360" s="415">
        <f>+A1408</f>
        <v>43766</v>
      </c>
      <c r="B2360" s="32">
        <f>+B1417</f>
        <v>7537735.8237276822</v>
      </c>
      <c r="C2360" s="32">
        <f>+D1417</f>
        <v>3140169.0837276825</v>
      </c>
      <c r="D2360" s="32">
        <f>+E1417</f>
        <v>2139718.89</v>
      </c>
      <c r="E2360" s="32">
        <f>+F1417</f>
        <v>2257847.85</v>
      </c>
      <c r="F2360" s="32">
        <f t="shared" ref="F2360" si="1471">+B2360-B2359</f>
        <v>123800.76026190445</v>
      </c>
      <c r="G2360" s="313">
        <f t="shared" si="1445"/>
        <v>1.6698387455801583E-2</v>
      </c>
      <c r="H2360" s="443">
        <f t="shared" ref="H2360" si="1472">+H2359+G2360</f>
        <v>0.34018818843910498</v>
      </c>
    </row>
    <row r="2361" spans="1:9">
      <c r="A2361" s="415">
        <f>+A1419</f>
        <v>43797</v>
      </c>
      <c r="B2361" s="32">
        <f>+B1428</f>
        <v>7640763.2426165715</v>
      </c>
      <c r="C2361" s="32">
        <f>+D1428</f>
        <v>3164954.9826165712</v>
      </c>
      <c r="D2361" s="32">
        <f>+E1428</f>
        <v>2160520.35</v>
      </c>
      <c r="E2361" s="32">
        <f>+F1428</f>
        <v>2315287.91</v>
      </c>
      <c r="F2361" s="32">
        <f t="shared" si="1469"/>
        <v>103027.41888888925</v>
      </c>
      <c r="G2361" s="313">
        <f t="shared" si="1445"/>
        <v>1.3668218321551429E-2</v>
      </c>
      <c r="H2361" s="443">
        <f t="shared" si="1470"/>
        <v>0.35385640676065638</v>
      </c>
    </row>
    <row r="2362" spans="1:9">
      <c r="A2362" s="415">
        <f>+A1430</f>
        <v>43827</v>
      </c>
      <c r="B2362" s="32">
        <f>+B1439</f>
        <v>7912348.3607618194</v>
      </c>
      <c r="C2362" s="32">
        <f>+D1439</f>
        <v>3180628.4207618199</v>
      </c>
      <c r="D2362" s="32">
        <f>+E1439</f>
        <v>2350010.9900000002</v>
      </c>
      <c r="E2362" s="32">
        <f>+F1439</f>
        <v>2381708.9500000002</v>
      </c>
      <c r="F2362" s="32">
        <f t="shared" si="1469"/>
        <v>271585.11814524792</v>
      </c>
      <c r="G2362" s="313">
        <f t="shared" si="1445"/>
        <v>3.5544239432845438E-2</v>
      </c>
      <c r="H2362" s="443">
        <f t="shared" si="1470"/>
        <v>0.38940064619350184</v>
      </c>
      <c r="I2362" s="32">
        <f>+B2362-2735000</f>
        <v>5177348.3607618194</v>
      </c>
    </row>
    <row r="2363" spans="1:9" ht="13">
      <c r="A2363" s="415">
        <f>+A1441</f>
        <v>43858</v>
      </c>
      <c r="B2363" s="32">
        <f>+B1450</f>
        <v>7975912.6135041332</v>
      </c>
      <c r="C2363" s="32">
        <f>+D1450</f>
        <v>3188094.6935041337</v>
      </c>
      <c r="D2363" s="32">
        <f>+E1450</f>
        <v>2403573.6800000002</v>
      </c>
      <c r="E2363" s="32">
        <f>+F1450</f>
        <v>2384244.2400000002</v>
      </c>
      <c r="F2363" s="32">
        <f t="shared" ref="F2363:F2365" si="1473">+B2363-B2362</f>
        <v>63564.25274231378</v>
      </c>
      <c r="G2363" s="313">
        <f t="shared" si="1445"/>
        <v>8.0335508301853462E-3</v>
      </c>
      <c r="H2363" s="443">
        <f t="shared" ref="H2363:H2365" si="1474">+H2362+G2363</f>
        <v>0.39743419702368721</v>
      </c>
      <c r="I2363" s="451">
        <f>(+I2362-I2350)/I2350</f>
        <v>-3.0651834436801157E-2</v>
      </c>
    </row>
    <row r="2364" spans="1:9">
      <c r="A2364" s="415">
        <f>+A1452</f>
        <v>43889</v>
      </c>
      <c r="B2364" s="32">
        <f>+B1461</f>
        <v>7709590.1653791331</v>
      </c>
      <c r="C2364" s="32">
        <f>+D1461</f>
        <v>3193306.3653791337</v>
      </c>
      <c r="D2364" s="32">
        <f>+E1461</f>
        <v>2298292.15</v>
      </c>
      <c r="E2364" s="32">
        <f>+F1461</f>
        <v>2217991.65</v>
      </c>
      <c r="F2364" s="32">
        <f t="shared" si="1473"/>
        <v>-266322.44812500011</v>
      </c>
      <c r="G2364" s="313">
        <f t="shared" si="1445"/>
        <v>-3.3390843284075822E-2</v>
      </c>
      <c r="H2364" s="443">
        <f t="shared" si="1474"/>
        <v>0.36404335373961139</v>
      </c>
    </row>
    <row r="2365" spans="1:9" ht="13">
      <c r="A2365" s="415">
        <f>+A1463</f>
        <v>43918</v>
      </c>
      <c r="B2365" s="32">
        <f>+B1472</f>
        <v>6798627.5654703928</v>
      </c>
      <c r="C2365" s="32">
        <f>+D1472</f>
        <v>3335321.8254703926</v>
      </c>
      <c r="D2365" s="32">
        <f>+E1472</f>
        <v>1485252.64</v>
      </c>
      <c r="E2365" s="32">
        <f>+F1472</f>
        <v>1978053.1</v>
      </c>
      <c r="F2365" s="32">
        <f t="shared" si="1473"/>
        <v>-910962.59990874026</v>
      </c>
      <c r="G2365" s="313">
        <f t="shared" si="1445"/>
        <v>-0.11815966612590256</v>
      </c>
      <c r="H2365" s="443">
        <f t="shared" si="1474"/>
        <v>0.24588368761370882</v>
      </c>
      <c r="I2365" s="602" t="s">
        <v>173</v>
      </c>
    </row>
    <row r="2366" spans="1:9">
      <c r="A2366" s="415">
        <f>+A1474</f>
        <v>43949</v>
      </c>
      <c r="B2366" s="32">
        <f>+B1483</f>
        <v>7042942.3327976614</v>
      </c>
      <c r="C2366" s="32">
        <f>+D1483</f>
        <v>3329375.0627976614</v>
      </c>
      <c r="D2366" s="32">
        <f>+E1483</f>
        <v>1537318.33</v>
      </c>
      <c r="E2366" s="32">
        <f>+F1483</f>
        <v>2176248.94</v>
      </c>
      <c r="F2366" s="32">
        <f t="shared" ref="F2366:F2367" si="1475">+B2366-B2365</f>
        <v>244314.76732726861</v>
      </c>
      <c r="G2366" s="313">
        <f t="shared" si="1445"/>
        <v>3.5935895145679249E-2</v>
      </c>
      <c r="H2366" s="443">
        <f t="shared" ref="H2366:H2367" si="1476">+H2365+G2366</f>
        <v>0.28181958275938807</v>
      </c>
    </row>
    <row r="2367" spans="1:9">
      <c r="A2367" s="415">
        <f>+A1485</f>
        <v>43979</v>
      </c>
      <c r="B2367" s="32">
        <f>+B1494</f>
        <v>7412759.2871703431</v>
      </c>
      <c r="C2367" s="32">
        <f>+D1494</f>
        <v>3319919.0671703438</v>
      </c>
      <c r="D2367" s="32">
        <f>+E1505</f>
        <v>1875271.8</v>
      </c>
      <c r="E2367" s="32">
        <f>+F1494</f>
        <v>2274862.38</v>
      </c>
      <c r="F2367" s="32">
        <f t="shared" si="1475"/>
        <v>369816.95437268168</v>
      </c>
      <c r="G2367" s="313">
        <f t="shared" si="1445"/>
        <v>5.2508871562175582E-2</v>
      </c>
      <c r="H2367" s="443">
        <f t="shared" si="1476"/>
        <v>0.33432845432156366</v>
      </c>
    </row>
    <row r="2368" spans="1:9">
      <c r="A2368" s="415">
        <f>+A1496</f>
        <v>44010</v>
      </c>
      <c r="B2368" s="32">
        <f>+B1505</f>
        <v>7530732.3668340966</v>
      </c>
      <c r="C2368" s="32">
        <f>+D1505</f>
        <v>3320827.5768340956</v>
      </c>
      <c r="D2368" s="32">
        <f>+E1505</f>
        <v>1875271.8</v>
      </c>
      <c r="E2368" s="32">
        <f>+F1505</f>
        <v>2334632.9900000002</v>
      </c>
      <c r="F2368" s="32">
        <f t="shared" ref="F2368:F2369" si="1477">+B2368-B2367</f>
        <v>117973.07966375351</v>
      </c>
      <c r="G2368" s="313">
        <f t="shared" si="1445"/>
        <v>1.5914867203085332E-2</v>
      </c>
      <c r="H2368" s="443">
        <f t="shared" ref="H2368:H2369" si="1478">+H2367+G2368</f>
        <v>0.35024332152464899</v>
      </c>
    </row>
    <row r="2369" spans="1:9">
      <c r="A2369" s="415">
        <f>+A1507</f>
        <v>44040</v>
      </c>
      <c r="B2369" s="32">
        <f>+B1516</f>
        <v>7726500.1547237774</v>
      </c>
      <c r="C2369" s="32">
        <f>+D1516</f>
        <v>3326515.8047237778</v>
      </c>
      <c r="D2369" s="32">
        <f>+E1516</f>
        <v>1987103.67</v>
      </c>
      <c r="E2369" s="32">
        <f>+F1516</f>
        <v>2412880.6800000002</v>
      </c>
      <c r="F2369" s="32">
        <f t="shared" si="1477"/>
        <v>195767.78788968083</v>
      </c>
      <c r="G2369" s="313">
        <f t="shared" si="1445"/>
        <v>2.5995849852778818E-2</v>
      </c>
      <c r="H2369" s="443">
        <f t="shared" si="1478"/>
        <v>0.37623917137742779</v>
      </c>
    </row>
    <row r="2370" spans="1:9">
      <c r="A2370" s="415">
        <f>+A1518</f>
        <v>44071</v>
      </c>
      <c r="B2370" s="32">
        <f>+B1527</f>
        <v>7882755.2049228642</v>
      </c>
      <c r="C2370" s="32">
        <f>+D1527</f>
        <v>3326414.0249228645</v>
      </c>
      <c r="D2370" s="32">
        <f>+E1527</f>
        <v>1999646.15</v>
      </c>
      <c r="E2370" s="32">
        <f>+F1527</f>
        <v>2556695.0299999998</v>
      </c>
      <c r="F2370" s="32">
        <f t="shared" ref="F2370" si="1479">+B2370-B2369</f>
        <v>156255.05019908678</v>
      </c>
      <c r="G2370" s="313">
        <f t="shared" si="1445"/>
        <v>2.0223263711909276E-2</v>
      </c>
      <c r="H2370" s="443">
        <f t="shared" ref="H2370" si="1480">+H2369+G2370</f>
        <v>0.3964624350893371</v>
      </c>
    </row>
    <row r="2371" spans="1:9">
      <c r="A2371" s="415">
        <f>+A1529</f>
        <v>44102</v>
      </c>
      <c r="B2371" s="32">
        <f>+B1538</f>
        <v>7608315.4265387058</v>
      </c>
      <c r="C2371" s="32">
        <f>+D1538</f>
        <v>3323374.586538706</v>
      </c>
      <c r="D2371" s="32">
        <f>+E1538</f>
        <v>1810901.87</v>
      </c>
      <c r="E2371" s="32">
        <f>+F1538</f>
        <v>2474038.9700000002</v>
      </c>
      <c r="F2371" s="32">
        <f t="shared" ref="F2371" si="1481">+B2371-B2370</f>
        <v>-274439.77838415839</v>
      </c>
      <c r="G2371" s="313">
        <f t="shared" si="1445"/>
        <v>-3.4815210069287429E-2</v>
      </c>
      <c r="H2371" s="443">
        <f t="shared" ref="H2371" si="1482">+H2370+G2371</f>
        <v>0.36164722502004965</v>
      </c>
    </row>
    <row r="2372" spans="1:9">
      <c r="A2372" s="415">
        <f>+A1540</f>
        <v>44132</v>
      </c>
      <c r="B2372" s="32">
        <f>+B1549</f>
        <v>7362567.6821259568</v>
      </c>
      <c r="C2372" s="32">
        <f>+D1549</f>
        <v>3327656.1921259565</v>
      </c>
      <c r="D2372" s="32">
        <f>+E1549</f>
        <v>1630132.02</v>
      </c>
      <c r="E2372" s="32">
        <f>+F1549</f>
        <v>2404779.4700000002</v>
      </c>
      <c r="F2372" s="32">
        <f t="shared" ref="F2372" si="1483">+B2372-B2371</f>
        <v>-245747.74441274907</v>
      </c>
      <c r="G2372" s="313">
        <f t="shared" si="1445"/>
        <v>-3.2299889086558085E-2</v>
      </c>
      <c r="H2372" s="443">
        <f t="shared" ref="H2372" si="1484">+H2371+G2372</f>
        <v>0.32934733593349158</v>
      </c>
    </row>
    <row r="2373" spans="1:9">
      <c r="A2373" s="415">
        <f>+A1551</f>
        <v>44163</v>
      </c>
      <c r="B2373" s="32">
        <f>+B1560</f>
        <v>7725457.6626925766</v>
      </c>
      <c r="C2373" s="32">
        <f>+D1560</f>
        <v>3327327.5926925773</v>
      </c>
      <c r="D2373" s="32">
        <f>+E1560</f>
        <v>1726040.38</v>
      </c>
      <c r="E2373" s="32">
        <f>+F1560</f>
        <v>2672089.69</v>
      </c>
      <c r="F2373" s="32">
        <f t="shared" ref="F2373" si="1485">+B2373-B2372</f>
        <v>362889.9805666199</v>
      </c>
      <c r="G2373" s="313">
        <f t="shared" ref="G2373:G2404" si="1486">+F2373/(B2372)</f>
        <v>4.9288508606529328E-2</v>
      </c>
      <c r="H2373" s="443">
        <f t="shared" ref="H2373" si="1487">+H2372+G2373</f>
        <v>0.37863584454002092</v>
      </c>
    </row>
    <row r="2374" spans="1:9">
      <c r="A2374" s="415">
        <f>+A1562</f>
        <v>44193</v>
      </c>
      <c r="B2374" s="32">
        <f>+B1571</f>
        <v>7901120.9657430528</v>
      </c>
      <c r="C2374" s="32">
        <f>+D1571</f>
        <v>3328175.0157430535</v>
      </c>
      <c r="D2374" s="32">
        <f>+E1571</f>
        <v>1807927.2</v>
      </c>
      <c r="E2374" s="32">
        <f>+F1571</f>
        <v>2765018.75</v>
      </c>
      <c r="F2374" s="32">
        <f t="shared" ref="F2374" si="1488">+B2374-B2373</f>
        <v>175663.30305047613</v>
      </c>
      <c r="G2374" s="313">
        <f t="shared" si="1486"/>
        <v>2.2738239042947739E-2</v>
      </c>
      <c r="H2374" s="443">
        <f t="shared" ref="H2374" si="1489">+H2373+G2374</f>
        <v>0.40137408358296867</v>
      </c>
      <c r="I2374" s="32">
        <f>+B2374-2735000</f>
        <v>5166120.9657430528</v>
      </c>
    </row>
    <row r="2375" spans="1:9" ht="13">
      <c r="A2375" s="415">
        <f>+A1573</f>
        <v>44224</v>
      </c>
      <c r="B2375" s="32">
        <f>+B1582</f>
        <v>7834227.5792796751</v>
      </c>
      <c r="C2375" s="32">
        <f>+D1582</f>
        <v>3329073.9492796743</v>
      </c>
      <c r="D2375" s="32">
        <f>+E1582</f>
        <v>1724099.43</v>
      </c>
      <c r="E2375" s="32">
        <f>+F1582</f>
        <v>2781054.2</v>
      </c>
      <c r="F2375" s="32">
        <f t="shared" ref="F2375:F2376" si="1490">+B2375-B2374</f>
        <v>-66893.386463377625</v>
      </c>
      <c r="G2375" s="313">
        <f t="shared" si="1486"/>
        <v>-8.4663159510413484E-3</v>
      </c>
      <c r="H2375" s="443">
        <f t="shared" ref="H2375:H2376" si="1491">+H2374+G2375</f>
        <v>0.39290776763192731</v>
      </c>
      <c r="I2375" s="451">
        <f>(+I2374-I2362)/I2362</f>
        <v>-2.1685608609721949E-3</v>
      </c>
    </row>
    <row r="2376" spans="1:9">
      <c r="A2376" s="415">
        <f>+A1584</f>
        <v>44255</v>
      </c>
      <c r="B2376" s="32">
        <f>+B1593</f>
        <v>7811934.7028762801</v>
      </c>
      <c r="C2376" s="32">
        <f>+D1593</f>
        <v>3326739.7628762797</v>
      </c>
      <c r="D2376" s="32">
        <f>+E1593</f>
        <v>1650109.7</v>
      </c>
      <c r="E2376" s="32">
        <f>+F1593</f>
        <v>2835085.24</v>
      </c>
      <c r="F2376" s="32">
        <f t="shared" si="1490"/>
        <v>-22292.876403395087</v>
      </c>
      <c r="G2376" s="313">
        <f t="shared" si="1486"/>
        <v>-2.8455742672521167E-3</v>
      </c>
      <c r="H2376" s="443">
        <f t="shared" si="1491"/>
        <v>0.39006219336467518</v>
      </c>
    </row>
    <row r="2377" spans="1:9">
      <c r="A2377" s="415">
        <f>+A1595</f>
        <v>44283</v>
      </c>
      <c r="B2377" s="32">
        <f>+B1604</f>
        <v>7842011.0823762799</v>
      </c>
      <c r="C2377" s="32">
        <f>+D1604</f>
        <v>3327177.5923762796</v>
      </c>
      <c r="D2377" s="32">
        <f>+E1604</f>
        <v>1599621.41</v>
      </c>
      <c r="E2377" s="32">
        <f>+F1604</f>
        <v>2915212.08</v>
      </c>
      <c r="F2377" s="32">
        <f t="shared" ref="F2377:F2378" si="1492">+B2377-B2376</f>
        <v>30076.379499999806</v>
      </c>
      <c r="G2377" s="313">
        <f t="shared" si="1486"/>
        <v>3.8500551584136986E-3</v>
      </c>
      <c r="H2377" s="443">
        <f t="shared" ref="H2377:H2378" si="1493">+H2376+G2377</f>
        <v>0.39391224852308887</v>
      </c>
    </row>
    <row r="2378" spans="1:9">
      <c r="A2378" s="415">
        <f>+A1606</f>
        <v>44314</v>
      </c>
      <c r="B2378" s="32">
        <f>+B1615</f>
        <v>8008108.8784437412</v>
      </c>
      <c r="C2378" s="32">
        <f>+D1615</f>
        <v>3350254.138443741</v>
      </c>
      <c r="D2378" s="32">
        <f>+E1615</f>
        <v>1644301.08</v>
      </c>
      <c r="E2378" s="32">
        <f>+F1615</f>
        <v>3013553.66</v>
      </c>
      <c r="F2378" s="32">
        <f t="shared" si="1492"/>
        <v>166097.79606746137</v>
      </c>
      <c r="G2378" s="313">
        <f t="shared" si="1486"/>
        <v>2.1180510244462769E-2</v>
      </c>
      <c r="H2378" s="443">
        <f t="shared" si="1493"/>
        <v>0.41509275876755164</v>
      </c>
    </row>
    <row r="2379" spans="1:9">
      <c r="A2379" s="415">
        <f>+A1617</f>
        <v>44344</v>
      </c>
      <c r="B2379" s="32">
        <f>+B1626</f>
        <v>8087442.8298254125</v>
      </c>
      <c r="C2379" s="32">
        <f>+D1626</f>
        <v>3359416.3198254122</v>
      </c>
      <c r="D2379" s="32">
        <f>+E1626</f>
        <v>1698123.99</v>
      </c>
      <c r="E2379" s="32">
        <f>+F1626</f>
        <v>3029902.52</v>
      </c>
      <c r="F2379" s="32">
        <f t="shared" ref="F2379" si="1494">+B2379-B2378</f>
        <v>79333.951381671242</v>
      </c>
      <c r="G2379" s="313">
        <f t="shared" si="1486"/>
        <v>9.9067023920244995E-3</v>
      </c>
      <c r="H2379" s="443">
        <f t="shared" ref="H2379" si="1495">+H2378+G2379</f>
        <v>0.42499946115957615</v>
      </c>
    </row>
    <row r="2380" spans="1:9">
      <c r="A2380" s="415">
        <f>+A1628</f>
        <v>44375</v>
      </c>
      <c r="B2380" s="32">
        <f>+B1637</f>
        <v>8124206.4897080604</v>
      </c>
      <c r="C2380" s="32">
        <f>+D1637</f>
        <v>3377820.9497080604</v>
      </c>
      <c r="D2380" s="32">
        <f>+E1637</f>
        <v>1651692.77</v>
      </c>
      <c r="E2380" s="32">
        <f>+F1637</f>
        <v>3094692.77</v>
      </c>
      <c r="F2380" s="32">
        <f t="shared" ref="F2380:F2381" si="1496">+B2380-B2379</f>
        <v>36763.659882647917</v>
      </c>
      <c r="G2380" s="313">
        <f t="shared" si="1486"/>
        <v>4.5457706046549634E-3</v>
      </c>
      <c r="H2380" s="443">
        <f t="shared" ref="H2380:H2381" si="1497">+H2379+G2380</f>
        <v>0.42954523176423109</v>
      </c>
    </row>
    <row r="2381" spans="1:9">
      <c r="A2381" s="415">
        <f>+A1639</f>
        <v>44405</v>
      </c>
      <c r="B2381" s="32">
        <f>+B1648</f>
        <v>8204865.7786572771</v>
      </c>
      <c r="C2381" s="32">
        <f>+D1648</f>
        <v>3366039.3586572781</v>
      </c>
      <c r="D2381" s="32">
        <f>+E1648</f>
        <v>1703032.68</v>
      </c>
      <c r="E2381" s="32">
        <f>+F1648</f>
        <v>3135793.74</v>
      </c>
      <c r="F2381" s="32">
        <f t="shared" si="1496"/>
        <v>80659.288949216716</v>
      </c>
      <c r="G2381" s="313">
        <f t="shared" si="1486"/>
        <v>9.9282667238206994E-3</v>
      </c>
      <c r="H2381" s="443">
        <f t="shared" si="1497"/>
        <v>0.43947349848805178</v>
      </c>
    </row>
    <row r="2382" spans="1:9">
      <c r="A2382" s="415">
        <f>+A1650</f>
        <v>44436</v>
      </c>
      <c r="B2382" s="32">
        <f>+B1659</f>
        <v>8362750.750313269</v>
      </c>
      <c r="C2382" s="32">
        <f>+D1659</f>
        <v>3383790.4303132701</v>
      </c>
      <c r="D2382" s="32">
        <f>+E1659</f>
        <v>1749628.3</v>
      </c>
      <c r="E2382" s="32">
        <f>+F1659</f>
        <v>3229332.02</v>
      </c>
      <c r="F2382" s="32">
        <f t="shared" ref="F2382" si="1498">+B2382-B2381</f>
        <v>157884.97165599186</v>
      </c>
      <c r="G2382" s="313">
        <f t="shared" si="1486"/>
        <v>1.9242846368881086E-2</v>
      </c>
      <c r="H2382" s="443">
        <f t="shared" ref="H2382" si="1499">+H2381+G2382</f>
        <v>0.45871634485693286</v>
      </c>
    </row>
    <row r="2383" spans="1:9">
      <c r="A2383" s="415">
        <f>+A1661</f>
        <v>44467</v>
      </c>
      <c r="B2383" s="32">
        <f>+B1670</f>
        <v>8179196.877648565</v>
      </c>
      <c r="C2383" s="32">
        <f>+D1670</f>
        <v>3397445.4476485658</v>
      </c>
      <c r="D2383" s="32">
        <f>+E1670</f>
        <v>1689740.43</v>
      </c>
      <c r="E2383" s="32">
        <f>+F1670</f>
        <v>3092011</v>
      </c>
      <c r="F2383" s="32">
        <f t="shared" ref="F2383" si="1500">+B2383-B2382</f>
        <v>-183553.87266470399</v>
      </c>
      <c r="G2383" s="313">
        <f t="shared" si="1486"/>
        <v>-2.1948982834126444E-2</v>
      </c>
      <c r="H2383" s="443">
        <f t="shared" ref="H2383" si="1501">+H2382+G2383</f>
        <v>0.43676736202280642</v>
      </c>
    </row>
    <row r="2384" spans="1:9">
      <c r="A2384" s="415">
        <f>+A1672</f>
        <v>44497</v>
      </c>
      <c r="B2384" s="32">
        <f>+B1681</f>
        <v>8289402.577368781</v>
      </c>
      <c r="C2384" s="32">
        <f>+D1681</f>
        <v>3398544.3773687799</v>
      </c>
      <c r="D2384" s="32">
        <f>+E1681</f>
        <v>1623383.23</v>
      </c>
      <c r="E2384" s="32">
        <f>+F1681</f>
        <v>3267474.97</v>
      </c>
      <c r="F2384" s="32">
        <f t="shared" ref="F2384" si="1502">+B2384-B2383</f>
        <v>110205.69972021598</v>
      </c>
      <c r="G2384" s="313">
        <f t="shared" si="1486"/>
        <v>1.3473902312020027E-2</v>
      </c>
      <c r="H2384" s="443">
        <f t="shared" ref="H2384" si="1503">+H2383+G2384</f>
        <v>0.45024126433482642</v>
      </c>
    </row>
    <row r="2385" spans="1:9">
      <c r="A2385" s="415">
        <f>+A1683</f>
        <v>44528</v>
      </c>
      <c r="B2385" s="32">
        <f>+B1692</f>
        <v>8125448.7674229713</v>
      </c>
      <c r="C2385" s="32">
        <f>+D1692</f>
        <v>3406514.9874229715</v>
      </c>
      <c r="D2385" s="32">
        <f>+E1692</f>
        <v>1486448.8</v>
      </c>
      <c r="E2385" s="32">
        <f>+F1692</f>
        <v>3232484.98</v>
      </c>
      <c r="F2385" s="32">
        <f t="shared" ref="F2385" si="1504">+B2385-B2384</f>
        <v>-163953.80994580965</v>
      </c>
      <c r="G2385" s="313">
        <f t="shared" si="1486"/>
        <v>-1.9778724511875716E-2</v>
      </c>
      <c r="H2385" s="443">
        <f t="shared" ref="H2385" si="1505">+H2384+G2385</f>
        <v>0.43046253982295068</v>
      </c>
    </row>
    <row r="2386" spans="1:9">
      <c r="A2386" s="415">
        <f>+A1694</f>
        <v>44558</v>
      </c>
      <c r="B2386" s="32">
        <f>+B1703</f>
        <v>8097340.4253890645</v>
      </c>
      <c r="C2386" s="32">
        <f>+D1703</f>
        <v>3378406.6453890651</v>
      </c>
      <c r="D2386" s="32">
        <f>+E1703</f>
        <v>1486448.8</v>
      </c>
      <c r="E2386" s="32">
        <f>+F1703</f>
        <v>3232484.98</v>
      </c>
      <c r="F2386" s="32">
        <f t="shared" ref="F2386" si="1506">+B2386-B2385</f>
        <v>-28108.34203390684</v>
      </c>
      <c r="G2386" s="313">
        <f t="shared" si="1486"/>
        <v>-3.4592971832645681E-3</v>
      </c>
      <c r="H2386" s="443">
        <f t="shared" ref="H2386" si="1507">+H2385+G2386</f>
        <v>0.42700324263968614</v>
      </c>
      <c r="I2386" s="32">
        <f>+B2386-2735000</f>
        <v>5362340.4253890645</v>
      </c>
    </row>
    <row r="2387" spans="1:9" ht="13">
      <c r="A2387" s="415">
        <f>+A1705</f>
        <v>44589</v>
      </c>
      <c r="B2387" s="32">
        <f>+B1714</f>
        <v>8190844.6110444227</v>
      </c>
      <c r="C2387" s="32">
        <f>+D1714</f>
        <v>3384540.6210444225</v>
      </c>
      <c r="D2387" s="32">
        <f>+E1714</f>
        <v>1651882.87</v>
      </c>
      <c r="E2387" s="32">
        <f>+F1714</f>
        <v>3154421.12</v>
      </c>
      <c r="F2387" s="32">
        <f t="shared" ref="F2387" si="1508">+B2387-B2386</f>
        <v>93504.185655358247</v>
      </c>
      <c r="G2387" s="313">
        <f t="shared" si="1486"/>
        <v>1.1547518165616152E-2</v>
      </c>
      <c r="H2387" s="443">
        <f t="shared" ref="H2387" si="1509">+H2386+G2387</f>
        <v>0.43855076080530231</v>
      </c>
      <c r="I2387" s="451">
        <f>(+I2386-I2374)/I2374</f>
        <v>3.7981971569608627E-2</v>
      </c>
    </row>
    <row r="2388" spans="1:9">
      <c r="A2388" s="415">
        <f>+A1716</f>
        <v>44620</v>
      </c>
      <c r="B2388" s="32">
        <f>+B1725</f>
        <v>8099134.4232178321</v>
      </c>
      <c r="C2388" s="32">
        <f>+D1725</f>
        <v>3398512.1432178323</v>
      </c>
      <c r="D2388" s="32">
        <f>+E1725</f>
        <v>1643821.65</v>
      </c>
      <c r="E2388" s="32">
        <f>+F1725</f>
        <v>3056800.63</v>
      </c>
      <c r="F2388" s="32">
        <f t="shared" ref="F2388:F2389" si="1510">+B2388-B2387</f>
        <v>-91710.187826590613</v>
      </c>
      <c r="G2388" s="313">
        <f t="shared" si="1486"/>
        <v>-1.1196670451168107E-2</v>
      </c>
      <c r="H2388" s="443">
        <f t="shared" ref="H2388:H2389" si="1511">+H2387+G2388</f>
        <v>0.42735409035413419</v>
      </c>
    </row>
    <row r="2389" spans="1:9">
      <c r="A2389" s="415">
        <f>+A1727</f>
        <v>44648</v>
      </c>
      <c r="B2389" s="32">
        <f>+B1736</f>
        <v>8227360.1330404347</v>
      </c>
      <c r="C2389" s="32">
        <f>+D1736</f>
        <v>3429037.2530404348</v>
      </c>
      <c r="D2389" s="32">
        <f>+E1736</f>
        <v>1645195.87</v>
      </c>
      <c r="E2389" s="32">
        <f>+F1736</f>
        <v>3153127.01</v>
      </c>
      <c r="F2389" s="32">
        <f t="shared" si="1510"/>
        <v>128225.70982260257</v>
      </c>
      <c r="G2389" s="313">
        <f t="shared" si="1486"/>
        <v>1.5832026377413523E-2</v>
      </c>
      <c r="H2389" s="443">
        <f t="shared" si="1511"/>
        <v>0.44318611673154773</v>
      </c>
    </row>
    <row r="2390" spans="1:9">
      <c r="A2390" s="415">
        <f>+A1738</f>
        <v>44679</v>
      </c>
      <c r="B2390" s="32">
        <f>+B1747</f>
        <v>7988605.0230404353</v>
      </c>
      <c r="C2390" s="32">
        <f>+D1747</f>
        <v>3434749.1530404352</v>
      </c>
      <c r="D2390" s="32">
        <f>+E1747</f>
        <v>1651704.17</v>
      </c>
      <c r="E2390" s="32">
        <f>+F1747</f>
        <v>2902151.7</v>
      </c>
      <c r="F2390" s="32">
        <f t="shared" ref="F2390" si="1512">+B2390-B2389</f>
        <v>-238755.1099999994</v>
      </c>
      <c r="G2390" s="313">
        <f t="shared" si="1486"/>
        <v>-2.9019649819530514E-2</v>
      </c>
      <c r="H2390" s="443">
        <f t="shared" ref="H2390" si="1513">+H2389+G2390</f>
        <v>0.41416646691201719</v>
      </c>
    </row>
    <row r="2391" spans="1:9">
      <c r="A2391" s="415">
        <f>+A1749</f>
        <v>44709</v>
      </c>
      <c r="B2391" s="32">
        <f>+B1758</f>
        <v>7844851.3860042011</v>
      </c>
      <c r="C2391" s="32">
        <f>+D1758</f>
        <v>3446745.1360042007</v>
      </c>
      <c r="D2391" s="32">
        <f>+E1758</f>
        <v>1512682.06</v>
      </c>
      <c r="E2391" s="32">
        <f>+F1758</f>
        <v>2885424.19</v>
      </c>
      <c r="F2391" s="32">
        <f t="shared" ref="F2391:F2392" si="1514">+B2391-B2390</f>
        <v>-143753.63703623414</v>
      </c>
      <c r="G2391" s="313">
        <f t="shared" si="1486"/>
        <v>-1.7994835972191051E-2</v>
      </c>
      <c r="H2391" s="443">
        <f t="shared" ref="H2391:H2392" si="1515">+H2390+G2391</f>
        <v>0.39617163093982616</v>
      </c>
    </row>
    <row r="2392" spans="1:9">
      <c r="A2392" s="415">
        <f>+A1760</f>
        <v>44740</v>
      </c>
      <c r="B2392" s="32">
        <f>+B1769</f>
        <v>7369724.7665183507</v>
      </c>
      <c r="C2392" s="32">
        <f>+D1769</f>
        <v>3437441.4265183504</v>
      </c>
      <c r="D2392" s="32">
        <f>+E1769</f>
        <v>1282310.73</v>
      </c>
      <c r="E2392" s="32">
        <f>+F1769</f>
        <v>2649972.61</v>
      </c>
      <c r="F2392" s="32">
        <f t="shared" si="1514"/>
        <v>-475126.61948585045</v>
      </c>
      <c r="G2392" s="313">
        <f t="shared" si="1486"/>
        <v>-6.0565407310776045E-2</v>
      </c>
      <c r="H2392" s="443">
        <f t="shared" si="1515"/>
        <v>0.33560622362905013</v>
      </c>
    </row>
    <row r="2393" spans="1:9">
      <c r="A2393" s="415">
        <f>+A1771</f>
        <v>44770</v>
      </c>
      <c r="B2393" s="32">
        <f>+B1780</f>
        <v>7550116.1688568629</v>
      </c>
      <c r="C2393" s="32">
        <f>+D1780</f>
        <v>3441277.3088568631</v>
      </c>
      <c r="D2393" s="32">
        <f>+E1780</f>
        <v>1273910.8899999999</v>
      </c>
      <c r="E2393" s="32">
        <f>+F1780</f>
        <v>2834927.97</v>
      </c>
      <c r="F2393" s="32">
        <f t="shared" ref="F2393" si="1516">+B2393-B2392</f>
        <v>180391.40233851224</v>
      </c>
      <c r="G2393" s="313">
        <f t="shared" si="1486"/>
        <v>2.4477359474543013E-2</v>
      </c>
      <c r="H2393" s="443">
        <f t="shared" ref="H2393" si="1517">+H2392+G2393</f>
        <v>0.36008358310359312</v>
      </c>
    </row>
    <row r="2394" spans="1:9">
      <c r="A2394" s="415">
        <f>+A1782</f>
        <v>44801</v>
      </c>
      <c r="B2394" s="32">
        <f>+B1791</f>
        <v>7448820.8562979689</v>
      </c>
      <c r="C2394" s="32">
        <f>+D1791</f>
        <v>3442636.6362979691</v>
      </c>
      <c r="D2394" s="32">
        <f>+E1791</f>
        <v>1281677.6000000001</v>
      </c>
      <c r="E2394" s="32">
        <f>+F1791</f>
        <v>2724506.62</v>
      </c>
      <c r="F2394" s="32">
        <f t="shared" ref="F2394:F2397" si="1518">+B2394-B2393</f>
        <v>-101295.31255889405</v>
      </c>
      <c r="G2394" s="313">
        <f t="shared" si="1486"/>
        <v>-1.3416391257226287E-2</v>
      </c>
      <c r="H2394" s="443">
        <f t="shared" ref="H2394:H2397" si="1519">+H2393+G2394</f>
        <v>0.34666719184636685</v>
      </c>
    </row>
    <row r="2395" spans="1:9" ht="13">
      <c r="A2395" s="415">
        <f>+A1793</f>
        <v>44832</v>
      </c>
      <c r="B2395" s="32">
        <f>+B1802</f>
        <v>7073118.868513234</v>
      </c>
      <c r="C2395" s="32">
        <f>+D1802</f>
        <v>3444860.0985132335</v>
      </c>
      <c r="D2395" s="32">
        <f>+E1802</f>
        <v>1139984.9099999999</v>
      </c>
      <c r="E2395" s="32">
        <f>+F1802</f>
        <v>2488273.86</v>
      </c>
      <c r="F2395" s="32">
        <f t="shared" si="1518"/>
        <v>-375701.98778473493</v>
      </c>
      <c r="G2395" s="313">
        <f t="shared" si="1486"/>
        <v>-5.0437780023542836E-2</v>
      </c>
      <c r="H2395" s="443">
        <f t="shared" si="1519"/>
        <v>0.29622941182282403</v>
      </c>
      <c r="I2395" s="602" t="s">
        <v>800</v>
      </c>
    </row>
    <row r="2396" spans="1:9">
      <c r="A2396" s="415">
        <f>+A1804</f>
        <v>44862</v>
      </c>
      <c r="B2396" s="32">
        <f>+B1813</f>
        <v>7266873.5702068741</v>
      </c>
      <c r="C2396" s="32">
        <f>+D1813</f>
        <v>3468517.6502068732</v>
      </c>
      <c r="D2396" s="32">
        <f>+E1813</f>
        <v>1166492.07</v>
      </c>
      <c r="E2396" s="32">
        <f>+F1813</f>
        <v>2631863.85</v>
      </c>
      <c r="F2396" s="32">
        <f t="shared" si="1518"/>
        <v>193754.70169364009</v>
      </c>
      <c r="G2396" s="313">
        <f t="shared" si="1486"/>
        <v>2.7393106958255777E-2</v>
      </c>
      <c r="H2396" s="443">
        <f t="shared" si="1519"/>
        <v>0.32362251878107978</v>
      </c>
    </row>
    <row r="2397" spans="1:9">
      <c r="A2397" s="415">
        <f>+A1815</f>
        <v>44893</v>
      </c>
      <c r="B2397" s="32">
        <f>+B1824</f>
        <v>7631486.5318197766</v>
      </c>
      <c r="C2397" s="32">
        <f>+D1824</f>
        <v>3469296.5118197766</v>
      </c>
      <c r="D2397" s="32">
        <f>+E1824</f>
        <v>1378457.17</v>
      </c>
      <c r="E2397" s="32">
        <f>+F1824</f>
        <v>2783732.85</v>
      </c>
      <c r="F2397" s="32">
        <f t="shared" si="1518"/>
        <v>364612.96161290258</v>
      </c>
      <c r="G2397" s="313">
        <f t="shared" si="1486"/>
        <v>5.0174667013303045E-2</v>
      </c>
      <c r="H2397" s="443">
        <f t="shared" si="1519"/>
        <v>0.37379718579438281</v>
      </c>
    </row>
    <row r="2398" spans="1:9">
      <c r="A2398" s="415">
        <f>+A1826</f>
        <v>44923</v>
      </c>
      <c r="B2398" s="32">
        <f>+B1835</f>
        <v>7584833.090672425</v>
      </c>
      <c r="C2398" s="32">
        <f>+D1835</f>
        <v>3471245.8006724254</v>
      </c>
      <c r="D2398" s="32">
        <f>+E1835</f>
        <v>1465021.06</v>
      </c>
      <c r="E2398" s="32">
        <f>+F1835</f>
        <v>2648566.23</v>
      </c>
      <c r="F2398" s="32">
        <f t="shared" ref="F2398" si="1520">+B2398-B2397</f>
        <v>-46653.441147351637</v>
      </c>
      <c r="G2398" s="313">
        <f t="shared" si="1486"/>
        <v>-6.1132835592159302E-3</v>
      </c>
      <c r="H2398" s="443">
        <f t="shared" ref="H2398" si="1521">+H2397+G2398</f>
        <v>0.36768390223516689</v>
      </c>
      <c r="I2398" s="32">
        <f>+B2398-2735000</f>
        <v>4849833.090672425</v>
      </c>
    </row>
    <row r="2399" spans="1:9" ht="13">
      <c r="A2399" s="415">
        <f>+A1837</f>
        <v>44954</v>
      </c>
      <c r="B2399" s="32">
        <f>+B1846</f>
        <v>7988980.9568597423</v>
      </c>
      <c r="C2399" s="32">
        <f>+D1846</f>
        <v>3475858.5168597428</v>
      </c>
      <c r="D2399" s="32">
        <f>+E1846</f>
        <v>1682520.45</v>
      </c>
      <c r="E2399" s="32">
        <f>+F1846</f>
        <v>2830601.99</v>
      </c>
      <c r="F2399" s="32">
        <f t="shared" ref="F2399:F2404" si="1522">+B2399-B2398</f>
        <v>404147.8661873173</v>
      </c>
      <c r="G2399" s="313">
        <f t="shared" si="1486"/>
        <v>5.3283686187415892E-2</v>
      </c>
      <c r="H2399" s="443">
        <f t="shared" ref="H2399:H2404" si="1523">+H2398+G2399</f>
        <v>0.42096758842258281</v>
      </c>
      <c r="I2399" s="451">
        <f>(+I2398-I2386)/I2386</f>
        <v>-9.5575307432939516E-2</v>
      </c>
    </row>
    <row r="2400" spans="1:9">
      <c r="A2400" s="415">
        <f>+A1848</f>
        <v>44985</v>
      </c>
      <c r="B2400" s="32">
        <f>+B1857</f>
        <v>7989907.1207542997</v>
      </c>
      <c r="C2400" s="32">
        <f>+D1857</f>
        <v>3476784.6807543002</v>
      </c>
      <c r="D2400" s="32">
        <f>+E1857</f>
        <v>1682520.45</v>
      </c>
      <c r="E2400" s="32">
        <f>+F1857</f>
        <v>2830601.99</v>
      </c>
      <c r="F2400" s="32">
        <f t="shared" si="1522"/>
        <v>926.16389455739409</v>
      </c>
      <c r="G2400" s="313">
        <f t="shared" si="1486"/>
        <v>1.159301667582701E-4</v>
      </c>
      <c r="H2400" s="443">
        <f t="shared" si="1523"/>
        <v>0.42108351858934107</v>
      </c>
    </row>
    <row r="2401" spans="1:9">
      <c r="A2401" s="415">
        <f>+A1859</f>
        <v>45013</v>
      </c>
      <c r="B2401" s="32">
        <f>+B1868</f>
        <v>7993269.0321056517</v>
      </c>
      <c r="C2401" s="32">
        <f>+D1868</f>
        <v>3480146.5921056517</v>
      </c>
      <c r="D2401" s="32">
        <f>+E1868</f>
        <v>1682520.45</v>
      </c>
      <c r="E2401" s="32">
        <f>+F1868</f>
        <v>2830601.99</v>
      </c>
      <c r="F2401" s="32">
        <f t="shared" si="1522"/>
        <v>3361.9113513519987</v>
      </c>
      <c r="G2401" s="313">
        <f t="shared" si="1486"/>
        <v>4.2076976622409251E-4</v>
      </c>
      <c r="H2401" s="443">
        <f t="shared" si="1523"/>
        <v>0.42150428835556514</v>
      </c>
    </row>
    <row r="2402" spans="1:9">
      <c r="A2402" s="415">
        <f>+A1870</f>
        <v>45044</v>
      </c>
      <c r="B2402" s="32">
        <f>+B1879</f>
        <v>7760550.6196158063</v>
      </c>
      <c r="C2402" s="32">
        <f>+D1879</f>
        <v>3476107.629615807</v>
      </c>
      <c r="D2402" s="32">
        <f>+E1879</f>
        <v>1368730.63</v>
      </c>
      <c r="E2402" s="32">
        <f>+F1879</f>
        <v>2915712.36</v>
      </c>
      <c r="F2402" s="32">
        <f t="shared" si="1522"/>
        <v>-232718.41248984542</v>
      </c>
      <c r="G2402" s="313">
        <f t="shared" si="1486"/>
        <v>-2.9114297486436642E-2</v>
      </c>
      <c r="H2402" s="443">
        <f t="shared" si="1523"/>
        <v>0.39238999086912851</v>
      </c>
    </row>
    <row r="2403" spans="1:9">
      <c r="A2403" s="415">
        <f>+A1881</f>
        <v>45074</v>
      </c>
      <c r="B2403" s="32">
        <f>+B1890</f>
        <v>7879155.5721368957</v>
      </c>
      <c r="C2403" s="32">
        <f>+D1890</f>
        <v>3487828.9221368963</v>
      </c>
      <c r="D2403" s="32">
        <f>+E1890</f>
        <v>1424013.19</v>
      </c>
      <c r="E2403" s="32">
        <f>+F1890</f>
        <v>2967313.46</v>
      </c>
      <c r="F2403" s="32">
        <f t="shared" si="1522"/>
        <v>118604.95252108946</v>
      </c>
      <c r="G2403" s="313">
        <f t="shared" si="1486"/>
        <v>1.5283058939310304E-2</v>
      </c>
      <c r="H2403" s="443">
        <f t="shared" si="1523"/>
        <v>0.40767304980843883</v>
      </c>
    </row>
    <row r="2404" spans="1:9">
      <c r="A2404" s="415">
        <f>+A1892</f>
        <v>45105</v>
      </c>
      <c r="B2404" s="32">
        <f>+B1901</f>
        <v>8314797.3869793052</v>
      </c>
      <c r="C2404" s="32">
        <f>+D1901</f>
        <v>3505574.4469793048</v>
      </c>
      <c r="D2404" s="32">
        <f>+E1901</f>
        <v>1682718.42</v>
      </c>
      <c r="E2404" s="32">
        <f>+F1901</f>
        <v>3126504.52</v>
      </c>
      <c r="F2404" s="32">
        <f t="shared" si="1522"/>
        <v>435641.81484240945</v>
      </c>
      <c r="G2404" s="313">
        <f t="shared" si="1486"/>
        <v>5.5290419240225715E-2</v>
      </c>
      <c r="H2404" s="443">
        <f t="shared" si="1523"/>
        <v>0.46296346904866453</v>
      </c>
    </row>
    <row r="2405" spans="1:9">
      <c r="A2405" s="415">
        <f>+A1903</f>
        <v>45135</v>
      </c>
      <c r="B2405" s="32">
        <f>+B1912</f>
        <v>8467887.2498676218</v>
      </c>
      <c r="C2405" s="32">
        <f>+D1912</f>
        <v>3512839.3198676216</v>
      </c>
      <c r="D2405" s="32">
        <f>+E1912</f>
        <v>1745503.34</v>
      </c>
      <c r="E2405" s="32">
        <f>+F1912</f>
        <v>3209544.59</v>
      </c>
      <c r="F2405" s="32">
        <f t="shared" ref="F2405:F2407" si="1524">+B2405-B2404</f>
        <v>153089.86288831662</v>
      </c>
      <c r="G2405" s="313">
        <f t="shared" ref="G2405:G2423" si="1525">+F2405/(B2404)</f>
        <v>1.8411737022967056E-2</v>
      </c>
      <c r="H2405" s="443">
        <f t="shared" ref="H2405:H2407" si="1526">+H2404+G2405</f>
        <v>0.48137520607163159</v>
      </c>
    </row>
    <row r="2406" spans="1:9">
      <c r="A2406" s="415">
        <f>+A1914</f>
        <v>45166</v>
      </c>
      <c r="B2406" s="32">
        <f>+B1923</f>
        <v>8395418.0736863259</v>
      </c>
      <c r="C2406" s="32">
        <f>+D1923</f>
        <v>3519603.3536863253</v>
      </c>
      <c r="D2406" s="32">
        <f>+E1923</f>
        <v>1726179.25</v>
      </c>
      <c r="E2406" s="32">
        <f>+F1923</f>
        <v>3149635.47</v>
      </c>
      <c r="F2406" s="32">
        <f t="shared" si="1524"/>
        <v>-72469.176181295887</v>
      </c>
      <c r="G2406" s="313">
        <f t="shared" si="1525"/>
        <v>-8.5581177503785012E-3</v>
      </c>
      <c r="H2406" s="443">
        <f t="shared" si="1526"/>
        <v>0.47281708832125308</v>
      </c>
    </row>
    <row r="2407" spans="1:9">
      <c r="A2407" s="415">
        <f>+A1925</f>
        <v>45197</v>
      </c>
      <c r="B2407" s="32">
        <f>+B1934</f>
        <v>8075559.4826795682</v>
      </c>
      <c r="C2407" s="32">
        <f>+D1934</f>
        <v>3513532.2426795675</v>
      </c>
      <c r="D2407" s="32">
        <f>+E1934</f>
        <v>1543357.39</v>
      </c>
      <c r="E2407" s="32">
        <f>+F1934</f>
        <v>3018669.85</v>
      </c>
      <c r="F2407" s="32">
        <f t="shared" si="1524"/>
        <v>-319858.59100675769</v>
      </c>
      <c r="G2407" s="313">
        <f t="shared" si="1525"/>
        <v>-3.8099185555664848E-2</v>
      </c>
      <c r="H2407" s="443">
        <f t="shared" si="1526"/>
        <v>0.43471790276558825</v>
      </c>
    </row>
    <row r="2408" spans="1:9">
      <c r="A2408" s="415">
        <f>+A1936</f>
        <v>45227</v>
      </c>
      <c r="B2408" s="32">
        <f>+B1945</f>
        <v>8064152.398378198</v>
      </c>
      <c r="C2408" s="32">
        <f>+D1945</f>
        <v>3550664.9083781978</v>
      </c>
      <c r="D2408" s="32">
        <f>+E1945</f>
        <v>1532927.43</v>
      </c>
      <c r="E2408" s="32">
        <f>+F1945</f>
        <v>2980560.06</v>
      </c>
      <c r="F2408" s="32">
        <f t="shared" ref="F2408:F2409" si="1527">+B2408-B2407</f>
        <v>-11407.084301370196</v>
      </c>
      <c r="G2408" s="313">
        <f t="shared" si="1525"/>
        <v>-1.4125441495212896E-3</v>
      </c>
      <c r="H2408" s="443">
        <f t="shared" ref="H2408:H2409" si="1528">+H2407+G2408</f>
        <v>0.43330535861606695</v>
      </c>
    </row>
    <row r="2409" spans="1:9">
      <c r="A2409" s="415">
        <f>+A1947</f>
        <v>45258</v>
      </c>
      <c r="B2409" s="32">
        <f>+B1956</f>
        <v>8646007.4881320149</v>
      </c>
      <c r="C2409" s="32">
        <f>+D1956</f>
        <v>3551072.7481320156</v>
      </c>
      <c r="D2409" s="32">
        <f>+E1956</f>
        <v>1831940.2</v>
      </c>
      <c r="E2409" s="32">
        <f>+F1956</f>
        <v>3262994.54</v>
      </c>
      <c r="F2409" s="32">
        <f t="shared" si="1527"/>
        <v>581855.08975381684</v>
      </c>
      <c r="G2409" s="313">
        <f t="shared" si="1525"/>
        <v>7.2153285430324357E-2</v>
      </c>
      <c r="H2409" s="443">
        <f t="shared" si="1528"/>
        <v>0.50545864404639129</v>
      </c>
    </row>
    <row r="2410" spans="1:9">
      <c r="A2410" s="415">
        <f>+A1958</f>
        <v>45288</v>
      </c>
      <c r="B2410" s="32">
        <f>+B1967</f>
        <v>8962627.4164754488</v>
      </c>
      <c r="C2410" s="32">
        <f>+D1967</f>
        <v>3562663.6764754495</v>
      </c>
      <c r="D2410" s="32">
        <f>+E1967</f>
        <v>1995299.59</v>
      </c>
      <c r="E2410" s="32">
        <f>+F1967</f>
        <v>3404664.15</v>
      </c>
      <c r="F2410" s="32">
        <f t="shared" ref="F2410" si="1529">+B2410-B2409</f>
        <v>316619.92834343389</v>
      </c>
      <c r="G2410" s="313">
        <f t="shared" si="1525"/>
        <v>3.6620362494254578E-2</v>
      </c>
      <c r="H2410" s="443">
        <f t="shared" ref="H2410" si="1530">+H2409+G2410</f>
        <v>0.54207900654064589</v>
      </c>
      <c r="I2410" s="32">
        <f>+B2410-2735000</f>
        <v>6227627.4164754488</v>
      </c>
    </row>
    <row r="2411" spans="1:9" ht="13">
      <c r="A2411" s="415">
        <f>+A1969</f>
        <v>45319</v>
      </c>
      <c r="B2411" s="32">
        <f>+B1978</f>
        <v>8964074.3214034196</v>
      </c>
      <c r="C2411" s="32">
        <f>+D1978</f>
        <v>3574182.2614034191</v>
      </c>
      <c r="D2411" s="32">
        <f>+E1978</f>
        <v>1964404.41</v>
      </c>
      <c r="E2411" s="32">
        <f>+F1978</f>
        <v>3425487.65</v>
      </c>
      <c r="F2411" s="32">
        <f t="shared" ref="F2411" si="1531">+B2411-B2410</f>
        <v>1446.9049279708415</v>
      </c>
      <c r="G2411" s="313">
        <f t="shared" si="1525"/>
        <v>1.6143758529012207E-4</v>
      </c>
      <c r="H2411" s="443">
        <f t="shared" ref="H2411" si="1532">+H2410+G2411</f>
        <v>0.54224044412593597</v>
      </c>
      <c r="I2411" s="451">
        <f>(+I2410-I2398)/I2398</f>
        <v>0.28409108108336856</v>
      </c>
    </row>
    <row r="2412" spans="1:9">
      <c r="A2412" s="415">
        <f>+A1980</f>
        <v>45350</v>
      </c>
      <c r="B2412" s="32">
        <f>+B1989</f>
        <v>9218762.1461283676</v>
      </c>
      <c r="C2412" s="32">
        <f>+D1989</f>
        <v>3571824.3261283673</v>
      </c>
      <c r="D2412" s="32">
        <f>+E1989</f>
        <v>2105354.91</v>
      </c>
      <c r="E2412" s="32">
        <f>+F1989</f>
        <v>3541582.91</v>
      </c>
      <c r="F2412" s="32">
        <f t="shared" ref="F2412" si="1533">+B2412-B2411</f>
        <v>254687.82472494803</v>
      </c>
      <c r="G2412" s="313">
        <f t="shared" si="1525"/>
        <v>2.8412060809986008E-2</v>
      </c>
      <c r="H2412" s="443">
        <f t="shared" ref="H2412" si="1534">+H2411+G2412</f>
        <v>0.57065250493592201</v>
      </c>
    </row>
    <row r="2413" spans="1:9">
      <c r="A2413" s="415">
        <f>+A1991</f>
        <v>45379</v>
      </c>
      <c r="B2413" s="32">
        <f>+B2000</f>
        <v>9567480.6188096143</v>
      </c>
      <c r="C2413" s="32">
        <f>+D2000</f>
        <v>3600312.0988096129</v>
      </c>
      <c r="D2413" s="32">
        <f>+E2000</f>
        <v>2342451</v>
      </c>
      <c r="E2413" s="32">
        <f>+F2000</f>
        <v>3624717.52</v>
      </c>
      <c r="F2413" s="32">
        <f t="shared" ref="F2413" si="1535">+B2413-B2412</f>
        <v>348718.4726812467</v>
      </c>
      <c r="G2413" s="313">
        <f t="shared" si="1525"/>
        <v>3.7827038723165139E-2</v>
      </c>
      <c r="H2413" s="443">
        <f t="shared" ref="H2413" si="1536">+H2412+G2413</f>
        <v>0.60847954365908719</v>
      </c>
    </row>
    <row r="2414" spans="1:9">
      <c r="A2414" s="415">
        <f>+A2002</f>
        <v>45410</v>
      </c>
      <c r="B2414" s="32">
        <f>+B2011</f>
        <v>9601556.2693596147</v>
      </c>
      <c r="C2414" s="32">
        <f>+D2011</f>
        <v>3603647.1593596134</v>
      </c>
      <c r="D2414" s="32">
        <f>+E2011</f>
        <v>2521459.2000000002</v>
      </c>
      <c r="E2414" s="32">
        <f>+F2011</f>
        <v>3476449.91</v>
      </c>
      <c r="F2414" s="32">
        <f t="shared" ref="F2414" si="1537">+B2414-B2413</f>
        <v>34075.65055000037</v>
      </c>
      <c r="G2414" s="313">
        <f t="shared" si="1525"/>
        <v>3.561611662218351E-3</v>
      </c>
      <c r="H2414" s="443">
        <f t="shared" ref="H2414" si="1538">+H2413+G2414</f>
        <v>0.61204115532130554</v>
      </c>
    </row>
    <row r="2415" spans="1:9" ht="13.5" customHeight="1">
      <c r="A2415" s="415">
        <f>+A2013</f>
        <v>45440</v>
      </c>
      <c r="B2415" s="32">
        <f>+B2022</f>
        <v>9682614.8382816128</v>
      </c>
      <c r="C2415" s="32">
        <f>+D2022</f>
        <v>3598959.1182816131</v>
      </c>
      <c r="D2415" s="32">
        <f>+E2022</f>
        <v>2454940.6</v>
      </c>
      <c r="E2415" s="32">
        <f>+F2022</f>
        <v>3628715.12</v>
      </c>
      <c r="F2415" s="32">
        <f t="shared" ref="F2415" si="1539">+B2415-B2414</f>
        <v>81058.568921998143</v>
      </c>
      <c r="G2415" s="313">
        <f t="shared" si="1525"/>
        <v>8.4422323473405444E-3</v>
      </c>
      <c r="H2415" s="443">
        <f t="shared" ref="H2415" si="1540">+H2414+G2415</f>
        <v>0.62048338766864608</v>
      </c>
    </row>
    <row r="2416" spans="1:9" ht="13.5" customHeight="1">
      <c r="A2416" s="415">
        <f>+A2024</f>
        <v>45471</v>
      </c>
      <c r="B2416" s="32">
        <f>+B2033</f>
        <v>9727467.1569430493</v>
      </c>
      <c r="C2416" s="32">
        <f>+D2033</f>
        <v>3590806.9169430481</v>
      </c>
      <c r="D2416" s="32">
        <f>+E2033</f>
        <v>2410684.15</v>
      </c>
      <c r="E2416" s="32">
        <f>+F2033</f>
        <v>3725976.09</v>
      </c>
      <c r="F2416" s="32">
        <f t="shared" ref="F2416:F2420" si="1541">+B2416-B2415</f>
        <v>44852.318661436439</v>
      </c>
      <c r="G2416" s="313">
        <f t="shared" si="1525"/>
        <v>4.6322526931574654E-3</v>
      </c>
      <c r="H2416" s="443">
        <f t="shared" ref="H2416:H2420" si="1542">+H2415+G2416</f>
        <v>0.62511564036180356</v>
      </c>
    </row>
    <row r="2417" spans="1:8" ht="13.5" customHeight="1">
      <c r="A2417" s="415">
        <f>+A2035</f>
        <v>45501</v>
      </c>
      <c r="B2417" s="32">
        <f>+B2044</f>
        <v>9641034.5469435565</v>
      </c>
      <c r="C2417" s="32">
        <f>+D2044</f>
        <v>3515466.1769435555</v>
      </c>
      <c r="D2417" s="32">
        <f>+E2044</f>
        <v>2392071.11</v>
      </c>
      <c r="E2417" s="32">
        <f>+F2044</f>
        <v>3733497.26</v>
      </c>
      <c r="F2417" s="32">
        <f t="shared" si="1541"/>
        <v>-86432.609999492764</v>
      </c>
      <c r="G2417" s="313">
        <f t="shared" si="1525"/>
        <v>-8.885417817915825E-3</v>
      </c>
      <c r="H2417" s="443">
        <f t="shared" si="1542"/>
        <v>0.61623022254388771</v>
      </c>
    </row>
    <row r="2418" spans="1:8" ht="13.5" customHeight="1">
      <c r="A2418" s="415">
        <f>+A2046</f>
        <v>45532</v>
      </c>
      <c r="B2418" s="32">
        <f>+B2055</f>
        <v>9870927.4614093974</v>
      </c>
      <c r="C2418" s="32">
        <f>+D2055</f>
        <v>3536413.7814093968</v>
      </c>
      <c r="D2418" s="32">
        <f>+E2055</f>
        <v>2538715.9900000002</v>
      </c>
      <c r="E2418" s="32">
        <f>+F2055</f>
        <v>3795797.69</v>
      </c>
      <c r="F2418" s="32">
        <f t="shared" si="1541"/>
        <v>229892.91446584091</v>
      </c>
      <c r="G2418" s="313">
        <f t="shared" si="1525"/>
        <v>2.3845253675470187E-2</v>
      </c>
      <c r="H2418" s="443">
        <f t="shared" si="1542"/>
        <v>0.6400754762193579</v>
      </c>
    </row>
    <row r="2419" spans="1:8" ht="13.5" customHeight="1">
      <c r="A2419" s="415">
        <f>+A2057</f>
        <v>45563</v>
      </c>
      <c r="B2419" s="32">
        <f>+B2066</f>
        <v>10142098.29909911</v>
      </c>
      <c r="C2419" s="32">
        <f>+D2066</f>
        <v>3535320.5290991105</v>
      </c>
      <c r="D2419" s="32">
        <f>+E2066</f>
        <v>2721271.24</v>
      </c>
      <c r="E2419" s="32">
        <f>+F2066</f>
        <v>3885506.53</v>
      </c>
      <c r="F2419" s="32">
        <f t="shared" si="1541"/>
        <v>271170.83768971264</v>
      </c>
      <c r="G2419" s="313">
        <f t="shared" si="1525"/>
        <v>2.7471667556048896E-2</v>
      </c>
      <c r="H2419" s="443">
        <f t="shared" si="1542"/>
        <v>0.6675471437754068</v>
      </c>
    </row>
    <row r="2420" spans="1:8" ht="13.5" customHeight="1">
      <c r="A2420" s="415">
        <f>+A2068</f>
        <v>45593</v>
      </c>
      <c r="B2420" s="32">
        <f>+B2077</f>
        <v>10510960.62159078</v>
      </c>
      <c r="C2420" s="32">
        <f>+D2077</f>
        <v>3685841.8515907791</v>
      </c>
      <c r="D2420" s="32">
        <f>+E2077</f>
        <v>2979662.22</v>
      </c>
      <c r="E2420" s="32">
        <f>+F2077</f>
        <v>3845456.55</v>
      </c>
      <c r="F2420" s="32">
        <f t="shared" si="1541"/>
        <v>368862.32249167003</v>
      </c>
      <c r="G2420" s="313">
        <f t="shared" si="1525"/>
        <v>3.6369428851269849E-2</v>
      </c>
      <c r="H2420" s="443">
        <f t="shared" si="1542"/>
        <v>0.70391657262667662</v>
      </c>
    </row>
    <row r="2421" spans="1:8" ht="13.5" customHeight="1">
      <c r="A2421" s="415">
        <f>+A2079</f>
        <v>45624</v>
      </c>
      <c r="B2421" s="32">
        <f>+B2088</f>
        <v>11088990.175460422</v>
      </c>
      <c r="C2421" s="32">
        <f>+D2088</f>
        <v>3725917.6054604226</v>
      </c>
      <c r="D2421" s="32">
        <f>+E2088</f>
        <v>3285627.32</v>
      </c>
      <c r="E2421" s="32">
        <f>+F2088</f>
        <v>4077445.25</v>
      </c>
      <c r="F2421" s="32">
        <f t="shared" ref="F2421" si="1543">+B2421-B2420</f>
        <v>578029.55386964232</v>
      </c>
      <c r="G2421" s="313">
        <f t="shared" si="1525"/>
        <v>5.4993028199753685E-2</v>
      </c>
      <c r="H2421" s="443">
        <f t="shared" ref="H2421" si="1544">+H2420+G2421</f>
        <v>0.75890960082643033</v>
      </c>
    </row>
    <row r="2422" spans="1:8" ht="13.5" customHeight="1">
      <c r="A2422" s="415">
        <f>+A2090</f>
        <v>45654</v>
      </c>
      <c r="B2422" s="32">
        <f>+B2099</f>
        <v>11110424.189374113</v>
      </c>
      <c r="C2422" s="32">
        <f>+D2099</f>
        <v>3734247.2393741133</v>
      </c>
      <c r="D2422" s="32">
        <f>+E2099</f>
        <v>3388026.41</v>
      </c>
      <c r="E2422" s="32">
        <f>+F2099</f>
        <v>3988150.54</v>
      </c>
      <c r="F2422" s="32">
        <f t="shared" ref="F2422" si="1545">+B2422-B2421</f>
        <v>21434.013913691044</v>
      </c>
      <c r="G2422" s="313">
        <f t="shared" si="1525"/>
        <v>1.9329094511350388E-3</v>
      </c>
      <c r="H2422" s="443">
        <f t="shared" ref="H2422" si="1546">+H2421+G2422</f>
        <v>0.76084251027756533</v>
      </c>
    </row>
    <row r="2423" spans="1:8" ht="13.5" customHeight="1">
      <c r="A2423" s="415">
        <f>+A2101</f>
        <v>45685</v>
      </c>
      <c r="B2423" s="32">
        <f>+B2110</f>
        <v>11367200.350305125</v>
      </c>
      <c r="C2423" s="32">
        <f>+D2110</f>
        <v>3735957.8903051238</v>
      </c>
      <c r="D2423" s="32">
        <f>+E2110</f>
        <v>3527132.78</v>
      </c>
      <c r="E2423" s="32">
        <f>+F2110</f>
        <v>4104109.68</v>
      </c>
      <c r="F2423" s="32">
        <f t="shared" ref="F2423" si="1547">+B2423-B2422</f>
        <v>256776.16093101166</v>
      </c>
      <c r="G2423" s="313">
        <f t="shared" si="1525"/>
        <v>2.3111283291648715E-2</v>
      </c>
      <c r="H2423" s="443">
        <f t="shared" ref="H2423" si="1548">+H2422+G2423</f>
        <v>0.78395379356921402</v>
      </c>
    </row>
    <row r="2424" spans="1:8">
      <c r="A2424" s="415">
        <f>+A2112</f>
        <v>45716</v>
      </c>
      <c r="B2424" s="32">
        <f>+B2121</f>
        <v>11126173.136995047</v>
      </c>
      <c r="C2424" s="32">
        <f>+D2121</f>
        <v>3744060.8869950483</v>
      </c>
      <c r="D2424" s="32">
        <f>+E2121</f>
        <v>3340272.48</v>
      </c>
      <c r="E2424" s="32">
        <f>+F2121</f>
        <v>4041839.77</v>
      </c>
      <c r="F2424" s="32">
        <f t="shared" ref="F2424:F2429" si="1549">+B2424-B2423</f>
        <v>-241027.21331007779</v>
      </c>
      <c r="G2424" s="313">
        <f t="shared" ref="G2424:G2429" si="1550">+F2424/(B2423)</f>
        <v>-2.1203744623328292E-2</v>
      </c>
      <c r="H2424" s="443">
        <f t="shared" ref="H2424:H2429" si="1551">+H2423+G2424</f>
        <v>0.76275004894588572</v>
      </c>
    </row>
    <row r="2425" spans="1:8">
      <c r="A2425" s="415">
        <f>+A2123</f>
        <v>45744</v>
      </c>
      <c r="B2425" s="32">
        <f>+B2132</f>
        <v>10914173.348886993</v>
      </c>
      <c r="C2425" s="32">
        <f>+D2132</f>
        <v>3739041.5388869918</v>
      </c>
      <c r="D2425" s="32">
        <f>+E2132</f>
        <v>3334694.15</v>
      </c>
      <c r="E2425" s="32">
        <f>+F2132</f>
        <v>3840437.66</v>
      </c>
      <c r="F2425" s="32">
        <f t="shared" si="1549"/>
        <v>-211999.78810805455</v>
      </c>
      <c r="G2425" s="313">
        <f t="shared" si="1550"/>
        <v>-1.9054151458702841E-2</v>
      </c>
      <c r="H2425" s="443">
        <f t="shared" si="1551"/>
        <v>0.7436958974871829</v>
      </c>
    </row>
    <row r="2426" spans="1:8">
      <c r="A2426" s="415">
        <f>+A2134</f>
        <v>45775</v>
      </c>
      <c r="B2426" s="32">
        <f>+B2143</f>
        <v>10944984.018373376</v>
      </c>
      <c r="C2426" s="32">
        <f>+D2143</f>
        <v>3769852.2083733748</v>
      </c>
      <c r="D2426" s="32">
        <f>+E2143</f>
        <v>3334694.15</v>
      </c>
      <c r="E2426" s="32">
        <f>+F2143</f>
        <v>3840437.66</v>
      </c>
      <c r="F2426" s="32">
        <f t="shared" si="1549"/>
        <v>30810.669486382976</v>
      </c>
      <c r="G2426" s="313">
        <f t="shared" si="1550"/>
        <v>2.822996163014489E-3</v>
      </c>
      <c r="H2426" s="443">
        <f t="shared" si="1551"/>
        <v>0.74651889365019741</v>
      </c>
    </row>
    <row r="2427" spans="1:8">
      <c r="A2427" s="415">
        <f>+A2145</f>
        <v>45805</v>
      </c>
      <c r="B2427" s="32">
        <f>+B2154</f>
        <v>11554363.879563248</v>
      </c>
      <c r="C2427" s="32">
        <f>+D2154</f>
        <v>3772562.9395632478</v>
      </c>
      <c r="D2427" s="32">
        <f>+E2154</f>
        <v>3668102.48</v>
      </c>
      <c r="E2427" s="32">
        <f>+F2154</f>
        <v>4113698.46</v>
      </c>
      <c r="F2427" s="32">
        <f t="shared" si="1549"/>
        <v>609379.86118987203</v>
      </c>
      <c r="G2427" s="313">
        <f t="shared" si="1550"/>
        <v>5.5676633256558833E-2</v>
      </c>
      <c r="H2427" s="443">
        <f t="shared" si="1551"/>
        <v>0.80219552690675622</v>
      </c>
    </row>
    <row r="2428" spans="1:8">
      <c r="A2428" s="415">
        <f>+A2156</f>
        <v>45836</v>
      </c>
      <c r="B2428" s="32">
        <f>+B2165</f>
        <v>11812545.054096423</v>
      </c>
      <c r="C2428" s="32">
        <f>+D2165</f>
        <v>3769324.9540964249</v>
      </c>
      <c r="D2428" s="32">
        <f>+E2165</f>
        <v>3748273.37</v>
      </c>
      <c r="E2428" s="32">
        <f>+F2165</f>
        <v>4294946.7300000004</v>
      </c>
      <c r="F2428" s="32">
        <f t="shared" si="1549"/>
        <v>258181.1745331753</v>
      </c>
      <c r="G2428" s="313">
        <f t="shared" si="1550"/>
        <v>2.2344905978756009E-2</v>
      </c>
      <c r="H2428" s="443">
        <f t="shared" si="1551"/>
        <v>0.82454043288551226</v>
      </c>
    </row>
    <row r="2429" spans="1:8">
      <c r="A2429" s="415">
        <f>+A2167</f>
        <v>45866</v>
      </c>
      <c r="B2429" s="32">
        <f>+B2176</f>
        <v>11798871.337765777</v>
      </c>
      <c r="C2429" s="32">
        <f>+D2176</f>
        <v>3756321.1777657797</v>
      </c>
      <c r="D2429" s="32">
        <f>+E2176</f>
        <v>3665970.06</v>
      </c>
      <c r="E2429" s="32">
        <f>+F2176</f>
        <v>4376580.0999999996</v>
      </c>
      <c r="F2429" s="32">
        <f t="shared" si="1549"/>
        <v>-13673.716330645606</v>
      </c>
      <c r="G2429" s="313">
        <f t="shared" si="1550"/>
        <v>-1.1575588722011905E-3</v>
      </c>
      <c r="H2429" s="443">
        <f t="shared" si="1551"/>
        <v>0.82338287401331112</v>
      </c>
    </row>
    <row r="2433" spans="2:9">
      <c r="B2433" t="s">
        <v>179</v>
      </c>
      <c r="C2433" s="32">
        <f>(+A2294-A2244)/30/12</f>
        <v>4.2222222222222223</v>
      </c>
      <c r="D2433" s="313">
        <f>+F2433/B2244</f>
        <v>0.47309123547161125</v>
      </c>
      <c r="E2433" s="313">
        <f>+D2433/C2433</f>
        <v>0.11204792419064477</v>
      </c>
      <c r="F2433" s="32">
        <f>SUM(F2244:F2355)</f>
        <v>2618706.3218272366</v>
      </c>
      <c r="I2433" s="32">
        <f>+I2326-I2290</f>
        <v>981358.34479121119</v>
      </c>
    </row>
  </sheetData>
  <mergeCells count="3">
    <mergeCell ref="Q1:S1"/>
    <mergeCell ref="F68:G68"/>
    <mergeCell ref="F69:G69"/>
  </mergeCells>
  <phoneticPr fontId="0" type="noConversion"/>
  <hyperlinks>
    <hyperlink ref="G133" display="Corto Plazo" xr:uid="{00000000-0004-0000-0100-000000000000}"/>
    <hyperlink ref="G134" display="Renta Fija" xr:uid="{00000000-0004-0000-0100-000001000000}"/>
    <hyperlink ref="G135" display="Renta Variable" xr:uid="{00000000-0004-0000-0100-000002000000}"/>
    <hyperlink ref="G136" display="Gestion Alternativa" xr:uid="{00000000-0004-0000-0100-000003000000}"/>
  </hyperlinks>
  <pageMargins left="0.75" right="0.75" top="1" bottom="1" header="0" footer="0"/>
  <pageSetup orientation="portrait" horizontalDpi="4294967293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940805" r:id="rId4" name="Control 6149">
          <controlPr defaultSize="0" r:id="rId5">
            <anchor moveWithCells="1">
              <from>
                <xdr:col>3</xdr:col>
                <xdr:colOff>0</xdr:colOff>
                <xdr:row>224</xdr:row>
                <xdr:rowOff>31750</xdr:rowOff>
              </from>
              <to>
                <xdr:col>3</xdr:col>
                <xdr:colOff>774700</xdr:colOff>
                <xdr:row>225</xdr:row>
                <xdr:rowOff>95250</xdr:rowOff>
              </to>
            </anchor>
          </controlPr>
        </control>
      </mc:Choice>
      <mc:Fallback>
        <control shapeId="4940805" r:id="rId4" name="Control 6149"/>
      </mc:Fallback>
    </mc:AlternateContent>
    <mc:AlternateContent xmlns:mc="http://schemas.openxmlformats.org/markup-compatibility/2006">
      <mc:Choice Requires="x14">
        <control shapeId="4940804" r:id="rId6" name="Control 6148">
          <controlPr defaultSize="0" r:id="rId7">
            <anchor moveWithCells="1">
              <from>
                <xdr:col>2</xdr:col>
                <xdr:colOff>0</xdr:colOff>
                <xdr:row>224</xdr:row>
                <xdr:rowOff>31750</xdr:rowOff>
              </from>
              <to>
                <xdr:col>2</xdr:col>
                <xdr:colOff>914400</xdr:colOff>
                <xdr:row>225</xdr:row>
                <xdr:rowOff>63500</xdr:rowOff>
              </to>
            </anchor>
          </controlPr>
        </control>
      </mc:Choice>
      <mc:Fallback>
        <control shapeId="4940804" r:id="rId6" name="Control 6148"/>
      </mc:Fallback>
    </mc:AlternateContent>
    <mc:AlternateContent xmlns:mc="http://schemas.openxmlformats.org/markup-compatibility/2006">
      <mc:Choice Requires="x14">
        <control shapeId="4940803" r:id="rId8" name="Control 6147">
          <controlPr defaultSize="0" r:id="rId9">
            <anchor moveWithCells="1">
              <from>
                <xdr:col>2</xdr:col>
                <xdr:colOff>0</xdr:colOff>
                <xdr:row>224</xdr:row>
                <xdr:rowOff>31750</xdr:rowOff>
              </from>
              <to>
                <xdr:col>3</xdr:col>
                <xdr:colOff>1320800</xdr:colOff>
                <xdr:row>225</xdr:row>
                <xdr:rowOff>63500</xdr:rowOff>
              </to>
            </anchor>
          </controlPr>
        </control>
      </mc:Choice>
      <mc:Fallback>
        <control shapeId="4940803" r:id="rId8" name="Control 6147"/>
      </mc:Fallback>
    </mc:AlternateContent>
    <mc:AlternateContent xmlns:mc="http://schemas.openxmlformats.org/markup-compatibility/2006">
      <mc:Choice Requires="x14">
        <control shapeId="4940802" r:id="rId10" name="Control 6146">
          <controlPr defaultSize="0" r:id="rId11">
            <anchor moveWithCells="1">
              <from>
                <xdr:col>3</xdr:col>
                <xdr:colOff>0</xdr:colOff>
                <xdr:row>224</xdr:row>
                <xdr:rowOff>31750</xdr:rowOff>
              </from>
              <to>
                <xdr:col>3</xdr:col>
                <xdr:colOff>768350</xdr:colOff>
                <xdr:row>225</xdr:row>
                <xdr:rowOff>95250</xdr:rowOff>
              </to>
            </anchor>
          </controlPr>
        </control>
      </mc:Choice>
      <mc:Fallback>
        <control shapeId="4940802" r:id="rId10" name="Control 6146"/>
      </mc:Fallback>
    </mc:AlternateContent>
    <mc:AlternateContent xmlns:mc="http://schemas.openxmlformats.org/markup-compatibility/2006">
      <mc:Choice Requires="x14">
        <control shapeId="4940801" r:id="rId12" name="Control 6145">
          <controlPr defaultSize="0" r:id="rId7">
            <anchor moveWithCells="1">
              <from>
                <xdr:col>2</xdr:col>
                <xdr:colOff>0</xdr:colOff>
                <xdr:row>224</xdr:row>
                <xdr:rowOff>31750</xdr:rowOff>
              </from>
              <to>
                <xdr:col>2</xdr:col>
                <xdr:colOff>914400</xdr:colOff>
                <xdr:row>225</xdr:row>
                <xdr:rowOff>63500</xdr:rowOff>
              </to>
            </anchor>
          </controlPr>
        </control>
      </mc:Choice>
      <mc:Fallback>
        <control shapeId="4940801" r:id="rId12" name="Control 6145"/>
      </mc:Fallback>
    </mc:AlternateContent>
    <mc:AlternateContent xmlns:mc="http://schemas.openxmlformats.org/markup-compatibility/2006">
      <mc:Choice Requires="x14">
        <control shapeId="4940800" r:id="rId13" name="Control 6144">
          <controlPr defaultSize="0" r:id="rId9">
            <anchor moveWithCells="1">
              <from>
                <xdr:col>2</xdr:col>
                <xdr:colOff>0</xdr:colOff>
                <xdr:row>224</xdr:row>
                <xdr:rowOff>31750</xdr:rowOff>
              </from>
              <to>
                <xdr:col>3</xdr:col>
                <xdr:colOff>1320800</xdr:colOff>
                <xdr:row>225</xdr:row>
                <xdr:rowOff>63500</xdr:rowOff>
              </to>
            </anchor>
          </controlPr>
        </control>
      </mc:Choice>
      <mc:Fallback>
        <control shapeId="4940800" r:id="rId13" name="Control 6144"/>
      </mc:Fallback>
    </mc:AlternateContent>
  </controls>
  <tableParts count="1">
    <tablePart r:id="rId1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Y874"/>
  <sheetViews>
    <sheetView topLeftCell="A862" zoomScale="80" zoomScaleNormal="80" workbookViewId="0">
      <selection activeCell="A880" sqref="A880:XFD880"/>
    </sheetView>
  </sheetViews>
  <sheetFormatPr baseColWidth="10" defaultColWidth="10.54296875" defaultRowHeight="12.5"/>
  <cols>
    <col min="1" max="1" width="15.54296875" customWidth="1"/>
    <col min="2" max="2" width="12.81640625" bestFit="1" customWidth="1"/>
    <col min="4" max="4" width="14.453125" customWidth="1"/>
    <col min="7" max="7" width="13.453125" customWidth="1"/>
    <col min="15" max="15" width="32.453125" customWidth="1"/>
    <col min="16" max="17" width="18.453125" customWidth="1"/>
    <col min="18" max="18" width="16.54296875" customWidth="1"/>
    <col min="19" max="19" width="15.54296875" customWidth="1"/>
    <col min="22" max="22" width="16.26953125" customWidth="1"/>
    <col min="26" max="26" width="17.36328125" customWidth="1"/>
  </cols>
  <sheetData>
    <row r="1" spans="1:21" ht="16" thickBot="1">
      <c r="A1" s="705" t="s">
        <v>180</v>
      </c>
    </row>
    <row r="2" spans="1:21" ht="14.5" thickBot="1">
      <c r="A2" s="690" t="s">
        <v>0</v>
      </c>
      <c r="B2" s="706" t="s">
        <v>181</v>
      </c>
      <c r="C2" s="708" t="s">
        <v>182</v>
      </c>
      <c r="D2" s="723">
        <v>45170</v>
      </c>
      <c r="E2" s="577" t="s">
        <v>183</v>
      </c>
      <c r="G2" s="1165">
        <v>2024</v>
      </c>
      <c r="H2" s="1162" t="s">
        <v>184</v>
      </c>
      <c r="I2" s="724" t="s">
        <v>129</v>
      </c>
      <c r="K2" s="1159">
        <v>2023</v>
      </c>
      <c r="L2" s="1162" t="s">
        <v>184</v>
      </c>
      <c r="M2" s="724" t="s">
        <v>129</v>
      </c>
    </row>
    <row r="3" spans="1:21" ht="20.5" thickTop="1">
      <c r="A3" s="796">
        <v>45139</v>
      </c>
      <c r="B3" s="800">
        <v>292.58</v>
      </c>
      <c r="C3" s="406"/>
      <c r="G3" s="1166"/>
      <c r="H3" s="1163"/>
      <c r="I3" s="725" t="s">
        <v>185</v>
      </c>
      <c r="K3" s="1160"/>
      <c r="L3" s="1163"/>
      <c r="M3" s="725" t="s">
        <v>185</v>
      </c>
      <c r="O3" s="766" t="s">
        <v>186</v>
      </c>
      <c r="S3" s="803">
        <v>0.06</v>
      </c>
    </row>
    <row r="4" spans="1:21" ht="14.5">
      <c r="A4" s="796">
        <v>45140</v>
      </c>
      <c r="B4" s="800">
        <v>293.13</v>
      </c>
      <c r="C4" s="406"/>
      <c r="G4" s="1166"/>
      <c r="H4" s="1163"/>
      <c r="I4" s="725" t="s">
        <v>187</v>
      </c>
      <c r="K4" s="1160"/>
      <c r="L4" s="1163"/>
      <c r="M4" s="725" t="s">
        <v>187</v>
      </c>
      <c r="O4" s="778" t="s">
        <v>188</v>
      </c>
      <c r="P4" s="779" t="s">
        <v>0</v>
      </c>
      <c r="Q4" s="779" t="s">
        <v>189</v>
      </c>
      <c r="R4" s="779" t="s">
        <v>190</v>
      </c>
      <c r="S4" s="779" t="s">
        <v>191</v>
      </c>
      <c r="U4" s="779" t="s">
        <v>192</v>
      </c>
    </row>
    <row r="5" spans="1:21">
      <c r="A5" s="796">
        <v>45141</v>
      </c>
      <c r="B5" s="800">
        <v>293.68</v>
      </c>
      <c r="C5" s="406"/>
      <c r="G5" s="1167"/>
      <c r="H5" s="1164"/>
      <c r="I5" s="726" t="s">
        <v>193</v>
      </c>
      <c r="K5" s="1161"/>
      <c r="L5" s="1164"/>
      <c r="M5" s="726" t="s">
        <v>193</v>
      </c>
      <c r="O5" s="783"/>
      <c r="P5" s="784"/>
      <c r="Q5" s="785"/>
      <c r="S5" s="787"/>
      <c r="U5" s="786"/>
    </row>
    <row r="6" spans="1:21" ht="14">
      <c r="A6" s="796">
        <v>45142</v>
      </c>
      <c r="B6" s="800">
        <v>294.23</v>
      </c>
      <c r="C6" s="406"/>
      <c r="G6" s="727" t="s">
        <v>194</v>
      </c>
      <c r="H6" s="728"/>
      <c r="I6" s="773">
        <v>0.20599999999999999</v>
      </c>
      <c r="K6" s="727" t="s">
        <v>194</v>
      </c>
      <c r="L6" s="728"/>
      <c r="M6" s="729">
        <v>0.06</v>
      </c>
      <c r="O6" s="788" t="s">
        <v>195</v>
      </c>
      <c r="P6" s="789">
        <v>45148</v>
      </c>
      <c r="Q6" s="790">
        <v>155000</v>
      </c>
      <c r="R6" s="791">
        <f>+Q6/VLOOKUP(P6,TablaUVA[#All],2)</f>
        <v>520.88584198675937</v>
      </c>
      <c r="S6" s="791">
        <f t="shared" ref="S6:S28" si="0">+R6*$S$3*($P$31-P6)/360</f>
        <v>22.91897704741741</v>
      </c>
      <c r="U6" s="798">
        <v>0</v>
      </c>
    </row>
    <row r="7" spans="1:21" ht="14.5">
      <c r="A7" s="796">
        <v>45143</v>
      </c>
      <c r="B7" s="800">
        <v>294.77999999999997</v>
      </c>
      <c r="C7" s="406"/>
      <c r="G7" s="727" t="s">
        <v>196</v>
      </c>
      <c r="H7" s="728"/>
      <c r="I7" s="773">
        <v>0.13200000000000001</v>
      </c>
      <c r="K7" s="727" t="s">
        <v>196</v>
      </c>
      <c r="L7" s="728"/>
      <c r="M7" s="729">
        <v>6.6000000000000003E-2</v>
      </c>
      <c r="O7" s="789" t="s">
        <v>197</v>
      </c>
      <c r="P7" s="789">
        <v>45164</v>
      </c>
      <c r="Q7" s="792">
        <f>-U7</f>
        <v>-160000</v>
      </c>
      <c r="R7" s="791">
        <f>+Q7/VLOOKUP(P7,TablaUVA[#All],2)</f>
        <v>-521.29149969048319</v>
      </c>
      <c r="S7" s="791">
        <f t="shared" si="0"/>
        <v>-21.54671532053997</v>
      </c>
      <c r="U7" s="799">
        <v>160000</v>
      </c>
    </row>
    <row r="8" spans="1:21" ht="14.5">
      <c r="A8" s="796">
        <v>45144</v>
      </c>
      <c r="B8" s="800">
        <v>294.77999999999997</v>
      </c>
      <c r="C8" s="406"/>
      <c r="G8" s="727" t="s">
        <v>198</v>
      </c>
      <c r="H8" s="728"/>
      <c r="I8" s="773">
        <v>0.11</v>
      </c>
      <c r="K8" s="727" t="s">
        <v>198</v>
      </c>
      <c r="L8" s="728"/>
      <c r="M8" s="729">
        <v>7.6999999999999999E-2</v>
      </c>
      <c r="O8" s="789" t="s">
        <v>197</v>
      </c>
      <c r="P8" s="789">
        <v>45166</v>
      </c>
      <c r="Q8" s="792">
        <f>-U8</f>
        <v>-90000</v>
      </c>
      <c r="R8" s="791">
        <f>+Q8/VLOOKUP(P8,TablaUVA[#All],2)</f>
        <v>-293.22646857589677</v>
      </c>
      <c r="S8" s="791">
        <f t="shared" si="0"/>
        <v>-12.02228521161177</v>
      </c>
      <c r="U8" s="799">
        <v>90000</v>
      </c>
    </row>
    <row r="9" spans="1:21" ht="14.5">
      <c r="A9" s="796">
        <v>45145</v>
      </c>
      <c r="B9" s="800">
        <v>294.77999999999997</v>
      </c>
      <c r="C9" s="406"/>
      <c r="G9" s="727" t="s">
        <v>199</v>
      </c>
      <c r="H9" s="728"/>
      <c r="I9" s="773">
        <v>8.7999999999999995E-2</v>
      </c>
      <c r="K9" s="727" t="s">
        <v>199</v>
      </c>
      <c r="L9" s="728"/>
      <c r="M9" s="729">
        <v>8.4000000000000005E-2</v>
      </c>
      <c r="O9" s="789" t="s">
        <v>197</v>
      </c>
      <c r="P9" s="789">
        <v>45171</v>
      </c>
      <c r="Q9" s="792">
        <f>-U9</f>
        <v>-63000</v>
      </c>
      <c r="R9" s="791">
        <f>+Q9/VLOOKUP(P9,TablaUVA[#All],2)</f>
        <v>-202.44215938303341</v>
      </c>
      <c r="S9" s="791">
        <f t="shared" si="0"/>
        <v>-8.1314267352185077</v>
      </c>
      <c r="U9" s="799">
        <v>63000</v>
      </c>
    </row>
    <row r="10" spans="1:21" ht="14">
      <c r="A10" s="796">
        <v>45146</v>
      </c>
      <c r="B10" s="800">
        <v>296.45</v>
      </c>
      <c r="C10" s="406"/>
      <c r="G10" s="727" t="s">
        <v>200</v>
      </c>
      <c r="H10" s="728"/>
      <c r="I10" s="773">
        <v>4.2000000000000003E-2</v>
      </c>
      <c r="K10" s="727" t="s">
        <v>200</v>
      </c>
      <c r="L10" s="728"/>
      <c r="M10" s="729">
        <v>7.8E-2</v>
      </c>
      <c r="O10" s="788" t="s">
        <v>201</v>
      </c>
      <c r="P10" s="789">
        <v>45179</v>
      </c>
      <c r="Q10" s="790">
        <v>155000</v>
      </c>
      <c r="R10" s="791">
        <f>+Q10/VLOOKUP(P10,TablaUVA[#All],2)</f>
        <v>491.25253549695742</v>
      </c>
      <c r="S10" s="791">
        <f t="shared" si="0"/>
        <v>19.076973461798513</v>
      </c>
      <c r="U10" s="798">
        <v>0</v>
      </c>
    </row>
    <row r="11" spans="1:21" ht="14">
      <c r="A11" s="796">
        <v>45147</v>
      </c>
      <c r="B11" s="800">
        <v>297.01</v>
      </c>
      <c r="C11" s="406"/>
      <c r="G11" s="727" t="s">
        <v>202</v>
      </c>
      <c r="H11" s="728"/>
      <c r="I11" s="773">
        <v>4.5999999999999999E-2</v>
      </c>
      <c r="K11" s="727" t="s">
        <v>202</v>
      </c>
      <c r="L11" s="728"/>
      <c r="M11" s="729">
        <v>0.06</v>
      </c>
      <c r="O11" s="788" t="s">
        <v>203</v>
      </c>
      <c r="P11" s="789">
        <v>45209</v>
      </c>
      <c r="Q11" s="790">
        <v>155000</v>
      </c>
      <c r="R11" s="791">
        <f>+Q11/VLOOKUP(P11,TablaUVA[#All],2)</f>
        <v>441.26857598360192</v>
      </c>
      <c r="S11" s="791">
        <f t="shared" si="0"/>
        <v>14.929586820778532</v>
      </c>
      <c r="U11" s="798">
        <v>0</v>
      </c>
    </row>
    <row r="12" spans="1:21" ht="14.5">
      <c r="A12" s="796">
        <v>45148</v>
      </c>
      <c r="B12" s="800">
        <v>297.57</v>
      </c>
      <c r="C12" s="406"/>
      <c r="G12" s="727" t="s">
        <v>204</v>
      </c>
      <c r="H12" s="728"/>
      <c r="I12" s="773">
        <v>0.04</v>
      </c>
      <c r="K12" s="727" t="s">
        <v>204</v>
      </c>
      <c r="L12" s="728"/>
      <c r="M12" s="729">
        <v>6.3E-2</v>
      </c>
      <c r="O12" s="789" t="s">
        <v>197</v>
      </c>
      <c r="P12" s="789">
        <v>45231</v>
      </c>
      <c r="Q12" s="792">
        <f>-U12</f>
        <v>-165000</v>
      </c>
      <c r="R12" s="791">
        <f>+Q12/VLOOKUP(P12,TablaUVA[#All],2)</f>
        <v>-431.41766459237567</v>
      </c>
      <c r="S12" s="791">
        <f t="shared" si="0"/>
        <v>-13.014432881869999</v>
      </c>
      <c r="U12" s="799">
        <v>165000</v>
      </c>
    </row>
    <row r="13" spans="1:21" ht="14">
      <c r="A13" s="796">
        <v>45149</v>
      </c>
      <c r="B13" s="800">
        <v>298.13</v>
      </c>
      <c r="C13" s="406"/>
      <c r="G13" s="727" t="s">
        <v>205</v>
      </c>
      <c r="H13" s="728"/>
      <c r="I13" s="773">
        <v>4.2000000000000003E-2</v>
      </c>
      <c r="K13" s="727" t="s">
        <v>205</v>
      </c>
      <c r="L13" s="728"/>
      <c r="M13" s="729">
        <v>0.124</v>
      </c>
      <c r="O13" s="788" t="s">
        <v>206</v>
      </c>
      <c r="P13" s="789">
        <v>45240</v>
      </c>
      <c r="Q13" s="790">
        <v>213000</v>
      </c>
      <c r="R13" s="791">
        <f>+Q13/VLOOKUP(P13,TablaUVA[#All],2)</f>
        <v>537.93312455803618</v>
      </c>
      <c r="S13" s="791">
        <f t="shared" si="0"/>
        <v>15.420749570663702</v>
      </c>
      <c r="U13" s="799">
        <v>0</v>
      </c>
    </row>
    <row r="14" spans="1:21" ht="14.5">
      <c r="A14" s="796">
        <v>45150</v>
      </c>
      <c r="B14" s="800">
        <v>298.69</v>
      </c>
      <c r="C14" s="406"/>
      <c r="G14" s="727" t="s">
        <v>207</v>
      </c>
      <c r="H14" s="728"/>
      <c r="I14" s="773">
        <v>3.5000000000000003E-2</v>
      </c>
      <c r="K14" s="727" t="s">
        <v>207</v>
      </c>
      <c r="L14" s="728"/>
      <c r="M14" s="729">
        <v>0.127</v>
      </c>
      <c r="O14" s="788" t="s">
        <v>197</v>
      </c>
      <c r="P14" s="789">
        <v>45264</v>
      </c>
      <c r="Q14" s="792">
        <f>-U14</f>
        <v>-103000</v>
      </c>
      <c r="R14" s="791">
        <f>+Q14/VLOOKUP(P14,TablaUVA[#All],2)</f>
        <v>-243.59095639012395</v>
      </c>
      <c r="S14" s="791">
        <f t="shared" si="0"/>
        <v>-6.0085769242897236</v>
      </c>
      <c r="U14" s="799">
        <v>103000</v>
      </c>
    </row>
    <row r="15" spans="1:21" ht="14">
      <c r="A15" s="796">
        <v>45151</v>
      </c>
      <c r="B15" s="800">
        <v>298.69</v>
      </c>
      <c r="C15" s="406"/>
      <c r="G15" s="727" t="s">
        <v>208</v>
      </c>
      <c r="H15" s="728"/>
      <c r="I15" s="773">
        <v>2.7E-2</v>
      </c>
      <c r="K15" s="727" t="s">
        <v>208</v>
      </c>
      <c r="L15" s="728"/>
      <c r="M15" s="729">
        <v>8.3000000000000004E-2</v>
      </c>
      <c r="O15" s="788" t="s">
        <v>209</v>
      </c>
      <c r="P15" s="789">
        <v>45270</v>
      </c>
      <c r="Q15" s="790">
        <v>213000</v>
      </c>
      <c r="R15" s="791">
        <f>+Q15/VLOOKUP(P15,TablaUVA[#All],2)</f>
        <v>495.76389535425011</v>
      </c>
      <c r="S15" s="791">
        <f t="shared" si="0"/>
        <v>11.733078856717253</v>
      </c>
      <c r="U15" s="799">
        <v>0</v>
      </c>
    </row>
    <row r="16" spans="1:21" ht="14.5">
      <c r="A16" s="796">
        <v>45152</v>
      </c>
      <c r="B16" s="800">
        <v>298.69</v>
      </c>
      <c r="C16" s="406"/>
      <c r="G16" s="727" t="s">
        <v>210</v>
      </c>
      <c r="H16" s="728"/>
      <c r="I16" s="772">
        <v>2.7E-2</v>
      </c>
      <c r="K16" s="727" t="s">
        <v>210</v>
      </c>
      <c r="L16" s="728"/>
      <c r="M16" s="729">
        <v>0.128</v>
      </c>
      <c r="O16" s="788" t="s">
        <v>197</v>
      </c>
      <c r="P16" s="789">
        <v>45290</v>
      </c>
      <c r="Q16" s="792">
        <f>-U16</f>
        <v>-120000</v>
      </c>
      <c r="R16" s="791">
        <f>+Q16/VLOOKUP(P16,TablaUVA[#All],2)</f>
        <v>-258.95554596460943</v>
      </c>
      <c r="S16" s="791">
        <f t="shared" si="0"/>
        <v>-5.2654294346137247</v>
      </c>
      <c r="U16" s="799">
        <v>120000</v>
      </c>
    </row>
    <row r="17" spans="1:21" ht="14.5">
      <c r="A17" s="796">
        <v>45153</v>
      </c>
      <c r="B17" s="800">
        <v>300.38</v>
      </c>
      <c r="C17" s="406"/>
      <c r="G17" s="727" t="s">
        <v>211</v>
      </c>
      <c r="H17" s="728"/>
      <c r="I17" s="772">
        <v>0.03</v>
      </c>
      <c r="K17" s="727" t="s">
        <v>211</v>
      </c>
      <c r="L17" s="728"/>
      <c r="M17" s="729">
        <v>0.255</v>
      </c>
      <c r="O17" s="788" t="s">
        <v>197</v>
      </c>
      <c r="P17" s="789">
        <v>45296</v>
      </c>
      <c r="Q17" s="792">
        <f>-U17</f>
        <v>-150000</v>
      </c>
      <c r="R17" s="791">
        <f>+Q17/VLOOKUP(P17,TablaUVA[#All],2)</f>
        <v>-316.23553222440074</v>
      </c>
      <c r="S17" s="791">
        <f t="shared" si="0"/>
        <v>-6.1138869563384146</v>
      </c>
      <c r="U17" s="799">
        <v>150000</v>
      </c>
    </row>
    <row r="18" spans="1:21" ht="14.5" thickBot="1">
      <c r="A18" s="796">
        <v>45154</v>
      </c>
      <c r="B18" s="800">
        <v>300.94</v>
      </c>
      <c r="C18" s="406"/>
      <c r="G18" s="41"/>
      <c r="O18" s="788" t="s">
        <v>212</v>
      </c>
      <c r="P18" s="789">
        <v>45301</v>
      </c>
      <c r="Q18" s="790">
        <v>213000</v>
      </c>
      <c r="R18" s="791">
        <f>+Q18/VLOOKUP(P18,TablaUVA[#All],2)</f>
        <v>440.41022247953026</v>
      </c>
      <c r="S18" s="791">
        <f t="shared" si="0"/>
        <v>8.147589115871309</v>
      </c>
      <c r="U18" s="799">
        <v>0</v>
      </c>
    </row>
    <row r="19" spans="1:21" ht="14">
      <c r="A19" s="796">
        <v>45155</v>
      </c>
      <c r="B19" s="800">
        <v>301.54000000000002</v>
      </c>
      <c r="C19" s="406"/>
      <c r="G19" s="41"/>
      <c r="K19" s="1168">
        <v>2025</v>
      </c>
      <c r="L19" s="1162" t="s">
        <v>184</v>
      </c>
      <c r="M19" s="724" t="s">
        <v>129</v>
      </c>
      <c r="O19" s="788" t="s">
        <v>213</v>
      </c>
      <c r="P19" s="789">
        <v>45321</v>
      </c>
      <c r="Q19" s="790">
        <v>110523.54</v>
      </c>
      <c r="R19" s="791">
        <f>+Q19/VLOOKUP(P19,TablaUVA[#All],2)</f>
        <v>201.49409319623715</v>
      </c>
      <c r="S19" s="791">
        <f t="shared" si="0"/>
        <v>3.0559937468095972</v>
      </c>
      <c r="U19" s="798"/>
    </row>
    <row r="20" spans="1:21" ht="14">
      <c r="A20" s="796">
        <v>45156</v>
      </c>
      <c r="B20" s="800">
        <v>302.13</v>
      </c>
      <c r="C20" s="406"/>
      <c r="G20" s="41"/>
      <c r="K20" s="1169"/>
      <c r="L20" s="1163"/>
      <c r="M20" s="725" t="s">
        <v>185</v>
      </c>
      <c r="O20" s="788" t="s">
        <v>214</v>
      </c>
      <c r="P20" s="789">
        <v>45332</v>
      </c>
      <c r="Q20" s="790">
        <v>364000</v>
      </c>
      <c r="R20" s="791">
        <f>+Q20/VLOOKUP(P20,TablaUVA[#All],2)</f>
        <v>612.2174381054898</v>
      </c>
      <c r="S20" s="791">
        <f t="shared" si="0"/>
        <v>8.1628991747398647</v>
      </c>
      <c r="U20" s="799">
        <v>0</v>
      </c>
    </row>
    <row r="21" spans="1:21" ht="14.5">
      <c r="A21" s="796">
        <v>45157</v>
      </c>
      <c r="B21" s="800">
        <v>302.73</v>
      </c>
      <c r="C21" s="406"/>
      <c r="G21" s="41"/>
      <c r="K21" s="1169"/>
      <c r="L21" s="1163"/>
      <c r="M21" s="725" t="s">
        <v>187</v>
      </c>
      <c r="O21" s="788" t="s">
        <v>197</v>
      </c>
      <c r="P21" s="789">
        <v>45345</v>
      </c>
      <c r="Q21" s="792">
        <v>-75000</v>
      </c>
      <c r="R21" s="791">
        <f>+Q21/VLOOKUP(P21,TablaUVA[#All],2)</f>
        <v>-115.38284026399594</v>
      </c>
      <c r="S21" s="791">
        <f t="shared" si="0"/>
        <v>-1.288441716281288</v>
      </c>
      <c r="U21" s="799">
        <v>200000</v>
      </c>
    </row>
    <row r="22" spans="1:21" ht="14.5">
      <c r="A22" s="796">
        <v>45158</v>
      </c>
      <c r="B22" s="800">
        <v>302.73</v>
      </c>
      <c r="C22" s="406"/>
      <c r="G22" s="41"/>
      <c r="K22" s="1170"/>
      <c r="L22" s="1164"/>
      <c r="M22" s="726" t="s">
        <v>193</v>
      </c>
      <c r="O22" s="789" t="s">
        <v>197</v>
      </c>
      <c r="P22" s="789">
        <v>45352</v>
      </c>
      <c r="Q22" s="792">
        <f>-U21</f>
        <v>-200000</v>
      </c>
      <c r="R22" s="791">
        <f>+Q22/VLOOKUP(P22,TablaUVA[#All],2)</f>
        <v>-294.08304905305255</v>
      </c>
      <c r="S22" s="791">
        <f t="shared" si="0"/>
        <v>-2.9408304905305251</v>
      </c>
      <c r="U22" s="799">
        <v>0</v>
      </c>
    </row>
    <row r="23" spans="1:21" ht="14">
      <c r="A23" s="796">
        <v>45159</v>
      </c>
      <c r="B23" s="800">
        <v>302.73</v>
      </c>
      <c r="C23" s="406"/>
      <c r="G23" s="41"/>
      <c r="K23" s="727" t="s">
        <v>194</v>
      </c>
      <c r="L23" s="728"/>
      <c r="M23" s="773">
        <v>2.1999999999999999E-2</v>
      </c>
      <c r="O23" s="788" t="s">
        <v>215</v>
      </c>
      <c r="P23" s="789">
        <v>45361</v>
      </c>
      <c r="Q23" s="790">
        <v>364000</v>
      </c>
      <c r="R23" s="791">
        <f>+Q23/VLOOKUP(P23,TablaUVA[#All],2)</f>
        <v>508.2805038121038</v>
      </c>
      <c r="S23" s="791">
        <f t="shared" si="0"/>
        <v>4.3203842824028822</v>
      </c>
      <c r="U23" s="799">
        <v>100000</v>
      </c>
    </row>
    <row r="24" spans="1:21" ht="14.5">
      <c r="A24" s="796">
        <v>45160</v>
      </c>
      <c r="B24" s="800">
        <v>302.73</v>
      </c>
      <c r="C24" s="406"/>
      <c r="G24" s="41"/>
      <c r="K24" s="727" t="s">
        <v>196</v>
      </c>
      <c r="L24" s="728"/>
      <c r="M24" s="773">
        <v>2.4E-2</v>
      </c>
      <c r="O24" s="789" t="s">
        <v>197</v>
      </c>
      <c r="P24" s="789">
        <v>45363</v>
      </c>
      <c r="Q24" s="792">
        <f>-U23</f>
        <v>-100000</v>
      </c>
      <c r="R24" s="791">
        <f>+Q24/VLOOKUP(P24,TablaUVA[#All],2)</f>
        <v>-136.95815928233924</v>
      </c>
      <c r="S24" s="791">
        <f t="shared" si="0"/>
        <v>-1.1184916341391036</v>
      </c>
      <c r="U24" s="799">
        <v>60000</v>
      </c>
    </row>
    <row r="25" spans="1:21" ht="14.5">
      <c r="A25" s="796">
        <v>45161</v>
      </c>
      <c r="B25" s="800">
        <v>305.12</v>
      </c>
      <c r="C25" s="406"/>
      <c r="G25" s="41"/>
      <c r="K25" s="727" t="s">
        <v>198</v>
      </c>
      <c r="L25" s="728"/>
      <c r="M25" s="773">
        <v>3.6999999999999998E-2</v>
      </c>
      <c r="O25" s="789" t="s">
        <v>197</v>
      </c>
      <c r="P25" s="789">
        <v>45367</v>
      </c>
      <c r="Q25" s="792">
        <f>-U24</f>
        <v>-60000</v>
      </c>
      <c r="R25" s="791">
        <f>+Q25/VLOOKUP(P25,TablaUVA[#All],2)</f>
        <v>-80.079011291140588</v>
      </c>
      <c r="S25" s="791">
        <f t="shared" si="0"/>
        <v>-0.60059258468355436</v>
      </c>
      <c r="U25" s="798"/>
    </row>
    <row r="26" spans="1:21" ht="14">
      <c r="A26" s="796"/>
      <c r="B26" s="800"/>
      <c r="C26" s="406"/>
      <c r="G26" s="41"/>
      <c r="K26" s="727" t="s">
        <v>199</v>
      </c>
      <c r="L26" s="728"/>
      <c r="M26" s="773">
        <v>2.8000000000000001E-2</v>
      </c>
      <c r="O26" s="788" t="s">
        <v>213</v>
      </c>
      <c r="P26" s="789">
        <v>45372</v>
      </c>
      <c r="Q26" s="790">
        <v>125000</v>
      </c>
      <c r="R26" s="791">
        <f>+Q26/VLOOKUP(P26,TablaUVA[#All],2)</f>
        <v>163.52694924123497</v>
      </c>
      <c r="S26" s="791">
        <f t="shared" si="0"/>
        <v>1.0901796616082331</v>
      </c>
      <c r="U26" s="189"/>
    </row>
    <row r="27" spans="1:21" ht="14">
      <c r="A27" s="796">
        <v>45162</v>
      </c>
      <c r="B27" s="800">
        <v>305.72000000000003</v>
      </c>
      <c r="C27" s="406"/>
      <c r="G27" s="41"/>
      <c r="K27" s="727" t="s">
        <v>200</v>
      </c>
      <c r="L27" s="728"/>
      <c r="M27" s="773">
        <v>1.4999999999999999E-2</v>
      </c>
      <c r="O27" s="788" t="s">
        <v>215</v>
      </c>
      <c r="P27" s="789">
        <v>45392</v>
      </c>
      <c r="Q27" s="790">
        <v>364000</v>
      </c>
      <c r="R27" s="791">
        <f>+Q27/VLOOKUP(P27,TablaUVA[#All],2)</f>
        <v>439.58698146247212</v>
      </c>
      <c r="S27" s="791">
        <f t="shared" si="0"/>
        <v>1.4652899382082403</v>
      </c>
    </row>
    <row r="28" spans="1:21" ht="14.5">
      <c r="A28" s="796">
        <v>45163</v>
      </c>
      <c r="B28" s="800">
        <v>306.33</v>
      </c>
      <c r="C28" s="406"/>
      <c r="G28" s="41"/>
      <c r="K28" s="727" t="s">
        <v>202</v>
      </c>
      <c r="L28" s="728"/>
      <c r="M28" s="773">
        <v>1.6E-2</v>
      </c>
      <c r="O28" s="789" t="s">
        <v>197</v>
      </c>
      <c r="P28" s="789">
        <v>45394</v>
      </c>
      <c r="Q28" s="792">
        <v>-860000</v>
      </c>
      <c r="R28" s="791">
        <f>+Q28/VLOOKUP(P28,TablaUVA[#All],2)</f>
        <v>-1030.310291122559</v>
      </c>
      <c r="S28" s="791">
        <f t="shared" si="0"/>
        <v>-3.0909308733676766</v>
      </c>
      <c r="U28" s="795"/>
    </row>
    <row r="29" spans="1:21" ht="15.5">
      <c r="A29" s="796">
        <v>45164</v>
      </c>
      <c r="B29" s="800">
        <v>306.93</v>
      </c>
      <c r="C29" s="406"/>
      <c r="G29" s="41"/>
      <c r="K29" s="727" t="s">
        <v>204</v>
      </c>
      <c r="L29" s="728"/>
      <c r="M29" s="773">
        <f t="shared" ref="M29:M34" si="1">+M28</f>
        <v>1.6E-2</v>
      </c>
      <c r="O29" s="810" t="s">
        <v>216</v>
      </c>
      <c r="P29" s="796"/>
      <c r="Q29" s="811">
        <f>SUM(Q6:Q28)</f>
        <v>285523.54000000004</v>
      </c>
      <c r="R29" s="812">
        <f>SUM(R6:R28)</f>
        <v>928.64698384266239</v>
      </c>
      <c r="S29" s="812">
        <f>SUM(S6:S28)</f>
        <v>29.179660913531286</v>
      </c>
    </row>
    <row r="30" spans="1:21">
      <c r="A30" s="796">
        <v>45165</v>
      </c>
      <c r="B30" s="800">
        <v>306.93</v>
      </c>
      <c r="C30" s="406"/>
      <c r="G30" s="41"/>
      <c r="K30" s="727" t="s">
        <v>205</v>
      </c>
      <c r="L30" s="728"/>
      <c r="M30" s="773">
        <f t="shared" si="1"/>
        <v>1.6E-2</v>
      </c>
    </row>
    <row r="31" spans="1:21" ht="14">
      <c r="A31" s="796">
        <v>45166</v>
      </c>
      <c r="B31" s="800">
        <v>306.93</v>
      </c>
      <c r="C31" s="406"/>
      <c r="G31" s="41"/>
      <c r="K31" s="727" t="s">
        <v>207</v>
      </c>
      <c r="L31" s="728"/>
      <c r="M31" s="773">
        <f t="shared" si="1"/>
        <v>1.6E-2</v>
      </c>
      <c r="O31" s="793" t="s">
        <v>217</v>
      </c>
      <c r="P31" s="794">
        <v>45412</v>
      </c>
      <c r="Q31" s="809"/>
      <c r="R31" s="809">
        <f>+R29*VLOOKUP(P31,TablaUVA[#All],2)</f>
        <v>826950.85264205246</v>
      </c>
      <c r="S31" s="809">
        <f>+S29*VLOOKUP(P31,TablaUVA[#All],2)</f>
        <v>25984.196246890475</v>
      </c>
    </row>
    <row r="32" spans="1:21">
      <c r="A32" s="796">
        <v>45167</v>
      </c>
      <c r="B32" s="800">
        <v>308.75</v>
      </c>
      <c r="C32" s="406"/>
      <c r="G32" s="41"/>
      <c r="K32" s="727" t="s">
        <v>208</v>
      </c>
      <c r="L32" s="728"/>
      <c r="M32" s="773">
        <f t="shared" si="1"/>
        <v>1.6E-2</v>
      </c>
      <c r="O32" s="782"/>
      <c r="P32" s="780"/>
      <c r="Q32" s="781"/>
      <c r="R32" s="781"/>
      <c r="S32" s="781"/>
    </row>
    <row r="33" spans="1:25">
      <c r="A33" s="796">
        <v>45168</v>
      </c>
      <c r="B33" s="800">
        <v>309.36</v>
      </c>
      <c r="C33" s="406"/>
      <c r="K33" s="727" t="s">
        <v>210</v>
      </c>
      <c r="L33" s="728"/>
      <c r="M33" s="773">
        <f t="shared" si="1"/>
        <v>1.6E-2</v>
      </c>
    </row>
    <row r="34" spans="1:25">
      <c r="A34" s="796">
        <v>45169</v>
      </c>
      <c r="B34" s="800">
        <v>309.97000000000003</v>
      </c>
      <c r="C34" s="161">
        <f>(+TablaUVA[[#This Row],[Valor]]-B3)/B3</f>
        <v>5.943673525189707E-2</v>
      </c>
      <c r="K34" s="727" t="s">
        <v>211</v>
      </c>
      <c r="L34" s="728"/>
      <c r="M34" s="773">
        <f t="shared" si="1"/>
        <v>1.6E-2</v>
      </c>
    </row>
    <row r="35" spans="1:25">
      <c r="A35" s="796">
        <v>45170</v>
      </c>
      <c r="B35" s="800">
        <v>310.58</v>
      </c>
      <c r="C35" s="406"/>
      <c r="S35" s="829">
        <v>45488</v>
      </c>
    </row>
    <row r="36" spans="1:25" ht="31">
      <c r="A36" s="796">
        <v>45171</v>
      </c>
      <c r="B36" s="800">
        <v>311.2</v>
      </c>
      <c r="C36" s="406"/>
      <c r="O36" s="731" t="s">
        <v>0</v>
      </c>
      <c r="P36" s="731" t="s">
        <v>218</v>
      </c>
      <c r="Q36" s="731" t="s">
        <v>219</v>
      </c>
      <c r="R36" s="731" t="s">
        <v>220</v>
      </c>
      <c r="S36" s="731" t="s">
        <v>221</v>
      </c>
      <c r="T36" s="731" t="s">
        <v>222</v>
      </c>
      <c r="U36" s="731" t="s">
        <v>223</v>
      </c>
      <c r="V36" s="731" t="s">
        <v>224</v>
      </c>
      <c r="W36" s="731" t="s">
        <v>225</v>
      </c>
      <c r="X36" s="731" t="s">
        <v>226</v>
      </c>
      <c r="Y36" s="731" t="s">
        <v>227</v>
      </c>
    </row>
    <row r="37" spans="1:25" ht="14">
      <c r="A37" s="796">
        <v>45172</v>
      </c>
      <c r="B37" s="800">
        <v>311.2</v>
      </c>
      <c r="C37" s="406"/>
      <c r="O37" s="749">
        <v>45306</v>
      </c>
      <c r="P37" s="748">
        <v>193200</v>
      </c>
      <c r="Q37" s="748">
        <f>+P37*(1+T37)</f>
        <v>421789.73763614014</v>
      </c>
      <c r="R37" s="749">
        <f>+O37+S37</f>
        <v>45488</v>
      </c>
      <c r="S37" s="750">
        <f>+$S$35-O37</f>
        <v>182</v>
      </c>
      <c r="T37" s="751">
        <f>+(+X37*(1+0.01/365*S37))/W37-1</f>
        <v>1.1831766958392347</v>
      </c>
      <c r="U37" s="716"/>
      <c r="V37" s="717">
        <f>+Q37-P37</f>
        <v>228589.73763614014</v>
      </c>
      <c r="W37" s="754">
        <f>VLOOKUP(O37,TablaUVA[#All],2)</f>
        <v>489.31</v>
      </c>
      <c r="X37" s="762">
        <f>VLOOKUP($S$35,TablaUVA[#All],2)</f>
        <v>1062.95</v>
      </c>
      <c r="Y37" s="716">
        <v>4272.7665084160553</v>
      </c>
    </row>
    <row r="38" spans="1:25" ht="14">
      <c r="A38" s="796">
        <v>45173</v>
      </c>
      <c r="B38" s="800">
        <v>311.2</v>
      </c>
      <c r="C38" s="406"/>
      <c r="O38" s="749">
        <v>45307</v>
      </c>
      <c r="P38" s="748">
        <v>95900</v>
      </c>
      <c r="Q38" s="748">
        <f t="shared" ref="Q38:Q49" si="2">+P38*(1+T38*S38/365)</f>
        <v>150962.49194762352</v>
      </c>
      <c r="R38" s="749">
        <f t="shared" ref="R38:R49" si="3">+O38+S38</f>
        <v>45488</v>
      </c>
      <c r="S38" s="750">
        <f t="shared" ref="S38:S52" si="4">+$S$35-O38</f>
        <v>181</v>
      </c>
      <c r="T38" s="751">
        <f t="shared" ref="T38:T52" si="5">+(+X38*(1+0.01/365*S38))/W38-1</f>
        <v>1.1578479862703772</v>
      </c>
      <c r="U38" s="716"/>
      <c r="V38" s="717">
        <f t="shared" ref="V38:V49" si="6">+Q38-P38</f>
        <v>55062.491947623523</v>
      </c>
      <c r="W38" s="754">
        <f>VLOOKUP(O38,TablaUVA[#All],2)</f>
        <v>495.04</v>
      </c>
      <c r="X38" s="762">
        <f>VLOOKUP($S$35,TablaUVA[#All],2)</f>
        <v>1062.95</v>
      </c>
      <c r="Y38" s="716">
        <v>1335.7042428252419</v>
      </c>
    </row>
    <row r="39" spans="1:25" ht="14">
      <c r="A39" s="796">
        <v>45174</v>
      </c>
      <c r="B39" s="800">
        <v>313.04000000000002</v>
      </c>
      <c r="C39" s="406"/>
      <c r="O39" s="749">
        <v>45310</v>
      </c>
      <c r="P39" s="748">
        <v>115000</v>
      </c>
      <c r="Q39" s="748">
        <f t="shared" si="2"/>
        <v>177292.03821183459</v>
      </c>
      <c r="R39" s="749">
        <f t="shared" si="3"/>
        <v>45488</v>
      </c>
      <c r="S39" s="750">
        <f t="shared" si="4"/>
        <v>178</v>
      </c>
      <c r="T39" s="751">
        <f t="shared" si="5"/>
        <v>1.1107275987943148</v>
      </c>
      <c r="U39" s="716"/>
      <c r="V39" s="717">
        <f t="shared" si="6"/>
        <v>62292.038211834588</v>
      </c>
      <c r="W39" s="754">
        <f>VLOOKUP(O39,TablaUVA[#All],2)</f>
        <v>506.05</v>
      </c>
      <c r="X39" s="762">
        <f>VLOOKUP($S$35,TablaUVA[#All],2)</f>
        <v>1062.95</v>
      </c>
      <c r="Y39" s="716">
        <v>485.89860226614837</v>
      </c>
    </row>
    <row r="40" spans="1:25" ht="14">
      <c r="A40" s="796">
        <v>45175</v>
      </c>
      <c r="B40" s="800">
        <v>313.66000000000003</v>
      </c>
      <c r="C40" s="406"/>
      <c r="O40" s="749">
        <v>45315</v>
      </c>
      <c r="P40" s="748">
        <v>98600</v>
      </c>
      <c r="Q40" s="748">
        <f t="shared" si="2"/>
        <v>146947.61434846971</v>
      </c>
      <c r="R40" s="749">
        <f t="shared" si="3"/>
        <v>45488</v>
      </c>
      <c r="S40" s="750">
        <f t="shared" si="4"/>
        <v>173</v>
      </c>
      <c r="T40" s="751">
        <f t="shared" si="5"/>
        <v>1.0345343032038978</v>
      </c>
      <c r="U40" s="716"/>
      <c r="V40" s="717">
        <f t="shared" si="6"/>
        <v>48347.61434846971</v>
      </c>
      <c r="W40" s="754">
        <f>VLOOKUP(O40,TablaUVA[#All],2)</f>
        <v>524.92999999999995</v>
      </c>
      <c r="X40" s="762">
        <f>VLOOKUP($S$35,TablaUVA[#All],2)</f>
        <v>1062.95</v>
      </c>
      <c r="Y40" s="716">
        <v>341.28357225243042</v>
      </c>
    </row>
    <row r="41" spans="1:25" ht="14">
      <c r="A41" s="796">
        <v>45176</v>
      </c>
      <c r="B41" s="800">
        <v>314.27999999999997</v>
      </c>
      <c r="C41" s="406"/>
      <c r="O41" s="749">
        <v>45316</v>
      </c>
      <c r="P41" s="748">
        <v>190700</v>
      </c>
      <c r="Q41" s="748">
        <f t="shared" si="2"/>
        <v>282327.94189523306</v>
      </c>
      <c r="R41" s="749">
        <f t="shared" si="3"/>
        <v>45488</v>
      </c>
      <c r="S41" s="750">
        <f t="shared" si="4"/>
        <v>172</v>
      </c>
      <c r="T41" s="751">
        <f t="shared" si="5"/>
        <v>1.019627772580824</v>
      </c>
      <c r="U41" s="716"/>
      <c r="V41" s="717">
        <f t="shared" si="6"/>
        <v>91627.94189523306</v>
      </c>
      <c r="W41" s="754">
        <f>VLOOKUP(O41,TablaUVA[#All],2)</f>
        <v>528.79</v>
      </c>
      <c r="X41" s="762">
        <f>VLOOKUP($S$35,TablaUVA[#All],2)</f>
        <v>1062.95</v>
      </c>
      <c r="Y41" s="716">
        <v>355.5268261150614</v>
      </c>
    </row>
    <row r="42" spans="1:25" ht="14">
      <c r="A42" s="796">
        <v>45177</v>
      </c>
      <c r="B42" s="800">
        <v>314.89999999999998</v>
      </c>
      <c r="C42" s="406"/>
      <c r="O42" s="749">
        <v>45355</v>
      </c>
      <c r="P42" s="748">
        <v>113600</v>
      </c>
      <c r="Q42" s="748">
        <f t="shared" si="2"/>
        <v>136722.23084588101</v>
      </c>
      <c r="R42" s="749">
        <f t="shared" si="3"/>
        <v>45488</v>
      </c>
      <c r="S42" s="750">
        <f t="shared" si="4"/>
        <v>133</v>
      </c>
      <c r="T42" s="751">
        <f t="shared" si="5"/>
        <v>0.55858931607715823</v>
      </c>
      <c r="U42" s="716"/>
      <c r="V42" s="717">
        <f t="shared" si="6"/>
        <v>23122.230845881015</v>
      </c>
      <c r="W42" s="754">
        <f>VLOOKUP(O42,TablaUVA[#All],2)</f>
        <v>684.48</v>
      </c>
      <c r="X42" s="762">
        <f>VLOOKUP($S$35,TablaUVA[#All],2)</f>
        <v>1062.95</v>
      </c>
      <c r="Y42" s="716">
        <v>227.2502717122814</v>
      </c>
    </row>
    <row r="43" spans="1:25" ht="14">
      <c r="A43" s="796">
        <v>45178</v>
      </c>
      <c r="B43" s="800">
        <v>315.52</v>
      </c>
      <c r="C43" s="406"/>
      <c r="O43" s="749">
        <v>45362</v>
      </c>
      <c r="P43" s="748">
        <v>400000</v>
      </c>
      <c r="Q43" s="748">
        <f t="shared" si="2"/>
        <v>467577.51058413734</v>
      </c>
      <c r="R43" s="749">
        <f t="shared" si="3"/>
        <v>45488</v>
      </c>
      <c r="S43" s="750">
        <f t="shared" si="4"/>
        <v>126</v>
      </c>
      <c r="T43" s="751">
        <f t="shared" si="5"/>
        <v>0.48940062228591574</v>
      </c>
      <c r="U43" s="716"/>
      <c r="V43" s="717">
        <f t="shared" si="6"/>
        <v>67577.510584137344</v>
      </c>
      <c r="W43" s="754">
        <f>VLOOKUP(O43,TablaUVA[#All],2)</f>
        <v>716.14</v>
      </c>
      <c r="X43" s="762">
        <f>VLOOKUP($S$35,TablaUVA[#All],2)</f>
        <v>1062.95</v>
      </c>
      <c r="Y43" s="716">
        <v>266.70222696359519</v>
      </c>
    </row>
    <row r="44" spans="1:25" ht="14">
      <c r="A44" s="796">
        <v>45179</v>
      </c>
      <c r="B44" s="800">
        <v>315.52</v>
      </c>
      <c r="C44" s="406"/>
      <c r="O44" s="749">
        <v>45366</v>
      </c>
      <c r="P44" s="748">
        <v>400000</v>
      </c>
      <c r="Q44" s="748">
        <f t="shared" si="2"/>
        <v>457841.28347229841</v>
      </c>
      <c r="R44" s="749">
        <f t="shared" si="3"/>
        <v>45488</v>
      </c>
      <c r="S44" s="750">
        <f t="shared" si="4"/>
        <v>122</v>
      </c>
      <c r="T44" s="751">
        <f t="shared" si="5"/>
        <v>0.43262435383993703</v>
      </c>
      <c r="U44" s="716"/>
      <c r="V44" s="717">
        <f t="shared" si="6"/>
        <v>57841.283472298412</v>
      </c>
      <c r="W44" s="754">
        <f>VLOOKUP(O44,TablaUVA[#All],2)</f>
        <v>744.44</v>
      </c>
      <c r="X44" s="762">
        <f>VLOOKUP($S$35,TablaUVA[#All],2)</f>
        <v>1062.95</v>
      </c>
      <c r="Y44" s="716">
        <v>671.65611207061977</v>
      </c>
    </row>
    <row r="45" spans="1:25" ht="14">
      <c r="A45" s="796">
        <v>45180</v>
      </c>
      <c r="B45" s="800">
        <v>315.52</v>
      </c>
      <c r="C45" s="406"/>
      <c r="O45" s="749">
        <v>45366</v>
      </c>
      <c r="P45" s="748">
        <v>300000</v>
      </c>
      <c r="Q45" s="748">
        <f t="shared" si="2"/>
        <v>343380.96260422381</v>
      </c>
      <c r="R45" s="749">
        <f t="shared" si="3"/>
        <v>45488</v>
      </c>
      <c r="S45" s="750">
        <f t="shared" si="4"/>
        <v>122</v>
      </c>
      <c r="T45" s="751">
        <f t="shared" si="5"/>
        <v>0.43262435383993703</v>
      </c>
      <c r="U45" s="716"/>
      <c r="V45" s="717">
        <f t="shared" si="6"/>
        <v>43380.962604223809</v>
      </c>
      <c r="W45" s="754">
        <f>VLOOKUP(O45,TablaUVA[#All],2)</f>
        <v>744.44</v>
      </c>
      <c r="X45" s="762">
        <f>VLOOKUP($S$35,TablaUVA[#All],2)</f>
        <v>1062.95</v>
      </c>
      <c r="Y45" s="716">
        <v>1101.0864052531831</v>
      </c>
    </row>
    <row r="46" spans="1:25" ht="14">
      <c r="A46" s="796"/>
      <c r="B46" s="800"/>
      <c r="C46" s="406"/>
      <c r="O46" s="749">
        <v>45369</v>
      </c>
      <c r="P46" s="748">
        <v>400000</v>
      </c>
      <c r="Q46" s="748">
        <f t="shared" si="2"/>
        <v>455201.87111094035</v>
      </c>
      <c r="R46" s="749">
        <v>45469</v>
      </c>
      <c r="S46" s="750">
        <f t="shared" si="4"/>
        <v>119</v>
      </c>
      <c r="T46" s="751">
        <f t="shared" si="5"/>
        <v>0.42329165872884977</v>
      </c>
      <c r="U46" s="716"/>
      <c r="V46" s="717">
        <v>313269.64065732085</v>
      </c>
      <c r="W46" s="754">
        <f>VLOOKUP(O46,TablaUVA[#All],2)</f>
        <v>749.26</v>
      </c>
      <c r="X46" s="762">
        <f>VLOOKUP($S$35,TablaUVA[#All],2)</f>
        <v>1062.95</v>
      </c>
      <c r="Y46" s="716">
        <v>1101.0864052531831</v>
      </c>
    </row>
    <row r="47" spans="1:25" ht="14">
      <c r="A47" s="796"/>
      <c r="B47" s="800"/>
      <c r="C47" s="406"/>
      <c r="O47" s="749">
        <v>45376</v>
      </c>
      <c r="P47" s="748">
        <v>629998</v>
      </c>
      <c r="Q47" s="748">
        <f t="shared" si="2"/>
        <v>704176.63413294114</v>
      </c>
      <c r="R47" s="749">
        <f t="shared" ref="R47:R48" si="7">+O47+S47</f>
        <v>45488</v>
      </c>
      <c r="S47" s="750">
        <f t="shared" si="4"/>
        <v>112</v>
      </c>
      <c r="T47" s="751">
        <f t="shared" si="5"/>
        <v>0.38372005969128242</v>
      </c>
      <c r="U47" s="716"/>
      <c r="V47" s="717">
        <f t="shared" ref="V47:V48" si="8">+Q47-P47</f>
        <v>74178.634132941137</v>
      </c>
      <c r="W47" s="754">
        <f>VLOOKUP(O47,TablaUVA[#All],2)</f>
        <v>770.54</v>
      </c>
      <c r="X47" s="762">
        <f>VLOOKUP($S$35,TablaUVA[#All],2)</f>
        <v>1062.95</v>
      </c>
      <c r="Y47" s="716">
        <v>1101.0864052531831</v>
      </c>
    </row>
    <row r="48" spans="1:25" ht="14">
      <c r="A48" s="796"/>
      <c r="B48" s="800"/>
      <c r="C48" s="406"/>
      <c r="O48" s="749">
        <v>45376</v>
      </c>
      <c r="P48" s="748">
        <v>65000</v>
      </c>
      <c r="Q48" s="748">
        <f t="shared" si="2"/>
        <v>72653.375437130235</v>
      </c>
      <c r="R48" s="749">
        <f t="shared" si="7"/>
        <v>45488</v>
      </c>
      <c r="S48" s="750">
        <f t="shared" si="4"/>
        <v>112</v>
      </c>
      <c r="T48" s="751">
        <f t="shared" si="5"/>
        <v>0.38372005969128242</v>
      </c>
      <c r="U48" s="716"/>
      <c r="V48" s="717">
        <f t="shared" si="8"/>
        <v>7653.3754371302348</v>
      </c>
      <c r="W48" s="754">
        <f>VLOOKUP(O48,TablaUVA[#All],2)</f>
        <v>770.54</v>
      </c>
      <c r="X48" s="762">
        <f>VLOOKUP($S$35,TablaUVA[#All],2)</f>
        <v>1062.95</v>
      </c>
      <c r="Y48" s="716">
        <v>1101.0864052531831</v>
      </c>
    </row>
    <row r="49" spans="1:25" ht="14">
      <c r="A49" s="796">
        <v>45181</v>
      </c>
      <c r="B49" s="800">
        <v>317.39</v>
      </c>
      <c r="C49" s="406"/>
      <c r="O49" s="749">
        <v>45377</v>
      </c>
      <c r="P49" s="748">
        <v>500000</v>
      </c>
      <c r="Q49" s="748">
        <f t="shared" si="2"/>
        <v>555831.65136317932</v>
      </c>
      <c r="R49" s="749">
        <f t="shared" si="3"/>
        <v>45488</v>
      </c>
      <c r="S49" s="750">
        <f t="shared" si="4"/>
        <v>111</v>
      </c>
      <c r="T49" s="751">
        <f t="shared" si="5"/>
        <v>0.36718113058667479</v>
      </c>
      <c r="U49" s="716"/>
      <c r="V49" s="717">
        <f t="shared" si="6"/>
        <v>55831.65136317932</v>
      </c>
      <c r="W49" s="754">
        <f>VLOOKUP(O49,TablaUVA[#All],2)</f>
        <v>779.84</v>
      </c>
      <c r="X49" s="762">
        <f>VLOOKUP($S$35,TablaUVA[#All],2)</f>
        <v>1062.95</v>
      </c>
      <c r="Y49" s="716">
        <v>9.6296438957687336</v>
      </c>
    </row>
    <row r="50" spans="1:25" ht="14">
      <c r="A50" s="796">
        <v>45182</v>
      </c>
      <c r="B50" s="800">
        <v>318.02</v>
      </c>
      <c r="C50" s="406"/>
      <c r="O50" s="749">
        <v>45392</v>
      </c>
      <c r="P50" s="748">
        <v>65900</v>
      </c>
      <c r="Q50" s="748">
        <f t="shared" ref="Q50:Q52" si="9">+P50*(1+T50*S50/365)</f>
        <v>70875.406330862839</v>
      </c>
      <c r="R50" s="749">
        <f t="shared" ref="R50:R52" si="10">+O50+S50</f>
        <v>45488</v>
      </c>
      <c r="S50" s="750">
        <f t="shared" si="4"/>
        <v>96</v>
      </c>
      <c r="T50" s="751">
        <f t="shared" si="5"/>
        <v>0.28705477218717368</v>
      </c>
      <c r="U50" s="716"/>
      <c r="V50" s="717">
        <f t="shared" ref="V50:V52" si="11">+Q50-P50</f>
        <v>4975.4063308628392</v>
      </c>
      <c r="W50" s="754">
        <f>VLOOKUP(O50,TablaUVA[#All],2)</f>
        <v>828.05</v>
      </c>
      <c r="X50" s="762">
        <f>VLOOKUP($S$35,TablaUVA[#All],2)</f>
        <v>1062.95</v>
      </c>
      <c r="Y50" s="716">
        <v>10.6296438957687</v>
      </c>
    </row>
    <row r="51" spans="1:25" ht="14">
      <c r="A51" s="796">
        <v>45183</v>
      </c>
      <c r="B51" s="800">
        <v>318.64</v>
      </c>
      <c r="C51" s="406"/>
      <c r="O51" s="749">
        <v>45414</v>
      </c>
      <c r="P51" s="748">
        <v>500000</v>
      </c>
      <c r="Q51" s="748">
        <f t="shared" si="9"/>
        <v>519455.50646594627</v>
      </c>
      <c r="R51" s="749">
        <f t="shared" si="10"/>
        <v>45488</v>
      </c>
      <c r="S51" s="750">
        <f t="shared" si="4"/>
        <v>74</v>
      </c>
      <c r="T51" s="751">
        <f t="shared" si="5"/>
        <v>0.19192594216406467</v>
      </c>
      <c r="U51" s="716"/>
      <c r="V51" s="717">
        <f t="shared" si="11"/>
        <v>19455.506465946266</v>
      </c>
      <c r="W51" s="754">
        <f>VLOOKUP(O51,TablaUVA[#All],2)</f>
        <v>893.6</v>
      </c>
      <c r="X51" s="762">
        <f>VLOOKUP($S$35,TablaUVA[#All],2)</f>
        <v>1062.95</v>
      </c>
      <c r="Y51" s="716">
        <v>11.6296438957687</v>
      </c>
    </row>
    <row r="52" spans="1:25" ht="14">
      <c r="A52" s="796">
        <v>45184</v>
      </c>
      <c r="B52" s="800">
        <v>319.27</v>
      </c>
      <c r="C52" s="406"/>
      <c r="O52" s="749">
        <v>45483</v>
      </c>
      <c r="P52" s="748">
        <v>990000</v>
      </c>
      <c r="Q52" s="748">
        <f t="shared" si="9"/>
        <v>990076.40223250515</v>
      </c>
      <c r="R52" s="749">
        <f t="shared" si="10"/>
        <v>45488</v>
      </c>
      <c r="S52" s="750">
        <f t="shared" si="4"/>
        <v>5</v>
      </c>
      <c r="T52" s="751">
        <f t="shared" si="5"/>
        <v>5.6336999726063208E-3</v>
      </c>
      <c r="U52" s="716"/>
      <c r="V52" s="717">
        <f t="shared" si="11"/>
        <v>76.402232505148277</v>
      </c>
      <c r="W52" s="754">
        <f>VLOOKUP(O52,TablaUVA[#All],2)</f>
        <v>1057.1400000000001</v>
      </c>
      <c r="X52" s="762">
        <f>VLOOKUP($S$35,TablaUVA[#All],2)</f>
        <v>1062.95</v>
      </c>
      <c r="Y52" s="716">
        <v>12.6296438957687</v>
      </c>
    </row>
    <row r="53" spans="1:25" ht="14">
      <c r="A53" s="796">
        <v>45185</v>
      </c>
      <c r="B53" s="800">
        <v>319.89999999999998</v>
      </c>
      <c r="C53" s="406"/>
      <c r="O53" s="712"/>
      <c r="P53" s="713"/>
      <c r="Q53" s="748"/>
      <c r="R53" s="749"/>
      <c r="S53" s="750"/>
      <c r="T53" s="777"/>
      <c r="U53" s="716"/>
      <c r="V53" s="717"/>
      <c r="W53" s="754"/>
      <c r="X53" s="762"/>
      <c r="Y53" s="716"/>
    </row>
    <row r="54" spans="1:25" ht="14">
      <c r="A54" s="796">
        <v>45186</v>
      </c>
      <c r="B54" s="800">
        <v>319.89999999999998</v>
      </c>
      <c r="C54" s="406"/>
      <c r="O54" s="712"/>
      <c r="P54" s="713"/>
      <c r="Q54" s="748"/>
      <c r="R54" s="749"/>
      <c r="S54" s="750"/>
      <c r="T54" s="777"/>
      <c r="U54" s="716"/>
      <c r="V54" s="717"/>
      <c r="W54" s="754"/>
      <c r="X54" s="762"/>
      <c r="Y54" s="716"/>
    </row>
    <row r="55" spans="1:25" ht="14">
      <c r="A55" s="796">
        <v>45187</v>
      </c>
      <c r="B55" s="800">
        <v>319.89999999999998</v>
      </c>
      <c r="C55" s="406"/>
      <c r="O55" s="712"/>
      <c r="P55" s="748">
        <f>SUM(P37:P54)</f>
        <v>5057898</v>
      </c>
      <c r="Q55" s="748">
        <f>SUM(Q37:Q54)</f>
        <v>5953112.658619347</v>
      </c>
      <c r="R55" s="749"/>
      <c r="S55" s="750"/>
      <c r="T55" s="777"/>
      <c r="U55" s="716"/>
      <c r="V55" s="717"/>
      <c r="W55" s="754"/>
      <c r="X55" s="762"/>
      <c r="Y55" s="716"/>
    </row>
    <row r="56" spans="1:25" ht="14">
      <c r="A56" s="796">
        <v>45188</v>
      </c>
      <c r="B56" s="800">
        <v>323.66000000000003</v>
      </c>
      <c r="C56" s="406"/>
      <c r="O56" s="712"/>
      <c r="Y56" s="716"/>
    </row>
    <row r="57" spans="1:25" ht="14">
      <c r="A57" s="796">
        <v>45189</v>
      </c>
      <c r="B57" s="800">
        <v>324.93</v>
      </c>
      <c r="C57" s="406"/>
      <c r="O57" s="712"/>
      <c r="Y57" s="716"/>
    </row>
    <row r="58" spans="1:25" ht="14">
      <c r="A58" s="796">
        <v>45190</v>
      </c>
      <c r="B58" s="800">
        <v>326.19</v>
      </c>
      <c r="C58" s="406"/>
      <c r="O58" s="712"/>
      <c r="Y58" s="716"/>
    </row>
    <row r="59" spans="1:25" ht="14">
      <c r="A59" s="796">
        <v>45191</v>
      </c>
      <c r="B59" s="800">
        <v>327.47000000000003</v>
      </c>
      <c r="C59" s="406"/>
      <c r="O59" s="712"/>
      <c r="Y59" s="716"/>
    </row>
    <row r="60" spans="1:25" ht="14">
      <c r="A60" s="796">
        <v>45192</v>
      </c>
      <c r="B60" s="800">
        <v>328.75</v>
      </c>
      <c r="C60" s="406"/>
      <c r="O60" s="712"/>
      <c r="Y60" s="716"/>
    </row>
    <row r="61" spans="1:25" ht="14">
      <c r="A61" s="796">
        <v>45193</v>
      </c>
      <c r="B61" s="800">
        <v>328.75</v>
      </c>
      <c r="C61" s="406"/>
      <c r="O61" s="712"/>
      <c r="Y61" s="716"/>
    </row>
    <row r="62" spans="1:25">
      <c r="A62" s="796">
        <v>45194</v>
      </c>
      <c r="B62" s="800">
        <v>328.75</v>
      </c>
      <c r="C62" s="406"/>
    </row>
    <row r="63" spans="1:25">
      <c r="A63" s="796">
        <v>45195</v>
      </c>
      <c r="B63" s="800">
        <v>332.61</v>
      </c>
      <c r="C63" s="406"/>
    </row>
    <row r="64" spans="1:25" ht="13">
      <c r="A64" s="796">
        <v>45196</v>
      </c>
      <c r="B64" s="800">
        <v>333.91</v>
      </c>
      <c r="C64" s="406"/>
      <c r="O64" s="641"/>
      <c r="P64" s="774"/>
      <c r="Q64" s="774"/>
      <c r="R64" s="641"/>
      <c r="S64" s="212"/>
      <c r="T64" s="641"/>
      <c r="U64" s="641"/>
      <c r="V64" s="774"/>
      <c r="W64" s="721"/>
      <c r="X64" s="31"/>
      <c r="Y64" s="31"/>
    </row>
    <row r="65" spans="1:3">
      <c r="A65" s="796">
        <v>45197</v>
      </c>
      <c r="B65" s="800">
        <v>335.21</v>
      </c>
      <c r="C65" s="406"/>
    </row>
    <row r="66" spans="1:3">
      <c r="A66" s="796">
        <v>45198</v>
      </c>
      <c r="B66" s="800">
        <v>336.52</v>
      </c>
      <c r="C66" s="406"/>
    </row>
    <row r="67" spans="1:3" ht="13" thickBot="1">
      <c r="A67" s="796">
        <v>45199</v>
      </c>
      <c r="B67" s="800">
        <v>337.84</v>
      </c>
      <c r="C67" s="161">
        <f>(+TablaUVA[[#This Row],[Valor]]-B34)/B34</f>
        <v>8.9911926960673433E-2</v>
      </c>
    </row>
    <row r="68" spans="1:3" ht="14.5" thickBot="1">
      <c r="A68" s="707">
        <v>45200</v>
      </c>
      <c r="B68" s="801">
        <v>337.84</v>
      </c>
    </row>
    <row r="69" spans="1:3" ht="14.5" thickBot="1">
      <c r="A69" s="707">
        <v>45201</v>
      </c>
      <c r="B69" s="801">
        <v>337.84</v>
      </c>
    </row>
    <row r="70" spans="1:3" ht="14.5" thickBot="1">
      <c r="A70" s="707">
        <v>45202</v>
      </c>
      <c r="B70" s="801">
        <v>341.81</v>
      </c>
    </row>
    <row r="71" spans="1:3" ht="14.5" thickBot="1">
      <c r="A71" s="707">
        <v>45203</v>
      </c>
      <c r="B71" s="801">
        <v>343.14</v>
      </c>
    </row>
    <row r="72" spans="1:3" ht="14.5" thickBot="1">
      <c r="A72" s="707">
        <v>45204</v>
      </c>
      <c r="B72" s="801">
        <v>344.48</v>
      </c>
    </row>
    <row r="73" spans="1:3" ht="14.5" thickBot="1">
      <c r="A73" s="707">
        <v>45205</v>
      </c>
      <c r="B73" s="801">
        <v>345.83</v>
      </c>
    </row>
    <row r="74" spans="1:3" ht="14.5" thickBot="1">
      <c r="A74" s="707">
        <v>45206</v>
      </c>
      <c r="B74" s="801">
        <v>347.18</v>
      </c>
    </row>
    <row r="75" spans="1:3" ht="14.5" thickBot="1">
      <c r="A75" s="707">
        <v>45207</v>
      </c>
      <c r="B75" s="801">
        <v>347.18</v>
      </c>
    </row>
    <row r="76" spans="1:3" ht="14.5" thickBot="1">
      <c r="A76" s="707">
        <v>45208</v>
      </c>
      <c r="B76" s="801">
        <v>347.18</v>
      </c>
    </row>
    <row r="77" spans="1:3" ht="14.5" thickBot="1">
      <c r="A77" s="707">
        <v>45209</v>
      </c>
      <c r="B77" s="801">
        <v>351.26</v>
      </c>
    </row>
    <row r="78" spans="1:3" ht="14.5" thickBot="1">
      <c r="A78" s="707">
        <v>45210</v>
      </c>
      <c r="B78" s="801">
        <v>352.63</v>
      </c>
    </row>
    <row r="79" spans="1:3" ht="14.5" thickBot="1">
      <c r="A79" s="722">
        <v>45211</v>
      </c>
      <c r="B79" s="802">
        <v>354.01</v>
      </c>
      <c r="C79" s="193"/>
    </row>
    <row r="80" spans="1:3" ht="14.5" thickBot="1">
      <c r="A80" s="707">
        <v>45212</v>
      </c>
      <c r="B80" s="801">
        <v>355.39</v>
      </c>
    </row>
    <row r="81" spans="1:2" ht="14.5" thickBot="1">
      <c r="A81" s="707">
        <v>45213</v>
      </c>
      <c r="B81" s="801">
        <v>355.39</v>
      </c>
    </row>
    <row r="82" spans="1:2" ht="14.5" thickBot="1">
      <c r="A82" s="707">
        <v>45214</v>
      </c>
      <c r="B82" s="801">
        <v>355.39</v>
      </c>
    </row>
    <row r="83" spans="1:2" ht="14.5" thickBot="1">
      <c r="A83" s="707">
        <v>45215</v>
      </c>
      <c r="B83" s="801">
        <v>355.39</v>
      </c>
    </row>
    <row r="84" spans="1:2" ht="14.5" thickBot="1">
      <c r="A84" s="707">
        <v>45216</v>
      </c>
      <c r="B84" s="801">
        <v>355.39</v>
      </c>
    </row>
    <row r="85" spans="1:2" ht="14.5" thickBot="1">
      <c r="A85" s="707">
        <v>45217</v>
      </c>
      <c r="B85" s="801">
        <v>362.35</v>
      </c>
    </row>
    <row r="86" spans="1:2" ht="14.5" thickBot="1">
      <c r="A86" s="707">
        <v>45218</v>
      </c>
      <c r="B86" s="801">
        <v>363.75</v>
      </c>
    </row>
    <row r="87" spans="1:2" ht="14.5" thickBot="1">
      <c r="A87" s="707">
        <v>45219</v>
      </c>
      <c r="B87" s="801">
        <v>365.16</v>
      </c>
    </row>
    <row r="88" spans="1:2" ht="14.5" thickBot="1">
      <c r="A88" s="707">
        <v>45220</v>
      </c>
      <c r="B88" s="801">
        <v>366.57</v>
      </c>
    </row>
    <row r="89" spans="1:2" ht="14.5" thickBot="1">
      <c r="A89" s="707">
        <v>45221</v>
      </c>
      <c r="B89" s="801">
        <v>366.57</v>
      </c>
    </row>
    <row r="90" spans="1:2" ht="14.5" thickBot="1">
      <c r="A90" s="707">
        <v>45222</v>
      </c>
      <c r="B90" s="801">
        <v>366.57</v>
      </c>
    </row>
    <row r="91" spans="1:2" ht="14.5" thickBot="1">
      <c r="A91" s="707">
        <v>45223</v>
      </c>
      <c r="B91" s="801">
        <v>370.84</v>
      </c>
    </row>
    <row r="92" spans="1:2" ht="14.5" thickBot="1">
      <c r="A92" s="707">
        <v>45224</v>
      </c>
      <c r="B92" s="801">
        <v>372.27</v>
      </c>
    </row>
    <row r="93" spans="1:2" ht="14.5" thickBot="1">
      <c r="A93" s="707">
        <v>45225</v>
      </c>
      <c r="B93" s="801">
        <v>373.71</v>
      </c>
    </row>
    <row r="94" spans="1:2" ht="14.5" thickBot="1">
      <c r="A94" s="707">
        <v>45226</v>
      </c>
      <c r="B94" s="801">
        <v>375.15</v>
      </c>
    </row>
    <row r="95" spans="1:2" ht="14.5" thickBot="1">
      <c r="A95" s="707">
        <v>45227</v>
      </c>
      <c r="B95" s="801">
        <v>376.6</v>
      </c>
    </row>
    <row r="96" spans="1:2" ht="14.5" thickBot="1">
      <c r="A96" s="707">
        <v>45228</v>
      </c>
      <c r="B96" s="801">
        <v>376.6</v>
      </c>
    </row>
    <row r="97" spans="1:3" ht="14.5" thickBot="1">
      <c r="A97" s="707">
        <v>45229</v>
      </c>
      <c r="B97" s="801">
        <v>376.6</v>
      </c>
      <c r="C97" s="161"/>
    </row>
    <row r="98" spans="1:3" ht="14.5" thickBot="1">
      <c r="A98" s="707">
        <v>45230</v>
      </c>
      <c r="B98" s="801">
        <v>380.98</v>
      </c>
      <c r="C98" s="161">
        <f>(+TablaUVA[[#This Row],[Valor]]-B68)/B68</f>
        <v>0.12769358276107046</v>
      </c>
    </row>
    <row r="99" spans="1:3" ht="14.5" thickBot="1">
      <c r="A99" s="707">
        <v>45231</v>
      </c>
      <c r="B99" s="801">
        <v>382.46</v>
      </c>
    </row>
    <row r="100" spans="1:3" ht="14.5" thickBot="1">
      <c r="A100" s="707">
        <v>45232</v>
      </c>
      <c r="B100" s="801">
        <v>383.93</v>
      </c>
    </row>
    <row r="101" spans="1:3" ht="14.5" thickBot="1">
      <c r="A101" s="707">
        <v>45233</v>
      </c>
      <c r="B101" s="801">
        <v>385.42</v>
      </c>
    </row>
    <row r="102" spans="1:3" ht="14.5" thickBot="1">
      <c r="A102" s="707">
        <v>45234</v>
      </c>
      <c r="B102" s="801">
        <v>386.91</v>
      </c>
    </row>
    <row r="103" spans="1:3" ht="14.5" thickBot="1">
      <c r="A103" s="707">
        <v>45235</v>
      </c>
      <c r="B103" s="801">
        <v>386.91</v>
      </c>
    </row>
    <row r="104" spans="1:3" ht="14.5" thickBot="1">
      <c r="A104" s="707">
        <v>45236</v>
      </c>
      <c r="B104" s="801">
        <v>386.91</v>
      </c>
    </row>
    <row r="105" spans="1:3" ht="14.5" thickBot="1">
      <c r="A105" s="707">
        <v>45237</v>
      </c>
      <c r="B105" s="801">
        <v>386.91</v>
      </c>
    </row>
    <row r="106" spans="1:3" ht="14.5" thickBot="1">
      <c r="A106" s="707">
        <v>45238</v>
      </c>
      <c r="B106" s="801">
        <v>392.92</v>
      </c>
    </row>
    <row r="107" spans="1:3" ht="14.5" thickBot="1">
      <c r="A107" s="707">
        <v>45239</v>
      </c>
      <c r="B107" s="801">
        <v>394.44</v>
      </c>
    </row>
    <row r="108" spans="1:3" ht="14.5" thickBot="1">
      <c r="A108" s="707">
        <v>45240</v>
      </c>
      <c r="B108" s="801">
        <v>395.96</v>
      </c>
    </row>
    <row r="109" spans="1:3" ht="14.5" thickBot="1">
      <c r="A109" s="707">
        <v>45241</v>
      </c>
      <c r="B109" s="801">
        <v>397.49</v>
      </c>
    </row>
    <row r="110" spans="1:3" ht="14.5" thickBot="1">
      <c r="A110" s="707">
        <v>45242</v>
      </c>
      <c r="B110" s="801">
        <v>397.49</v>
      </c>
    </row>
    <row r="111" spans="1:3" ht="14.5" thickBot="1">
      <c r="A111" s="707">
        <v>45243</v>
      </c>
      <c r="B111" s="801">
        <v>397.49</v>
      </c>
      <c r="C111" s="161"/>
    </row>
    <row r="112" spans="1:3" ht="14.5" thickBot="1">
      <c r="A112" s="722">
        <v>45244</v>
      </c>
      <c r="B112" s="802">
        <v>402.12</v>
      </c>
      <c r="C112" s="161"/>
    </row>
    <row r="113" spans="1:3" ht="14.5" thickBot="1">
      <c r="A113" s="707">
        <v>45245</v>
      </c>
      <c r="B113" s="801">
        <v>403.67</v>
      </c>
    </row>
    <row r="114" spans="1:3" ht="14.5" thickBot="1">
      <c r="A114" s="707">
        <v>45246</v>
      </c>
      <c r="B114" s="801">
        <v>405.23</v>
      </c>
    </row>
    <row r="115" spans="1:3" ht="14.5" thickBot="1">
      <c r="A115" s="707">
        <v>45247</v>
      </c>
      <c r="B115" s="801">
        <v>406.31</v>
      </c>
    </row>
    <row r="116" spans="1:3" ht="14.5" thickBot="1">
      <c r="A116" s="707">
        <v>45248</v>
      </c>
      <c r="B116" s="801">
        <v>407.39</v>
      </c>
    </row>
    <row r="117" spans="1:3" ht="14.5" thickBot="1">
      <c r="A117" s="707">
        <v>45249</v>
      </c>
      <c r="B117" s="801">
        <v>407.39</v>
      </c>
    </row>
    <row r="118" spans="1:3" ht="14.5" thickBot="1">
      <c r="A118" s="707">
        <v>45250</v>
      </c>
      <c r="B118" s="801">
        <v>407.39</v>
      </c>
    </row>
    <row r="119" spans="1:3" ht="14.5" thickBot="1">
      <c r="A119" s="707">
        <v>45251</v>
      </c>
      <c r="B119" s="801">
        <v>407.39</v>
      </c>
    </row>
    <row r="120" spans="1:3" ht="14.5" thickBot="1">
      <c r="A120" s="707">
        <v>45252</v>
      </c>
      <c r="B120" s="801">
        <v>411.75</v>
      </c>
    </row>
    <row r="121" spans="1:3" ht="14.5" thickBot="1">
      <c r="A121" s="707">
        <v>45253</v>
      </c>
      <c r="B121" s="801">
        <v>412.84</v>
      </c>
    </row>
    <row r="122" spans="1:3" ht="14.5" thickBot="1">
      <c r="A122" s="707">
        <v>45254</v>
      </c>
      <c r="B122" s="801">
        <v>413.94</v>
      </c>
    </row>
    <row r="123" spans="1:3" ht="14.5" thickBot="1">
      <c r="A123" s="707">
        <v>45255</v>
      </c>
      <c r="B123" s="801">
        <v>415.04</v>
      </c>
    </row>
    <row r="124" spans="1:3" ht="14.5" thickBot="1">
      <c r="A124" s="707">
        <v>45256</v>
      </c>
      <c r="B124" s="801">
        <v>415.04</v>
      </c>
    </row>
    <row r="125" spans="1:3" ht="14.5" thickBot="1">
      <c r="A125" s="707">
        <v>45257</v>
      </c>
      <c r="B125" s="801">
        <v>415.04</v>
      </c>
    </row>
    <row r="126" spans="1:3" ht="14.5" thickBot="1">
      <c r="A126" s="707">
        <v>45258</v>
      </c>
      <c r="B126" s="801">
        <v>418.37</v>
      </c>
    </row>
    <row r="127" spans="1:3" ht="14.5" thickBot="1">
      <c r="A127" s="707">
        <v>45259</v>
      </c>
      <c r="B127" s="801">
        <v>419.48</v>
      </c>
    </row>
    <row r="128" spans="1:3" ht="14.5" thickBot="1">
      <c r="A128" s="707">
        <v>45260</v>
      </c>
      <c r="B128" s="801">
        <v>420.6</v>
      </c>
      <c r="C128" s="313">
        <f>(+TablaUVA[[#This Row],[Valor]]-B99)/B99</f>
        <v>9.9722846833655926E-2</v>
      </c>
    </row>
    <row r="129" spans="1:3" ht="14.5" thickBot="1">
      <c r="A129" s="707">
        <v>45261</v>
      </c>
      <c r="B129" s="801">
        <v>421.72</v>
      </c>
    </row>
    <row r="130" spans="1:3" ht="14.5" thickBot="1">
      <c r="A130" s="707">
        <v>45262</v>
      </c>
      <c r="B130" s="801">
        <v>422.84</v>
      </c>
    </row>
    <row r="131" spans="1:3" ht="14.5" thickBot="1">
      <c r="A131" s="707">
        <v>45263</v>
      </c>
      <c r="B131" s="801">
        <v>422.84</v>
      </c>
    </row>
    <row r="132" spans="1:3" ht="14.5" thickBot="1">
      <c r="A132" s="707">
        <v>45264</v>
      </c>
      <c r="B132" s="801">
        <v>422.84</v>
      </c>
    </row>
    <row r="133" spans="1:3" ht="14.5" thickBot="1">
      <c r="A133" s="707">
        <v>45265</v>
      </c>
      <c r="B133" s="801">
        <v>426.22</v>
      </c>
    </row>
    <row r="134" spans="1:3" ht="14.5" thickBot="1">
      <c r="A134" s="707">
        <v>45266</v>
      </c>
      <c r="B134" s="801">
        <v>427.36</v>
      </c>
    </row>
    <row r="135" spans="1:3" ht="14.5" thickBot="1">
      <c r="A135" s="707">
        <v>45267</v>
      </c>
      <c r="B135" s="801">
        <v>428.49</v>
      </c>
    </row>
    <row r="136" spans="1:3" ht="14.5" thickBot="1">
      <c r="A136" s="707">
        <v>45268</v>
      </c>
      <c r="B136" s="801">
        <v>429.64</v>
      </c>
    </row>
    <row r="137" spans="1:3" ht="14.5" thickBot="1">
      <c r="A137" s="707">
        <v>45269</v>
      </c>
      <c r="B137" s="801">
        <v>429.64</v>
      </c>
    </row>
    <row r="138" spans="1:3" ht="14.5" thickBot="1">
      <c r="A138" s="707">
        <v>45270</v>
      </c>
      <c r="B138" s="801">
        <v>429.64</v>
      </c>
    </row>
    <row r="139" spans="1:3" ht="14.5" thickBot="1">
      <c r="A139" s="707">
        <v>45271</v>
      </c>
      <c r="B139" s="801">
        <v>429.64</v>
      </c>
    </row>
    <row r="140" spans="1:3" ht="14.5" thickBot="1">
      <c r="A140" s="707">
        <v>45272</v>
      </c>
      <c r="B140" s="801">
        <v>434.23</v>
      </c>
      <c r="C140" s="161"/>
    </row>
    <row r="141" spans="1:3" ht="14.5" thickBot="1">
      <c r="A141" s="722">
        <v>45273</v>
      </c>
      <c r="B141" s="802">
        <v>435.38</v>
      </c>
      <c r="C141" s="193"/>
    </row>
    <row r="142" spans="1:3" ht="14.5" thickBot="1">
      <c r="A142" s="707">
        <v>45274</v>
      </c>
      <c r="B142" s="801">
        <v>436.54</v>
      </c>
    </row>
    <row r="143" spans="1:3" ht="14.5" thickBot="1">
      <c r="A143" s="707">
        <v>45275</v>
      </c>
      <c r="B143" s="801">
        <v>437.7</v>
      </c>
    </row>
    <row r="144" spans="1:3" ht="14.5" thickBot="1">
      <c r="A144" s="707">
        <v>45276</v>
      </c>
      <c r="B144" s="801">
        <v>438.87</v>
      </c>
    </row>
    <row r="145" spans="1:3" ht="14.5" thickBot="1">
      <c r="A145" s="707">
        <v>45277</v>
      </c>
      <c r="B145" s="801">
        <v>438.87</v>
      </c>
    </row>
    <row r="146" spans="1:3" ht="14.5" thickBot="1">
      <c r="A146" s="707">
        <v>45278</v>
      </c>
      <c r="B146" s="801">
        <v>438.87</v>
      </c>
    </row>
    <row r="147" spans="1:3" ht="14.5" thickBot="1">
      <c r="A147" s="707">
        <v>45279</v>
      </c>
      <c r="B147" s="801">
        <v>444.01</v>
      </c>
    </row>
    <row r="148" spans="1:3" ht="14.5" thickBot="1">
      <c r="A148" s="707">
        <v>45280</v>
      </c>
      <c r="B148" s="801">
        <v>445.74</v>
      </c>
    </row>
    <row r="149" spans="1:3" ht="14.5" thickBot="1">
      <c r="A149" s="707">
        <v>45281</v>
      </c>
      <c r="B149" s="801">
        <v>447.48</v>
      </c>
    </row>
    <row r="150" spans="1:3" ht="14.5" thickBot="1">
      <c r="A150" s="707">
        <v>45282</v>
      </c>
      <c r="B150" s="801">
        <v>449.22</v>
      </c>
    </row>
    <row r="151" spans="1:3" ht="14.5" thickBot="1">
      <c r="A151" s="707">
        <v>45283</v>
      </c>
      <c r="B151" s="801">
        <v>450.97</v>
      </c>
    </row>
    <row r="152" spans="1:3" ht="14.5" thickBot="1">
      <c r="A152" s="707">
        <v>45284</v>
      </c>
      <c r="B152" s="801">
        <v>450.97</v>
      </c>
    </row>
    <row r="153" spans="1:3" ht="14.5" thickBot="1">
      <c r="A153" s="707">
        <v>45285</v>
      </c>
      <c r="B153" s="801">
        <v>450.97</v>
      </c>
    </row>
    <row r="154" spans="1:3" ht="14.5" thickBot="1">
      <c r="A154" s="707">
        <v>45286</v>
      </c>
      <c r="B154" s="801">
        <v>450.97</v>
      </c>
    </row>
    <row r="155" spans="1:3" ht="14.5" thickBot="1">
      <c r="A155" s="707">
        <v>45287</v>
      </c>
      <c r="B155" s="801">
        <v>458.03</v>
      </c>
    </row>
    <row r="156" spans="1:3" ht="14.5" thickBot="1">
      <c r="A156" s="707">
        <v>45288</v>
      </c>
      <c r="B156" s="801">
        <v>459.81</v>
      </c>
    </row>
    <row r="157" spans="1:3" ht="14.5" thickBot="1">
      <c r="A157" s="707">
        <v>45289</v>
      </c>
      <c r="B157" s="801">
        <v>461.6</v>
      </c>
    </row>
    <row r="158" spans="1:3" ht="14.5" thickBot="1">
      <c r="A158" s="707">
        <v>45290</v>
      </c>
      <c r="B158" s="801">
        <v>463.4</v>
      </c>
    </row>
    <row r="159" spans="1:3" ht="14.5" thickBot="1">
      <c r="A159" s="707">
        <v>45291</v>
      </c>
      <c r="B159" s="801">
        <v>463.4</v>
      </c>
      <c r="C159" s="313">
        <f>(+TablaUVA[[#This Row],[Valor]]-B129)/B129</f>
        <v>9.8833349141610419E-2</v>
      </c>
    </row>
    <row r="160" spans="1:3" ht="14.5" thickBot="1">
      <c r="A160" s="707">
        <v>45292</v>
      </c>
      <c r="B160" s="801">
        <v>463.4</v>
      </c>
    </row>
    <row r="161" spans="1:3" ht="14.5" thickBot="1">
      <c r="A161" s="707">
        <v>45293</v>
      </c>
      <c r="B161" s="801">
        <v>463.4</v>
      </c>
    </row>
    <row r="162" spans="1:3" ht="14.5" thickBot="1">
      <c r="A162" s="707">
        <v>45294</v>
      </c>
      <c r="B162" s="801">
        <v>470.66</v>
      </c>
    </row>
    <row r="163" spans="1:3" ht="14.5" thickBot="1">
      <c r="A163" s="707">
        <v>45295</v>
      </c>
      <c r="B163" s="801">
        <v>472.49</v>
      </c>
    </row>
    <row r="164" spans="1:3" ht="14.5" thickBot="1">
      <c r="A164" s="707">
        <v>45296</v>
      </c>
      <c r="B164" s="801">
        <v>474.33</v>
      </c>
    </row>
    <row r="165" spans="1:3" ht="14.5" thickBot="1">
      <c r="A165" s="707">
        <v>45297</v>
      </c>
      <c r="B165" s="801">
        <v>476.18</v>
      </c>
    </row>
    <row r="166" spans="1:3" ht="14.5" thickBot="1">
      <c r="A166" s="707">
        <v>45298</v>
      </c>
      <c r="B166" s="801">
        <v>476.18</v>
      </c>
    </row>
    <row r="167" spans="1:3" ht="14.5" thickBot="1">
      <c r="A167" s="707">
        <v>45299</v>
      </c>
      <c r="B167" s="801">
        <v>476.18</v>
      </c>
    </row>
    <row r="168" spans="1:3" ht="14.5" thickBot="1">
      <c r="A168" s="707">
        <v>45300</v>
      </c>
      <c r="B168" s="801">
        <v>481.76</v>
      </c>
    </row>
    <row r="169" spans="1:3" ht="14.5" thickBot="1">
      <c r="A169" s="707">
        <v>45301</v>
      </c>
      <c r="B169" s="801">
        <v>483.64</v>
      </c>
    </row>
    <row r="170" spans="1:3" ht="14.5" thickBot="1">
      <c r="A170" s="707">
        <v>45302</v>
      </c>
      <c r="B170" s="801">
        <v>485.52</v>
      </c>
    </row>
    <row r="171" spans="1:3" ht="14.5" thickBot="1">
      <c r="A171" s="707">
        <v>45303</v>
      </c>
      <c r="B171" s="801">
        <v>487.41</v>
      </c>
    </row>
    <row r="172" spans="1:3" ht="14.5" thickBot="1">
      <c r="A172" s="707">
        <v>45304</v>
      </c>
      <c r="B172" s="801">
        <v>489.31</v>
      </c>
    </row>
    <row r="173" spans="1:3" ht="14.5" thickBot="1">
      <c r="A173" s="707">
        <v>45305</v>
      </c>
      <c r="B173" s="801">
        <v>489.31</v>
      </c>
    </row>
    <row r="174" spans="1:3" ht="14.5" thickBot="1">
      <c r="A174" s="722">
        <v>45306</v>
      </c>
      <c r="B174" s="802">
        <v>489.31</v>
      </c>
      <c r="C174" s="193"/>
    </row>
    <row r="175" spans="1:3" ht="14.5" thickBot="1">
      <c r="A175" s="707">
        <v>45307</v>
      </c>
      <c r="B175" s="801">
        <v>495.04</v>
      </c>
    </row>
    <row r="176" spans="1:3" ht="14.5" thickBot="1">
      <c r="A176" s="707">
        <v>45308</v>
      </c>
      <c r="B176" s="801">
        <v>498.68</v>
      </c>
    </row>
    <row r="177" spans="1:2" ht="14.5" thickBot="1">
      <c r="A177" s="707">
        <v>45309</v>
      </c>
      <c r="B177" s="801">
        <v>502.35</v>
      </c>
    </row>
    <row r="178" spans="1:2" ht="14.5" thickBot="1">
      <c r="A178" s="707">
        <v>45310</v>
      </c>
      <c r="B178" s="801">
        <v>506.05</v>
      </c>
    </row>
    <row r="179" spans="1:2" ht="14.5" thickBot="1">
      <c r="A179" s="707">
        <v>45311</v>
      </c>
      <c r="B179" s="801">
        <v>509.77</v>
      </c>
    </row>
    <row r="180" spans="1:2" ht="14.5" thickBot="1">
      <c r="A180" s="707">
        <v>45312</v>
      </c>
      <c r="B180" s="801">
        <v>509.77</v>
      </c>
    </row>
    <row r="181" spans="1:2" ht="14.5" thickBot="1">
      <c r="A181" s="707">
        <v>45313</v>
      </c>
      <c r="B181" s="801">
        <v>509.77</v>
      </c>
    </row>
    <row r="182" spans="1:2" ht="14.5" thickBot="1">
      <c r="A182" s="707">
        <v>45314</v>
      </c>
      <c r="B182" s="801">
        <v>521.1</v>
      </c>
    </row>
    <row r="183" spans="1:2" ht="14.5" thickBot="1">
      <c r="A183" s="707">
        <v>45315</v>
      </c>
      <c r="B183" s="801">
        <v>524.92999999999995</v>
      </c>
    </row>
    <row r="184" spans="1:2" ht="14.5" thickBot="1">
      <c r="A184" s="707">
        <v>45316</v>
      </c>
      <c r="B184" s="801">
        <v>528.79</v>
      </c>
    </row>
    <row r="185" spans="1:2" ht="14.5" thickBot="1">
      <c r="A185" s="707">
        <v>45317</v>
      </c>
      <c r="B185" s="801">
        <v>532.67999999999995</v>
      </c>
    </row>
    <row r="186" spans="1:2" ht="14.5" thickBot="1">
      <c r="A186" s="707">
        <v>45318</v>
      </c>
      <c r="B186" s="801">
        <v>536.59</v>
      </c>
    </row>
    <row r="187" spans="1:2" ht="14.5" thickBot="1">
      <c r="A187" s="707">
        <v>45319</v>
      </c>
      <c r="B187" s="801">
        <v>536.59</v>
      </c>
    </row>
    <row r="188" spans="1:2" ht="14.5" thickBot="1">
      <c r="A188" s="707">
        <v>45320</v>
      </c>
      <c r="B188" s="801">
        <v>536.59</v>
      </c>
    </row>
    <row r="189" spans="1:2" ht="14.5" thickBot="1">
      <c r="A189" s="707">
        <v>45321</v>
      </c>
      <c r="B189" s="801">
        <v>548.52</v>
      </c>
    </row>
    <row r="190" spans="1:2" ht="14.5" thickBot="1">
      <c r="A190" s="707">
        <v>45322</v>
      </c>
      <c r="B190" s="801">
        <v>552.54999999999995</v>
      </c>
    </row>
    <row r="191" spans="1:2" ht="14.5" thickBot="1">
      <c r="A191" s="707">
        <v>45323</v>
      </c>
      <c r="B191" s="801">
        <v>556.62</v>
      </c>
    </row>
    <row r="192" spans="1:2" ht="14.5" thickBot="1">
      <c r="A192" s="707">
        <v>45324</v>
      </c>
      <c r="B192" s="801">
        <v>560.71</v>
      </c>
    </row>
    <row r="193" spans="1:3" ht="14.5" thickBot="1">
      <c r="A193" s="707">
        <v>45325</v>
      </c>
      <c r="B193" s="801">
        <v>564.83000000000004</v>
      </c>
    </row>
    <row r="194" spans="1:3" ht="14.5" thickBot="1">
      <c r="A194" s="707">
        <v>45326</v>
      </c>
      <c r="B194" s="801">
        <v>564.83000000000004</v>
      </c>
    </row>
    <row r="195" spans="1:3" ht="14.5" thickBot="1">
      <c r="A195" s="707">
        <v>45327</v>
      </c>
      <c r="B195" s="801">
        <v>564.83000000000004</v>
      </c>
    </row>
    <row r="196" spans="1:3" ht="14.5" thickBot="1">
      <c r="A196" s="707">
        <v>45328</v>
      </c>
      <c r="B196" s="801">
        <v>577.39</v>
      </c>
    </row>
    <row r="197" spans="1:3" ht="14.5" thickBot="1">
      <c r="A197" s="707">
        <v>45329</v>
      </c>
      <c r="B197" s="801">
        <v>581.63</v>
      </c>
    </row>
    <row r="198" spans="1:3" ht="14.5" thickBot="1">
      <c r="A198" s="707">
        <v>45330</v>
      </c>
      <c r="B198" s="801">
        <v>585.91</v>
      </c>
    </row>
    <row r="199" spans="1:3" ht="14.5" thickBot="1">
      <c r="A199" s="707">
        <v>45331</v>
      </c>
      <c r="B199" s="801">
        <v>590.22</v>
      </c>
    </row>
    <row r="200" spans="1:3" ht="14.5" thickBot="1">
      <c r="A200" s="707">
        <v>45332</v>
      </c>
      <c r="B200" s="801">
        <v>594.55999999999995</v>
      </c>
    </row>
    <row r="201" spans="1:3" ht="14.5" thickBot="1">
      <c r="A201" s="707">
        <v>45333</v>
      </c>
      <c r="B201" s="801">
        <v>594.55999999999995</v>
      </c>
    </row>
    <row r="202" spans="1:3" ht="14.5" thickBot="1">
      <c r="A202" s="707">
        <v>45334</v>
      </c>
      <c r="B202" s="801">
        <v>594.55999999999995</v>
      </c>
    </row>
    <row r="203" spans="1:3" ht="14.5" thickBot="1">
      <c r="A203" s="707">
        <v>45335</v>
      </c>
      <c r="B203" s="801">
        <v>594.55999999999995</v>
      </c>
    </row>
    <row r="204" spans="1:3" ht="14.5" thickBot="1">
      <c r="A204" s="707">
        <v>45336</v>
      </c>
      <c r="B204" s="801">
        <v>594.55999999999995</v>
      </c>
    </row>
    <row r="205" spans="1:3" ht="14.5" thickBot="1">
      <c r="A205" s="722">
        <v>45337</v>
      </c>
      <c r="B205" s="802">
        <v>616.74</v>
      </c>
      <c r="C205" s="193"/>
    </row>
    <row r="206" spans="1:3" ht="14.5" thickBot="1">
      <c r="A206" s="707">
        <v>45338</v>
      </c>
      <c r="B206" s="801">
        <v>621.28</v>
      </c>
    </row>
    <row r="207" spans="1:3" ht="14.5" thickBot="1">
      <c r="A207" s="707">
        <v>45339</v>
      </c>
      <c r="B207" s="801">
        <v>625.30999999999995</v>
      </c>
    </row>
    <row r="208" spans="1:3" ht="14.5" thickBot="1">
      <c r="A208" s="707">
        <v>45340</v>
      </c>
      <c r="B208" s="801">
        <v>625.30999999999995</v>
      </c>
    </row>
    <row r="209" spans="1:2" ht="14.5" thickBot="1">
      <c r="A209" s="707">
        <v>45341</v>
      </c>
      <c r="B209" s="801">
        <v>625.30999999999995</v>
      </c>
    </row>
    <row r="210" spans="1:2" ht="14.5" thickBot="1">
      <c r="A210" s="707">
        <v>45342</v>
      </c>
      <c r="B210" s="801">
        <v>637.54</v>
      </c>
    </row>
    <row r="211" spans="1:2" ht="14.5" thickBot="1">
      <c r="A211" s="707">
        <v>45343</v>
      </c>
      <c r="B211" s="801">
        <v>641.66999999999996</v>
      </c>
    </row>
    <row r="212" spans="1:2" ht="14.5" thickBot="1">
      <c r="A212" s="707">
        <v>45344</v>
      </c>
      <c r="B212" s="801">
        <v>645.83000000000004</v>
      </c>
    </row>
    <row r="213" spans="1:2" ht="14.5" thickBot="1">
      <c r="A213" s="707">
        <v>45345</v>
      </c>
      <c r="B213" s="801">
        <v>650.01</v>
      </c>
    </row>
    <row r="214" spans="1:2" ht="14.5" thickBot="1">
      <c r="A214" s="707">
        <v>45346</v>
      </c>
      <c r="B214" s="801">
        <v>654.23</v>
      </c>
    </row>
    <row r="215" spans="1:2" ht="14.5" thickBot="1">
      <c r="A215" s="707">
        <v>45347</v>
      </c>
      <c r="B215" s="801">
        <v>654.23</v>
      </c>
    </row>
    <row r="216" spans="1:2" ht="14.5" thickBot="1">
      <c r="A216" s="707">
        <v>45348</v>
      </c>
      <c r="B216" s="801">
        <v>654.23</v>
      </c>
    </row>
    <row r="217" spans="1:2" ht="14.5" thickBot="1">
      <c r="A217" s="707">
        <v>45349</v>
      </c>
      <c r="B217" s="801">
        <v>667.03</v>
      </c>
    </row>
    <row r="218" spans="1:2" ht="14.5" thickBot="1">
      <c r="A218" s="707">
        <v>45350</v>
      </c>
      <c r="B218" s="801">
        <v>671.35</v>
      </c>
    </row>
    <row r="219" spans="1:2" ht="14.5" thickBot="1">
      <c r="A219" s="707">
        <v>45351</v>
      </c>
      <c r="B219" s="801">
        <v>675.7</v>
      </c>
    </row>
    <row r="220" spans="1:2" ht="14.5" thickBot="1">
      <c r="A220" s="707">
        <v>45352</v>
      </c>
      <c r="B220" s="801">
        <v>680.08</v>
      </c>
    </row>
    <row r="221" spans="1:2" ht="14.5" thickBot="1">
      <c r="A221" s="707">
        <v>45353</v>
      </c>
      <c r="B221" s="801">
        <v>684.48</v>
      </c>
    </row>
    <row r="222" spans="1:2" ht="14.5" thickBot="1">
      <c r="A222" s="707">
        <v>45354</v>
      </c>
      <c r="B222" s="801">
        <v>684.48</v>
      </c>
    </row>
    <row r="223" spans="1:2" ht="14.5" thickBot="1">
      <c r="A223" s="707">
        <v>45355</v>
      </c>
      <c r="B223" s="801">
        <v>684.48</v>
      </c>
    </row>
    <row r="224" spans="1:2" ht="14.5" thickBot="1">
      <c r="A224" s="707">
        <v>45356</v>
      </c>
      <c r="B224" s="801">
        <v>697.88</v>
      </c>
    </row>
    <row r="225" spans="1:5" ht="14.5" thickBot="1">
      <c r="A225" s="707">
        <v>45357</v>
      </c>
      <c r="B225" s="801">
        <v>702.4</v>
      </c>
    </row>
    <row r="226" spans="1:5" ht="14.5" thickBot="1">
      <c r="A226" s="707">
        <v>45358</v>
      </c>
      <c r="B226" s="801">
        <v>706.95</v>
      </c>
    </row>
    <row r="227" spans="1:5" ht="14.5" thickBot="1">
      <c r="A227" s="707">
        <v>45359</v>
      </c>
      <c r="B227" s="801">
        <v>711.53</v>
      </c>
    </row>
    <row r="228" spans="1:5" ht="14.5" thickBot="1">
      <c r="A228" s="707">
        <v>45360</v>
      </c>
      <c r="B228" s="801">
        <v>716.14</v>
      </c>
    </row>
    <row r="229" spans="1:5" ht="14.5" thickBot="1">
      <c r="A229" s="707">
        <v>45361</v>
      </c>
      <c r="B229" s="801">
        <v>716.14</v>
      </c>
    </row>
    <row r="230" spans="1:5" ht="14.5" thickBot="1">
      <c r="A230" s="707">
        <v>45362</v>
      </c>
      <c r="B230" s="801">
        <v>716.14</v>
      </c>
    </row>
    <row r="231" spans="1:5" ht="14.5" thickBot="1">
      <c r="A231" s="707">
        <v>45363</v>
      </c>
      <c r="B231" s="801">
        <v>730.15</v>
      </c>
      <c r="E231">
        <v>45323</v>
      </c>
    </row>
    <row r="232" spans="1:5" ht="14.5" thickBot="1">
      <c r="A232" s="707">
        <v>45364</v>
      </c>
      <c r="B232" s="801">
        <v>734.88</v>
      </c>
    </row>
    <row r="233" spans="1:5" ht="14.5" thickBot="1">
      <c r="A233" s="707">
        <v>45365</v>
      </c>
      <c r="B233" s="801">
        <v>739.65</v>
      </c>
    </row>
    <row r="234" spans="1:5" ht="14.5" thickBot="1">
      <c r="A234" s="707">
        <v>45366</v>
      </c>
      <c r="B234" s="801">
        <v>744.44</v>
      </c>
    </row>
    <row r="235" spans="1:5" ht="14.5" thickBot="1">
      <c r="A235" s="707">
        <v>45367</v>
      </c>
      <c r="B235" s="801">
        <v>749.26</v>
      </c>
    </row>
    <row r="236" spans="1:5" ht="14.5" thickBot="1">
      <c r="A236" s="707">
        <v>45368</v>
      </c>
      <c r="B236" s="801">
        <v>749.26</v>
      </c>
    </row>
    <row r="237" spans="1:5" ht="14.5" thickBot="1">
      <c r="A237" s="707">
        <v>45369</v>
      </c>
      <c r="B237" s="801">
        <v>749.26</v>
      </c>
    </row>
    <row r="238" spans="1:5" ht="14.5" thickBot="1">
      <c r="A238" s="707">
        <v>45370</v>
      </c>
      <c r="B238" s="801">
        <v>758.31</v>
      </c>
    </row>
    <row r="239" spans="1:5" ht="14.5" thickBot="1">
      <c r="A239" s="707">
        <v>45371</v>
      </c>
      <c r="B239" s="801">
        <v>761.35</v>
      </c>
    </row>
    <row r="240" spans="1:5" ht="14.5" thickBot="1">
      <c r="A240" s="707">
        <v>45372</v>
      </c>
      <c r="B240" s="801">
        <v>764.4</v>
      </c>
    </row>
    <row r="241" spans="1:2" ht="14.5" thickBot="1">
      <c r="A241" s="707">
        <v>45373</v>
      </c>
      <c r="B241" s="801">
        <v>767.46</v>
      </c>
    </row>
    <row r="242" spans="1:2" ht="14.5" thickBot="1">
      <c r="A242" s="707">
        <v>45374</v>
      </c>
      <c r="B242" s="801">
        <v>770.54</v>
      </c>
    </row>
    <row r="243" spans="1:2" ht="14.5" thickBot="1">
      <c r="A243" s="707">
        <v>45375</v>
      </c>
      <c r="B243" s="801">
        <v>770.54</v>
      </c>
    </row>
    <row r="244" spans="1:2" ht="14.5" thickBot="1">
      <c r="A244" s="707">
        <v>45376</v>
      </c>
      <c r="B244" s="801">
        <v>770.54</v>
      </c>
    </row>
    <row r="245" spans="1:2" ht="14.5" thickBot="1">
      <c r="A245" s="707">
        <v>45377</v>
      </c>
      <c r="B245" s="801">
        <v>779.84</v>
      </c>
    </row>
    <row r="246" spans="1:2" ht="14.5" thickBot="1">
      <c r="A246" s="707">
        <v>45378</v>
      </c>
      <c r="B246" s="801">
        <v>782.96</v>
      </c>
    </row>
    <row r="247" spans="1:2" ht="14.5" thickBot="1">
      <c r="A247" s="707">
        <v>45379</v>
      </c>
      <c r="B247" s="801">
        <v>786.1</v>
      </c>
    </row>
    <row r="248" spans="1:2" ht="14.5" thickBot="1">
      <c r="A248" s="707">
        <v>45380</v>
      </c>
      <c r="B248" s="801">
        <v>786.1</v>
      </c>
    </row>
    <row r="249" spans="1:2" ht="14.5" thickBot="1">
      <c r="A249" s="707">
        <v>45381</v>
      </c>
      <c r="B249" s="801">
        <v>786.1</v>
      </c>
    </row>
    <row r="250" spans="1:2" ht="14.5" thickBot="1">
      <c r="A250" s="707">
        <v>45382</v>
      </c>
      <c r="B250" s="801">
        <v>786.1</v>
      </c>
    </row>
    <row r="251" spans="1:2" ht="14.5" thickBot="1">
      <c r="A251" s="707">
        <v>45383</v>
      </c>
      <c r="B251" s="801">
        <v>786.1</v>
      </c>
    </row>
    <row r="252" spans="1:2" ht="14.5" thickBot="1">
      <c r="A252" s="707">
        <v>45384</v>
      </c>
      <c r="B252" s="801">
        <v>786.1</v>
      </c>
    </row>
    <row r="253" spans="1:2" ht="14.5" thickBot="1">
      <c r="A253" s="707">
        <v>45385</v>
      </c>
      <c r="B253" s="801">
        <v>786.1</v>
      </c>
    </row>
    <row r="254" spans="1:2" ht="14.5" thickBot="1">
      <c r="A254" s="707">
        <v>45386</v>
      </c>
      <c r="B254" s="801">
        <v>808.42</v>
      </c>
    </row>
    <row r="255" spans="1:2" ht="14.5" thickBot="1">
      <c r="A255" s="707">
        <v>45387</v>
      </c>
      <c r="B255" s="801">
        <v>811.66</v>
      </c>
    </row>
    <row r="256" spans="1:2" ht="14.5" thickBot="1">
      <c r="A256" s="707">
        <v>45388</v>
      </c>
      <c r="B256" s="801">
        <v>814.91</v>
      </c>
    </row>
    <row r="257" spans="1:5" ht="14.5" thickBot="1">
      <c r="A257" s="707">
        <v>45389</v>
      </c>
      <c r="B257" s="801">
        <v>814.91</v>
      </c>
    </row>
    <row r="258" spans="1:5" ht="14.5" thickBot="1">
      <c r="A258" s="707">
        <v>45390</v>
      </c>
      <c r="B258" s="801">
        <v>814.91</v>
      </c>
    </row>
    <row r="259" spans="1:5" ht="14.5" thickBot="1">
      <c r="A259" s="707">
        <v>45391</v>
      </c>
      <c r="B259" s="801">
        <v>824.75</v>
      </c>
    </row>
    <row r="260" spans="1:5" ht="14.5" thickBot="1">
      <c r="A260" s="707">
        <v>45392</v>
      </c>
      <c r="B260" s="801">
        <v>828.05</v>
      </c>
    </row>
    <row r="261" spans="1:5" ht="14.5" thickBot="1">
      <c r="A261" s="707">
        <v>45393</v>
      </c>
      <c r="B261" s="801">
        <v>831.37</v>
      </c>
    </row>
    <row r="262" spans="1:5" ht="14.5" thickBot="1">
      <c r="A262" s="707">
        <v>45394</v>
      </c>
      <c r="B262" s="801">
        <v>834.7</v>
      </c>
    </row>
    <row r="263" spans="1:5" ht="14.5" thickBot="1">
      <c r="A263" s="707">
        <v>45395</v>
      </c>
      <c r="B263" s="801">
        <v>838.05</v>
      </c>
    </row>
    <row r="264" spans="1:5" ht="14.5" thickBot="1">
      <c r="A264" s="707">
        <v>45396</v>
      </c>
      <c r="B264" s="801">
        <v>838.05</v>
      </c>
    </row>
    <row r="265" spans="1:5" ht="14.5" thickBot="1">
      <c r="A265" s="707">
        <v>45397</v>
      </c>
      <c r="B265" s="801">
        <v>838.05</v>
      </c>
      <c r="D265" s="161">
        <f>+TablaUVA[[#This Row],[Valor]]/B233-1</f>
        <v>0.13303589535591165</v>
      </c>
    </row>
    <row r="266" spans="1:5" ht="14.5" thickBot="1">
      <c r="A266" s="707">
        <v>45398</v>
      </c>
      <c r="B266" s="801">
        <v>848.17</v>
      </c>
      <c r="D266">
        <f>+I8</f>
        <v>0.11</v>
      </c>
      <c r="E266" t="str">
        <f>+G8</f>
        <v>Marzo</v>
      </c>
    </row>
    <row r="267" spans="1:5" ht="14.5" thickBot="1">
      <c r="A267" s="707">
        <v>45399</v>
      </c>
      <c r="B267" s="801">
        <v>851.12</v>
      </c>
      <c r="D267" s="161"/>
    </row>
    <row r="268" spans="1:5" ht="14.5" thickBot="1">
      <c r="A268" s="707">
        <v>45400</v>
      </c>
      <c r="B268" s="801">
        <v>854.09</v>
      </c>
    </row>
    <row r="269" spans="1:5" ht="14.5" thickBot="1">
      <c r="A269" s="707">
        <v>45401</v>
      </c>
      <c r="B269" s="801">
        <v>857.06</v>
      </c>
      <c r="D269" s="161"/>
    </row>
    <row r="270" spans="1:5" ht="14.5" thickBot="1">
      <c r="A270" s="707">
        <v>45402</v>
      </c>
      <c r="B270" s="801">
        <v>860.05</v>
      </c>
    </row>
    <row r="271" spans="1:5" ht="14.5" thickBot="1">
      <c r="A271" s="707">
        <v>45403</v>
      </c>
      <c r="B271" s="801">
        <v>860.05</v>
      </c>
      <c r="D271" s="161"/>
    </row>
    <row r="272" spans="1:5" ht="14.5" thickBot="1">
      <c r="A272" s="707">
        <v>45404</v>
      </c>
      <c r="B272" s="801">
        <v>860.05</v>
      </c>
    </row>
    <row r="273" spans="1:2" ht="14.5" thickBot="1">
      <c r="A273" s="707">
        <v>45405</v>
      </c>
      <c r="B273" s="801">
        <v>869.07</v>
      </c>
    </row>
    <row r="274" spans="1:2" ht="14.5" thickBot="1">
      <c r="A274" s="707">
        <v>45406</v>
      </c>
      <c r="B274" s="801">
        <v>872.1</v>
      </c>
    </row>
    <row r="275" spans="1:2" ht="14.5" thickBot="1">
      <c r="A275" s="707">
        <v>45407</v>
      </c>
      <c r="B275" s="801">
        <v>875.14</v>
      </c>
    </row>
    <row r="276" spans="1:2" ht="14.5" thickBot="1">
      <c r="A276" s="707">
        <v>45408</v>
      </c>
      <c r="B276" s="801">
        <v>878.19</v>
      </c>
    </row>
    <row r="277" spans="1:2" ht="14.5" thickBot="1">
      <c r="A277" s="707">
        <v>45409</v>
      </c>
      <c r="B277" s="801">
        <v>881.25</v>
      </c>
    </row>
    <row r="278" spans="1:2" ht="14.5" thickBot="1">
      <c r="A278" s="707">
        <v>45410</v>
      </c>
      <c r="B278" s="801">
        <v>881.25</v>
      </c>
    </row>
    <row r="279" spans="1:2" ht="14.5" thickBot="1">
      <c r="A279" s="707">
        <v>45411</v>
      </c>
      <c r="B279" s="801">
        <v>881.25</v>
      </c>
    </row>
    <row r="280" spans="1:2" ht="14.5" thickBot="1">
      <c r="A280" s="707">
        <v>45412</v>
      </c>
      <c r="B280" s="801">
        <v>890.49</v>
      </c>
    </row>
    <row r="281" spans="1:2" ht="14.5" thickBot="1">
      <c r="A281" s="825">
        <v>45413</v>
      </c>
      <c r="B281" s="826">
        <v>893.6</v>
      </c>
    </row>
    <row r="282" spans="1:2" ht="14.5" thickBot="1">
      <c r="A282" s="825">
        <v>45414</v>
      </c>
      <c r="B282" s="826">
        <v>893.6</v>
      </c>
    </row>
    <row r="283" spans="1:2" ht="14.5" thickBot="1">
      <c r="A283" s="825">
        <v>45415</v>
      </c>
      <c r="B283" s="826">
        <v>899.84</v>
      </c>
    </row>
    <row r="284" spans="1:2" ht="14.5" thickBot="1">
      <c r="A284" s="825">
        <v>45416</v>
      </c>
      <c r="B284" s="826">
        <v>902.97</v>
      </c>
    </row>
    <row r="285" spans="1:2" ht="14.5" thickBot="1">
      <c r="A285" s="825">
        <v>45417</v>
      </c>
      <c r="B285" s="826">
        <v>902.97</v>
      </c>
    </row>
    <row r="286" spans="1:2" ht="14.5" thickBot="1">
      <c r="A286" s="825">
        <v>45418</v>
      </c>
      <c r="B286" s="826">
        <v>902.97</v>
      </c>
    </row>
    <row r="287" spans="1:2" ht="14.5" thickBot="1">
      <c r="A287" s="825">
        <v>45419</v>
      </c>
      <c r="B287" s="826">
        <v>912.45</v>
      </c>
    </row>
    <row r="288" spans="1:2" ht="14.5" thickBot="1">
      <c r="A288" s="825">
        <v>45420</v>
      </c>
      <c r="B288" s="826">
        <v>915.62</v>
      </c>
    </row>
    <row r="289" spans="1:5" ht="14.5" thickBot="1">
      <c r="A289" s="825">
        <v>45421</v>
      </c>
      <c r="B289" s="826">
        <v>918.82</v>
      </c>
    </row>
    <row r="290" spans="1:5" ht="14.5" thickBot="1">
      <c r="A290" s="825">
        <v>45422</v>
      </c>
      <c r="B290" s="826">
        <v>922.02</v>
      </c>
    </row>
    <row r="291" spans="1:5" ht="14.5" thickBot="1">
      <c r="A291" s="825">
        <v>45423</v>
      </c>
      <c r="B291" s="826">
        <v>925.23</v>
      </c>
    </row>
    <row r="292" spans="1:5" ht="14.5" thickBot="1">
      <c r="A292" s="825">
        <v>45424</v>
      </c>
      <c r="B292" s="826">
        <v>925.23</v>
      </c>
    </row>
    <row r="293" spans="1:5" ht="14.5" thickBot="1">
      <c r="A293" s="825">
        <v>45425</v>
      </c>
      <c r="B293" s="826">
        <v>925.23</v>
      </c>
      <c r="D293" s="161"/>
    </row>
    <row r="294" spans="1:5" ht="14.5" thickBot="1">
      <c r="A294" s="825">
        <v>45426</v>
      </c>
      <c r="B294" s="826">
        <v>934.94</v>
      </c>
    </row>
    <row r="295" spans="1:5" ht="14.5" thickBot="1">
      <c r="A295" s="825">
        <v>45427</v>
      </c>
      <c r="B295" s="826">
        <v>938.19</v>
      </c>
      <c r="D295" s="161">
        <f>+TablaUVA[[#This Row],[Valor]]/B266-1</f>
        <v>0.10613438343728276</v>
      </c>
    </row>
    <row r="296" spans="1:5" ht="14.5" thickBot="1">
      <c r="A296" s="825">
        <v>45428</v>
      </c>
      <c r="B296" s="826">
        <v>941.46</v>
      </c>
      <c r="D296" s="161">
        <f>+I9</f>
        <v>8.7999999999999995E-2</v>
      </c>
      <c r="E296" t="str">
        <f>+G9</f>
        <v>Abril</v>
      </c>
    </row>
    <row r="297" spans="1:5" ht="14.5" thickBot="1">
      <c r="A297" s="825">
        <v>45429</v>
      </c>
      <c r="B297" s="826">
        <v>944.03</v>
      </c>
      <c r="D297" s="161"/>
    </row>
    <row r="298" spans="1:5" ht="14.5" thickBot="1">
      <c r="A298" s="825">
        <v>45430</v>
      </c>
      <c r="B298" s="826">
        <v>946.6</v>
      </c>
    </row>
    <row r="299" spans="1:5" ht="14.5" thickBot="1">
      <c r="A299" s="825">
        <v>45431</v>
      </c>
      <c r="B299" s="826">
        <v>946.6</v>
      </c>
      <c r="D299" s="161"/>
    </row>
    <row r="300" spans="1:5" ht="14.5" thickBot="1">
      <c r="A300" s="825">
        <v>45432</v>
      </c>
      <c r="B300" s="826">
        <v>946.6</v>
      </c>
    </row>
    <row r="301" spans="1:5" ht="14.5" thickBot="1">
      <c r="A301" s="825">
        <v>45433</v>
      </c>
      <c r="B301" s="826">
        <v>954.36</v>
      </c>
      <c r="D301" s="161"/>
    </row>
    <row r="302" spans="1:5" ht="14.5" thickBot="1">
      <c r="A302" s="825">
        <v>45434</v>
      </c>
      <c r="B302" s="826">
        <v>956.96</v>
      </c>
    </row>
    <row r="303" spans="1:5" ht="14.5" thickBot="1">
      <c r="A303" s="825">
        <v>45435</v>
      </c>
      <c r="B303" s="826">
        <v>959.57</v>
      </c>
      <c r="D303" s="161"/>
    </row>
    <row r="304" spans="1:5" ht="14.5" thickBot="1">
      <c r="A304" s="825">
        <v>45436</v>
      </c>
      <c r="B304" s="826">
        <v>962.18</v>
      </c>
    </row>
    <row r="305" spans="1:2" ht="14.5" thickBot="1">
      <c r="A305" s="825">
        <v>45437</v>
      </c>
      <c r="B305" s="826">
        <v>964.8</v>
      </c>
    </row>
    <row r="306" spans="1:2" ht="14.5" thickBot="1">
      <c r="A306" s="825">
        <v>45438</v>
      </c>
      <c r="B306" s="826">
        <v>964.8</v>
      </c>
    </row>
    <row r="307" spans="1:2" ht="14.5" thickBot="1">
      <c r="A307" s="825">
        <v>45439</v>
      </c>
      <c r="B307" s="826">
        <v>964.8</v>
      </c>
    </row>
    <row r="308" spans="1:2" ht="14.5" thickBot="1">
      <c r="A308" s="825">
        <v>45440</v>
      </c>
      <c r="B308" s="826">
        <v>972.71</v>
      </c>
    </row>
    <row r="309" spans="1:2" ht="14.5" thickBot="1">
      <c r="A309" s="825">
        <v>45441</v>
      </c>
      <c r="B309" s="826">
        <v>975.36</v>
      </c>
    </row>
    <row r="310" spans="1:2" ht="14.5" thickBot="1">
      <c r="A310" s="825">
        <v>45442</v>
      </c>
      <c r="B310" s="826">
        <v>978.02</v>
      </c>
    </row>
    <row r="311" spans="1:2" ht="14.5" thickBot="1">
      <c r="A311" s="825">
        <v>45443</v>
      </c>
      <c r="B311" s="826">
        <v>980.68</v>
      </c>
    </row>
    <row r="312" spans="1:2" ht="14.5" thickBot="1">
      <c r="A312" s="825">
        <v>45444</v>
      </c>
      <c r="B312" s="826">
        <v>983.35</v>
      </c>
    </row>
    <row r="313" spans="1:2" ht="14.5" thickBot="1">
      <c r="A313" s="825">
        <v>45445</v>
      </c>
      <c r="B313" s="826">
        <v>983.35</v>
      </c>
    </row>
    <row r="314" spans="1:2" ht="14.5" thickBot="1">
      <c r="A314" s="825">
        <v>45446</v>
      </c>
      <c r="B314" s="826">
        <v>983.35</v>
      </c>
    </row>
    <row r="315" spans="1:2" ht="14.5" thickBot="1">
      <c r="A315" s="825">
        <v>45447</v>
      </c>
      <c r="B315" s="826">
        <v>991.41</v>
      </c>
    </row>
    <row r="316" spans="1:2" ht="14.5" thickBot="1">
      <c r="A316" s="825">
        <v>45448</v>
      </c>
      <c r="B316" s="826">
        <v>994.11</v>
      </c>
    </row>
    <row r="317" spans="1:2" ht="14.5" thickBot="1">
      <c r="A317" s="825">
        <v>45449</v>
      </c>
      <c r="B317" s="826">
        <v>996.82</v>
      </c>
    </row>
    <row r="318" spans="1:2" ht="14.5" thickBot="1">
      <c r="A318" s="825">
        <v>45450</v>
      </c>
      <c r="B318" s="826">
        <v>999.54</v>
      </c>
    </row>
    <row r="319" spans="1:2" ht="14.5" thickBot="1">
      <c r="A319" s="825">
        <v>45451</v>
      </c>
      <c r="B319" s="828">
        <v>1002.26</v>
      </c>
    </row>
    <row r="320" spans="1:2" ht="14.5" thickBot="1">
      <c r="A320" s="825">
        <v>45452</v>
      </c>
      <c r="B320" s="828">
        <v>1002.26</v>
      </c>
    </row>
    <row r="321" spans="1:5" ht="14.5" thickBot="1">
      <c r="A321" s="825">
        <v>45453</v>
      </c>
      <c r="B321" s="828">
        <v>1002.26</v>
      </c>
      <c r="D321" s="161"/>
    </row>
    <row r="322" spans="1:5" ht="14.5" thickBot="1">
      <c r="A322" s="825">
        <v>45454</v>
      </c>
      <c r="B322" s="828">
        <v>1010.47</v>
      </c>
    </row>
    <row r="323" spans="1:5" ht="14.5" thickBot="1">
      <c r="A323" s="825">
        <v>45455</v>
      </c>
      <c r="B323" s="828">
        <v>1013.23</v>
      </c>
      <c r="D323" s="161"/>
    </row>
    <row r="324" spans="1:5" ht="14.5" thickBot="1">
      <c r="A324" s="825">
        <v>45456</v>
      </c>
      <c r="B324" s="828">
        <v>1015.99</v>
      </c>
    </row>
    <row r="325" spans="1:5" ht="14.5" thickBot="1">
      <c r="A325" s="825">
        <v>45457</v>
      </c>
      <c r="B325" s="828">
        <v>1018.75</v>
      </c>
      <c r="D325" s="161"/>
    </row>
    <row r="326" spans="1:5" ht="14.5" thickBot="1">
      <c r="A326" s="825">
        <v>45458</v>
      </c>
      <c r="B326" s="828">
        <v>1021.53</v>
      </c>
      <c r="D326" s="10">
        <f>+TablaUVA[[#This Row],[Valor]]/B295-1</f>
        <v>8.8830620663191695E-2</v>
      </c>
    </row>
    <row r="327" spans="1:5" ht="14.5" thickBot="1">
      <c r="A327" s="825">
        <v>45459</v>
      </c>
      <c r="B327" s="828">
        <v>1021.53</v>
      </c>
      <c r="D327" s="10">
        <f>+I10</f>
        <v>4.2000000000000003E-2</v>
      </c>
      <c r="E327" t="str">
        <f>+G10</f>
        <v>Mayo</v>
      </c>
    </row>
    <row r="328" spans="1:5" ht="14.5" thickBot="1">
      <c r="A328" s="825">
        <v>45460</v>
      </c>
      <c r="B328" s="828">
        <v>1021.53</v>
      </c>
    </row>
    <row r="329" spans="1:5" ht="14.5" thickBot="1">
      <c r="A329" s="825">
        <v>45461</v>
      </c>
      <c r="B329" s="828">
        <v>1021.53</v>
      </c>
    </row>
    <row r="330" spans="1:5" ht="14.5" thickBot="1">
      <c r="A330" s="825">
        <v>45462</v>
      </c>
      <c r="B330" s="828">
        <v>1028.54</v>
      </c>
    </row>
    <row r="331" spans="1:5" ht="14.5" thickBot="1">
      <c r="A331" s="825">
        <v>45463</v>
      </c>
      <c r="B331" s="828">
        <v>1029.95</v>
      </c>
    </row>
    <row r="332" spans="1:5" ht="14.5" thickBot="1">
      <c r="A332" s="825">
        <v>45464</v>
      </c>
      <c r="B332" s="828">
        <v>1029.95</v>
      </c>
    </row>
    <row r="333" spans="1:5" ht="14.5" thickBot="1">
      <c r="A333" s="825">
        <v>45465</v>
      </c>
      <c r="B333" s="828">
        <v>1029.95</v>
      </c>
    </row>
    <row r="334" spans="1:5" ht="14.5" thickBot="1">
      <c r="A334" s="825">
        <v>45466</v>
      </c>
      <c r="B334" s="828">
        <v>1029.95</v>
      </c>
    </row>
    <row r="335" spans="1:5" ht="14.5" thickBot="1">
      <c r="A335" s="825">
        <v>45467</v>
      </c>
      <c r="B335" s="828">
        <v>1029.95</v>
      </c>
    </row>
    <row r="336" spans="1:5" ht="14.5" thickBot="1">
      <c r="A336" s="825">
        <v>45468</v>
      </c>
      <c r="B336" s="828">
        <v>1037.03</v>
      </c>
    </row>
    <row r="337" spans="1:2" ht="14.5" thickBot="1">
      <c r="A337" s="825">
        <v>45469</v>
      </c>
      <c r="B337" s="828">
        <v>1038.46</v>
      </c>
    </row>
    <row r="338" spans="1:2" ht="14.5" thickBot="1">
      <c r="A338" s="825">
        <v>45470</v>
      </c>
      <c r="B338" s="828">
        <v>1039.8800000000001</v>
      </c>
    </row>
    <row r="339" spans="1:2" ht="14.5" thickBot="1">
      <c r="A339" s="825">
        <v>45471</v>
      </c>
      <c r="B339" s="828">
        <v>1041.31</v>
      </c>
    </row>
    <row r="340" spans="1:2" ht="14.5" thickBot="1">
      <c r="A340" s="825">
        <v>45472</v>
      </c>
      <c r="B340" s="828">
        <v>1042.74</v>
      </c>
    </row>
    <row r="341" spans="1:2" ht="14.5" thickBot="1">
      <c r="A341" s="825">
        <v>45473</v>
      </c>
      <c r="B341" s="828">
        <v>1042.74</v>
      </c>
    </row>
    <row r="342" spans="1:2" ht="14.5" thickBot="1">
      <c r="A342" s="825">
        <v>45474</v>
      </c>
      <c r="B342" s="828">
        <v>1042.74</v>
      </c>
    </row>
    <row r="343" spans="1:2" ht="14.5" thickBot="1">
      <c r="A343" s="825">
        <v>45475</v>
      </c>
      <c r="B343" s="828">
        <v>1047.04</v>
      </c>
    </row>
    <row r="344" spans="1:2" ht="14.5" thickBot="1">
      <c r="A344" s="825">
        <v>45476</v>
      </c>
      <c r="B344" s="828">
        <v>1048.47</v>
      </c>
    </row>
    <row r="345" spans="1:2" ht="14.5" thickBot="1">
      <c r="A345" s="825">
        <v>45477</v>
      </c>
      <c r="B345" s="828">
        <v>1049.9100000000001</v>
      </c>
    </row>
    <row r="346" spans="1:2" ht="14.5" thickBot="1">
      <c r="A346" s="825">
        <v>45478</v>
      </c>
      <c r="B346" s="828">
        <v>1051.3499999999999</v>
      </c>
    </row>
    <row r="347" spans="1:2" ht="14.5" thickBot="1">
      <c r="A347" s="825">
        <v>45479</v>
      </c>
      <c r="B347" s="828">
        <v>1052.8</v>
      </c>
    </row>
    <row r="348" spans="1:2" ht="14.5" thickBot="1">
      <c r="A348" s="825">
        <v>45480</v>
      </c>
      <c r="B348" s="828">
        <v>1052.8</v>
      </c>
    </row>
    <row r="349" spans="1:2" ht="14.5" thickBot="1">
      <c r="A349" s="825">
        <v>45481</v>
      </c>
      <c r="B349" s="828">
        <v>1052.8</v>
      </c>
    </row>
    <row r="350" spans="1:2" ht="14.5" thickBot="1">
      <c r="A350" s="825">
        <v>45482</v>
      </c>
      <c r="B350" s="828">
        <v>1057.1400000000001</v>
      </c>
    </row>
    <row r="351" spans="1:2" ht="14.5" thickBot="1">
      <c r="A351" s="825">
        <v>45483</v>
      </c>
      <c r="B351" s="828">
        <v>1057.1400000000001</v>
      </c>
    </row>
    <row r="352" spans="1:2" ht="14.5" thickBot="1">
      <c r="A352" s="825">
        <v>45484</v>
      </c>
      <c r="B352" s="828">
        <v>1060.04</v>
      </c>
    </row>
    <row r="353" spans="1:5" ht="14.5" thickBot="1">
      <c r="A353" s="825">
        <v>45485</v>
      </c>
      <c r="B353" s="828">
        <v>1061.5</v>
      </c>
    </row>
    <row r="354" spans="1:5" ht="14.5" thickBot="1">
      <c r="A354" s="825">
        <v>45486</v>
      </c>
      <c r="B354" s="828">
        <v>1062.95</v>
      </c>
    </row>
    <row r="355" spans="1:5" ht="14.5" thickBot="1">
      <c r="A355" s="825">
        <v>45487</v>
      </c>
      <c r="B355" s="828">
        <v>1062.95</v>
      </c>
    </row>
    <row r="356" spans="1:5" ht="14.5" thickBot="1">
      <c r="A356" s="825">
        <v>45488</v>
      </c>
      <c r="B356" s="828">
        <v>1062.95</v>
      </c>
      <c r="D356" s="161">
        <f>+TablaUVA[[#This Row],[Valor]]/B326-1</f>
        <v>4.0547022603349969E-2</v>
      </c>
    </row>
    <row r="357" spans="1:5" ht="14.5" thickBot="1">
      <c r="A357" s="825">
        <v>45489</v>
      </c>
      <c r="B357" s="828">
        <v>1067.33</v>
      </c>
      <c r="D357" s="10">
        <f>+I11</f>
        <v>4.5999999999999999E-2</v>
      </c>
      <c r="E357" t="str">
        <f>+G11</f>
        <v>Junio</v>
      </c>
    </row>
    <row r="358" spans="1:5" ht="14.5" thickBot="1">
      <c r="A358" s="825">
        <v>45490</v>
      </c>
      <c r="B358" s="828">
        <v>1068.8800000000001</v>
      </c>
    </row>
    <row r="359" spans="1:5" ht="14.5" thickBot="1">
      <c r="A359" s="825">
        <v>45491</v>
      </c>
      <c r="B359" s="828">
        <v>1070.44</v>
      </c>
    </row>
    <row r="360" spans="1:5" ht="14.5" thickBot="1">
      <c r="A360" s="825">
        <v>45492</v>
      </c>
      <c r="B360" s="828">
        <v>1071.99</v>
      </c>
    </row>
    <row r="361" spans="1:5" ht="14.5" thickBot="1">
      <c r="A361" s="825">
        <v>45493</v>
      </c>
      <c r="B361" s="828">
        <v>1073.55</v>
      </c>
    </row>
    <row r="362" spans="1:5" ht="14.5" thickBot="1">
      <c r="A362" s="825">
        <v>45494</v>
      </c>
      <c r="B362" s="828">
        <v>1073.55</v>
      </c>
    </row>
    <row r="363" spans="1:5" ht="14.5" thickBot="1">
      <c r="A363" s="825">
        <v>45495</v>
      </c>
      <c r="B363" s="828">
        <v>1073.55</v>
      </c>
    </row>
    <row r="364" spans="1:5" ht="14.5" thickBot="1">
      <c r="A364" s="825">
        <v>45496</v>
      </c>
      <c r="B364" s="828">
        <v>1078.23</v>
      </c>
    </row>
    <row r="365" spans="1:5" ht="14.5" thickBot="1">
      <c r="A365" s="825">
        <v>45497</v>
      </c>
      <c r="B365" s="828">
        <v>1079.79</v>
      </c>
    </row>
    <row r="366" spans="1:5" ht="14.5" thickBot="1">
      <c r="A366" s="825">
        <v>45498</v>
      </c>
      <c r="B366" s="828">
        <v>1081.3599999999999</v>
      </c>
    </row>
    <row r="367" spans="1:5" ht="14.5" thickBot="1">
      <c r="A367" s="825">
        <v>45499</v>
      </c>
      <c r="B367" s="828">
        <v>1082.93</v>
      </c>
    </row>
    <row r="368" spans="1:5" ht="14.5" thickBot="1">
      <c r="A368" s="825">
        <v>45500</v>
      </c>
      <c r="B368" s="828">
        <v>1084.5</v>
      </c>
    </row>
    <row r="369" spans="1:2" ht="14.5" thickBot="1">
      <c r="A369" s="825">
        <v>45501</v>
      </c>
      <c r="B369" s="828">
        <v>1084.5</v>
      </c>
    </row>
    <row r="370" spans="1:2" ht="14.5" thickBot="1">
      <c r="A370" s="825">
        <v>45502</v>
      </c>
      <c r="B370" s="828">
        <v>1084.5</v>
      </c>
    </row>
    <row r="371" spans="1:2" ht="14.5" thickBot="1">
      <c r="A371" s="825">
        <v>45503</v>
      </c>
      <c r="B371" s="828">
        <v>1089.23</v>
      </c>
    </row>
    <row r="372" spans="1:2" ht="14.5" thickBot="1">
      <c r="A372" s="825">
        <v>45504</v>
      </c>
      <c r="B372" s="828">
        <v>1090.82</v>
      </c>
    </row>
    <row r="373" spans="1:2" ht="14.5" thickBot="1">
      <c r="A373" s="825">
        <v>45505</v>
      </c>
      <c r="B373" s="828">
        <v>1092.4000000000001</v>
      </c>
    </row>
    <row r="374" spans="1:2" ht="14.5" thickBot="1">
      <c r="A374" s="825">
        <v>45506</v>
      </c>
      <c r="B374" s="828">
        <v>1093.98</v>
      </c>
    </row>
    <row r="375" spans="1:2" ht="14.5" thickBot="1">
      <c r="A375" s="825">
        <v>45507</v>
      </c>
      <c r="B375" s="828">
        <v>1095.57</v>
      </c>
    </row>
    <row r="376" spans="1:2" ht="14.5" thickBot="1">
      <c r="A376" s="825">
        <v>45508</v>
      </c>
      <c r="B376" s="828">
        <v>1095.57</v>
      </c>
    </row>
    <row r="377" spans="1:2" ht="14.5" thickBot="1">
      <c r="A377" s="825">
        <v>45509</v>
      </c>
      <c r="B377" s="828">
        <v>1095.57</v>
      </c>
    </row>
    <row r="378" spans="1:2" ht="14.5" thickBot="1">
      <c r="A378" s="825">
        <v>45510</v>
      </c>
      <c r="B378" s="828">
        <v>1100.3499999999999</v>
      </c>
    </row>
    <row r="379" spans="1:2" ht="14.5" thickBot="1">
      <c r="A379" s="825">
        <v>45511</v>
      </c>
      <c r="B379" s="828">
        <v>1101.95</v>
      </c>
    </row>
    <row r="380" spans="1:2" ht="14.5" thickBot="1">
      <c r="A380" s="825">
        <v>45512</v>
      </c>
      <c r="B380" s="828">
        <v>1103.55</v>
      </c>
    </row>
    <row r="381" spans="1:2" ht="14.5" thickBot="1">
      <c r="A381" s="825">
        <v>45513</v>
      </c>
      <c r="B381" s="828">
        <v>1105.1500000000001</v>
      </c>
    </row>
    <row r="382" spans="1:2" ht="14.5" thickBot="1">
      <c r="A382" s="825">
        <v>45514</v>
      </c>
      <c r="B382" s="828">
        <v>1106.76</v>
      </c>
    </row>
    <row r="383" spans="1:2" ht="14.5" thickBot="1">
      <c r="A383" s="825">
        <v>45515</v>
      </c>
      <c r="B383" s="828">
        <v>1106.76</v>
      </c>
    </row>
    <row r="384" spans="1:2" ht="14.5" thickBot="1">
      <c r="A384" s="825">
        <v>45516</v>
      </c>
      <c r="B384" s="828">
        <v>1106.76</v>
      </c>
    </row>
    <row r="385" spans="1:5" ht="14.5" thickBot="1">
      <c r="A385" s="825">
        <v>45517</v>
      </c>
      <c r="B385" s="828">
        <v>1111.58</v>
      </c>
    </row>
    <row r="386" spans="1:5" ht="14.5" thickBot="1">
      <c r="A386" s="825">
        <v>45518</v>
      </c>
      <c r="B386" s="828">
        <v>1113.2</v>
      </c>
    </row>
    <row r="387" spans="1:5" ht="14.5" thickBot="1">
      <c r="A387" s="825">
        <v>45519</v>
      </c>
      <c r="B387" s="828">
        <v>1114.81</v>
      </c>
      <c r="D387" s="161">
        <f>+TablaUVA[[#This Row],[Valor]]/B356-1</f>
        <v>4.8788748294839701E-2</v>
      </c>
    </row>
    <row r="388" spans="1:5" ht="14.5" thickBot="1">
      <c r="A388" s="825">
        <v>45520</v>
      </c>
      <c r="B388" s="828">
        <v>1116.43</v>
      </c>
      <c r="D388" s="10">
        <f>+I12</f>
        <v>0.04</v>
      </c>
      <c r="E388" s="828" t="str">
        <f>+G12</f>
        <v>Julio</v>
      </c>
    </row>
    <row r="389" spans="1:5" ht="14.5" thickBot="1">
      <c r="A389" s="825">
        <v>45521</v>
      </c>
      <c r="B389" s="828">
        <v>1117.8399999999999</v>
      </c>
      <c r="D389" s="825"/>
      <c r="E389" s="828"/>
    </row>
    <row r="390" spans="1:5" ht="14.5" thickBot="1">
      <c r="A390" s="825">
        <v>45522</v>
      </c>
      <c r="B390" s="828">
        <v>1117.8399999999999</v>
      </c>
      <c r="D390" s="825"/>
      <c r="E390" s="828"/>
    </row>
    <row r="391" spans="1:5" ht="14.5" thickBot="1">
      <c r="A391" s="825">
        <v>45523</v>
      </c>
      <c r="B391" s="828">
        <v>1117.8399999999999</v>
      </c>
      <c r="D391" s="825"/>
      <c r="E391" s="828"/>
    </row>
    <row r="392" spans="1:5" ht="14.5" thickBot="1">
      <c r="A392" s="825">
        <v>45524</v>
      </c>
      <c r="B392" s="828">
        <v>1122.0999999999999</v>
      </c>
      <c r="D392" s="825"/>
      <c r="E392" s="828"/>
    </row>
    <row r="393" spans="1:5" ht="14.5" thickBot="1">
      <c r="A393" s="825">
        <v>45525</v>
      </c>
      <c r="B393" s="828">
        <v>1123.52</v>
      </c>
      <c r="D393" s="825"/>
      <c r="E393" s="828"/>
    </row>
    <row r="394" spans="1:5" ht="14.5" thickBot="1">
      <c r="A394" s="825">
        <v>45526</v>
      </c>
      <c r="B394" s="828">
        <v>1124.94</v>
      </c>
      <c r="D394" s="825"/>
      <c r="E394" s="828"/>
    </row>
    <row r="395" spans="1:5" ht="14.5" thickBot="1">
      <c r="A395" s="825">
        <v>45527</v>
      </c>
      <c r="B395" s="828">
        <v>1126.3599999999999</v>
      </c>
      <c r="D395" s="825"/>
      <c r="E395" s="828"/>
    </row>
    <row r="396" spans="1:5" ht="14.5" thickBot="1">
      <c r="A396" s="825">
        <v>45528</v>
      </c>
      <c r="B396" s="828">
        <v>1127.79</v>
      </c>
      <c r="D396" s="825"/>
      <c r="E396" s="828"/>
    </row>
    <row r="397" spans="1:5" ht="14.5" thickBot="1">
      <c r="A397" s="825">
        <v>45529</v>
      </c>
      <c r="B397" s="828">
        <v>1127.79</v>
      </c>
      <c r="D397" s="825"/>
      <c r="E397" s="828"/>
    </row>
    <row r="398" spans="1:5" ht="14.5" thickBot="1">
      <c r="A398" s="825">
        <v>45530</v>
      </c>
      <c r="B398" s="828">
        <v>1127.79</v>
      </c>
      <c r="D398" s="825"/>
      <c r="E398" s="828"/>
    </row>
    <row r="399" spans="1:5" ht="14.5" thickBot="1">
      <c r="A399" s="825">
        <v>45531</v>
      </c>
      <c r="B399" s="828">
        <v>1132.08</v>
      </c>
      <c r="D399" s="825"/>
      <c r="E399" s="828"/>
    </row>
    <row r="400" spans="1:5" ht="14.5" thickBot="1">
      <c r="A400" s="825">
        <v>45532</v>
      </c>
      <c r="B400" s="828">
        <v>1133.51</v>
      </c>
      <c r="D400" s="825"/>
      <c r="E400" s="828"/>
    </row>
    <row r="401" spans="1:2" ht="14.5" thickBot="1">
      <c r="A401" s="825">
        <v>45533</v>
      </c>
      <c r="B401" s="828">
        <v>1134.95</v>
      </c>
    </row>
    <row r="402" spans="1:2" ht="14.5" thickBot="1">
      <c r="A402" s="825">
        <v>45534</v>
      </c>
      <c r="B402" s="828">
        <v>1136.3800000000001</v>
      </c>
    </row>
    <row r="403" spans="1:2" ht="14.5" thickBot="1">
      <c r="A403" s="825">
        <v>45535</v>
      </c>
      <c r="B403" s="828">
        <v>1137.82</v>
      </c>
    </row>
    <row r="404" spans="1:2" ht="14.5" thickBot="1">
      <c r="A404" s="825">
        <v>45536</v>
      </c>
      <c r="B404" s="828">
        <v>1137.82</v>
      </c>
    </row>
    <row r="405" spans="1:2" ht="14.5" thickBot="1">
      <c r="A405" s="825">
        <v>45537</v>
      </c>
      <c r="B405" s="828">
        <v>1137.82</v>
      </c>
    </row>
    <row r="406" spans="1:2" ht="14.5" thickBot="1">
      <c r="A406" s="825">
        <v>45538</v>
      </c>
      <c r="B406" s="828">
        <v>1142.1500000000001</v>
      </c>
    </row>
    <row r="407" spans="1:2" ht="14.5" thickBot="1">
      <c r="A407" s="825">
        <v>45539</v>
      </c>
      <c r="B407" s="828">
        <v>1143.5899999999999</v>
      </c>
    </row>
    <row r="408" spans="1:2" ht="14.5" thickBot="1">
      <c r="A408" s="825">
        <v>45540</v>
      </c>
      <c r="B408" s="828">
        <v>1145.04</v>
      </c>
    </row>
    <row r="409" spans="1:2" ht="14.5" thickBot="1">
      <c r="A409" s="825">
        <v>45541</v>
      </c>
      <c r="B409" s="828">
        <v>1146.49</v>
      </c>
    </row>
    <row r="410" spans="1:2" ht="14.5" thickBot="1">
      <c r="A410" s="825">
        <v>45542</v>
      </c>
      <c r="B410" s="828">
        <v>1147.94</v>
      </c>
    </row>
    <row r="411" spans="1:2" ht="14.5" thickBot="1">
      <c r="A411" s="825">
        <v>45543</v>
      </c>
      <c r="B411" s="828">
        <v>1147.94</v>
      </c>
    </row>
    <row r="412" spans="1:2" ht="14.5" thickBot="1">
      <c r="A412" s="825">
        <v>45544</v>
      </c>
      <c r="B412" s="828">
        <v>1147.94</v>
      </c>
    </row>
    <row r="413" spans="1:2" ht="14.5" thickBot="1">
      <c r="A413" s="825">
        <v>45545</v>
      </c>
      <c r="B413" s="828">
        <v>1152.31</v>
      </c>
    </row>
    <row r="414" spans="1:2" ht="14.5" thickBot="1">
      <c r="A414" s="825">
        <v>45546</v>
      </c>
      <c r="B414" s="828">
        <v>1153.77</v>
      </c>
    </row>
    <row r="415" spans="1:2" ht="14.5" thickBot="1">
      <c r="A415" s="825">
        <v>45547</v>
      </c>
      <c r="B415" s="828">
        <v>1155.23</v>
      </c>
    </row>
    <row r="416" spans="1:2" ht="14.5" thickBot="1">
      <c r="A416" s="825">
        <v>45548</v>
      </c>
      <c r="B416" s="828">
        <v>1156.69</v>
      </c>
    </row>
    <row r="417" spans="1:5" ht="14.5" thickBot="1">
      <c r="A417" s="825">
        <v>45549</v>
      </c>
      <c r="B417" s="828">
        <v>1158.1500000000001</v>
      </c>
      <c r="E417" s="828"/>
    </row>
    <row r="418" spans="1:5" ht="14.5" thickBot="1">
      <c r="A418" s="825">
        <v>45550</v>
      </c>
      <c r="B418" s="828">
        <v>1158.1500000000001</v>
      </c>
      <c r="D418" s="161">
        <f>+B419/B387-1</f>
        <v>3.8876579865627425E-2</v>
      </c>
      <c r="E418" s="828" t="str">
        <f>+G13</f>
        <v>Agosto</v>
      </c>
    </row>
    <row r="419" spans="1:5" ht="14.5" thickBot="1">
      <c r="A419" s="825">
        <v>45551</v>
      </c>
      <c r="B419" s="828">
        <v>1158.1500000000001</v>
      </c>
      <c r="D419" s="10">
        <f>+I13</f>
        <v>4.2000000000000003E-2</v>
      </c>
      <c r="E419" s="828"/>
    </row>
    <row r="420" spans="1:5" ht="14.5" thickBot="1">
      <c r="A420" s="825">
        <v>45552</v>
      </c>
      <c r="B420" s="828">
        <v>1162.68</v>
      </c>
      <c r="D420" s="161"/>
      <c r="E420" s="828"/>
    </row>
    <row r="421" spans="1:5" ht="14.5" thickBot="1">
      <c r="A421" s="825">
        <v>45553</v>
      </c>
      <c r="B421" s="828">
        <v>1164.28</v>
      </c>
      <c r="D421" s="10"/>
      <c r="E421" s="828"/>
    </row>
    <row r="422" spans="1:5" ht="14.5" thickBot="1">
      <c r="A422" s="825">
        <v>45554</v>
      </c>
      <c r="B422" s="828">
        <v>1165.8800000000001</v>
      </c>
      <c r="D422" s="161"/>
      <c r="E422" s="828"/>
    </row>
    <row r="423" spans="1:5" ht="14.5" thickBot="1">
      <c r="A423" s="825">
        <v>45555</v>
      </c>
      <c r="B423" s="828">
        <v>1167.48</v>
      </c>
      <c r="D423" s="10"/>
      <c r="E423" s="828"/>
    </row>
    <row r="424" spans="1:5" ht="14.5" thickBot="1">
      <c r="A424" s="825">
        <v>45556</v>
      </c>
      <c r="B424" s="828">
        <v>1169.08</v>
      </c>
      <c r="D424" s="161"/>
      <c r="E424" s="828"/>
    </row>
    <row r="425" spans="1:5" ht="14.5" thickBot="1">
      <c r="A425" s="825">
        <v>45557</v>
      </c>
      <c r="B425" s="828">
        <v>1169.08</v>
      </c>
      <c r="D425" s="10"/>
      <c r="E425" s="828"/>
    </row>
    <row r="426" spans="1:5" ht="14.5" thickBot="1">
      <c r="A426" s="825">
        <v>45558</v>
      </c>
      <c r="B426" s="828">
        <v>1169.08</v>
      </c>
      <c r="D426" s="161"/>
      <c r="E426" s="828"/>
    </row>
    <row r="427" spans="1:5" ht="14.5" thickBot="1">
      <c r="A427" s="825">
        <v>45559</v>
      </c>
      <c r="B427" s="828">
        <v>1173.9000000000001</v>
      </c>
      <c r="D427" s="10"/>
      <c r="E427" s="828"/>
    </row>
    <row r="428" spans="1:5" ht="14.5" thickBot="1">
      <c r="A428" s="825">
        <v>45560</v>
      </c>
      <c r="B428" s="828">
        <v>1175.51</v>
      </c>
      <c r="D428" s="161"/>
      <c r="E428" s="828"/>
    </row>
    <row r="429" spans="1:5" ht="14.5" thickBot="1">
      <c r="A429" s="825">
        <v>45561</v>
      </c>
      <c r="B429" s="828">
        <v>1177.1199999999999</v>
      </c>
      <c r="D429" s="10"/>
      <c r="E429" s="828"/>
    </row>
    <row r="430" spans="1:5" ht="14.5" thickBot="1">
      <c r="A430" s="825">
        <v>45562</v>
      </c>
      <c r="B430" s="828">
        <v>1178.74</v>
      </c>
      <c r="D430" s="161"/>
      <c r="E430" s="828"/>
    </row>
    <row r="431" spans="1:5" ht="14.5" thickBot="1">
      <c r="A431" s="825">
        <v>45563</v>
      </c>
      <c r="B431" s="828">
        <v>1180.3499999999999</v>
      </c>
      <c r="D431" s="10"/>
      <c r="E431" s="828"/>
    </row>
    <row r="432" spans="1:5" ht="14.5" thickBot="1">
      <c r="A432" s="825">
        <v>45564</v>
      </c>
      <c r="B432" s="828">
        <v>1180.3499999999999</v>
      </c>
      <c r="D432" s="161"/>
      <c r="E432" s="828"/>
    </row>
    <row r="433" spans="1:5" ht="14.5" thickBot="1">
      <c r="A433" s="825">
        <v>45565</v>
      </c>
      <c r="B433" s="828">
        <v>1180.3499999999999</v>
      </c>
      <c r="D433" s="10"/>
      <c r="E433" s="828"/>
    </row>
    <row r="434" spans="1:5" ht="14.5" thickBot="1">
      <c r="A434" s="41">
        <v>45566</v>
      </c>
      <c r="B434" s="32">
        <v>1185.22</v>
      </c>
      <c r="D434" s="161"/>
      <c r="E434" s="828"/>
    </row>
    <row r="435" spans="1:5" ht="14.5" thickBot="1">
      <c r="A435" s="825">
        <v>45567</v>
      </c>
      <c r="B435" s="828">
        <v>1186.8499999999999</v>
      </c>
      <c r="D435" s="10"/>
      <c r="E435" s="828"/>
    </row>
    <row r="436" spans="1:5" ht="14.5" thickBot="1">
      <c r="A436" s="41">
        <v>45568</v>
      </c>
      <c r="B436" s="32">
        <v>1188.48</v>
      </c>
      <c r="D436" s="161"/>
      <c r="E436" s="828"/>
    </row>
    <row r="437" spans="1:5" ht="14.5" thickBot="1">
      <c r="A437" s="825">
        <v>45569</v>
      </c>
      <c r="B437" s="828">
        <v>1190.1099999999999</v>
      </c>
      <c r="D437" s="10"/>
      <c r="E437" s="828"/>
    </row>
    <row r="438" spans="1:5" ht="14.5" thickBot="1">
      <c r="A438" s="41">
        <v>45570</v>
      </c>
      <c r="B438" s="32">
        <v>1191.74</v>
      </c>
      <c r="D438" s="161"/>
      <c r="E438" s="828"/>
    </row>
    <row r="439" spans="1:5" ht="14.5" thickBot="1">
      <c r="A439" s="825">
        <v>45571</v>
      </c>
      <c r="B439" s="828">
        <v>1191.74</v>
      </c>
      <c r="D439" s="10"/>
      <c r="E439" s="828"/>
    </row>
    <row r="440" spans="1:5" ht="14.5" thickBot="1">
      <c r="A440" s="41">
        <v>45572</v>
      </c>
      <c r="B440" s="32">
        <v>1191.74</v>
      </c>
      <c r="D440" s="161"/>
      <c r="E440" s="828"/>
    </row>
    <row r="441" spans="1:5" ht="14.5" thickBot="1">
      <c r="A441" s="825">
        <v>45573</v>
      </c>
      <c r="B441" s="828">
        <v>1196.6500000000001</v>
      </c>
      <c r="D441" s="10"/>
      <c r="E441" s="828"/>
    </row>
    <row r="442" spans="1:5" ht="14.5" thickBot="1">
      <c r="A442" s="41">
        <v>45574</v>
      </c>
      <c r="B442" s="32">
        <v>1198.3</v>
      </c>
      <c r="D442" s="161"/>
      <c r="E442" s="828"/>
    </row>
    <row r="443" spans="1:5" ht="14.5" thickBot="1">
      <c r="A443" s="825">
        <v>45575</v>
      </c>
      <c r="B443" s="828">
        <v>1199.94</v>
      </c>
      <c r="D443" s="161">
        <f>+B444/B419-1</f>
        <v>3.7508094806372183E-2</v>
      </c>
      <c r="E443" s="828">
        <f>+G38</f>
        <v>0</v>
      </c>
    </row>
    <row r="444" spans="1:5" ht="13" thickBot="1">
      <c r="A444" s="41">
        <v>45576</v>
      </c>
      <c r="B444" s="32">
        <v>1201.5899999999999</v>
      </c>
      <c r="D444" s="443">
        <f>+I14</f>
        <v>3.5000000000000003E-2</v>
      </c>
      <c r="E444" t="str">
        <f>+G14</f>
        <v>Septiembre</v>
      </c>
    </row>
    <row r="445" spans="1:5" ht="14.5" thickBot="1">
      <c r="A445" s="825">
        <v>45577</v>
      </c>
      <c r="B445" s="828">
        <v>1201.5899999999999</v>
      </c>
      <c r="D445" s="10"/>
      <c r="E445" s="828"/>
    </row>
    <row r="446" spans="1:5" ht="14.5" thickBot="1">
      <c r="A446" s="41">
        <v>45578</v>
      </c>
      <c r="B446" s="32">
        <v>1201.5899999999999</v>
      </c>
      <c r="D446" s="161"/>
      <c r="E446" s="828"/>
    </row>
    <row r="447" spans="1:5" ht="14.5" thickBot="1">
      <c r="A447" s="825">
        <v>45579</v>
      </c>
      <c r="B447" s="828">
        <v>1201.5899999999999</v>
      </c>
      <c r="D447" s="10"/>
      <c r="E447" s="828"/>
    </row>
    <row r="448" spans="1:5" ht="14.5" thickBot="1">
      <c r="A448" s="41">
        <v>45580</v>
      </c>
      <c r="B448" s="32">
        <v>1208.2</v>
      </c>
      <c r="D448" s="161"/>
      <c r="E448" s="828"/>
    </row>
    <row r="449" spans="1:2" ht="14.5" thickBot="1">
      <c r="A449" s="825">
        <v>45581</v>
      </c>
      <c r="B449" s="828">
        <v>1209.8499999999999</v>
      </c>
    </row>
    <row r="450" spans="1:2" ht="13" thickBot="1">
      <c r="A450" s="41">
        <v>45582</v>
      </c>
      <c r="B450" s="32">
        <v>1211.2</v>
      </c>
    </row>
    <row r="451" spans="1:2" ht="14.5" thickBot="1">
      <c r="A451" s="825">
        <v>45583</v>
      </c>
      <c r="B451" s="828">
        <v>1212.54</v>
      </c>
    </row>
    <row r="452" spans="1:2" ht="13" thickBot="1">
      <c r="A452" s="41">
        <v>45584</v>
      </c>
      <c r="B452" s="32">
        <v>1213.8900000000001</v>
      </c>
    </row>
    <row r="453" spans="1:2" ht="14.5" thickBot="1">
      <c r="A453" s="825">
        <v>45585</v>
      </c>
      <c r="B453" s="828">
        <v>1213.8900000000001</v>
      </c>
    </row>
    <row r="454" spans="1:2" ht="13" thickBot="1">
      <c r="A454" s="41">
        <v>45586</v>
      </c>
      <c r="B454" s="32">
        <v>1213.8900000000001</v>
      </c>
    </row>
    <row r="455" spans="1:2" ht="14.5" thickBot="1">
      <c r="A455" s="825">
        <v>45587</v>
      </c>
      <c r="B455" s="828">
        <v>1217.94</v>
      </c>
    </row>
    <row r="456" spans="1:2" ht="13" thickBot="1">
      <c r="A456" s="41">
        <v>45588</v>
      </c>
      <c r="B456" s="32">
        <v>1219.29</v>
      </c>
    </row>
    <row r="457" spans="1:2" ht="14.5" thickBot="1">
      <c r="A457" s="825">
        <v>45589</v>
      </c>
      <c r="B457" s="828">
        <v>1220.6400000000001</v>
      </c>
    </row>
    <row r="458" spans="1:2" ht="13" thickBot="1">
      <c r="A458" s="41">
        <v>45590</v>
      </c>
      <c r="B458" s="32">
        <v>1222</v>
      </c>
    </row>
    <row r="459" spans="1:2" ht="14.5" thickBot="1">
      <c r="A459" s="825">
        <v>45591</v>
      </c>
      <c r="B459" s="828">
        <v>1223.3599999999999</v>
      </c>
    </row>
    <row r="460" spans="1:2" ht="13" thickBot="1">
      <c r="A460" s="41">
        <v>45592</v>
      </c>
      <c r="B460" s="32">
        <v>1223.3599999999999</v>
      </c>
    </row>
    <row r="461" spans="1:2" ht="14.5" thickBot="1">
      <c r="A461" s="825">
        <v>45593</v>
      </c>
      <c r="B461" s="828">
        <v>1223.3599999999999</v>
      </c>
    </row>
    <row r="462" spans="1:2" ht="13" thickBot="1">
      <c r="A462" s="41">
        <v>45594</v>
      </c>
      <c r="B462" s="32">
        <v>1227.43</v>
      </c>
    </row>
    <row r="463" spans="1:2" ht="14.5" thickBot="1">
      <c r="A463" s="825">
        <v>45595</v>
      </c>
      <c r="B463" s="828">
        <v>1228.8</v>
      </c>
    </row>
    <row r="464" spans="1:2" ht="13" thickBot="1">
      <c r="A464" s="41">
        <v>45596</v>
      </c>
      <c r="B464" s="32">
        <v>1230.1600000000001</v>
      </c>
    </row>
    <row r="465" spans="1:8" ht="14.5" thickBot="1">
      <c r="A465" s="825">
        <v>45597</v>
      </c>
      <c r="B465" s="828">
        <v>1231.53</v>
      </c>
    </row>
    <row r="466" spans="1:8" ht="13" thickBot="1">
      <c r="A466" s="41">
        <v>45598</v>
      </c>
      <c r="B466" s="32">
        <v>1232.9000000000001</v>
      </c>
    </row>
    <row r="467" spans="1:8" ht="14.5" thickBot="1">
      <c r="A467" s="825">
        <v>45599</v>
      </c>
      <c r="B467" s="828">
        <v>1232.9000000000001</v>
      </c>
    </row>
    <row r="468" spans="1:8" ht="13" thickBot="1">
      <c r="A468" s="41">
        <v>45600</v>
      </c>
      <c r="B468" s="32">
        <v>1232.9000000000001</v>
      </c>
      <c r="D468" s="803"/>
    </row>
    <row r="469" spans="1:8" ht="14.5" thickBot="1">
      <c r="A469" s="825">
        <v>45601</v>
      </c>
      <c r="B469" s="828">
        <v>1237.01</v>
      </c>
      <c r="D469" s="803"/>
    </row>
    <row r="470" spans="1:8" ht="13" thickBot="1">
      <c r="A470" s="41">
        <v>45602</v>
      </c>
      <c r="B470" s="32">
        <v>1238.3800000000001</v>
      </c>
      <c r="D470" s="803"/>
    </row>
    <row r="471" spans="1:8" ht="14.5" thickBot="1">
      <c r="A471" s="825">
        <v>45603</v>
      </c>
      <c r="B471" s="828">
        <v>1238.3800000000001</v>
      </c>
      <c r="D471" s="803"/>
    </row>
    <row r="472" spans="1:8" ht="13" thickBot="1">
      <c r="A472" s="41">
        <v>45604</v>
      </c>
      <c r="B472" s="32">
        <v>1241.1300000000001</v>
      </c>
      <c r="D472" s="803"/>
    </row>
    <row r="473" spans="1:8" ht="14.5" thickBot="1">
      <c r="A473" s="825">
        <v>45605</v>
      </c>
      <c r="B473" s="828">
        <v>1242.51</v>
      </c>
      <c r="D473" s="803"/>
    </row>
    <row r="474" spans="1:8" ht="13" thickBot="1">
      <c r="A474" s="41">
        <v>45606</v>
      </c>
      <c r="B474" s="32">
        <v>1242.51</v>
      </c>
      <c r="D474" s="803"/>
    </row>
    <row r="475" spans="1:8" ht="14.5" thickBot="1">
      <c r="A475" s="825">
        <v>45607</v>
      </c>
      <c r="B475" s="828">
        <v>1242.51</v>
      </c>
      <c r="D475" s="803"/>
    </row>
    <row r="476" spans="1:8" ht="13" thickBot="1">
      <c r="A476" s="41">
        <v>45608</v>
      </c>
      <c r="B476" s="32">
        <v>1246.6500000000001</v>
      </c>
      <c r="D476" s="803"/>
    </row>
    <row r="477" spans="1:8" ht="14.5" thickBot="1">
      <c r="A477" s="825">
        <v>45609</v>
      </c>
      <c r="B477" s="828">
        <v>1248.04</v>
      </c>
      <c r="D477" s="803"/>
    </row>
    <row r="478" spans="1:8" ht="13" thickBot="1">
      <c r="A478" s="41">
        <v>45610</v>
      </c>
      <c r="B478" s="32">
        <v>1249.42</v>
      </c>
      <c r="D478" s="803"/>
    </row>
    <row r="479" spans="1:8" ht="14.5" thickBot="1">
      <c r="A479" s="577" t="s">
        <v>803</v>
      </c>
      <c r="B479" s="828">
        <v>1250.81</v>
      </c>
      <c r="D479" s="161">
        <f>+B479/B443-1</f>
        <v>4.2393786355984453E-2</v>
      </c>
      <c r="H479" s="826">
        <v>938.19</v>
      </c>
    </row>
    <row r="480" spans="1:8" ht="14.5" thickBot="1">
      <c r="A480" s="806">
        <v>45612</v>
      </c>
      <c r="B480" s="807">
        <v>1252.2</v>
      </c>
      <c r="C480" s="808"/>
      <c r="D480" s="443">
        <f>+I15</f>
        <v>2.7E-2</v>
      </c>
      <c r="E480" t="str">
        <f>+G15</f>
        <v>Octubre</v>
      </c>
    </row>
    <row r="481" spans="1:8" ht="14.5" thickBot="1">
      <c r="A481" s="806">
        <v>45613</v>
      </c>
      <c r="B481" s="807">
        <v>1252.2</v>
      </c>
      <c r="C481" s="808"/>
      <c r="H481" s="32">
        <f>+B479-H479</f>
        <v>312.61999999999989</v>
      </c>
    </row>
    <row r="482" spans="1:8" ht="14.5" thickBot="1">
      <c r="A482" s="806">
        <v>45614</v>
      </c>
      <c r="B482" s="807">
        <v>1252.2</v>
      </c>
      <c r="C482" s="808"/>
      <c r="H482">
        <f>+H481/H479</f>
        <v>0.33321608629382093</v>
      </c>
    </row>
    <row r="483" spans="1:8" ht="14.5" thickBot="1">
      <c r="A483" s="806">
        <v>45615</v>
      </c>
      <c r="B483" s="807">
        <v>1252.2</v>
      </c>
      <c r="C483" s="808"/>
      <c r="H483">
        <v>1.0859000000000001</v>
      </c>
    </row>
    <row r="484" spans="1:8" ht="14.5" thickBot="1">
      <c r="A484" s="806">
        <v>45616</v>
      </c>
      <c r="B484" s="807">
        <v>1256.6600000000001</v>
      </c>
      <c r="C484" s="808"/>
      <c r="H484">
        <v>1.089</v>
      </c>
    </row>
    <row r="485" spans="1:8" ht="14.5" thickBot="1">
      <c r="A485" s="806">
        <v>45617</v>
      </c>
      <c r="B485" s="807">
        <v>1257.77</v>
      </c>
      <c r="C485" s="808"/>
      <c r="H485">
        <f>+H484-H483</f>
        <v>3.0999999999998806E-3</v>
      </c>
    </row>
    <row r="486" spans="1:8" ht="14.5" thickBot="1">
      <c r="A486" s="806">
        <v>45618</v>
      </c>
      <c r="B486" s="807">
        <v>1258.8900000000001</v>
      </c>
      <c r="C486" s="808"/>
      <c r="H486">
        <f>+H485/H483</f>
        <v>2.8547748411454832E-3</v>
      </c>
    </row>
    <row r="487" spans="1:8" ht="14.5" thickBot="1">
      <c r="A487" s="806">
        <v>45619</v>
      </c>
      <c r="B487" s="807">
        <v>1260.01</v>
      </c>
      <c r="C487" s="808"/>
    </row>
    <row r="488" spans="1:8" ht="14.5" thickBot="1">
      <c r="A488" s="806">
        <v>45620</v>
      </c>
      <c r="B488" s="807">
        <v>1260.01</v>
      </c>
      <c r="C488" s="808"/>
    </row>
    <row r="489" spans="1:8" ht="14.5" thickBot="1">
      <c r="A489" s="806">
        <v>45621</v>
      </c>
      <c r="B489" s="807">
        <v>1260.01</v>
      </c>
      <c r="C489" s="808"/>
    </row>
    <row r="490" spans="1:8" ht="14.5" thickBot="1">
      <c r="A490" s="806">
        <v>45622</v>
      </c>
      <c r="B490" s="807">
        <v>1263.3699999999999</v>
      </c>
      <c r="C490" s="808"/>
    </row>
    <row r="491" spans="1:8" ht="14.5" thickBot="1">
      <c r="A491" s="806">
        <v>45623</v>
      </c>
      <c r="B491" s="807">
        <v>1264.49</v>
      </c>
      <c r="C491" s="808"/>
    </row>
    <row r="492" spans="1:8" ht="14.5" thickBot="1">
      <c r="A492" s="806">
        <v>45624</v>
      </c>
      <c r="B492" s="807">
        <v>1265.6099999999999</v>
      </c>
      <c r="C492" s="808"/>
    </row>
    <row r="493" spans="1:8" ht="14.5" thickBot="1">
      <c r="A493" s="806">
        <v>45625</v>
      </c>
      <c r="B493" s="807">
        <v>1266.74</v>
      </c>
      <c r="C493" s="808"/>
    </row>
    <row r="494" spans="1:8" ht="14.5" thickBot="1">
      <c r="A494" s="806">
        <v>45626</v>
      </c>
      <c r="B494" s="807">
        <v>1267.8599999999999</v>
      </c>
      <c r="C494" s="808"/>
    </row>
    <row r="495" spans="1:8" ht="14.5" thickBot="1">
      <c r="A495" s="806">
        <v>45627</v>
      </c>
      <c r="B495" s="807">
        <v>1267.8599999999999</v>
      </c>
      <c r="C495" s="808"/>
    </row>
    <row r="496" spans="1:8" ht="14.5" thickBot="1">
      <c r="A496" s="806">
        <v>45628</v>
      </c>
      <c r="B496" s="807">
        <v>1267.8599999999999</v>
      </c>
      <c r="C496" s="808"/>
    </row>
    <row r="497" spans="1:4" ht="14.5" thickBot="1">
      <c r="A497" s="806">
        <v>45629</v>
      </c>
      <c r="B497" s="807">
        <v>1271.25</v>
      </c>
      <c r="C497" s="808"/>
    </row>
    <row r="498" spans="1:4" ht="14.5" thickBot="1">
      <c r="A498" s="806">
        <v>45630</v>
      </c>
      <c r="B498" s="807">
        <v>1272.3800000000001</v>
      </c>
      <c r="C498" s="808"/>
    </row>
    <row r="499" spans="1:4" ht="14.5" thickBot="1">
      <c r="A499" s="806">
        <v>45631</v>
      </c>
      <c r="B499" s="807">
        <v>1273.51</v>
      </c>
      <c r="C499" s="808"/>
    </row>
    <row r="500" spans="1:4" ht="14.5" thickBot="1">
      <c r="A500" s="806">
        <v>45632</v>
      </c>
      <c r="B500" s="807">
        <v>1274.6400000000001</v>
      </c>
      <c r="C500" s="808"/>
      <c r="D500" s="803"/>
    </row>
    <row r="501" spans="1:4" ht="14.5" thickBot="1">
      <c r="A501" s="806">
        <v>45633</v>
      </c>
      <c r="B501" s="807">
        <v>1275.77</v>
      </c>
      <c r="C501" s="808"/>
      <c r="D501" s="803"/>
    </row>
    <row r="502" spans="1:4" ht="14.5" thickBot="1">
      <c r="A502" s="806">
        <v>45634</v>
      </c>
      <c r="B502" s="807">
        <v>1275.77</v>
      </c>
      <c r="C502" s="808"/>
      <c r="D502" s="803"/>
    </row>
    <row r="503" spans="1:4" ht="14.5" thickBot="1">
      <c r="A503" s="806">
        <v>45635</v>
      </c>
      <c r="B503" s="807">
        <v>1275.77</v>
      </c>
      <c r="C503" s="808"/>
      <c r="D503" s="803"/>
    </row>
    <row r="504" spans="1:4" ht="14.5" thickBot="1">
      <c r="A504" s="806">
        <v>45636</v>
      </c>
      <c r="B504" s="807">
        <v>1279.17</v>
      </c>
      <c r="C504" s="808"/>
      <c r="D504" s="803"/>
    </row>
    <row r="505" spans="1:4" ht="14.5" thickBot="1">
      <c r="A505" s="806">
        <v>45637</v>
      </c>
      <c r="B505" s="807">
        <v>1280.31</v>
      </c>
      <c r="C505" s="808"/>
      <c r="D505" s="803"/>
    </row>
    <row r="506" spans="1:4" ht="14.5" thickBot="1">
      <c r="A506" s="806">
        <v>45638</v>
      </c>
      <c r="B506" s="807">
        <v>1281.45</v>
      </c>
      <c r="C506" s="808"/>
      <c r="D506" s="803"/>
    </row>
    <row r="507" spans="1:4" ht="14.5" thickBot="1">
      <c r="A507" s="806">
        <v>45639</v>
      </c>
      <c r="B507" s="807">
        <v>1282.5899999999999</v>
      </c>
      <c r="C507" s="808"/>
      <c r="D507" s="803"/>
    </row>
    <row r="508" spans="1:4" ht="14.5" thickBot="1">
      <c r="A508" s="806">
        <v>45640</v>
      </c>
      <c r="B508" s="807">
        <v>1283.73</v>
      </c>
      <c r="C508" s="808"/>
      <c r="D508" s="803"/>
    </row>
    <row r="509" spans="1:4" ht="14.5" thickBot="1">
      <c r="A509" s="806">
        <v>45641</v>
      </c>
      <c r="B509" s="807">
        <v>1283.73</v>
      </c>
      <c r="C509" s="808"/>
      <c r="D509" s="161">
        <f>+TablaUVA[[#This Row],[Valor]]/B480-1</f>
        <v>2.51796837565883E-2</v>
      </c>
    </row>
    <row r="510" spans="1:4" ht="14.5" thickBot="1">
      <c r="A510" s="722">
        <v>45642</v>
      </c>
      <c r="B510" s="1037">
        <v>1283.73</v>
      </c>
      <c r="C510" s="711"/>
      <c r="D510" s="443">
        <f>+I16</f>
        <v>2.7E-2</v>
      </c>
    </row>
    <row r="511" spans="1:4" ht="14.5" thickBot="1">
      <c r="A511" s="722">
        <v>45643</v>
      </c>
      <c r="B511" s="1037">
        <v>1286.99</v>
      </c>
      <c r="C511" s="711"/>
      <c r="D511" s="803"/>
    </row>
    <row r="512" spans="1:4" ht="14.5" thickBot="1">
      <c r="A512" s="722">
        <v>45644</v>
      </c>
      <c r="B512" s="1037">
        <v>1287.98</v>
      </c>
      <c r="C512" s="711"/>
      <c r="D512" s="803"/>
    </row>
    <row r="513" spans="1:3" ht="14.5" thickBot="1">
      <c r="A513" s="722">
        <v>45645</v>
      </c>
      <c r="B513" s="1037">
        <v>1288.96</v>
      </c>
      <c r="C513" s="711"/>
    </row>
    <row r="514" spans="1:3" ht="14.5" thickBot="1">
      <c r="A514" s="722">
        <v>45646</v>
      </c>
      <c r="B514" s="1037">
        <v>1289.95</v>
      </c>
      <c r="C514" s="711"/>
    </row>
    <row r="515" spans="1:3" ht="14.5" thickBot="1">
      <c r="A515" s="722">
        <v>45647</v>
      </c>
      <c r="B515" s="1037">
        <v>1290.94</v>
      </c>
      <c r="C515" s="711"/>
    </row>
    <row r="516" spans="1:3" ht="14.5" thickBot="1">
      <c r="A516" s="722">
        <v>45648</v>
      </c>
      <c r="B516" s="1037">
        <v>1290.94</v>
      </c>
      <c r="C516" s="711"/>
    </row>
    <row r="517" spans="1:3" ht="14.5" thickBot="1">
      <c r="A517" s="722">
        <v>45649</v>
      </c>
      <c r="B517" s="1037">
        <v>1290.94</v>
      </c>
      <c r="C517" s="711"/>
    </row>
    <row r="518" spans="1:3" ht="14.5" thickBot="1">
      <c r="A518" s="722">
        <v>45650</v>
      </c>
      <c r="B518" s="1037">
        <v>1293.9000000000001</v>
      </c>
      <c r="C518" s="711"/>
    </row>
    <row r="519" spans="1:3" ht="14.5" thickBot="1">
      <c r="A519" s="722">
        <v>45651</v>
      </c>
      <c r="B519" s="1037">
        <v>1294.8900000000001</v>
      </c>
      <c r="C519" s="711"/>
    </row>
    <row r="520" spans="1:3" ht="14.5" thickBot="1">
      <c r="A520" s="722">
        <v>45652</v>
      </c>
      <c r="B520" s="1037">
        <v>1294.8900000000001</v>
      </c>
      <c r="C520" s="711"/>
    </row>
    <row r="521" spans="1:3" ht="14.5" thickBot="1">
      <c r="A521" s="722">
        <v>45653</v>
      </c>
      <c r="B521" s="1037">
        <v>1296.8800000000001</v>
      </c>
      <c r="C521" s="711"/>
    </row>
    <row r="522" spans="1:3" ht="14.5" thickBot="1">
      <c r="A522" s="722">
        <v>45654</v>
      </c>
      <c r="B522" s="1037">
        <v>1297.8699999999999</v>
      </c>
      <c r="C522" s="711"/>
    </row>
    <row r="523" spans="1:3" ht="14.5" thickBot="1">
      <c r="A523" s="722">
        <v>45655</v>
      </c>
      <c r="B523" s="1037">
        <v>1297.8699999999999</v>
      </c>
      <c r="C523" s="711"/>
    </row>
    <row r="524" spans="1:3" ht="14.5" thickBot="1">
      <c r="A524" s="722">
        <v>45656</v>
      </c>
      <c r="B524" s="1037">
        <v>1297.8699999999999</v>
      </c>
      <c r="C524" s="711"/>
    </row>
    <row r="525" spans="1:3" ht="14.5" thickBot="1">
      <c r="A525" s="722">
        <v>45657</v>
      </c>
      <c r="B525" s="1037">
        <v>1300.8499999999999</v>
      </c>
      <c r="C525" s="711"/>
    </row>
    <row r="526" spans="1:3" ht="14.5" thickBot="1">
      <c r="A526" s="722">
        <v>45658</v>
      </c>
      <c r="B526" s="1037">
        <v>1301.8499999999999</v>
      </c>
      <c r="C526" s="711"/>
    </row>
    <row r="527" spans="1:3" ht="14.5" thickBot="1">
      <c r="A527" s="722">
        <v>45659</v>
      </c>
      <c r="B527" s="1037">
        <v>1301.8499999999999</v>
      </c>
      <c r="C527" s="711"/>
    </row>
    <row r="528" spans="1:3" ht="14.5" thickBot="1">
      <c r="A528" s="722">
        <v>45660</v>
      </c>
      <c r="B528" s="1037">
        <v>1303.8399999999999</v>
      </c>
      <c r="C528" s="711"/>
    </row>
    <row r="529" spans="1:4" ht="14.5" thickBot="1">
      <c r="A529" s="722">
        <v>45661</v>
      </c>
      <c r="B529" s="1037">
        <v>1304.8399999999999</v>
      </c>
      <c r="C529" s="711"/>
    </row>
    <row r="530" spans="1:4" ht="14.5" thickBot="1">
      <c r="A530" s="722">
        <v>45662</v>
      </c>
      <c r="B530" s="1037">
        <v>1304.8399999999999</v>
      </c>
      <c r="C530" s="711"/>
    </row>
    <row r="531" spans="1:4" ht="14.5" thickBot="1">
      <c r="A531" s="722">
        <v>45663</v>
      </c>
      <c r="B531" s="1037">
        <v>1304.8399999999999</v>
      </c>
      <c r="C531" s="711"/>
    </row>
    <row r="532" spans="1:4" ht="14.5" thickBot="1">
      <c r="A532" s="722">
        <v>45664</v>
      </c>
      <c r="B532" s="1037">
        <v>1307.8399999999999</v>
      </c>
      <c r="C532" s="711"/>
      <c r="D532" s="803"/>
    </row>
    <row r="533" spans="1:4" ht="14.5" thickBot="1">
      <c r="A533" s="722">
        <v>45665</v>
      </c>
      <c r="B533" s="1037">
        <v>1308.8399999999999</v>
      </c>
      <c r="C533" s="711"/>
      <c r="D533" s="803"/>
    </row>
    <row r="534" spans="1:4" ht="14.5" thickBot="1">
      <c r="A534" s="722">
        <v>45666</v>
      </c>
      <c r="B534" s="1037">
        <v>1309.8399999999999</v>
      </c>
      <c r="C534" s="711"/>
      <c r="D534" s="803"/>
    </row>
    <row r="535" spans="1:4" ht="14.5" thickBot="1">
      <c r="A535" s="722">
        <v>45667</v>
      </c>
      <c r="B535" s="1037">
        <v>1310.84</v>
      </c>
      <c r="C535" s="711"/>
      <c r="D535" s="803"/>
    </row>
    <row r="536" spans="1:4" ht="14.5" thickBot="1">
      <c r="A536" s="722">
        <v>45668</v>
      </c>
      <c r="B536" s="1037">
        <v>1311.85</v>
      </c>
      <c r="C536" s="711"/>
      <c r="D536" s="803"/>
    </row>
    <row r="537" spans="1:4" ht="14.5" thickBot="1">
      <c r="A537" s="722">
        <v>45669</v>
      </c>
      <c r="B537" s="1037">
        <v>1311.85</v>
      </c>
      <c r="C537" s="711"/>
      <c r="D537" s="803"/>
    </row>
    <row r="538" spans="1:4" ht="14.5" thickBot="1">
      <c r="A538" s="722">
        <v>45670</v>
      </c>
      <c r="B538" s="1037">
        <v>1311.85</v>
      </c>
      <c r="C538" s="711"/>
      <c r="D538" s="803"/>
    </row>
    <row r="539" spans="1:4" ht="14.5" thickBot="1">
      <c r="A539" s="722">
        <v>45671</v>
      </c>
      <c r="B539" s="1037">
        <v>1314.86</v>
      </c>
      <c r="C539" s="711"/>
    </row>
    <row r="540" spans="1:4" ht="14.5" thickBot="1">
      <c r="A540" s="722">
        <v>45672</v>
      </c>
      <c r="B540" s="1037">
        <v>1315.87</v>
      </c>
      <c r="C540" s="1012"/>
      <c r="D540" s="161">
        <f>+TablaUVA[[#This Row],[Valor]]/B509-1</f>
        <v>2.503641731516737E-2</v>
      </c>
    </row>
    <row r="541" spans="1:4" ht="14.5" thickBot="1">
      <c r="A541" s="1010">
        <v>45673</v>
      </c>
      <c r="B541" s="1011">
        <v>1316.87</v>
      </c>
      <c r="C541" s="1012"/>
      <c r="D541" s="443">
        <f>+I17</f>
        <v>0.03</v>
      </c>
    </row>
    <row r="542" spans="1:4" ht="14.5" thickBot="1">
      <c r="A542" s="1010">
        <v>45674</v>
      </c>
      <c r="B542" s="1011">
        <v>1318.01</v>
      </c>
      <c r="C542" s="1012"/>
    </row>
    <row r="543" spans="1:4" ht="14.5" thickBot="1">
      <c r="A543" s="1010">
        <v>45675</v>
      </c>
      <c r="B543" s="1011">
        <v>1319.14</v>
      </c>
      <c r="C543" s="1012"/>
    </row>
    <row r="544" spans="1:4" ht="14.5" thickBot="1">
      <c r="A544" s="1010">
        <v>45676</v>
      </c>
      <c r="B544" s="1011">
        <v>1319.14</v>
      </c>
      <c r="C544" s="1012"/>
    </row>
    <row r="545" spans="1:3" ht="14.5" thickBot="1">
      <c r="A545" s="1010">
        <v>45677</v>
      </c>
      <c r="B545" s="1011">
        <v>1319.14</v>
      </c>
      <c r="C545" s="1012"/>
    </row>
    <row r="546" spans="1:3" ht="14.5" thickBot="1">
      <c r="A546" s="1010">
        <v>45678</v>
      </c>
      <c r="B546" s="1011">
        <v>1322.54</v>
      </c>
      <c r="C546" s="1012"/>
    </row>
    <row r="547" spans="1:3" ht="14.5" thickBot="1">
      <c r="A547" s="1010">
        <v>45679</v>
      </c>
      <c r="B547" s="1011">
        <v>1323.68</v>
      </c>
      <c r="C547" s="1012"/>
    </row>
    <row r="548" spans="1:3" ht="14.5" thickBot="1">
      <c r="A548" s="1010">
        <v>45680</v>
      </c>
      <c r="B548" s="1011">
        <v>1324.82</v>
      </c>
      <c r="C548" s="1012"/>
    </row>
    <row r="549" spans="1:3" ht="14.5" thickBot="1">
      <c r="A549" s="1010">
        <v>45681</v>
      </c>
      <c r="B549" s="1011">
        <v>1325.96</v>
      </c>
      <c r="C549" s="1012"/>
    </row>
    <row r="550" spans="1:3" ht="14.5" thickBot="1">
      <c r="A550" s="1010">
        <v>45682</v>
      </c>
      <c r="B550" s="1011">
        <v>1327.1</v>
      </c>
      <c r="C550" s="1012"/>
    </row>
    <row r="551" spans="1:3" ht="14.5" thickBot="1">
      <c r="A551" s="1010">
        <v>45683</v>
      </c>
      <c r="B551" s="1011">
        <v>1327.1</v>
      </c>
      <c r="C551" s="1012"/>
    </row>
    <row r="552" spans="1:3" ht="14.5" thickBot="1">
      <c r="A552" s="1010">
        <v>45684</v>
      </c>
      <c r="B552" s="1011">
        <v>1327.1</v>
      </c>
      <c r="C552" s="1012"/>
    </row>
    <row r="553" spans="1:3" ht="14.5" thickBot="1">
      <c r="A553" s="1010">
        <v>45685</v>
      </c>
      <c r="B553" s="1011">
        <v>1330.52</v>
      </c>
      <c r="C553" s="1012"/>
    </row>
    <row r="554" spans="1:3" ht="14.5" thickBot="1">
      <c r="A554" s="1010">
        <v>45686</v>
      </c>
      <c r="B554" s="1011">
        <v>1331.67</v>
      </c>
      <c r="C554" s="1012"/>
    </row>
    <row r="555" spans="1:3" ht="14.5" thickBot="1">
      <c r="A555" s="1010">
        <v>45687</v>
      </c>
      <c r="B555" s="1011">
        <v>1332.81</v>
      </c>
      <c r="C555" s="1012"/>
    </row>
    <row r="556" spans="1:3" ht="14.5" thickBot="1">
      <c r="A556" s="1010">
        <v>45688</v>
      </c>
      <c r="B556" s="1011">
        <v>1333.96</v>
      </c>
      <c r="C556" s="1012"/>
    </row>
    <row r="557" spans="1:3" ht="14.5" thickBot="1">
      <c r="A557" s="1010">
        <v>45689</v>
      </c>
      <c r="B557" s="1011">
        <v>1335.11</v>
      </c>
      <c r="C557" s="1012"/>
    </row>
    <row r="558" spans="1:3" ht="14.5" thickBot="1">
      <c r="A558" s="1010">
        <v>45690</v>
      </c>
      <c r="B558" s="1011">
        <v>1335.11</v>
      </c>
      <c r="C558" s="1012"/>
    </row>
    <row r="559" spans="1:3" ht="14.5" thickBot="1">
      <c r="A559" s="1010">
        <v>45691</v>
      </c>
      <c r="B559" s="1011">
        <v>1335.11</v>
      </c>
      <c r="C559" s="1012"/>
    </row>
    <row r="560" spans="1:3" ht="14.5" thickBot="1">
      <c r="A560" s="1010">
        <v>45692</v>
      </c>
      <c r="B560" s="1011">
        <v>1338.55</v>
      </c>
      <c r="C560" s="1012"/>
    </row>
    <row r="561" spans="1:4" ht="14.5" thickBot="1">
      <c r="A561" s="1010">
        <v>45693</v>
      </c>
      <c r="B561" s="1011">
        <v>1339.7</v>
      </c>
      <c r="C561" s="1012"/>
    </row>
    <row r="562" spans="1:4" ht="14.5" thickBot="1">
      <c r="A562" s="1010">
        <v>45694</v>
      </c>
      <c r="B562" s="1011">
        <v>1340.86</v>
      </c>
      <c r="C562" s="1012"/>
    </row>
    <row r="563" spans="1:4" ht="14.5" thickBot="1">
      <c r="A563" s="1010">
        <v>45695</v>
      </c>
      <c r="B563" s="1011">
        <v>1342.01</v>
      </c>
      <c r="C563" s="1012"/>
    </row>
    <row r="564" spans="1:4" ht="14.5" thickBot="1">
      <c r="A564" s="1010">
        <v>45696</v>
      </c>
      <c r="B564" s="1011">
        <v>1343.16</v>
      </c>
      <c r="C564" s="1012"/>
    </row>
    <row r="565" spans="1:4" ht="14.5" thickBot="1">
      <c r="A565" s="1010">
        <v>45697</v>
      </c>
      <c r="B565" s="1011">
        <v>1343.16</v>
      </c>
      <c r="C565" s="1012"/>
    </row>
    <row r="566" spans="1:4" ht="14.5" thickBot="1">
      <c r="A566" s="1010">
        <v>45698</v>
      </c>
      <c r="B566" s="1011">
        <v>1343.16</v>
      </c>
      <c r="C566" s="1012"/>
    </row>
    <row r="567" spans="1:4" ht="14.5" thickBot="1">
      <c r="A567" s="1010">
        <v>45699</v>
      </c>
      <c r="B567" s="1011">
        <v>1346.63</v>
      </c>
      <c r="C567" s="1012"/>
    </row>
    <row r="568" spans="1:4" ht="14.5" thickBot="1">
      <c r="A568" s="1010">
        <v>45700</v>
      </c>
      <c r="B568" s="1011">
        <v>1347.79</v>
      </c>
      <c r="C568" s="1012"/>
    </row>
    <row r="569" spans="1:4" ht="14.5" thickBot="1">
      <c r="A569" s="1010">
        <v>45701</v>
      </c>
      <c r="B569" s="1011">
        <v>1348.95</v>
      </c>
      <c r="C569" s="1012"/>
    </row>
    <row r="570" spans="1:4" ht="14.5" thickBot="1">
      <c r="A570" s="1010">
        <v>45702</v>
      </c>
      <c r="B570" s="1011">
        <v>1350.11</v>
      </c>
      <c r="C570" s="1012"/>
    </row>
    <row r="571" spans="1:4" ht="14.5" thickBot="1">
      <c r="A571" s="1010">
        <v>45703</v>
      </c>
      <c r="B571" s="1011">
        <v>1351.27</v>
      </c>
      <c r="C571" s="1012"/>
      <c r="D571" s="161">
        <f>+TablaUVA[[#This Row],[Valor]]/B540-1</f>
        <v>2.6902353575961158E-2</v>
      </c>
    </row>
    <row r="572" spans="1:4" ht="14.5" thickBot="1">
      <c r="A572" s="804">
        <v>45704</v>
      </c>
      <c r="B572" s="805">
        <v>1351.27</v>
      </c>
      <c r="C572" s="377"/>
      <c r="D572" s="10">
        <f>+M23</f>
        <v>2.1999999999999999E-2</v>
      </c>
    </row>
    <row r="573" spans="1:4" ht="14.5" thickBot="1">
      <c r="A573" s="804">
        <v>45705</v>
      </c>
      <c r="B573" s="805">
        <v>1351.27</v>
      </c>
      <c r="C573" s="377"/>
    </row>
    <row r="574" spans="1:4" ht="14.5" thickBot="1">
      <c r="A574" s="804">
        <v>45706</v>
      </c>
      <c r="B574" s="805">
        <v>1354.53</v>
      </c>
      <c r="C574" s="377"/>
    </row>
    <row r="575" spans="1:4" ht="14.5" thickBot="1">
      <c r="A575" s="804">
        <v>45707</v>
      </c>
      <c r="B575" s="805">
        <v>1355.59</v>
      </c>
      <c r="C575" s="377"/>
    </row>
    <row r="576" spans="1:4" ht="14.5" thickBot="1">
      <c r="A576" s="804">
        <v>45708</v>
      </c>
      <c r="B576" s="805">
        <v>1356.64</v>
      </c>
      <c r="C576" s="377"/>
    </row>
    <row r="577" spans="1:3" ht="14.5" thickBot="1">
      <c r="A577" s="804">
        <v>45709</v>
      </c>
      <c r="B577" s="805">
        <v>1357.69</v>
      </c>
      <c r="C577" s="377"/>
    </row>
    <row r="578" spans="1:3" ht="14.5" thickBot="1">
      <c r="A578" s="804">
        <v>45710</v>
      </c>
      <c r="B578" s="805">
        <v>1358.75</v>
      </c>
      <c r="C578" s="377"/>
    </row>
    <row r="579" spans="1:3" ht="14.5" thickBot="1">
      <c r="A579" s="804">
        <v>45711</v>
      </c>
      <c r="B579" s="805">
        <v>1358.75</v>
      </c>
      <c r="C579" s="377"/>
    </row>
    <row r="580" spans="1:3" ht="14.5" thickBot="1">
      <c r="A580" s="804">
        <v>45712</v>
      </c>
      <c r="B580" s="805">
        <v>1358.75</v>
      </c>
      <c r="C580" s="377"/>
    </row>
    <row r="581" spans="1:3" ht="14.5" thickBot="1">
      <c r="A581" s="804">
        <v>45713</v>
      </c>
      <c r="B581" s="805">
        <v>1361.92</v>
      </c>
      <c r="C581" s="377"/>
    </row>
    <row r="582" spans="1:3" ht="14.5" thickBot="1">
      <c r="A582" s="804">
        <v>45714</v>
      </c>
      <c r="B582" s="805">
        <v>1362.98</v>
      </c>
      <c r="C582" s="377"/>
    </row>
    <row r="583" spans="1:3" ht="14.5" thickBot="1">
      <c r="A583" s="804">
        <v>45715</v>
      </c>
      <c r="B583" s="805">
        <v>1364.04</v>
      </c>
      <c r="C583" s="377"/>
    </row>
    <row r="584" spans="1:3" ht="14.5" thickBot="1">
      <c r="A584" s="804">
        <v>45716</v>
      </c>
      <c r="B584" s="805">
        <v>1365.1</v>
      </c>
      <c r="C584" s="377"/>
    </row>
    <row r="585" spans="1:3" ht="14.5" thickBot="1">
      <c r="A585" s="804">
        <v>45717</v>
      </c>
      <c r="B585" s="805">
        <v>1366.16</v>
      </c>
      <c r="C585" s="377"/>
    </row>
    <row r="586" spans="1:3" ht="14.5" thickBot="1">
      <c r="A586" s="804">
        <v>45718</v>
      </c>
      <c r="B586" s="805">
        <v>1366.16</v>
      </c>
      <c r="C586" s="377"/>
    </row>
    <row r="587" spans="1:3" ht="14.5" thickBot="1">
      <c r="A587" s="804">
        <v>45719</v>
      </c>
      <c r="B587" s="805">
        <v>1366.16</v>
      </c>
      <c r="C587" s="377"/>
    </row>
    <row r="588" spans="1:3" ht="14.5" thickBot="1">
      <c r="A588" s="804">
        <v>45720</v>
      </c>
      <c r="B588" s="805">
        <v>1366.16</v>
      </c>
      <c r="C588" s="377"/>
    </row>
    <row r="589" spans="1:3" ht="14.5" thickBot="1">
      <c r="A589" s="804">
        <v>45721</v>
      </c>
      <c r="B589" s="805">
        <v>1366.16</v>
      </c>
      <c r="C589" s="377"/>
    </row>
    <row r="590" spans="1:3" ht="14.5" thickBot="1">
      <c r="A590" s="804">
        <v>45722</v>
      </c>
      <c r="B590" s="805">
        <v>1371.48</v>
      </c>
      <c r="C590" s="377"/>
    </row>
    <row r="591" spans="1:3" ht="14.5" thickBot="1">
      <c r="A591" s="804">
        <v>45723</v>
      </c>
      <c r="B591" s="805">
        <v>1372.55</v>
      </c>
      <c r="C591" s="377"/>
    </row>
    <row r="592" spans="1:3" ht="14.5" thickBot="1">
      <c r="A592" s="804">
        <v>45724</v>
      </c>
      <c r="B592" s="805">
        <v>1373.61</v>
      </c>
      <c r="C592" s="377"/>
    </row>
    <row r="593" spans="1:4" ht="14.5" thickBot="1">
      <c r="A593" s="804">
        <v>45725</v>
      </c>
      <c r="B593" s="805">
        <v>1373.61</v>
      </c>
      <c r="C593" s="377"/>
    </row>
    <row r="594" spans="1:4" ht="14.5" thickBot="1">
      <c r="A594" s="804">
        <v>45726</v>
      </c>
      <c r="B594" s="805">
        <v>1373.61</v>
      </c>
      <c r="C594" s="377"/>
    </row>
    <row r="595" spans="1:4" ht="14.5" thickBot="1">
      <c r="A595" s="804">
        <v>45727</v>
      </c>
      <c r="B595" s="805">
        <v>1376.82</v>
      </c>
      <c r="C595" s="377"/>
    </row>
    <row r="596" spans="1:4" ht="14.5" thickBot="1">
      <c r="A596" s="804">
        <v>45728</v>
      </c>
      <c r="B596" s="805">
        <v>1377.89</v>
      </c>
      <c r="C596" s="377"/>
    </row>
    <row r="597" spans="1:4" ht="14.5" thickBot="1">
      <c r="A597" s="804">
        <v>45729</v>
      </c>
      <c r="B597" s="805">
        <v>1378.96</v>
      </c>
      <c r="C597" s="377"/>
    </row>
    <row r="598" spans="1:4" ht="14.5" thickBot="1">
      <c r="A598" s="804">
        <v>45730</v>
      </c>
      <c r="B598" s="805">
        <v>1380.03</v>
      </c>
      <c r="C598" s="377"/>
    </row>
    <row r="599" spans="1:4" ht="14.5" thickBot="1">
      <c r="A599" s="804">
        <v>45731</v>
      </c>
      <c r="B599" s="805">
        <v>1381.11</v>
      </c>
      <c r="C599" s="377"/>
      <c r="D599" s="161">
        <f>+TablaUVA[[#This Row],[Valor]]/B572-1</f>
        <v>2.208292939234946E-2</v>
      </c>
    </row>
    <row r="600" spans="1:4" ht="14.5" thickBot="1">
      <c r="A600" s="1013">
        <v>45732</v>
      </c>
      <c r="B600" s="1014">
        <v>1381.11</v>
      </c>
      <c r="C600" s="1015"/>
      <c r="D600" s="10">
        <f>+M24</f>
        <v>2.4E-2</v>
      </c>
    </row>
    <row r="601" spans="1:4" ht="14.5" thickBot="1">
      <c r="A601" s="1013">
        <v>45733</v>
      </c>
      <c r="B601" s="1014">
        <v>1381.11</v>
      </c>
      <c r="C601" s="1015"/>
    </row>
    <row r="602" spans="1:4" ht="14.5" thickBot="1">
      <c r="A602" s="1013">
        <v>45734</v>
      </c>
      <c r="B602" s="1014">
        <v>1384.3</v>
      </c>
      <c r="C602" s="1015"/>
    </row>
    <row r="603" spans="1:4" ht="14.5" thickBot="1">
      <c r="A603" s="1013">
        <v>45735</v>
      </c>
      <c r="B603" s="1014">
        <v>1385.36</v>
      </c>
      <c r="C603" s="1015"/>
    </row>
    <row r="604" spans="1:4" ht="14.5" thickBot="1">
      <c r="A604" s="1013">
        <v>45736</v>
      </c>
      <c r="B604" s="1014">
        <v>1386.42</v>
      </c>
      <c r="C604" s="1015"/>
    </row>
    <row r="605" spans="1:4" ht="14.5" thickBot="1">
      <c r="A605" s="1013">
        <v>45737</v>
      </c>
      <c r="B605" s="1014">
        <v>1387.48</v>
      </c>
      <c r="C605" s="1015"/>
    </row>
    <row r="606" spans="1:4" ht="14.5" thickBot="1">
      <c r="A606" s="1013">
        <v>45738</v>
      </c>
      <c r="B606" s="1014">
        <v>1388.54</v>
      </c>
      <c r="C606" s="1015"/>
    </row>
    <row r="607" spans="1:4" ht="14.5" thickBot="1">
      <c r="A607" s="1013">
        <v>45739</v>
      </c>
      <c r="B607" s="1014">
        <v>1388.54</v>
      </c>
      <c r="C607" s="1015"/>
    </row>
    <row r="608" spans="1:4" ht="14.5" thickBot="1">
      <c r="A608" s="1013">
        <v>45740</v>
      </c>
      <c r="B608" s="1014">
        <v>1388.54</v>
      </c>
      <c r="C608" s="1015"/>
    </row>
    <row r="609" spans="1:8" ht="14.5" thickBot="1">
      <c r="A609" s="1013">
        <v>45741</v>
      </c>
      <c r="B609" s="1014">
        <v>1388.54</v>
      </c>
      <c r="C609" s="1015"/>
    </row>
    <row r="610" spans="1:8" ht="14.5" thickBot="1">
      <c r="A610" s="1013">
        <v>45742</v>
      </c>
      <c r="B610" s="1014">
        <v>1392.8</v>
      </c>
      <c r="C610" s="1015"/>
    </row>
    <row r="611" spans="1:8" ht="14.5" thickBot="1">
      <c r="A611" s="1013">
        <v>45743</v>
      </c>
      <c r="B611" s="1014">
        <v>1393.86</v>
      </c>
      <c r="C611" s="1015"/>
    </row>
    <row r="612" spans="1:8" ht="14.5" thickBot="1">
      <c r="A612" s="1013">
        <v>45744</v>
      </c>
      <c r="B612" s="1014">
        <v>1394.93</v>
      </c>
      <c r="C612" s="1015"/>
    </row>
    <row r="613" spans="1:8" ht="14.5" thickBot="1">
      <c r="A613" s="1013">
        <v>45745</v>
      </c>
      <c r="B613" s="1014">
        <v>1396</v>
      </c>
      <c r="C613" s="1015"/>
    </row>
    <row r="614" spans="1:8" ht="14.5" thickBot="1">
      <c r="A614" s="1013">
        <v>45746</v>
      </c>
      <c r="B614" s="1014">
        <v>1396</v>
      </c>
      <c r="C614" s="1015"/>
    </row>
    <row r="615" spans="1:8" ht="14.5" thickBot="1">
      <c r="A615" s="1013">
        <v>45747</v>
      </c>
      <c r="B615" s="1014">
        <v>1396</v>
      </c>
      <c r="C615" s="1015"/>
    </row>
    <row r="616" spans="1:8" ht="14.5" thickBot="1">
      <c r="A616" s="1013">
        <v>45748</v>
      </c>
      <c r="B616" s="1014">
        <v>1399.2</v>
      </c>
      <c r="C616" s="1015"/>
      <c r="G616" s="825">
        <v>45748</v>
      </c>
      <c r="H616" s="828">
        <v>1399.2</v>
      </c>
    </row>
    <row r="617" spans="1:8" ht="14.5" thickBot="1">
      <c r="A617" s="1013">
        <v>45749</v>
      </c>
      <c r="B617" s="1014">
        <v>1400.28</v>
      </c>
      <c r="C617" s="1015"/>
      <c r="G617" s="825">
        <v>45749</v>
      </c>
      <c r="H617" s="828">
        <v>1400.28</v>
      </c>
    </row>
    <row r="618" spans="1:8" ht="14.5" thickBot="1">
      <c r="A618" s="1013">
        <v>45750</v>
      </c>
      <c r="B618" s="1014">
        <v>1400.28</v>
      </c>
      <c r="C618" s="1015"/>
      <c r="G618" s="825">
        <v>45750</v>
      </c>
      <c r="H618" s="828">
        <v>1400.28</v>
      </c>
    </row>
    <row r="619" spans="1:8" ht="14.5" thickBot="1">
      <c r="A619" s="1013">
        <v>45751</v>
      </c>
      <c r="B619" s="1014">
        <v>1402.42</v>
      </c>
      <c r="C619" s="1015"/>
      <c r="G619" s="825">
        <v>45751</v>
      </c>
      <c r="H619" s="828">
        <v>1402.42</v>
      </c>
    </row>
    <row r="620" spans="1:8" ht="14.5" thickBot="1">
      <c r="A620" s="1013">
        <v>45752</v>
      </c>
      <c r="B620" s="1014">
        <v>1403.49</v>
      </c>
      <c r="C620" s="1015"/>
      <c r="G620" s="825">
        <v>45752</v>
      </c>
      <c r="H620" s="828">
        <v>1403.49</v>
      </c>
    </row>
    <row r="621" spans="1:8" ht="14.5" thickBot="1">
      <c r="A621" s="1013">
        <v>45753</v>
      </c>
      <c r="B621" s="1014">
        <v>1403.49</v>
      </c>
      <c r="C621" s="1015"/>
      <c r="G621" s="825">
        <v>45753</v>
      </c>
      <c r="H621" s="828">
        <v>1403.49</v>
      </c>
    </row>
    <row r="622" spans="1:8" ht="14.5" thickBot="1">
      <c r="A622" s="1013">
        <v>45754</v>
      </c>
      <c r="B622" s="1014">
        <v>1403.49</v>
      </c>
      <c r="C622" s="1015"/>
      <c r="G622" s="825">
        <v>45754</v>
      </c>
      <c r="H622" s="828">
        <v>1403.49</v>
      </c>
    </row>
    <row r="623" spans="1:8" ht="14.5" thickBot="1">
      <c r="A623" s="1013">
        <v>45755</v>
      </c>
      <c r="B623" s="1014">
        <v>1406.72</v>
      </c>
      <c r="C623" s="1015"/>
      <c r="G623" s="825">
        <v>45755</v>
      </c>
      <c r="H623" s="828">
        <v>1406.72</v>
      </c>
    </row>
    <row r="624" spans="1:8" ht="14.5" thickBot="1">
      <c r="A624" s="1013">
        <v>45756</v>
      </c>
      <c r="B624" s="1014">
        <v>1407.79</v>
      </c>
      <c r="C624" s="1015"/>
      <c r="G624" s="825">
        <v>45756</v>
      </c>
      <c r="H624" s="828">
        <v>1407.79</v>
      </c>
    </row>
    <row r="625" spans="1:8" ht="14.5" thickBot="1">
      <c r="A625" s="1013">
        <v>45757</v>
      </c>
      <c r="B625" s="1014">
        <v>1408.87</v>
      </c>
      <c r="C625" s="1015"/>
      <c r="G625" s="825">
        <v>45757</v>
      </c>
      <c r="H625" s="828">
        <v>1408.87</v>
      </c>
    </row>
    <row r="626" spans="1:8" ht="14.5" thickBot="1">
      <c r="A626" s="1013">
        <v>45758</v>
      </c>
      <c r="B626" s="1014">
        <v>1409.95</v>
      </c>
      <c r="C626" s="1015"/>
      <c r="G626" s="825">
        <v>45758</v>
      </c>
      <c r="H626" s="828">
        <v>1409.95</v>
      </c>
    </row>
    <row r="627" spans="1:8" ht="14.5" thickBot="1">
      <c r="A627" s="1013">
        <v>45759</v>
      </c>
      <c r="B627" s="1014">
        <v>1411.03</v>
      </c>
      <c r="C627" s="1015"/>
      <c r="G627" s="825">
        <v>45759</v>
      </c>
      <c r="H627" s="828">
        <v>1411.03</v>
      </c>
    </row>
    <row r="628" spans="1:8" ht="14.5" thickBot="1">
      <c r="A628" s="1013">
        <v>45760</v>
      </c>
      <c r="B628" s="1014">
        <v>1411.03</v>
      </c>
      <c r="C628" s="1015"/>
      <c r="G628" s="825">
        <v>45760</v>
      </c>
      <c r="H628" s="828">
        <v>1411.03</v>
      </c>
    </row>
    <row r="629" spans="1:8" ht="14.5" thickBot="1">
      <c r="A629" s="1013">
        <v>45761</v>
      </c>
      <c r="B629" s="1014">
        <v>1411.03</v>
      </c>
      <c r="C629" s="1015"/>
      <c r="G629" s="825">
        <v>45761</v>
      </c>
      <c r="H629" s="828">
        <v>1411.03</v>
      </c>
    </row>
    <row r="630" spans="1:8" ht="14.5" thickBot="1">
      <c r="A630" s="1013">
        <v>45762</v>
      </c>
      <c r="B630" s="1014">
        <v>1414.27</v>
      </c>
      <c r="C630" s="1015"/>
      <c r="D630" s="161">
        <f>+TablaUVA[[#This Row],[Valor]]/B600-1</f>
        <v>2.4009673378659224E-2</v>
      </c>
      <c r="G630" s="825">
        <v>45762</v>
      </c>
      <c r="H630" s="828">
        <v>1414.27</v>
      </c>
    </row>
    <row r="631" spans="1:8" ht="14.5" thickBot="1">
      <c r="A631" s="1102">
        <v>45763</v>
      </c>
      <c r="B631" s="1103">
        <v>1415.35</v>
      </c>
      <c r="C631" s="665"/>
      <c r="D631" s="10">
        <f>+M25</f>
        <v>3.6999999999999998E-2</v>
      </c>
      <c r="G631" s="825">
        <v>45763</v>
      </c>
      <c r="H631" s="828">
        <v>1415.35</v>
      </c>
    </row>
    <row r="632" spans="1:8" ht="14.5" thickBot="1">
      <c r="A632" s="1102">
        <v>45764</v>
      </c>
      <c r="B632" s="1103">
        <v>1417.07</v>
      </c>
      <c r="C632" s="665"/>
      <c r="G632" s="825">
        <v>45764</v>
      </c>
      <c r="H632" s="828">
        <v>1417.07</v>
      </c>
    </row>
    <row r="633" spans="1:8" ht="14.5" thickBot="1">
      <c r="A633" s="1102">
        <v>45765</v>
      </c>
      <c r="B633" s="1103">
        <v>1417.07</v>
      </c>
      <c r="C633" s="665"/>
      <c r="G633" s="825">
        <v>45765</v>
      </c>
      <c r="H633" s="828">
        <v>1417.07</v>
      </c>
    </row>
    <row r="634" spans="1:8" ht="14.5" thickBot="1">
      <c r="A634" s="1102">
        <v>45766</v>
      </c>
      <c r="B634" s="1103">
        <v>1417.07</v>
      </c>
      <c r="C634" s="665"/>
      <c r="G634" s="825">
        <v>45766</v>
      </c>
      <c r="H634" s="828">
        <v>1417.07</v>
      </c>
    </row>
    <row r="635" spans="1:8" ht="14.5" thickBot="1">
      <c r="A635" s="1102">
        <v>45767</v>
      </c>
      <c r="B635" s="1103">
        <v>1417.07</v>
      </c>
      <c r="C635" s="665"/>
      <c r="G635" s="825">
        <v>45767</v>
      </c>
      <c r="H635" s="828">
        <v>1417.07</v>
      </c>
    </row>
    <row r="636" spans="1:8" ht="14.5" thickBot="1">
      <c r="A636" s="1102">
        <v>45768</v>
      </c>
      <c r="B636" s="1103">
        <v>1417.07</v>
      </c>
      <c r="C636" s="665"/>
      <c r="G636" s="825">
        <v>45768</v>
      </c>
      <c r="H636" s="828">
        <v>1417.07</v>
      </c>
    </row>
    <row r="637" spans="1:8" ht="14.5" thickBot="1">
      <c r="A637" s="1102">
        <v>45769</v>
      </c>
      <c r="B637" s="1103">
        <v>1425.68</v>
      </c>
      <c r="C637" s="665"/>
      <c r="G637" s="825">
        <v>45769</v>
      </c>
      <c r="H637" s="828">
        <v>1425.68</v>
      </c>
    </row>
    <row r="638" spans="1:8" ht="14.5" thickBot="1">
      <c r="A638" s="1102">
        <v>45770</v>
      </c>
      <c r="B638" s="1103">
        <v>1427.4</v>
      </c>
      <c r="C638" s="665"/>
      <c r="G638" s="825">
        <v>45770</v>
      </c>
      <c r="H638" s="828">
        <v>1427.4</v>
      </c>
    </row>
    <row r="639" spans="1:8" ht="14.5" thickBot="1">
      <c r="A639" s="1102">
        <v>45771</v>
      </c>
      <c r="B639" s="1103">
        <v>1429.13</v>
      </c>
      <c r="C639" s="665"/>
      <c r="G639" s="825">
        <v>45771</v>
      </c>
      <c r="H639" s="828">
        <v>1429.13</v>
      </c>
    </row>
    <row r="640" spans="1:8" ht="14.5" thickBot="1">
      <c r="A640" s="1102">
        <v>45772</v>
      </c>
      <c r="B640" s="1103">
        <v>1430.87</v>
      </c>
      <c r="C640" s="665"/>
      <c r="G640" s="825">
        <v>45772</v>
      </c>
      <c r="H640" s="828">
        <v>1430.87</v>
      </c>
    </row>
    <row r="641" spans="1:8" ht="14.5" thickBot="1">
      <c r="A641" s="1102">
        <v>45773</v>
      </c>
      <c r="B641" s="1103">
        <v>1432.6</v>
      </c>
      <c r="C641" s="665"/>
      <c r="G641" s="825">
        <v>45773</v>
      </c>
      <c r="H641" s="828">
        <v>1432.6</v>
      </c>
    </row>
    <row r="642" spans="1:8" ht="14.5" thickBot="1">
      <c r="A642" s="1102">
        <v>45774</v>
      </c>
      <c r="B642" s="1103">
        <v>1432.6</v>
      </c>
      <c r="C642" s="665"/>
      <c r="G642" s="825">
        <v>45774</v>
      </c>
      <c r="H642" s="828">
        <v>1432.6</v>
      </c>
    </row>
    <row r="643" spans="1:8" ht="14.5" thickBot="1">
      <c r="A643" s="1102">
        <v>45775</v>
      </c>
      <c r="B643" s="1103">
        <v>1432.6</v>
      </c>
      <c r="C643" s="665"/>
      <c r="G643" s="825">
        <v>45775</v>
      </c>
      <c r="H643" s="828">
        <v>1432.6</v>
      </c>
    </row>
    <row r="644" spans="1:8" ht="14.5" thickBot="1">
      <c r="A644" s="1102">
        <v>45776</v>
      </c>
      <c r="B644" s="1103">
        <v>1437.81</v>
      </c>
      <c r="C644" s="665"/>
      <c r="G644" s="825">
        <v>45776</v>
      </c>
      <c r="H644" s="828">
        <v>1437.81</v>
      </c>
    </row>
    <row r="645" spans="1:8" ht="14.5" thickBot="1">
      <c r="A645" s="1102">
        <v>45777</v>
      </c>
      <c r="B645" s="1103">
        <v>1439.56</v>
      </c>
      <c r="C645" s="665"/>
      <c r="G645" s="825">
        <v>45777</v>
      </c>
      <c r="H645" s="828">
        <v>1439.56</v>
      </c>
    </row>
    <row r="646" spans="1:8" ht="14.5" thickBot="1">
      <c r="A646" s="1102">
        <v>45778</v>
      </c>
      <c r="B646" s="1103">
        <v>1441.3</v>
      </c>
      <c r="C646" s="665"/>
      <c r="G646" s="825">
        <v>45778</v>
      </c>
      <c r="H646" s="828">
        <v>1441.3</v>
      </c>
    </row>
    <row r="647" spans="1:8" ht="14.5" thickBot="1">
      <c r="A647" s="1102">
        <v>45779</v>
      </c>
      <c r="B647" s="1103">
        <v>1441.3</v>
      </c>
      <c r="C647" s="665"/>
      <c r="G647" s="825">
        <v>45779</v>
      </c>
      <c r="H647" s="828">
        <v>1441.3</v>
      </c>
    </row>
    <row r="648" spans="1:8" ht="14.5" thickBot="1">
      <c r="A648" s="1102">
        <v>45780</v>
      </c>
      <c r="B648" s="1103">
        <v>1441.3</v>
      </c>
      <c r="C648" s="665"/>
      <c r="G648" s="825">
        <v>45780</v>
      </c>
      <c r="H648" s="828">
        <v>1441.3</v>
      </c>
    </row>
    <row r="649" spans="1:8" ht="14.5" thickBot="1">
      <c r="A649" s="1102">
        <v>45781</v>
      </c>
      <c r="B649" s="1103">
        <v>1441.3</v>
      </c>
      <c r="C649" s="665"/>
      <c r="G649" s="825">
        <v>45781</v>
      </c>
      <c r="H649" s="828">
        <v>1441.3</v>
      </c>
    </row>
    <row r="650" spans="1:8" ht="14.5" thickBot="1">
      <c r="A650" s="1102">
        <v>45782</v>
      </c>
      <c r="B650" s="1103">
        <v>1441.3</v>
      </c>
      <c r="C650" s="665"/>
      <c r="G650" s="825">
        <v>45782</v>
      </c>
      <c r="H650" s="828">
        <v>1441.3</v>
      </c>
    </row>
    <row r="651" spans="1:8" ht="14.5" thickBot="1">
      <c r="A651" s="1102">
        <v>45783</v>
      </c>
      <c r="B651" s="1103">
        <v>1450.05</v>
      </c>
      <c r="C651" s="665"/>
      <c r="G651" s="825">
        <v>45783</v>
      </c>
      <c r="H651" s="828">
        <v>1450.05</v>
      </c>
    </row>
    <row r="652" spans="1:8" ht="14.5" thickBot="1">
      <c r="A652" s="1102">
        <v>45784</v>
      </c>
      <c r="B652" s="1103">
        <v>1451.81</v>
      </c>
      <c r="C652" s="665"/>
      <c r="G652" s="825">
        <v>45784</v>
      </c>
      <c r="H652" s="828">
        <v>1451.81</v>
      </c>
    </row>
    <row r="653" spans="1:8" ht="14.5" thickBot="1">
      <c r="A653" s="1102">
        <v>45785</v>
      </c>
      <c r="B653" s="1103">
        <v>1453.57</v>
      </c>
      <c r="C653" s="665"/>
      <c r="G653" s="825">
        <v>45785</v>
      </c>
      <c r="H653" s="828">
        <v>1453.57</v>
      </c>
    </row>
    <row r="654" spans="1:8" ht="14.5" thickBot="1">
      <c r="A654" s="1102">
        <v>45786</v>
      </c>
      <c r="B654" s="1103">
        <v>1455.33</v>
      </c>
      <c r="C654" s="665"/>
      <c r="G654" s="825">
        <v>45786</v>
      </c>
      <c r="H654" s="828">
        <v>1455.33</v>
      </c>
    </row>
    <row r="655" spans="1:8" ht="14.5" thickBot="1">
      <c r="A655" s="1102">
        <v>45787</v>
      </c>
      <c r="B655" s="1103">
        <v>1457.1</v>
      </c>
      <c r="C655" s="665"/>
      <c r="G655" s="825">
        <v>45787</v>
      </c>
      <c r="H655" s="828">
        <v>1457.1</v>
      </c>
    </row>
    <row r="656" spans="1:8" ht="14.5" thickBot="1">
      <c r="A656" s="1102">
        <v>45788</v>
      </c>
      <c r="B656" s="1103">
        <v>1457.1</v>
      </c>
      <c r="C656" s="665"/>
      <c r="G656" s="825">
        <v>45788</v>
      </c>
      <c r="H656" s="828">
        <v>1457.1</v>
      </c>
    </row>
    <row r="657" spans="1:8" ht="14.5" thickBot="1">
      <c r="A657" s="1102">
        <v>45789</v>
      </c>
      <c r="B657" s="1103">
        <v>1457.1</v>
      </c>
      <c r="C657" s="665"/>
      <c r="G657" s="825">
        <v>45789</v>
      </c>
      <c r="H657" s="828">
        <v>1457.1</v>
      </c>
    </row>
    <row r="658" spans="1:8" ht="14.5" thickBot="1">
      <c r="A658" s="1102">
        <v>45790</v>
      </c>
      <c r="B658" s="1103">
        <v>1462.4</v>
      </c>
      <c r="C658" s="665"/>
      <c r="G658" s="825">
        <v>45790</v>
      </c>
      <c r="H658" s="828">
        <v>1462.4</v>
      </c>
    </row>
    <row r="659" spans="1:8" ht="14.5" thickBot="1">
      <c r="A659" s="1102">
        <v>45791</v>
      </c>
      <c r="B659" s="1103">
        <v>1464.17</v>
      </c>
      <c r="C659" s="665"/>
      <c r="G659" s="825">
        <v>45791</v>
      </c>
      <c r="H659" s="828">
        <v>1464.17</v>
      </c>
    </row>
    <row r="660" spans="1:8" ht="14.5" thickBot="1">
      <c r="A660" s="1102">
        <v>45792</v>
      </c>
      <c r="B660" s="1103">
        <v>1465.95</v>
      </c>
      <c r="C660" s="665"/>
      <c r="D660" s="161">
        <f>+TablaUVA[[#This Row],[Valor]]/B630-1</f>
        <v>3.6541820161638094E-2</v>
      </c>
      <c r="G660" s="825">
        <v>45792</v>
      </c>
      <c r="H660" s="828">
        <v>1465.95</v>
      </c>
    </row>
    <row r="661" spans="1:8" ht="14.5" thickBot="1">
      <c r="A661" s="709">
        <v>45793</v>
      </c>
      <c r="B661" s="710">
        <v>1467.72</v>
      </c>
      <c r="C661" s="711"/>
      <c r="D661" s="10">
        <f>+M26</f>
        <v>2.8000000000000001E-2</v>
      </c>
      <c r="G661" s="825">
        <v>45793</v>
      </c>
      <c r="H661" s="828">
        <v>1467.72</v>
      </c>
    </row>
    <row r="662" spans="1:8" ht="14.5" thickBot="1">
      <c r="A662" s="709">
        <v>45794</v>
      </c>
      <c r="B662" s="710">
        <v>1469.03</v>
      </c>
      <c r="C662" s="711"/>
      <c r="G662" s="825">
        <v>45794</v>
      </c>
      <c r="H662" s="828">
        <v>1469.03</v>
      </c>
    </row>
    <row r="663" spans="1:8" ht="14.5" thickBot="1">
      <c r="A663" s="709">
        <v>45795</v>
      </c>
      <c r="B663" s="710">
        <v>1469.03</v>
      </c>
      <c r="C663" s="711"/>
      <c r="G663" s="825">
        <v>45795</v>
      </c>
      <c r="H663" s="828">
        <v>1469.03</v>
      </c>
    </row>
    <row r="664" spans="1:8" ht="14.5" thickBot="1">
      <c r="A664" s="709">
        <v>45796</v>
      </c>
      <c r="B664" s="710">
        <v>1469.03</v>
      </c>
      <c r="C664" s="711"/>
      <c r="G664" s="825">
        <v>45796</v>
      </c>
      <c r="H664" s="828">
        <v>1469.03</v>
      </c>
    </row>
    <row r="665" spans="1:8" ht="14.5" thickBot="1">
      <c r="A665" s="709">
        <v>45797</v>
      </c>
      <c r="B665" s="710">
        <v>1472.96</v>
      </c>
      <c r="C665" s="711"/>
      <c r="G665" s="825">
        <v>45797</v>
      </c>
      <c r="H665" s="828">
        <v>1472.96</v>
      </c>
    </row>
    <row r="666" spans="1:8" ht="14.5" thickBot="1">
      <c r="A666" s="709">
        <v>45798</v>
      </c>
      <c r="B666" s="710">
        <v>1474.27</v>
      </c>
      <c r="C666" s="711"/>
      <c r="G666" s="825">
        <v>45798</v>
      </c>
      <c r="H666" s="828">
        <v>1474.27</v>
      </c>
    </row>
    <row r="667" spans="1:8" ht="14.5" thickBot="1">
      <c r="A667" s="709">
        <v>45799</v>
      </c>
      <c r="B667" s="710">
        <v>1475.59</v>
      </c>
      <c r="C667" s="711"/>
      <c r="G667" s="825">
        <v>45799</v>
      </c>
      <c r="H667" s="828">
        <v>1475.59</v>
      </c>
    </row>
    <row r="668" spans="1:8" ht="14.5" thickBot="1">
      <c r="A668" s="709">
        <v>45800</v>
      </c>
      <c r="B668" s="710">
        <v>1476.9</v>
      </c>
      <c r="C668" s="711"/>
      <c r="G668" s="825">
        <v>45800</v>
      </c>
      <c r="H668" s="828">
        <v>1476.9</v>
      </c>
    </row>
    <row r="669" spans="1:8" ht="14.5" thickBot="1">
      <c r="A669" s="709">
        <v>45801</v>
      </c>
      <c r="B669" s="710">
        <v>1478.22</v>
      </c>
      <c r="C669" s="711"/>
      <c r="G669" s="825">
        <v>45801</v>
      </c>
      <c r="H669" s="828">
        <v>1478.22</v>
      </c>
    </row>
    <row r="670" spans="1:8" ht="14.5" thickBot="1">
      <c r="A670" s="709">
        <v>45802</v>
      </c>
      <c r="B670" s="710">
        <v>1478.22</v>
      </c>
      <c r="C670" s="711"/>
      <c r="D670" s="161"/>
      <c r="G670" s="825">
        <v>45802</v>
      </c>
      <c r="H670" s="828">
        <v>1478.22</v>
      </c>
    </row>
    <row r="671" spans="1:8" ht="14.5" thickBot="1">
      <c r="A671" s="709">
        <v>45803</v>
      </c>
      <c r="B671" s="710">
        <v>1478.22</v>
      </c>
      <c r="C671" s="711"/>
      <c r="D671" s="10"/>
      <c r="G671" s="825">
        <v>45803</v>
      </c>
      <c r="H671" s="828">
        <v>1478.22</v>
      </c>
    </row>
    <row r="672" spans="1:8" ht="14.5" thickBot="1">
      <c r="A672" s="709">
        <v>45804</v>
      </c>
      <c r="B672" s="710">
        <v>1482.18</v>
      </c>
      <c r="C672" s="711"/>
      <c r="G672" s="825">
        <v>45804</v>
      </c>
      <c r="H672" s="828">
        <v>1482.18</v>
      </c>
    </row>
    <row r="673" spans="1:8" ht="14.5" thickBot="1">
      <c r="A673" s="709">
        <v>45805</v>
      </c>
      <c r="B673" s="710">
        <v>1483.5</v>
      </c>
      <c r="C673" s="711"/>
      <c r="G673" s="825">
        <v>45805</v>
      </c>
      <c r="H673" s="828">
        <v>1483.5</v>
      </c>
    </row>
    <row r="674" spans="1:8" ht="14.5" thickBot="1">
      <c r="A674" s="709">
        <v>45806</v>
      </c>
      <c r="B674" s="710">
        <v>1484.82</v>
      </c>
      <c r="C674" s="711"/>
      <c r="G674" s="825">
        <v>45806</v>
      </c>
      <c r="H674" s="828">
        <v>1484.82</v>
      </c>
    </row>
    <row r="675" spans="1:8" ht="14.5" thickBot="1">
      <c r="A675" s="709">
        <v>45807</v>
      </c>
      <c r="B675" s="710">
        <v>1486.14</v>
      </c>
      <c r="C675" s="711"/>
      <c r="G675" s="825">
        <v>45807</v>
      </c>
      <c r="H675" s="828">
        <v>1486.14</v>
      </c>
    </row>
    <row r="676" spans="1:8" ht="14.5" thickBot="1">
      <c r="A676" s="709">
        <v>45808</v>
      </c>
      <c r="B676" s="710">
        <v>1487.47</v>
      </c>
      <c r="C676" s="711"/>
      <c r="G676" s="825">
        <v>45808</v>
      </c>
      <c r="H676" s="828">
        <v>1487.47</v>
      </c>
    </row>
    <row r="677" spans="1:8" ht="14.5" thickBot="1">
      <c r="A677" s="709">
        <v>45809</v>
      </c>
      <c r="B677" s="710">
        <v>1487.47</v>
      </c>
      <c r="C677" s="711"/>
      <c r="G677" s="825">
        <v>45809</v>
      </c>
      <c r="H677" s="828">
        <v>1487.47</v>
      </c>
    </row>
    <row r="678" spans="1:8" ht="14.5" thickBot="1">
      <c r="A678" s="709">
        <v>45810</v>
      </c>
      <c r="B678" s="710">
        <v>1487.47</v>
      </c>
      <c r="C678" s="711"/>
      <c r="G678" s="825">
        <v>45810</v>
      </c>
      <c r="H678" s="828">
        <v>1487.47</v>
      </c>
    </row>
    <row r="679" spans="1:8" ht="14.5" thickBot="1">
      <c r="A679" s="709">
        <v>45811</v>
      </c>
      <c r="B679" s="710">
        <v>1491.45</v>
      </c>
      <c r="C679" s="711"/>
      <c r="G679" s="825">
        <v>45811</v>
      </c>
      <c r="H679" s="828">
        <v>1491.45</v>
      </c>
    </row>
    <row r="680" spans="1:8" ht="14.5" thickBot="1">
      <c r="A680" s="709">
        <v>45812</v>
      </c>
      <c r="B680" s="710">
        <v>1492.78</v>
      </c>
      <c r="C680" s="711"/>
      <c r="G680" s="825">
        <v>45812</v>
      </c>
      <c r="H680" s="828">
        <v>1492.78</v>
      </c>
    </row>
    <row r="681" spans="1:8" ht="14.5" thickBot="1">
      <c r="A681" s="709">
        <v>45813</v>
      </c>
      <c r="B681" s="710">
        <v>1494.11</v>
      </c>
      <c r="C681" s="711"/>
      <c r="G681" s="825">
        <v>45813</v>
      </c>
      <c r="H681" s="828">
        <v>1494.11</v>
      </c>
    </row>
    <row r="682" spans="1:8" ht="14.5" thickBot="1">
      <c r="A682" s="709">
        <v>45814</v>
      </c>
      <c r="B682" s="710">
        <v>1495.44</v>
      </c>
      <c r="C682" s="711"/>
      <c r="G682" s="825">
        <v>45814</v>
      </c>
      <c r="H682" s="828">
        <v>1495.44</v>
      </c>
    </row>
    <row r="683" spans="1:8" ht="14.5" thickBot="1">
      <c r="A683" s="709">
        <v>45815</v>
      </c>
      <c r="B683" s="710">
        <v>1496.77</v>
      </c>
      <c r="C683" s="711"/>
      <c r="G683" s="825">
        <v>45815</v>
      </c>
      <c r="H683" s="828">
        <v>1496.77</v>
      </c>
    </row>
    <row r="684" spans="1:8" ht="14.5" thickBot="1">
      <c r="A684" s="709">
        <v>45816</v>
      </c>
      <c r="B684" s="710">
        <v>1496.77</v>
      </c>
      <c r="C684" s="711"/>
      <c r="G684" s="825">
        <v>45816</v>
      </c>
      <c r="H684" s="828">
        <v>1496.77</v>
      </c>
    </row>
    <row r="685" spans="1:8" ht="14.5" thickBot="1">
      <c r="A685" s="709">
        <v>45817</v>
      </c>
      <c r="B685" s="710">
        <v>1496.77</v>
      </c>
      <c r="C685" s="711"/>
      <c r="G685" s="825">
        <v>45817</v>
      </c>
      <c r="H685" s="828">
        <v>1496.77</v>
      </c>
    </row>
    <row r="686" spans="1:8" ht="14.5" thickBot="1">
      <c r="A686" s="709">
        <v>45818</v>
      </c>
      <c r="B686" s="710">
        <v>1500.78</v>
      </c>
      <c r="C686" s="711"/>
      <c r="G686" s="825">
        <v>45818</v>
      </c>
      <c r="H686" s="828">
        <v>1500.78</v>
      </c>
    </row>
    <row r="687" spans="1:8" ht="14.5" thickBot="1">
      <c r="A687" s="709">
        <v>45819</v>
      </c>
      <c r="B687" s="710">
        <v>1502.11</v>
      </c>
      <c r="C687" s="711"/>
      <c r="G687" s="825">
        <v>45819</v>
      </c>
      <c r="H687" s="828">
        <v>1502.11</v>
      </c>
    </row>
    <row r="688" spans="1:8" ht="14.5" thickBot="1">
      <c r="A688" s="709">
        <v>45820</v>
      </c>
      <c r="B688" s="710">
        <v>1503.45</v>
      </c>
      <c r="C688" s="711"/>
      <c r="E688" s="1114">
        <v>45820</v>
      </c>
      <c r="F688" s="1115">
        <v>1503.45</v>
      </c>
      <c r="G688" s="825">
        <v>45820</v>
      </c>
      <c r="H688" s="828">
        <v>1503.45</v>
      </c>
    </row>
    <row r="689" spans="1:8" ht="14.5" thickBot="1">
      <c r="A689" s="709">
        <v>45821</v>
      </c>
      <c r="B689" s="710">
        <v>1504.79</v>
      </c>
      <c r="C689" s="711"/>
      <c r="E689" s="1114">
        <v>45821</v>
      </c>
      <c r="F689" s="1115">
        <v>1504.79</v>
      </c>
      <c r="G689" s="825">
        <v>45821</v>
      </c>
      <c r="H689" s="828">
        <v>1504.79</v>
      </c>
    </row>
    <row r="690" spans="1:8" ht="14.5" thickBot="1">
      <c r="A690" s="709">
        <v>45822</v>
      </c>
      <c r="B690" s="710">
        <v>1506.13</v>
      </c>
      <c r="C690" s="711"/>
      <c r="E690" s="1114">
        <v>45822</v>
      </c>
      <c r="F690" s="1115">
        <v>1506.13</v>
      </c>
      <c r="G690" s="825">
        <v>45822</v>
      </c>
      <c r="H690" s="828">
        <v>1506.13</v>
      </c>
    </row>
    <row r="691" spans="1:8" ht="14.5" thickBot="1">
      <c r="A691" s="709">
        <v>45823</v>
      </c>
      <c r="B691" s="710">
        <v>1506.13</v>
      </c>
      <c r="C691" s="711"/>
      <c r="D691" s="161">
        <f>+TablaUVA[[#This Row],[Valor]]/B661-1</f>
        <v>2.6169841659172022E-2</v>
      </c>
      <c r="E691" s="1114">
        <v>45823</v>
      </c>
      <c r="F691" s="1115">
        <v>1506.13</v>
      </c>
      <c r="G691" s="825">
        <v>45823</v>
      </c>
      <c r="H691" s="828">
        <v>1506.13</v>
      </c>
    </row>
    <row r="692" spans="1:8" ht="14.5" thickBot="1">
      <c r="A692" s="709">
        <v>45824</v>
      </c>
      <c r="B692" s="710">
        <v>1506.13</v>
      </c>
      <c r="C692" s="711"/>
      <c r="D692" s="10">
        <f>+M27</f>
        <v>1.4999999999999999E-2</v>
      </c>
      <c r="E692" s="1114">
        <v>45824</v>
      </c>
      <c r="F692" s="1115">
        <v>1506.13</v>
      </c>
    </row>
    <row r="693" spans="1:8" ht="14.5" thickBot="1">
      <c r="A693" s="709">
        <v>45825</v>
      </c>
      <c r="B693" s="710">
        <v>1506.13</v>
      </c>
      <c r="C693" s="711"/>
      <c r="E693" s="1114">
        <v>45825</v>
      </c>
      <c r="F693" s="1115">
        <v>1506.13</v>
      </c>
    </row>
    <row r="694" spans="1:8" ht="14.5" thickBot="1">
      <c r="A694" s="709">
        <v>45826</v>
      </c>
      <c r="B694" s="710">
        <v>1510.32</v>
      </c>
      <c r="C694" s="711"/>
      <c r="E694" s="1114">
        <v>45826</v>
      </c>
      <c r="F694" s="1115">
        <v>1510.32</v>
      </c>
    </row>
    <row r="695" spans="1:8" ht="14.5" thickBot="1">
      <c r="A695" s="709">
        <v>45827</v>
      </c>
      <c r="B695" s="710">
        <v>1511.07</v>
      </c>
      <c r="C695" s="711"/>
      <c r="E695" s="1114">
        <v>45827</v>
      </c>
      <c r="F695" s="1115">
        <v>1511.07</v>
      </c>
    </row>
    <row r="696" spans="1:8" ht="14.5" thickBot="1">
      <c r="A696" s="709">
        <v>45828</v>
      </c>
      <c r="B696" s="710">
        <v>1511.82</v>
      </c>
      <c r="C696" s="711"/>
      <c r="E696" s="1114">
        <v>45828</v>
      </c>
      <c r="F696" s="1115">
        <v>1511.82</v>
      </c>
    </row>
    <row r="697" spans="1:8" ht="14.5" thickBot="1">
      <c r="A697" s="709">
        <v>45829</v>
      </c>
      <c r="B697" s="710">
        <v>1511.82</v>
      </c>
      <c r="C697" s="711"/>
      <c r="E697" s="1114">
        <v>45829</v>
      </c>
      <c r="F697" s="1115">
        <v>1511.82</v>
      </c>
    </row>
    <row r="698" spans="1:8" ht="14.5" thickBot="1">
      <c r="A698" s="709">
        <v>45830</v>
      </c>
      <c r="B698" s="710">
        <v>1511.82</v>
      </c>
      <c r="C698" s="711"/>
      <c r="E698" s="1114">
        <v>45830</v>
      </c>
      <c r="F698" s="1115">
        <v>1511.82</v>
      </c>
    </row>
    <row r="699" spans="1:8" ht="14.5" thickBot="1">
      <c r="A699" s="709">
        <v>45831</v>
      </c>
      <c r="B699" s="710">
        <v>1511.82</v>
      </c>
      <c r="C699" s="711"/>
      <c r="E699" s="1114">
        <v>45831</v>
      </c>
      <c r="F699" s="1115">
        <v>1511.82</v>
      </c>
    </row>
    <row r="700" spans="1:8" ht="14.5" thickBot="1">
      <c r="A700" s="709">
        <v>45832</v>
      </c>
      <c r="B700" s="710">
        <v>1514.82</v>
      </c>
      <c r="C700" s="711"/>
      <c r="E700" s="1114">
        <v>45832</v>
      </c>
      <c r="F700" s="1115">
        <v>1514.82</v>
      </c>
    </row>
    <row r="701" spans="1:8" ht="14.5" thickBot="1">
      <c r="A701" s="709">
        <v>45833</v>
      </c>
      <c r="B701" s="710">
        <v>1515.57</v>
      </c>
      <c r="C701" s="711"/>
      <c r="E701" s="1114">
        <v>45833</v>
      </c>
      <c r="F701" s="1115">
        <v>1515.57</v>
      </c>
    </row>
    <row r="702" spans="1:8" ht="14.5" thickBot="1">
      <c r="A702" s="709">
        <v>45834</v>
      </c>
      <c r="B702" s="710">
        <v>1516.33</v>
      </c>
      <c r="C702" s="711"/>
      <c r="E702" s="1114">
        <v>45834</v>
      </c>
      <c r="F702" s="1115">
        <v>1516.33</v>
      </c>
    </row>
    <row r="703" spans="1:8" ht="14.5" thickBot="1">
      <c r="A703" s="709">
        <v>45835</v>
      </c>
      <c r="B703" s="710">
        <v>1517.08</v>
      </c>
      <c r="C703" s="711"/>
      <c r="E703" s="1114">
        <v>45835</v>
      </c>
      <c r="F703" s="1115">
        <v>1517.08</v>
      </c>
    </row>
    <row r="704" spans="1:8" ht="14.5" thickBot="1">
      <c r="A704" s="709">
        <v>45836</v>
      </c>
      <c r="B704" s="710">
        <v>1517.83</v>
      </c>
      <c r="C704" s="711"/>
      <c r="E704" s="1114">
        <v>45836</v>
      </c>
      <c r="F704" s="1115">
        <v>1517.83</v>
      </c>
    </row>
    <row r="705" spans="1:8" ht="14.5" thickBot="1">
      <c r="A705" s="709">
        <v>45837</v>
      </c>
      <c r="B705" s="710">
        <v>1517.83</v>
      </c>
      <c r="C705" s="711"/>
      <c r="E705" s="1114">
        <v>45837</v>
      </c>
      <c r="F705" s="1115">
        <v>1517.83</v>
      </c>
    </row>
    <row r="706" spans="1:8" ht="14.5" thickBot="1">
      <c r="A706" s="709">
        <v>45838</v>
      </c>
      <c r="B706" s="710">
        <v>1517.83</v>
      </c>
      <c r="C706" s="711"/>
      <c r="E706" s="1114">
        <v>45838</v>
      </c>
      <c r="F706" s="1115">
        <v>1517.83</v>
      </c>
    </row>
    <row r="707" spans="1:8" ht="14.5" thickBot="1">
      <c r="A707" s="709">
        <v>45839</v>
      </c>
      <c r="B707" s="710">
        <v>1520.09</v>
      </c>
      <c r="C707" s="711"/>
      <c r="E707" s="1114">
        <v>45839</v>
      </c>
      <c r="F707" s="1115">
        <v>1520.09</v>
      </c>
    </row>
    <row r="708" spans="1:8" ht="14.5" thickBot="1">
      <c r="A708" s="709">
        <v>45840</v>
      </c>
      <c r="B708" s="710">
        <v>1520.85</v>
      </c>
      <c r="C708" s="711"/>
      <c r="E708" s="1114">
        <v>45840</v>
      </c>
      <c r="F708" s="1115">
        <v>1520.85</v>
      </c>
    </row>
    <row r="709" spans="1:8" ht="14.5" thickBot="1">
      <c r="A709" s="709">
        <v>45841</v>
      </c>
      <c r="B709" s="710">
        <v>1521.6</v>
      </c>
      <c r="C709" s="711"/>
      <c r="E709" s="1114">
        <v>45841</v>
      </c>
      <c r="F709" s="1115">
        <v>1521.6</v>
      </c>
    </row>
    <row r="710" spans="1:8" ht="14.5" thickBot="1">
      <c r="A710" s="709">
        <v>45842</v>
      </c>
      <c r="B710" s="710">
        <v>1522.36</v>
      </c>
      <c r="C710" s="711"/>
      <c r="E710" s="1114">
        <v>45842</v>
      </c>
      <c r="F710" s="1115">
        <v>1522.36</v>
      </c>
    </row>
    <row r="711" spans="1:8" ht="14.5" thickBot="1">
      <c r="A711" s="709">
        <v>45843</v>
      </c>
      <c r="B711" s="710">
        <v>1523.11</v>
      </c>
      <c r="C711" s="711"/>
      <c r="E711" s="1114">
        <v>45843</v>
      </c>
      <c r="F711" s="1115">
        <v>1523.11</v>
      </c>
    </row>
    <row r="712" spans="1:8" ht="14.5" thickBot="1">
      <c r="A712" s="709">
        <v>45844</v>
      </c>
      <c r="B712" s="710">
        <v>1523.11</v>
      </c>
      <c r="C712" s="711"/>
      <c r="E712" s="1114">
        <v>45844</v>
      </c>
      <c r="F712" s="1115">
        <v>1523.11</v>
      </c>
    </row>
    <row r="713" spans="1:8" ht="14.5" thickBot="1">
      <c r="A713" s="709">
        <v>45845</v>
      </c>
      <c r="B713" s="710">
        <v>1523.11</v>
      </c>
      <c r="C713" s="711"/>
      <c r="E713" s="1114">
        <v>45845</v>
      </c>
      <c r="F713" s="1115">
        <v>1523.11</v>
      </c>
    </row>
    <row r="714" spans="1:8" ht="14.5" thickBot="1">
      <c r="A714" s="709">
        <v>45846</v>
      </c>
      <c r="B714" s="710">
        <v>1525.38</v>
      </c>
      <c r="C714" s="711"/>
      <c r="E714" s="1114">
        <v>45846</v>
      </c>
      <c r="F714" s="1115">
        <v>1525.38</v>
      </c>
    </row>
    <row r="715" spans="1:8" ht="14.5" thickBot="1">
      <c r="A715" s="709">
        <v>45847</v>
      </c>
      <c r="B715" s="710">
        <v>1526.14</v>
      </c>
      <c r="C715" s="711"/>
      <c r="E715" s="1114">
        <v>45847</v>
      </c>
      <c r="F715" s="1115">
        <v>1526.14</v>
      </c>
    </row>
    <row r="716" spans="1:8" ht="14.5" thickBot="1">
      <c r="A716" s="709">
        <v>45848</v>
      </c>
      <c r="B716" s="710">
        <v>1526.14</v>
      </c>
      <c r="C716" s="711"/>
      <c r="E716" s="1114">
        <v>45848</v>
      </c>
      <c r="F716" s="1115">
        <v>1526.14</v>
      </c>
    </row>
    <row r="717" spans="1:8" ht="14.5" thickBot="1">
      <c r="A717" s="709">
        <v>45849</v>
      </c>
      <c r="B717" s="710">
        <v>1527.66</v>
      </c>
      <c r="C717" s="711"/>
      <c r="E717" s="1114">
        <v>45849</v>
      </c>
      <c r="F717" s="1115">
        <v>1527.66</v>
      </c>
    </row>
    <row r="718" spans="1:8" ht="14.5" thickBot="1">
      <c r="A718" s="709">
        <v>45850</v>
      </c>
      <c r="B718" s="710">
        <v>1528.41</v>
      </c>
      <c r="C718" s="711"/>
      <c r="E718" s="1114">
        <v>45850</v>
      </c>
      <c r="F718" s="1115">
        <v>1528.41</v>
      </c>
    </row>
    <row r="719" spans="1:8" ht="14.5" thickBot="1">
      <c r="A719" s="709">
        <v>45851</v>
      </c>
      <c r="B719" s="710">
        <v>1528.41</v>
      </c>
      <c r="C719" s="711"/>
      <c r="E719" s="1114">
        <v>45851</v>
      </c>
      <c r="F719" s="1115">
        <v>1528.41</v>
      </c>
    </row>
    <row r="720" spans="1:8" ht="14.5" thickBot="1">
      <c r="A720" s="709">
        <v>45852</v>
      </c>
      <c r="B720" s="710">
        <v>1528.41</v>
      </c>
      <c r="C720" s="711"/>
      <c r="E720" s="1114">
        <v>45852</v>
      </c>
      <c r="F720" s="1115">
        <v>1528.41</v>
      </c>
      <c r="G720" s="41">
        <v>45852</v>
      </c>
      <c r="H720" s="32">
        <v>1528.41</v>
      </c>
    </row>
    <row r="721" spans="1:8" ht="14.5" thickBot="1">
      <c r="A721" s="709">
        <v>45853</v>
      </c>
      <c r="B721" s="710">
        <v>1530.69</v>
      </c>
      <c r="C721" s="711"/>
      <c r="D721" s="161">
        <f>+TablaUVA[[#This Row],[Valor]]/B691-1</f>
        <v>1.6306693313326237E-2</v>
      </c>
      <c r="E721" s="1114">
        <v>45853</v>
      </c>
      <c r="F721" s="1115">
        <v>1530.69</v>
      </c>
      <c r="G721" s="41">
        <v>45853</v>
      </c>
      <c r="H721" s="32">
        <v>1530.69</v>
      </c>
    </row>
    <row r="722" spans="1:8" ht="14.5" thickBot="1">
      <c r="A722" s="709">
        <v>45854</v>
      </c>
      <c r="B722" s="710">
        <v>1531.45</v>
      </c>
      <c r="C722" s="711"/>
      <c r="D722" s="10">
        <f>+M28</f>
        <v>1.6E-2</v>
      </c>
      <c r="G722" s="41">
        <v>45854</v>
      </c>
      <c r="H722" s="32">
        <v>1531.45</v>
      </c>
    </row>
    <row r="723" spans="1:8" ht="14.5" thickBot="1">
      <c r="A723" s="709">
        <v>45855</v>
      </c>
      <c r="B723" s="710">
        <v>1532.24</v>
      </c>
      <c r="C723" s="711"/>
      <c r="G723" s="41">
        <v>45855</v>
      </c>
      <c r="H723" s="32">
        <v>1532.24</v>
      </c>
    </row>
    <row r="724" spans="1:8" ht="14.5" thickBot="1">
      <c r="A724" s="709">
        <v>45856</v>
      </c>
      <c r="B724" s="710">
        <v>1533.02</v>
      </c>
      <c r="C724" s="711"/>
      <c r="G724" s="41">
        <v>45856</v>
      </c>
      <c r="H724" s="32">
        <v>1533.02</v>
      </c>
    </row>
    <row r="725" spans="1:8" ht="14.5" thickBot="1">
      <c r="A725" s="709">
        <v>45857</v>
      </c>
      <c r="B725" s="710">
        <v>1533.81</v>
      </c>
      <c r="C725" s="711"/>
      <c r="G725" s="41">
        <v>45857</v>
      </c>
      <c r="H725" s="32">
        <v>1533.81</v>
      </c>
    </row>
    <row r="726" spans="1:8" ht="14.5" thickBot="1">
      <c r="A726" s="709">
        <v>45858</v>
      </c>
      <c r="B726" s="710">
        <v>1533.81</v>
      </c>
      <c r="C726" s="711"/>
      <c r="G726" s="41">
        <v>45858</v>
      </c>
      <c r="H726" s="32">
        <v>1533.81</v>
      </c>
    </row>
    <row r="727" spans="1:8" ht="14.5" thickBot="1">
      <c r="A727" s="709">
        <v>45859</v>
      </c>
      <c r="B727" s="710">
        <v>1533.81</v>
      </c>
      <c r="C727" s="711"/>
      <c r="G727" s="41">
        <v>45859</v>
      </c>
      <c r="H727" s="32">
        <v>1533.81</v>
      </c>
    </row>
    <row r="728" spans="1:8" ht="14.5" thickBot="1">
      <c r="A728" s="709">
        <v>45860</v>
      </c>
      <c r="B728" s="710">
        <v>1536.16</v>
      </c>
      <c r="C728" s="711"/>
      <c r="G728" s="41">
        <v>45860</v>
      </c>
      <c r="H728" s="32">
        <v>1536.16</v>
      </c>
    </row>
    <row r="729" spans="1:8" ht="14.5" thickBot="1">
      <c r="A729" s="709">
        <v>45861</v>
      </c>
      <c r="B729" s="710">
        <v>1536.95</v>
      </c>
      <c r="C729" s="711"/>
      <c r="G729" s="41">
        <v>45861</v>
      </c>
      <c r="H729" s="32">
        <v>1536.95</v>
      </c>
    </row>
    <row r="730" spans="1:8" ht="14.5" thickBot="1">
      <c r="A730" s="709">
        <v>45862</v>
      </c>
      <c r="B730" s="710">
        <v>1537.74</v>
      </c>
      <c r="C730" s="711"/>
      <c r="G730" s="41">
        <v>45862</v>
      </c>
      <c r="H730" s="32">
        <v>1537.74</v>
      </c>
    </row>
    <row r="731" spans="1:8" ht="14.5" thickBot="1">
      <c r="A731" s="709">
        <v>45863</v>
      </c>
      <c r="B731" s="710">
        <v>1538.52</v>
      </c>
      <c r="C731" s="711"/>
      <c r="G731" s="41">
        <v>45863</v>
      </c>
      <c r="H731" s="32">
        <v>1538.52</v>
      </c>
    </row>
    <row r="732" spans="1:8" ht="14.5" thickBot="1">
      <c r="A732" s="709">
        <v>45864</v>
      </c>
      <c r="B732" s="710">
        <v>1539.31</v>
      </c>
      <c r="C732" s="711"/>
      <c r="G732" s="41">
        <v>45864</v>
      </c>
      <c r="H732" s="32">
        <v>1539.31</v>
      </c>
    </row>
    <row r="733" spans="1:8" ht="14.5" thickBot="1">
      <c r="A733" s="709">
        <v>45865</v>
      </c>
      <c r="B733" s="710">
        <v>1539.31</v>
      </c>
      <c r="C733" s="711"/>
      <c r="G733" s="41">
        <v>45865</v>
      </c>
      <c r="H733" s="32">
        <v>1539.31</v>
      </c>
    </row>
    <row r="734" spans="1:8" ht="14.5" thickBot="1">
      <c r="A734" s="709">
        <v>45866</v>
      </c>
      <c r="B734" s="710">
        <v>1539.31</v>
      </c>
      <c r="C734" s="711"/>
      <c r="G734" s="41">
        <v>45866</v>
      </c>
      <c r="H734" s="32">
        <v>1539.31</v>
      </c>
    </row>
    <row r="735" spans="1:8" ht="14.5" thickBot="1">
      <c r="A735" s="709">
        <v>45867</v>
      </c>
      <c r="B735" s="710">
        <v>1541.68</v>
      </c>
      <c r="C735" s="711"/>
      <c r="G735" s="41">
        <v>45867</v>
      </c>
      <c r="H735" s="32">
        <v>1541.68</v>
      </c>
    </row>
    <row r="736" spans="1:8" ht="14.5" thickBot="1">
      <c r="A736" s="709">
        <v>45868</v>
      </c>
      <c r="B736" s="710">
        <v>1542.47</v>
      </c>
      <c r="C736" s="711"/>
      <c r="G736" s="41">
        <v>45868</v>
      </c>
      <c r="H736" s="32">
        <v>1542.47</v>
      </c>
    </row>
    <row r="737" spans="1:8" ht="14.5" thickBot="1">
      <c r="A737" s="709">
        <v>45869</v>
      </c>
      <c r="B737" s="710">
        <v>1543.26</v>
      </c>
      <c r="C737" s="711"/>
      <c r="G737" s="41">
        <v>45869</v>
      </c>
      <c r="H737" s="32">
        <v>1543.26</v>
      </c>
    </row>
    <row r="738" spans="1:8" ht="14.5" thickBot="1">
      <c r="A738" s="709">
        <v>45870</v>
      </c>
      <c r="B738" s="710">
        <v>1544.05</v>
      </c>
      <c r="C738" s="711"/>
      <c r="G738" s="41">
        <v>45870</v>
      </c>
      <c r="H738" s="32">
        <v>1544.05</v>
      </c>
    </row>
    <row r="739" spans="1:8" ht="14.5" thickBot="1">
      <c r="A739" s="709">
        <v>45871</v>
      </c>
      <c r="B739" s="710">
        <v>1544.84</v>
      </c>
      <c r="C739" s="711"/>
      <c r="G739" s="41">
        <v>45871</v>
      </c>
      <c r="H739" s="32">
        <v>1544.84</v>
      </c>
    </row>
    <row r="740" spans="1:8" ht="14.5" thickBot="1">
      <c r="A740" s="709">
        <v>45872</v>
      </c>
      <c r="B740" s="710">
        <v>1544.84</v>
      </c>
      <c r="C740" s="711"/>
      <c r="G740" s="41">
        <v>45872</v>
      </c>
      <c r="H740" s="32">
        <v>1544.84</v>
      </c>
    </row>
    <row r="741" spans="1:8" ht="14.5" thickBot="1">
      <c r="A741" s="709">
        <v>45873</v>
      </c>
      <c r="B741" s="710">
        <v>1544.84</v>
      </c>
      <c r="C741" s="711"/>
      <c r="G741" s="41">
        <v>45873</v>
      </c>
      <c r="H741" s="32">
        <v>1544.84</v>
      </c>
    </row>
    <row r="742" spans="1:8" ht="14.5" thickBot="1">
      <c r="A742" s="709">
        <v>45874</v>
      </c>
      <c r="B742" s="710">
        <v>1547.21</v>
      </c>
      <c r="C742" s="711"/>
      <c r="G742" s="41">
        <v>45874</v>
      </c>
      <c r="H742" s="32">
        <v>1547.21</v>
      </c>
    </row>
    <row r="743" spans="1:8" ht="14.5" thickBot="1">
      <c r="A743" s="709">
        <v>45875</v>
      </c>
      <c r="B743" s="710">
        <v>1548.01</v>
      </c>
      <c r="C743" s="711"/>
      <c r="G743" s="41">
        <v>45875</v>
      </c>
      <c r="H743" s="32">
        <v>1548.01</v>
      </c>
    </row>
    <row r="744" spans="1:8" ht="14.5" thickBot="1">
      <c r="A744" s="709">
        <v>45876</v>
      </c>
      <c r="B744" s="710">
        <v>1548.8</v>
      </c>
      <c r="C744" s="711"/>
      <c r="G744" s="41">
        <v>45876</v>
      </c>
      <c r="H744" s="32">
        <v>1548.8</v>
      </c>
    </row>
    <row r="745" spans="1:8" ht="14.5" thickBot="1">
      <c r="A745" s="709">
        <v>45877</v>
      </c>
      <c r="B745" s="710">
        <v>1549.59</v>
      </c>
      <c r="C745" s="711"/>
      <c r="G745" s="41">
        <v>45877</v>
      </c>
      <c r="H745" s="32">
        <v>1549.59</v>
      </c>
    </row>
    <row r="746" spans="1:8" ht="14.5" thickBot="1">
      <c r="A746" s="709">
        <v>45878</v>
      </c>
      <c r="B746" s="710">
        <v>1550.39</v>
      </c>
      <c r="C746" s="711"/>
      <c r="G746" s="41">
        <v>45878</v>
      </c>
      <c r="H746" s="32">
        <v>1550.39</v>
      </c>
    </row>
    <row r="747" spans="1:8" ht="14.5" thickBot="1">
      <c r="A747" s="709">
        <v>45879</v>
      </c>
      <c r="B747" s="710">
        <v>1550.39</v>
      </c>
      <c r="C747" s="711"/>
      <c r="G747" s="41">
        <v>45879</v>
      </c>
      <c r="H747" s="32">
        <v>1550.39</v>
      </c>
    </row>
    <row r="748" spans="1:8" ht="14.5" thickBot="1">
      <c r="A748" s="709">
        <v>45880</v>
      </c>
      <c r="B748" s="710">
        <v>1550.39</v>
      </c>
      <c r="C748" s="711"/>
      <c r="G748" s="41">
        <v>45880</v>
      </c>
      <c r="H748" s="32">
        <v>1550.39</v>
      </c>
    </row>
    <row r="749" spans="1:8" ht="14.5" thickBot="1">
      <c r="A749" s="709">
        <v>45881</v>
      </c>
      <c r="B749" s="710">
        <v>1552.77</v>
      </c>
      <c r="C749" s="711"/>
      <c r="G749" s="41">
        <v>45881</v>
      </c>
      <c r="H749" s="32">
        <v>1552.77</v>
      </c>
    </row>
    <row r="750" spans="1:8" ht="14.5" thickBot="1">
      <c r="A750" s="709">
        <v>45882</v>
      </c>
      <c r="B750" s="710">
        <v>1553.57</v>
      </c>
      <c r="C750" s="711"/>
      <c r="G750" s="41">
        <v>45882</v>
      </c>
      <c r="H750" s="32">
        <v>1553.57</v>
      </c>
    </row>
    <row r="751" spans="1:8" ht="14.5" thickBot="1">
      <c r="A751" s="709">
        <v>45883</v>
      </c>
      <c r="B751" s="710">
        <v>1554.36</v>
      </c>
      <c r="C751" s="711"/>
      <c r="G751" s="41">
        <v>45883</v>
      </c>
      <c r="H751" s="32">
        <v>1554.36</v>
      </c>
    </row>
    <row r="752" spans="1:8" ht="14.5" thickBot="1">
      <c r="A752" s="709">
        <v>45884</v>
      </c>
      <c r="B752" s="710">
        <v>1555.16</v>
      </c>
      <c r="C752" s="711"/>
      <c r="D752" s="161">
        <f>+TablaUVA[[#This Row],[Valor]]/B722-1</f>
        <v>1.5482059486108035E-2</v>
      </c>
      <c r="G752" s="41">
        <v>45884</v>
      </c>
      <c r="H752" s="32">
        <v>1555.16</v>
      </c>
    </row>
    <row r="753" spans="1:4" ht="14.5" thickBot="1">
      <c r="A753" s="709">
        <v>45885</v>
      </c>
      <c r="B753" s="710">
        <f>+B752*(1+$D$753/30)</f>
        <v>1555.9894186666666</v>
      </c>
      <c r="C753" s="711"/>
      <c r="D753" s="1131">
        <f>+M29</f>
        <v>1.6E-2</v>
      </c>
    </row>
    <row r="754" spans="1:4" ht="14.5" thickBot="1">
      <c r="A754" s="709">
        <v>45886</v>
      </c>
      <c r="B754" s="710">
        <f>+B753*(1+$D$753/30)</f>
        <v>1556.8192796899552</v>
      </c>
      <c r="C754" s="711"/>
    </row>
    <row r="755" spans="1:4" ht="14.5" thickBot="1">
      <c r="A755" s="709">
        <v>45887</v>
      </c>
      <c r="B755" s="710">
        <f t="shared" ref="B755:B783" si="12">+B754*(1+$D$753/30)</f>
        <v>1557.6495833057897</v>
      </c>
      <c r="C755" s="711"/>
    </row>
    <row r="756" spans="1:4" ht="14.5" thickBot="1">
      <c r="A756" s="709">
        <v>45888</v>
      </c>
      <c r="B756" s="710">
        <f t="shared" si="12"/>
        <v>1558.4803297502194</v>
      </c>
      <c r="C756" s="711"/>
    </row>
    <row r="757" spans="1:4" ht="14.5" thickBot="1">
      <c r="A757" s="709">
        <v>45889</v>
      </c>
      <c r="B757" s="710">
        <f t="shared" si="12"/>
        <v>1559.3115192594194</v>
      </c>
      <c r="C757" s="711"/>
    </row>
    <row r="758" spans="1:4" ht="14.5" thickBot="1">
      <c r="A758" s="709">
        <v>45890</v>
      </c>
      <c r="B758" s="710">
        <f t="shared" si="12"/>
        <v>1560.143152069691</v>
      </c>
      <c r="C758" s="711"/>
    </row>
    <row r="759" spans="1:4" ht="14.5" thickBot="1">
      <c r="A759" s="709">
        <v>45891</v>
      </c>
      <c r="B759" s="710">
        <f t="shared" si="12"/>
        <v>1560.9752284174615</v>
      </c>
      <c r="C759" s="711"/>
    </row>
    <row r="760" spans="1:4" ht="14.5" thickBot="1">
      <c r="A760" s="709">
        <v>45892</v>
      </c>
      <c r="B760" s="710">
        <f t="shared" si="12"/>
        <v>1561.8077485392841</v>
      </c>
      <c r="C760" s="711"/>
    </row>
    <row r="761" spans="1:4" ht="14.5" thickBot="1">
      <c r="A761" s="709">
        <v>45893</v>
      </c>
      <c r="B761" s="710">
        <f t="shared" si="12"/>
        <v>1562.6407126718384</v>
      </c>
      <c r="C761" s="711"/>
    </row>
    <row r="762" spans="1:4" ht="14.5" thickBot="1">
      <c r="A762" s="709">
        <v>45894</v>
      </c>
      <c r="B762" s="710">
        <f t="shared" si="12"/>
        <v>1563.4741210519301</v>
      </c>
      <c r="C762" s="711"/>
    </row>
    <row r="763" spans="1:4" ht="14.5" thickBot="1">
      <c r="A763" s="709">
        <v>45895</v>
      </c>
      <c r="B763" s="710">
        <f t="shared" si="12"/>
        <v>1564.3079739164909</v>
      </c>
      <c r="C763" s="711"/>
    </row>
    <row r="764" spans="1:4" ht="14.5" thickBot="1">
      <c r="A764" s="709">
        <v>45896</v>
      </c>
      <c r="B764" s="710">
        <f t="shared" si="12"/>
        <v>1565.1422715025797</v>
      </c>
      <c r="C764" s="711"/>
    </row>
    <row r="765" spans="1:4" ht="14.5" thickBot="1">
      <c r="A765" s="709">
        <v>45897</v>
      </c>
      <c r="B765" s="710">
        <f t="shared" si="12"/>
        <v>1565.9770140473809</v>
      </c>
      <c r="C765" s="711"/>
    </row>
    <row r="766" spans="1:4" ht="14.5" thickBot="1">
      <c r="A766" s="709">
        <v>45898</v>
      </c>
      <c r="B766" s="710">
        <f t="shared" si="12"/>
        <v>1566.812201788206</v>
      </c>
      <c r="C766" s="711"/>
    </row>
    <row r="767" spans="1:4" ht="14.5" thickBot="1">
      <c r="A767" s="709">
        <v>45899</v>
      </c>
      <c r="B767" s="710">
        <f t="shared" si="12"/>
        <v>1567.6478349624929</v>
      </c>
      <c r="C767" s="711"/>
    </row>
    <row r="768" spans="1:4" ht="14.5" thickBot="1">
      <c r="A768" s="709">
        <v>45900</v>
      </c>
      <c r="B768" s="710">
        <f t="shared" si="12"/>
        <v>1568.4839138078062</v>
      </c>
      <c r="C768" s="711"/>
    </row>
    <row r="769" spans="1:4" ht="14.5" thickBot="1">
      <c r="A769" s="709">
        <v>45901</v>
      </c>
      <c r="B769" s="710">
        <f t="shared" si="12"/>
        <v>1569.3204385618369</v>
      </c>
      <c r="C769" s="711"/>
    </row>
    <row r="770" spans="1:4" ht="14.5" thickBot="1">
      <c r="A770" s="709">
        <v>45902</v>
      </c>
      <c r="B770" s="710">
        <f t="shared" si="12"/>
        <v>1570.1574094624032</v>
      </c>
      <c r="C770" s="711"/>
    </row>
    <row r="771" spans="1:4" ht="14.5" thickBot="1">
      <c r="A771" s="709">
        <v>45903</v>
      </c>
      <c r="B771" s="710">
        <f t="shared" si="12"/>
        <v>1570.9948267474497</v>
      </c>
      <c r="C771" s="711"/>
    </row>
    <row r="772" spans="1:4" ht="14.5" thickBot="1">
      <c r="A772" s="709">
        <v>45904</v>
      </c>
      <c r="B772" s="710">
        <f t="shared" si="12"/>
        <v>1571.8326906550483</v>
      </c>
      <c r="C772" s="711"/>
    </row>
    <row r="773" spans="1:4" ht="14.5" thickBot="1">
      <c r="A773" s="709">
        <v>45905</v>
      </c>
      <c r="B773" s="710">
        <f t="shared" si="12"/>
        <v>1572.6710014233975</v>
      </c>
      <c r="C773" s="711"/>
    </row>
    <row r="774" spans="1:4" ht="14.5" thickBot="1">
      <c r="A774" s="709">
        <v>45906</v>
      </c>
      <c r="B774" s="710">
        <f t="shared" si="12"/>
        <v>1573.5097592908232</v>
      </c>
      <c r="C774" s="711"/>
    </row>
    <row r="775" spans="1:4" ht="14.5" thickBot="1">
      <c r="A775" s="709">
        <v>45907</v>
      </c>
      <c r="B775" s="710">
        <f t="shared" si="12"/>
        <v>1574.3489644957783</v>
      </c>
      <c r="C775" s="711"/>
    </row>
    <row r="776" spans="1:4" ht="14.5" thickBot="1">
      <c r="A776" s="709">
        <v>45908</v>
      </c>
      <c r="B776" s="710">
        <f t="shared" si="12"/>
        <v>1575.1886172768427</v>
      </c>
      <c r="C776" s="711"/>
    </row>
    <row r="777" spans="1:4" ht="14.5" thickBot="1">
      <c r="A777" s="709">
        <v>45909</v>
      </c>
      <c r="B777" s="710">
        <f t="shared" si="12"/>
        <v>1576.0287178727235</v>
      </c>
      <c r="C777" s="711"/>
    </row>
    <row r="778" spans="1:4" ht="14.5" thickBot="1">
      <c r="A778" s="709">
        <v>45910</v>
      </c>
      <c r="B778" s="710">
        <f t="shared" si="12"/>
        <v>1576.8692665222557</v>
      </c>
      <c r="C778" s="711"/>
    </row>
    <row r="779" spans="1:4" ht="14.5" thickBot="1">
      <c r="A779" s="709">
        <v>45911</v>
      </c>
      <c r="B779" s="710">
        <f t="shared" si="12"/>
        <v>1577.7102634644007</v>
      </c>
      <c r="C779" s="711"/>
    </row>
    <row r="780" spans="1:4" ht="14.5" thickBot="1">
      <c r="A780" s="709">
        <v>45912</v>
      </c>
      <c r="B780" s="710">
        <f t="shared" si="12"/>
        <v>1578.5517089382483</v>
      </c>
      <c r="C780" s="711"/>
    </row>
    <row r="781" spans="1:4" ht="14.5" thickBot="1">
      <c r="A781" s="709">
        <v>45913</v>
      </c>
      <c r="B781" s="710">
        <f t="shared" si="12"/>
        <v>1579.3936031830153</v>
      </c>
      <c r="C781" s="711"/>
    </row>
    <row r="782" spans="1:4" ht="14.5" thickBot="1">
      <c r="A782" s="709">
        <v>45914</v>
      </c>
      <c r="B782" s="710">
        <f t="shared" si="12"/>
        <v>1580.2359464380461</v>
      </c>
      <c r="C782" s="711"/>
    </row>
    <row r="783" spans="1:4" ht="14.5" thickBot="1">
      <c r="A783" s="709">
        <v>45915</v>
      </c>
      <c r="B783" s="710">
        <f t="shared" si="12"/>
        <v>1581.0787389428131</v>
      </c>
      <c r="C783" s="711"/>
    </row>
    <row r="784" spans="1:4" ht="14.5" thickBot="1">
      <c r="A784" s="709">
        <v>45916</v>
      </c>
      <c r="B784" s="710">
        <f>+B783*(1+$D$784/30)</f>
        <v>1581.9219809369158</v>
      </c>
      <c r="C784" s="711"/>
      <c r="D784" s="1131">
        <f>+M30</f>
        <v>1.6E-2</v>
      </c>
    </row>
    <row r="785" spans="1:3" ht="14.5" thickBot="1">
      <c r="A785" s="709">
        <v>45917</v>
      </c>
      <c r="B785" s="710">
        <f t="shared" ref="B785:B793" si="13">+B784*(1+$D$784/30)</f>
        <v>1582.7656726600821</v>
      </c>
      <c r="C785" s="711"/>
    </row>
    <row r="786" spans="1:3" ht="14.5" thickBot="1">
      <c r="A786" s="709">
        <v>45918</v>
      </c>
      <c r="B786" s="710">
        <f t="shared" si="13"/>
        <v>1583.6098143521674</v>
      </c>
      <c r="C786" s="711"/>
    </row>
    <row r="787" spans="1:3" ht="14.5" thickBot="1">
      <c r="A787" s="709">
        <v>45919</v>
      </c>
      <c r="B787" s="710">
        <f t="shared" si="13"/>
        <v>1584.4544062531552</v>
      </c>
      <c r="C787" s="711"/>
    </row>
    <row r="788" spans="1:3" ht="14.5" thickBot="1">
      <c r="A788" s="709">
        <v>45920</v>
      </c>
      <c r="B788" s="710">
        <f t="shared" si="13"/>
        <v>1585.2994486031569</v>
      </c>
      <c r="C788" s="711"/>
    </row>
    <row r="789" spans="1:3" ht="14.5" thickBot="1">
      <c r="A789" s="709">
        <v>45921</v>
      </c>
      <c r="B789" s="710">
        <f t="shared" si="13"/>
        <v>1586.1449416424118</v>
      </c>
      <c r="C789" s="711"/>
    </row>
    <row r="790" spans="1:3" ht="14.5" thickBot="1">
      <c r="A790" s="709">
        <v>45922</v>
      </c>
      <c r="B790" s="710">
        <f t="shared" si="13"/>
        <v>1586.9908856112877</v>
      </c>
      <c r="C790" s="711"/>
    </row>
    <row r="791" spans="1:3" ht="14.5" thickBot="1">
      <c r="A791" s="709">
        <v>45923</v>
      </c>
      <c r="B791" s="710">
        <f t="shared" si="13"/>
        <v>1587.8372807502803</v>
      </c>
      <c r="C791" s="711"/>
    </row>
    <row r="792" spans="1:3" ht="14.5" thickBot="1">
      <c r="A792" s="709">
        <v>45924</v>
      </c>
      <c r="B792" s="710">
        <f t="shared" si="13"/>
        <v>1588.6841273000136</v>
      </c>
      <c r="C792" s="711"/>
    </row>
    <row r="793" spans="1:3" ht="14.5" thickBot="1">
      <c r="A793" s="709">
        <v>45925</v>
      </c>
      <c r="B793" s="710">
        <f t="shared" si="13"/>
        <v>1589.5314255012402</v>
      </c>
      <c r="C793" s="711"/>
    </row>
    <row r="794" spans="1:3" ht="14.5" thickBot="1">
      <c r="A794" s="709">
        <v>45926</v>
      </c>
      <c r="B794" s="710">
        <f t="shared" ref="B794:B813" si="14">+B793*(1+$D$784/30)</f>
        <v>1590.3791755948407</v>
      </c>
      <c r="C794" s="711"/>
    </row>
    <row r="795" spans="1:3" ht="14.5" thickBot="1">
      <c r="A795" s="709">
        <v>45927</v>
      </c>
      <c r="B795" s="710">
        <f t="shared" si="14"/>
        <v>1591.2273778218246</v>
      </c>
      <c r="C795" s="711"/>
    </row>
    <row r="796" spans="1:3" ht="14.5" thickBot="1">
      <c r="A796" s="709">
        <v>45928</v>
      </c>
      <c r="B796" s="710">
        <f t="shared" si="14"/>
        <v>1592.0760324233295</v>
      </c>
      <c r="C796" s="711"/>
    </row>
    <row r="797" spans="1:3" ht="14.5" thickBot="1">
      <c r="A797" s="709">
        <v>45929</v>
      </c>
      <c r="B797" s="710">
        <f t="shared" si="14"/>
        <v>1592.9251396406219</v>
      </c>
      <c r="C797" s="711"/>
    </row>
    <row r="798" spans="1:3" ht="14.5" thickBot="1">
      <c r="A798" s="709">
        <v>45930</v>
      </c>
      <c r="B798" s="710">
        <f t="shared" si="14"/>
        <v>1593.7746997150969</v>
      </c>
      <c r="C798" s="711"/>
    </row>
    <row r="799" spans="1:3" ht="14.5" thickBot="1">
      <c r="A799" s="709">
        <v>45931</v>
      </c>
      <c r="B799" s="710">
        <f t="shared" si="14"/>
        <v>1594.6247128882781</v>
      </c>
      <c r="C799" s="711"/>
    </row>
    <row r="800" spans="1:3" ht="14.5" thickBot="1">
      <c r="A800" s="709">
        <v>45932</v>
      </c>
      <c r="B800" s="710">
        <f t="shared" si="14"/>
        <v>1595.4751794018184</v>
      </c>
      <c r="C800" s="711"/>
    </row>
    <row r="801" spans="1:4" ht="14.5" thickBot="1">
      <c r="A801" s="709">
        <v>45933</v>
      </c>
      <c r="B801" s="710">
        <f t="shared" si="14"/>
        <v>1596.3260994974994</v>
      </c>
      <c r="C801" s="711"/>
    </row>
    <row r="802" spans="1:4" ht="14.5" thickBot="1">
      <c r="A802" s="709">
        <v>45934</v>
      </c>
      <c r="B802" s="710">
        <f t="shared" si="14"/>
        <v>1597.1774734172313</v>
      </c>
      <c r="C802" s="711"/>
    </row>
    <row r="803" spans="1:4" ht="14.5" thickBot="1">
      <c r="A803" s="709">
        <v>45935</v>
      </c>
      <c r="B803" s="710">
        <f t="shared" si="14"/>
        <v>1598.0293014030538</v>
      </c>
      <c r="C803" s="711"/>
    </row>
    <row r="804" spans="1:4" ht="14.5" thickBot="1">
      <c r="A804" s="709">
        <v>45936</v>
      </c>
      <c r="B804" s="710">
        <f t="shared" si="14"/>
        <v>1598.8815836971353</v>
      </c>
      <c r="C804" s="711"/>
    </row>
    <row r="805" spans="1:4" ht="14.5" thickBot="1">
      <c r="A805" s="709">
        <v>45937</v>
      </c>
      <c r="B805" s="710">
        <f t="shared" si="14"/>
        <v>1599.7343205417737</v>
      </c>
      <c r="C805" s="711"/>
    </row>
    <row r="806" spans="1:4" ht="14.5" thickBot="1">
      <c r="A806" s="709">
        <v>45938</v>
      </c>
      <c r="B806" s="710">
        <f t="shared" si="14"/>
        <v>1600.5875121793958</v>
      </c>
      <c r="C806" s="711"/>
    </row>
    <row r="807" spans="1:4" ht="14.5" thickBot="1">
      <c r="A807" s="709">
        <v>45939</v>
      </c>
      <c r="B807" s="710">
        <f t="shared" si="14"/>
        <v>1601.4411588525581</v>
      </c>
      <c r="C807" s="711"/>
    </row>
    <row r="808" spans="1:4" ht="14.5" thickBot="1">
      <c r="A808" s="709">
        <v>45940</v>
      </c>
      <c r="B808" s="710">
        <f t="shared" si="14"/>
        <v>1602.2952608039461</v>
      </c>
      <c r="C808" s="711"/>
    </row>
    <row r="809" spans="1:4" ht="14.5" thickBot="1">
      <c r="A809" s="709">
        <v>45941</v>
      </c>
      <c r="B809" s="710">
        <f t="shared" si="14"/>
        <v>1603.1498182763748</v>
      </c>
      <c r="C809" s="711"/>
    </row>
    <row r="810" spans="1:4" ht="14.5" thickBot="1">
      <c r="A810" s="709">
        <v>45942</v>
      </c>
      <c r="B810" s="710">
        <f t="shared" si="14"/>
        <v>1604.0048315127888</v>
      </c>
      <c r="C810" s="711"/>
    </row>
    <row r="811" spans="1:4" ht="14.5" thickBot="1">
      <c r="A811" s="709">
        <v>45943</v>
      </c>
      <c r="B811" s="710">
        <f t="shared" si="14"/>
        <v>1604.8603007562622</v>
      </c>
      <c r="C811" s="711"/>
    </row>
    <row r="812" spans="1:4" ht="14.5" thickBot="1">
      <c r="A812" s="709">
        <v>45944</v>
      </c>
      <c r="B812" s="710">
        <f t="shared" si="14"/>
        <v>1605.7162262499987</v>
      </c>
      <c r="C812" s="711"/>
    </row>
    <row r="813" spans="1:4" ht="14.5" thickBot="1">
      <c r="A813" s="709">
        <v>45945</v>
      </c>
      <c r="B813" s="710">
        <f t="shared" si="14"/>
        <v>1606.5726082373319</v>
      </c>
      <c r="C813" s="711"/>
    </row>
    <row r="814" spans="1:4" ht="14.5" thickBot="1">
      <c r="A814" s="709">
        <v>45946</v>
      </c>
      <c r="B814" s="710">
        <f>+B813*(1+$D$814/30)</f>
        <v>1607.429446961725</v>
      </c>
      <c r="C814" s="711"/>
      <c r="D814" s="1131">
        <f>+M31</f>
        <v>1.6E-2</v>
      </c>
    </row>
    <row r="815" spans="1:4" ht="14.5" thickBot="1">
      <c r="A815" s="709">
        <v>45947</v>
      </c>
      <c r="B815" s="710">
        <f t="shared" ref="B815:B844" si="15">+B814*(1+$D$814/30)</f>
        <v>1608.2867426667713</v>
      </c>
      <c r="C815" s="711"/>
    </row>
    <row r="816" spans="1:4" ht="14.5" thickBot="1">
      <c r="A816" s="709">
        <v>45948</v>
      </c>
      <c r="B816" s="710">
        <f t="shared" si="15"/>
        <v>1609.1444955961933</v>
      </c>
      <c r="C816" s="711"/>
    </row>
    <row r="817" spans="1:3" ht="14.5" thickBot="1">
      <c r="A817" s="709">
        <v>45949</v>
      </c>
      <c r="B817" s="710">
        <f t="shared" si="15"/>
        <v>1610.0027059938445</v>
      </c>
      <c r="C817" s="711"/>
    </row>
    <row r="818" spans="1:3" ht="14.5" thickBot="1">
      <c r="A818" s="709">
        <v>45950</v>
      </c>
      <c r="B818" s="710">
        <f t="shared" si="15"/>
        <v>1610.8613741037079</v>
      </c>
      <c r="C818" s="711"/>
    </row>
    <row r="819" spans="1:3" ht="14.5" thickBot="1">
      <c r="A819" s="709">
        <v>45951</v>
      </c>
      <c r="B819" s="710">
        <f t="shared" si="15"/>
        <v>1611.7205001698965</v>
      </c>
      <c r="C819" s="711"/>
    </row>
    <row r="820" spans="1:3" ht="14.5" thickBot="1">
      <c r="A820" s="709">
        <v>45952</v>
      </c>
      <c r="B820" s="710">
        <f t="shared" si="15"/>
        <v>1612.5800844366536</v>
      </c>
      <c r="C820" s="711"/>
    </row>
    <row r="821" spans="1:3" ht="14.5" thickBot="1">
      <c r="A821" s="709">
        <v>45953</v>
      </c>
      <c r="B821" s="710">
        <f t="shared" si="15"/>
        <v>1613.440127148353</v>
      </c>
      <c r="C821" s="711"/>
    </row>
    <row r="822" spans="1:3" ht="14.5" thickBot="1">
      <c r="A822" s="709">
        <v>45954</v>
      </c>
      <c r="B822" s="710">
        <f t="shared" si="15"/>
        <v>1614.3006285494987</v>
      </c>
      <c r="C822" s="711"/>
    </row>
    <row r="823" spans="1:3" ht="14.5" thickBot="1">
      <c r="A823" s="709">
        <v>45955</v>
      </c>
      <c r="B823" s="710">
        <f t="shared" si="15"/>
        <v>1615.161588884725</v>
      </c>
      <c r="C823" s="711"/>
    </row>
    <row r="824" spans="1:3" ht="14.5" thickBot="1">
      <c r="A824" s="709">
        <v>45956</v>
      </c>
      <c r="B824" s="710">
        <f t="shared" si="15"/>
        <v>1616.0230083987967</v>
      </c>
      <c r="C824" s="711"/>
    </row>
    <row r="825" spans="1:3" ht="14.5" thickBot="1">
      <c r="A825" s="709">
        <v>45957</v>
      </c>
      <c r="B825" s="710">
        <f t="shared" si="15"/>
        <v>1616.8848873366094</v>
      </c>
      <c r="C825" s="711"/>
    </row>
    <row r="826" spans="1:3" ht="14.5" thickBot="1">
      <c r="A826" s="709">
        <v>45958</v>
      </c>
      <c r="B826" s="710">
        <f t="shared" si="15"/>
        <v>1617.7472259431888</v>
      </c>
      <c r="C826" s="711"/>
    </row>
    <row r="827" spans="1:3" ht="14.5" thickBot="1">
      <c r="A827" s="709">
        <v>45959</v>
      </c>
      <c r="B827" s="710">
        <f t="shared" si="15"/>
        <v>1618.6100244636918</v>
      </c>
      <c r="C827" s="711"/>
    </row>
    <row r="828" spans="1:3" ht="14.5" thickBot="1">
      <c r="A828" s="709">
        <v>45960</v>
      </c>
      <c r="B828" s="710">
        <f t="shared" si="15"/>
        <v>1619.4732831434058</v>
      </c>
      <c r="C828" s="711"/>
    </row>
    <row r="829" spans="1:3" ht="14.5" thickBot="1">
      <c r="A829" s="709">
        <v>45961</v>
      </c>
      <c r="B829" s="710">
        <f t="shared" si="15"/>
        <v>1620.3370022277488</v>
      </c>
      <c r="C829" s="711"/>
    </row>
    <row r="830" spans="1:3" ht="14.5" thickBot="1">
      <c r="A830" s="709">
        <v>45962</v>
      </c>
      <c r="B830" s="710">
        <f t="shared" si="15"/>
        <v>1621.2011819622701</v>
      </c>
      <c r="C830" s="711"/>
    </row>
    <row r="831" spans="1:3" ht="14.5" thickBot="1">
      <c r="A831" s="709">
        <v>45963</v>
      </c>
      <c r="B831" s="710">
        <f t="shared" si="15"/>
        <v>1622.06582259265</v>
      </c>
      <c r="C831" s="711"/>
    </row>
    <row r="832" spans="1:3" ht="14.5" thickBot="1">
      <c r="A832" s="709">
        <v>45964</v>
      </c>
      <c r="B832" s="710">
        <f t="shared" si="15"/>
        <v>1622.9309243646992</v>
      </c>
      <c r="C832" s="711"/>
    </row>
    <row r="833" spans="1:4" ht="14.5" thickBot="1">
      <c r="A833" s="709">
        <v>45965</v>
      </c>
      <c r="B833" s="710">
        <f t="shared" si="15"/>
        <v>1623.7964875243604</v>
      </c>
      <c r="C833" s="711"/>
    </row>
    <row r="834" spans="1:4" ht="14.5" thickBot="1">
      <c r="A834" s="709">
        <v>45966</v>
      </c>
      <c r="B834" s="710">
        <f t="shared" si="15"/>
        <v>1624.6625123177066</v>
      </c>
      <c r="C834" s="711"/>
    </row>
    <row r="835" spans="1:4" ht="14.5" thickBot="1">
      <c r="A835" s="709">
        <v>45967</v>
      </c>
      <c r="B835" s="710">
        <f t="shared" si="15"/>
        <v>1625.5289989909427</v>
      </c>
      <c r="C835" s="711"/>
    </row>
    <row r="836" spans="1:4" ht="14.5" thickBot="1">
      <c r="A836" s="709">
        <v>45968</v>
      </c>
      <c r="B836" s="710">
        <f t="shared" si="15"/>
        <v>1626.3959477904045</v>
      </c>
      <c r="C836" s="711"/>
    </row>
    <row r="837" spans="1:4" ht="14.5" thickBot="1">
      <c r="A837" s="709">
        <v>45969</v>
      </c>
      <c r="B837" s="710">
        <f t="shared" si="15"/>
        <v>1627.2633589625593</v>
      </c>
      <c r="C837" s="711"/>
    </row>
    <row r="838" spans="1:4" ht="14.5" thickBot="1">
      <c r="A838" s="709">
        <v>45970</v>
      </c>
      <c r="B838" s="710">
        <f t="shared" si="15"/>
        <v>1628.1312327540059</v>
      </c>
      <c r="C838" s="711"/>
    </row>
    <row r="839" spans="1:4" ht="14.5" thickBot="1">
      <c r="A839" s="709">
        <v>45971</v>
      </c>
      <c r="B839" s="710">
        <f t="shared" si="15"/>
        <v>1628.9995694114746</v>
      </c>
      <c r="C839" s="711"/>
    </row>
    <row r="840" spans="1:4" ht="14.5" thickBot="1">
      <c r="A840" s="709">
        <v>45972</v>
      </c>
      <c r="B840" s="710">
        <f t="shared" si="15"/>
        <v>1629.8683691818273</v>
      </c>
      <c r="C840" s="711"/>
    </row>
    <row r="841" spans="1:4" ht="14.5" thickBot="1">
      <c r="A841" s="709">
        <v>45973</v>
      </c>
      <c r="B841" s="710">
        <f t="shared" si="15"/>
        <v>1630.7376323120575</v>
      </c>
      <c r="C841" s="711"/>
    </row>
    <row r="842" spans="1:4" ht="14.5" thickBot="1">
      <c r="A842" s="709">
        <v>45974</v>
      </c>
      <c r="B842" s="710">
        <f t="shared" si="15"/>
        <v>1631.6073590492904</v>
      </c>
      <c r="C842" s="711"/>
    </row>
    <row r="843" spans="1:4" ht="14.5" thickBot="1">
      <c r="A843" s="709">
        <v>45975</v>
      </c>
      <c r="B843" s="710">
        <f t="shared" si="15"/>
        <v>1632.4775496407833</v>
      </c>
      <c r="C843" s="711"/>
    </row>
    <row r="844" spans="1:4" ht="14.5" thickBot="1">
      <c r="A844" s="709">
        <v>45976</v>
      </c>
      <c r="B844" s="710">
        <f t="shared" si="15"/>
        <v>1633.348204333925</v>
      </c>
      <c r="C844" s="711"/>
    </row>
    <row r="845" spans="1:4" ht="14.5" thickBot="1">
      <c r="A845" s="709">
        <v>45977</v>
      </c>
      <c r="B845" s="710">
        <f>+B844*(1+$D$845/30)</f>
        <v>1634.2193233762364</v>
      </c>
      <c r="C845" s="711"/>
      <c r="D845" s="1131">
        <f>+M32</f>
        <v>1.6E-2</v>
      </c>
    </row>
    <row r="846" spans="1:4" ht="14.5" thickBot="1">
      <c r="A846" s="709">
        <v>45978</v>
      </c>
      <c r="B846" s="710">
        <f t="shared" ref="B846:B874" si="16">+B845*(1+$D$845/30)</f>
        <v>1635.0909070153702</v>
      </c>
      <c r="C846" s="711"/>
    </row>
    <row r="847" spans="1:4" ht="14.5" thickBot="1">
      <c r="A847" s="709">
        <v>45979</v>
      </c>
      <c r="B847" s="710">
        <f t="shared" si="16"/>
        <v>1635.9629554991118</v>
      </c>
      <c r="C847" s="711"/>
    </row>
    <row r="848" spans="1:4" ht="14.5" thickBot="1">
      <c r="A848" s="709">
        <v>45980</v>
      </c>
      <c r="B848" s="710">
        <f t="shared" si="16"/>
        <v>1636.8354690753779</v>
      </c>
      <c r="C848" s="711"/>
    </row>
    <row r="849" spans="1:3" ht="14.5" thickBot="1">
      <c r="A849" s="709">
        <v>45981</v>
      </c>
      <c r="B849" s="710">
        <f t="shared" si="16"/>
        <v>1637.708447992218</v>
      </c>
      <c r="C849" s="711"/>
    </row>
    <row r="850" spans="1:3" ht="14.5" thickBot="1">
      <c r="A850" s="709">
        <v>45982</v>
      </c>
      <c r="B850" s="710">
        <f t="shared" si="16"/>
        <v>1638.5818924978137</v>
      </c>
      <c r="C850" s="711"/>
    </row>
    <row r="851" spans="1:3" ht="14.5" thickBot="1">
      <c r="A851" s="709">
        <v>45983</v>
      </c>
      <c r="B851" s="710">
        <f t="shared" si="16"/>
        <v>1639.455802840479</v>
      </c>
      <c r="C851" s="711"/>
    </row>
    <row r="852" spans="1:3" ht="14.5" thickBot="1">
      <c r="A852" s="709">
        <v>45984</v>
      </c>
      <c r="B852" s="710">
        <f t="shared" si="16"/>
        <v>1640.3301792686605</v>
      </c>
      <c r="C852" s="711"/>
    </row>
    <row r="853" spans="1:3" ht="14.5" thickBot="1">
      <c r="A853" s="709">
        <v>45985</v>
      </c>
      <c r="B853" s="710">
        <f t="shared" si="16"/>
        <v>1641.205022030937</v>
      </c>
      <c r="C853" s="711"/>
    </row>
    <row r="854" spans="1:3" ht="14.5" thickBot="1">
      <c r="A854" s="709">
        <v>45986</v>
      </c>
      <c r="B854" s="710">
        <f t="shared" si="16"/>
        <v>1642.08033137602</v>
      </c>
      <c r="C854" s="711"/>
    </row>
    <row r="855" spans="1:3" ht="14.5" thickBot="1">
      <c r="A855" s="709">
        <v>45987</v>
      </c>
      <c r="B855" s="710">
        <f t="shared" si="16"/>
        <v>1642.9561075527538</v>
      </c>
      <c r="C855" s="711"/>
    </row>
    <row r="856" spans="1:3" ht="14.5" thickBot="1">
      <c r="A856" s="709">
        <v>45988</v>
      </c>
      <c r="B856" s="710">
        <f t="shared" si="16"/>
        <v>1643.8323508101153</v>
      </c>
      <c r="C856" s="711"/>
    </row>
    <row r="857" spans="1:3" ht="14.5" thickBot="1">
      <c r="A857" s="709">
        <v>45989</v>
      </c>
      <c r="B857" s="710">
        <f t="shared" si="16"/>
        <v>1644.7090613972139</v>
      </c>
      <c r="C857" s="711"/>
    </row>
    <row r="858" spans="1:3" ht="14.5" thickBot="1">
      <c r="A858" s="709">
        <v>45990</v>
      </c>
      <c r="B858" s="710">
        <f t="shared" si="16"/>
        <v>1645.5862395632923</v>
      </c>
      <c r="C858" s="711"/>
    </row>
    <row r="859" spans="1:3" ht="14.5" thickBot="1">
      <c r="A859" s="709">
        <v>45991</v>
      </c>
      <c r="B859" s="710">
        <f t="shared" si="16"/>
        <v>1646.4638855577259</v>
      </c>
      <c r="C859" s="711"/>
    </row>
    <row r="860" spans="1:3" ht="14.5" thickBot="1">
      <c r="A860" s="709">
        <v>45992</v>
      </c>
      <c r="B860" s="710">
        <f t="shared" si="16"/>
        <v>1647.3419996300233</v>
      </c>
      <c r="C860" s="711"/>
    </row>
    <row r="861" spans="1:3" ht="14.5" thickBot="1">
      <c r="A861" s="709">
        <v>45993</v>
      </c>
      <c r="B861" s="710">
        <f t="shared" si="16"/>
        <v>1648.2205820298259</v>
      </c>
      <c r="C861" s="711"/>
    </row>
    <row r="862" spans="1:3" ht="14.5" thickBot="1">
      <c r="A862" s="709">
        <v>45994</v>
      </c>
      <c r="B862" s="710">
        <f t="shared" si="16"/>
        <v>1649.0996330069083</v>
      </c>
      <c r="C862" s="711"/>
    </row>
    <row r="863" spans="1:3" ht="14.5" thickBot="1">
      <c r="A863" s="709">
        <v>45995</v>
      </c>
      <c r="B863" s="710">
        <f t="shared" si="16"/>
        <v>1649.9791528111787</v>
      </c>
      <c r="C863" s="711"/>
    </row>
    <row r="864" spans="1:3" ht="14.5" thickBot="1">
      <c r="A864" s="709">
        <v>45996</v>
      </c>
      <c r="B864" s="710">
        <f t="shared" si="16"/>
        <v>1650.8591416926779</v>
      </c>
      <c r="C864" s="711"/>
    </row>
    <row r="865" spans="1:3" ht="14.5" thickBot="1">
      <c r="A865" s="709">
        <v>45997</v>
      </c>
      <c r="B865" s="710">
        <f t="shared" si="16"/>
        <v>1651.7395999015805</v>
      </c>
      <c r="C865" s="711"/>
    </row>
    <row r="866" spans="1:3" ht="14.5" thickBot="1">
      <c r="A866" s="709">
        <v>45998</v>
      </c>
      <c r="B866" s="710">
        <f t="shared" si="16"/>
        <v>1652.6205276881947</v>
      </c>
      <c r="C866" s="711"/>
    </row>
    <row r="867" spans="1:3" ht="14.5" thickBot="1">
      <c r="A867" s="709">
        <v>45999</v>
      </c>
      <c r="B867" s="710">
        <f t="shared" si="16"/>
        <v>1653.5019253029616</v>
      </c>
      <c r="C867" s="711"/>
    </row>
    <row r="868" spans="1:3" ht="14.5" thickBot="1">
      <c r="A868" s="709">
        <v>46000</v>
      </c>
      <c r="B868" s="710">
        <f t="shared" si="16"/>
        <v>1654.3837929964564</v>
      </c>
      <c r="C868" s="711"/>
    </row>
    <row r="869" spans="1:3" ht="14.5" thickBot="1">
      <c r="A869" s="709">
        <v>46001</v>
      </c>
      <c r="B869" s="710">
        <f t="shared" si="16"/>
        <v>1655.2661310193878</v>
      </c>
      <c r="C869" s="711"/>
    </row>
    <row r="870" spans="1:3" ht="14.5" thickBot="1">
      <c r="A870" s="709">
        <v>46002</v>
      </c>
      <c r="B870" s="710">
        <f t="shared" si="16"/>
        <v>1656.1489396225979</v>
      </c>
      <c r="C870" s="711"/>
    </row>
    <row r="871" spans="1:3" ht="14.5" thickBot="1">
      <c r="A871" s="709">
        <v>46003</v>
      </c>
      <c r="B871" s="710">
        <f t="shared" si="16"/>
        <v>1657.0322190570632</v>
      </c>
      <c r="C871" s="711"/>
    </row>
    <row r="872" spans="1:3" ht="14.5" thickBot="1">
      <c r="A872" s="709">
        <v>46004</v>
      </c>
      <c r="B872" s="710">
        <f t="shared" si="16"/>
        <v>1657.9159695738936</v>
      </c>
      <c r="C872" s="711"/>
    </row>
    <row r="873" spans="1:3" ht="14.5" thickBot="1">
      <c r="A873" s="709">
        <v>46005</v>
      </c>
      <c r="B873" s="710">
        <f t="shared" si="16"/>
        <v>1658.800191424333</v>
      </c>
      <c r="C873" s="711"/>
    </row>
    <row r="874" spans="1:3" ht="14">
      <c r="A874" s="709">
        <v>46006</v>
      </c>
      <c r="B874" s="710">
        <f t="shared" si="16"/>
        <v>1659.6848848597592</v>
      </c>
      <c r="C874" s="711"/>
    </row>
  </sheetData>
  <mergeCells count="6">
    <mergeCell ref="K2:K5"/>
    <mergeCell ref="L2:L5"/>
    <mergeCell ref="G2:G5"/>
    <mergeCell ref="H2:H5"/>
    <mergeCell ref="K19:K22"/>
    <mergeCell ref="L19:L22"/>
  </mergeCells>
  <phoneticPr fontId="67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1">
    <pageSetUpPr fitToPage="1"/>
  </sheetPr>
  <dimension ref="A1:Q1178"/>
  <sheetViews>
    <sheetView tabSelected="1" topLeftCell="A56" zoomScaleNormal="100" workbookViewId="0">
      <selection activeCell="A65" sqref="A65:XFD65"/>
    </sheetView>
  </sheetViews>
  <sheetFormatPr baseColWidth="10" defaultColWidth="10.54296875" defaultRowHeight="12.5"/>
  <cols>
    <col min="1" max="1" width="16.453125" style="21" customWidth="1"/>
    <col min="2" max="2" width="19.90625" style="21" customWidth="1"/>
    <col min="3" max="3" width="20.7265625" style="21" customWidth="1"/>
    <col min="4" max="4" width="16.81640625" style="21" customWidth="1"/>
    <col min="5" max="5" width="8.6328125" style="21" customWidth="1"/>
    <col min="6" max="6" width="16.26953125" style="21" customWidth="1"/>
    <col min="7" max="7" width="22.08984375" style="21" customWidth="1"/>
    <col min="8" max="8" width="91.54296875" style="21" customWidth="1"/>
    <col min="9" max="9" width="19.1796875" style="21" customWidth="1"/>
    <col min="10" max="10" width="14.54296875" customWidth="1"/>
    <col min="11" max="11" width="15.54296875" customWidth="1"/>
    <col min="12" max="12" width="17" customWidth="1"/>
    <col min="13" max="13" width="15.54296875" customWidth="1"/>
    <col min="14" max="14" width="21.453125" customWidth="1"/>
    <col min="15" max="15" width="15.54296875" bestFit="1" customWidth="1"/>
    <col min="16" max="16" width="16.54296875" customWidth="1"/>
    <col min="17" max="17" width="11.6328125" bestFit="1" customWidth="1"/>
    <col min="19" max="19" width="15.54296875" customWidth="1"/>
    <col min="20" max="20" width="14.453125" customWidth="1"/>
    <col min="23" max="24" width="15.81640625" bestFit="1" customWidth="1"/>
  </cols>
  <sheetData>
    <row r="1" spans="1:10" ht="15.5">
      <c r="A1" s="38" t="s">
        <v>228</v>
      </c>
      <c r="B1" s="1"/>
      <c r="C1" s="1"/>
      <c r="D1" s="211"/>
      <c r="E1" s="212"/>
      <c r="F1" s="213"/>
      <c r="G1" s="214"/>
      <c r="H1" s="851"/>
    </row>
    <row r="3" spans="1:10" s="47" customFormat="1" ht="13">
      <c r="A3" s="597"/>
      <c r="B3" s="598"/>
      <c r="C3" s="1017">
        <v>58291</v>
      </c>
      <c r="D3" s="21"/>
      <c r="E3" s="21"/>
      <c r="F3" s="213"/>
      <c r="G3" s="214"/>
      <c r="H3" s="851"/>
      <c r="I3" s="21"/>
      <c r="J3" s="609">
        <v>90</v>
      </c>
    </row>
    <row r="4" spans="1:10" s="47" customFormat="1" ht="13">
      <c r="A4" s="597" t="s">
        <v>793</v>
      </c>
      <c r="B4" s="598"/>
      <c r="C4" s="1017">
        <v>0</v>
      </c>
      <c r="D4" s="21"/>
      <c r="E4" s="21"/>
      <c r="F4" s="213"/>
      <c r="G4" s="214"/>
      <c r="H4" s="851"/>
      <c r="I4" s="21"/>
      <c r="J4" s="609"/>
    </row>
    <row r="5" spans="1:10" s="47" customFormat="1" ht="13">
      <c r="A5" s="597" t="s">
        <v>229</v>
      </c>
      <c r="B5" s="598"/>
      <c r="C5" s="599">
        <v>0</v>
      </c>
      <c r="D5" s="21"/>
      <c r="E5" s="21"/>
      <c r="F5" s="213"/>
      <c r="G5" s="214"/>
      <c r="H5" s="851"/>
      <c r="I5" s="21"/>
      <c r="J5" s="609">
        <v>90</v>
      </c>
    </row>
    <row r="6" spans="1:10" s="47" customFormat="1" ht="13">
      <c r="A6" s="597" t="s">
        <v>230</v>
      </c>
      <c r="B6" s="852"/>
      <c r="C6" s="1018">
        <f>720+62565.63</f>
        <v>63285.63</v>
      </c>
      <c r="F6" s="213"/>
      <c r="G6" s="214"/>
      <c r="H6" s="851"/>
      <c r="I6" s="21"/>
      <c r="J6"/>
    </row>
    <row r="7" spans="1:10" s="47" customFormat="1" ht="13">
      <c r="A7" s="597" t="s">
        <v>231</v>
      </c>
      <c r="B7" s="852"/>
      <c r="C7" s="599">
        <v>0</v>
      </c>
      <c r="F7" s="213"/>
      <c r="G7" s="214"/>
      <c r="H7" s="851"/>
      <c r="I7" s="21"/>
      <c r="J7"/>
    </row>
    <row r="8" spans="1:10" s="47" customFormat="1" ht="15.75" customHeight="1">
      <c r="A8" s="814" t="s">
        <v>232</v>
      </c>
      <c r="B8" s="853"/>
      <c r="C8" s="816">
        <f>+C47</f>
        <v>0</v>
      </c>
      <c r="F8" s="213"/>
      <c r="G8" s="214"/>
      <c r="H8" s="21"/>
      <c r="I8" s="21"/>
      <c r="J8"/>
    </row>
    <row r="9" spans="1:10" s="47" customFormat="1" ht="15.75" customHeight="1">
      <c r="A9" s="814" t="s">
        <v>233</v>
      </c>
      <c r="B9" s="815"/>
      <c r="C9" s="816">
        <f>SUM(C3:C8)</f>
        <v>121576.63</v>
      </c>
      <c r="F9" s="214">
        <f>+C9+resumen!H1951</f>
        <v>295205.78000000003</v>
      </c>
      <c r="G9" s="214"/>
      <c r="H9" s="21"/>
      <c r="I9" s="21"/>
      <c r="J9"/>
    </row>
    <row r="10" spans="1:10" ht="13">
      <c r="A10" s="817" t="s">
        <v>234</v>
      </c>
      <c r="B10" s="854"/>
      <c r="C10" s="1156">
        <v>22463.01</v>
      </c>
      <c r="F10" s="213"/>
      <c r="G10" s="214"/>
    </row>
    <row r="11" spans="1:10" ht="13">
      <c r="A11" s="818" t="s">
        <v>795</v>
      </c>
      <c r="B11" s="855"/>
      <c r="C11" s="1019">
        <v>16686</v>
      </c>
      <c r="D11" s="47"/>
      <c r="E11" s="47"/>
      <c r="F11" s="213"/>
      <c r="G11" s="214"/>
      <c r="I11" s="235"/>
    </row>
    <row r="12" spans="1:10" ht="13">
      <c r="A12" s="818"/>
      <c r="B12" s="855"/>
      <c r="C12" s="1019">
        <v>53340</v>
      </c>
      <c r="D12" s="47"/>
      <c r="E12" s="47"/>
      <c r="F12" s="213"/>
      <c r="G12" s="214"/>
      <c r="I12" s="235"/>
    </row>
    <row r="13" spans="1:10" ht="13">
      <c r="A13" s="818" t="s">
        <v>794</v>
      </c>
      <c r="B13" s="855"/>
      <c r="C13" s="1019">
        <f>2000+5000+1000+500</f>
        <v>8500</v>
      </c>
      <c r="D13" s="47"/>
      <c r="E13" s="47"/>
      <c r="F13" s="213"/>
      <c r="G13" s="214"/>
      <c r="I13" s="235"/>
    </row>
    <row r="14" spans="1:10" ht="13">
      <c r="A14" s="818" t="s">
        <v>796</v>
      </c>
      <c r="B14" s="1019">
        <v>143288.48000000001</v>
      </c>
      <c r="C14" s="1019">
        <v>0</v>
      </c>
      <c r="D14" s="47"/>
      <c r="E14" s="47"/>
      <c r="F14" s="213"/>
      <c r="G14" s="214"/>
      <c r="I14" s="235"/>
    </row>
    <row r="15" spans="1:10" ht="13">
      <c r="A15" s="818" t="s">
        <v>235</v>
      </c>
      <c r="B15" s="855"/>
      <c r="C15" s="856">
        <v>705.66</v>
      </c>
      <c r="D15" s="47"/>
      <c r="E15" s="47"/>
      <c r="F15" s="213"/>
      <c r="G15" s="214">
        <f>SUM(G16:G18)</f>
        <v>4065.01</v>
      </c>
      <c r="I15" s="235"/>
    </row>
    <row r="16" spans="1:10" ht="13">
      <c r="A16" s="817" t="s">
        <v>236</v>
      </c>
      <c r="B16" s="855"/>
      <c r="C16" s="857">
        <f>1*50+15*20+1*10+3*5</f>
        <v>375</v>
      </c>
      <c r="D16" s="47"/>
      <c r="E16" s="47"/>
      <c r="F16" s="1036" t="e">
        <f>SUM(#REF!)</f>
        <v>#REF!</v>
      </c>
      <c r="G16" s="214">
        <v>3046.88</v>
      </c>
      <c r="I16" s="235"/>
    </row>
    <row r="17" spans="1:10" ht="13">
      <c r="A17" s="605" t="s">
        <v>237</v>
      </c>
      <c r="B17" s="605"/>
      <c r="C17" s="820">
        <f>+C9</f>
        <v>121576.63</v>
      </c>
      <c r="D17" s="47"/>
      <c r="E17" s="47"/>
      <c r="F17" s="213"/>
      <c r="G17" s="214">
        <v>960.63</v>
      </c>
      <c r="I17" s="235"/>
    </row>
    <row r="18" spans="1:10" ht="13">
      <c r="A18" s="605" t="s">
        <v>238</v>
      </c>
      <c r="B18" s="605">
        <v>1.1200000000000001</v>
      </c>
      <c r="C18" s="820">
        <f>SUM(C10:C15)</f>
        <v>101694.67</v>
      </c>
      <c r="D18" s="47"/>
      <c r="E18" s="47"/>
      <c r="F18" s="211"/>
      <c r="G18" s="214">
        <v>57.5</v>
      </c>
      <c r="I18" s="235"/>
    </row>
    <row r="19" spans="1:10" ht="13">
      <c r="A19" s="605"/>
      <c r="B19" s="605"/>
      <c r="C19" s="820">
        <f>+(C17+C18*B18)</f>
        <v>235474.66039999999</v>
      </c>
      <c r="D19" s="47"/>
      <c r="E19" s="47"/>
      <c r="F19" s="213"/>
      <c r="G19" s="214">
        <v>37912</v>
      </c>
      <c r="I19" s="235"/>
    </row>
    <row r="20" spans="1:10" ht="13">
      <c r="A20" s="605" t="s">
        <v>239</v>
      </c>
      <c r="B20" s="605"/>
      <c r="C20" s="819">
        <f>+C624</f>
        <v>89447393.709999993</v>
      </c>
      <c r="D20" s="47"/>
      <c r="E20" s="47"/>
      <c r="F20" s="213"/>
      <c r="G20" s="214">
        <v>180</v>
      </c>
      <c r="I20" s="235"/>
    </row>
    <row r="21" spans="1:10" ht="13">
      <c r="A21" s="605"/>
      <c r="B21" s="605"/>
      <c r="C21" s="606">
        <f>SUM(C23:C30)</f>
        <v>674000</v>
      </c>
      <c r="D21" s="47"/>
      <c r="E21" s="47"/>
      <c r="F21" s="1036">
        <f>SUM(C23:C30)</f>
        <v>674000</v>
      </c>
      <c r="G21" s="214" t="e">
        <f>+F24+#REF!</f>
        <v>#REF!</v>
      </c>
      <c r="H21" s="21">
        <f>141000+41000+24000</f>
        <v>206000</v>
      </c>
      <c r="I21" s="235"/>
    </row>
    <row r="22" spans="1:10" s="47" customFormat="1" ht="14.15" customHeight="1" thickBot="1">
      <c r="A22" s="1119" t="s">
        <v>0</v>
      </c>
      <c r="B22" s="1120" t="s">
        <v>218</v>
      </c>
      <c r="C22" s="1121" t="s">
        <v>219</v>
      </c>
      <c r="D22" s="1122" t="s">
        <v>220</v>
      </c>
      <c r="E22" s="1119" t="s">
        <v>221</v>
      </c>
      <c r="F22" s="1119" t="s">
        <v>222</v>
      </c>
      <c r="G22" s="1123" t="s">
        <v>223</v>
      </c>
      <c r="H22" s="1123"/>
      <c r="I22" s="21"/>
      <c r="J22" s="609">
        <v>90</v>
      </c>
    </row>
    <row r="23" spans="1:10" s="47" customFormat="1" ht="13">
      <c r="A23" s="830">
        <v>45883</v>
      </c>
      <c r="B23" s="1111">
        <v>31076.77</v>
      </c>
      <c r="C23" s="823">
        <v>30000</v>
      </c>
      <c r="D23" s="1113">
        <f>+E23+A23</f>
        <v>45976</v>
      </c>
      <c r="E23" s="822">
        <v>93</v>
      </c>
      <c r="F23" s="858">
        <f>+C23*4.375%/2</f>
        <v>656.25</v>
      </c>
      <c r="G23" s="813" t="s">
        <v>240</v>
      </c>
      <c r="H23" s="813" t="s">
        <v>847</v>
      </c>
      <c r="I23" s="21"/>
      <c r="J23" s="609">
        <v>90</v>
      </c>
    </row>
    <row r="24" spans="1:10" s="47" customFormat="1" ht="13">
      <c r="A24" s="830">
        <v>45547</v>
      </c>
      <c r="B24" s="1111">
        <v>216000</v>
      </c>
      <c r="C24" s="823">
        <v>216000</v>
      </c>
      <c r="D24" s="1113">
        <v>45976</v>
      </c>
      <c r="E24" s="822">
        <v>184</v>
      </c>
      <c r="F24" s="858">
        <f>+C24*4.375%/2</f>
        <v>4725</v>
      </c>
      <c r="G24" s="813" t="s">
        <v>240</v>
      </c>
      <c r="H24" s="813" t="s">
        <v>847</v>
      </c>
      <c r="I24" s="21">
        <f>+F24*2/B24</f>
        <v>4.3749999999999997E-2</v>
      </c>
      <c r="J24" s="609"/>
    </row>
    <row r="25" spans="1:10" s="47" customFormat="1" ht="13">
      <c r="A25" s="830"/>
      <c r="B25" s="1111">
        <v>53000</v>
      </c>
      <c r="C25" s="823">
        <v>53000</v>
      </c>
      <c r="D25" s="1113">
        <v>45976</v>
      </c>
      <c r="E25" s="822">
        <v>184</v>
      </c>
      <c r="F25" s="858">
        <f>+C25*4.375%/2</f>
        <v>1159.375</v>
      </c>
      <c r="G25" s="813" t="s">
        <v>242</v>
      </c>
      <c r="H25" s="813" t="s">
        <v>842</v>
      </c>
      <c r="I25" s="21"/>
      <c r="J25" s="609">
        <v>90</v>
      </c>
    </row>
    <row r="26" spans="1:10" s="47" customFormat="1" ht="13">
      <c r="A26" s="830">
        <v>45701</v>
      </c>
      <c r="B26" s="1111">
        <v>100000</v>
      </c>
      <c r="C26" s="823">
        <v>100000</v>
      </c>
      <c r="D26" s="1113">
        <v>45976</v>
      </c>
      <c r="E26" s="822">
        <v>166</v>
      </c>
      <c r="F26" s="858">
        <f>+C26*4.375%/2</f>
        <v>2187.5</v>
      </c>
      <c r="G26" s="813" t="s">
        <v>243</v>
      </c>
      <c r="H26" s="813" t="s">
        <v>847</v>
      </c>
      <c r="I26" s="21"/>
      <c r="J26" s="609">
        <v>90</v>
      </c>
    </row>
    <row r="27" spans="1:10" s="47" customFormat="1" ht="13">
      <c r="A27" s="676">
        <v>45713</v>
      </c>
      <c r="B27" s="1110">
        <v>51002.93</v>
      </c>
      <c r="C27" s="692">
        <v>52000</v>
      </c>
      <c r="D27" s="1112">
        <v>45989</v>
      </c>
      <c r="E27" s="630">
        <v>180</v>
      </c>
      <c r="F27" s="840">
        <v>1997.0699999999997</v>
      </c>
      <c r="G27" s="469" t="s">
        <v>242</v>
      </c>
      <c r="H27" s="469" t="s">
        <v>241</v>
      </c>
      <c r="I27" s="21"/>
      <c r="J27" s="609"/>
    </row>
    <row r="28" spans="1:10" ht="13">
      <c r="A28" s="821"/>
      <c r="B28" s="1111">
        <v>125000</v>
      </c>
      <c r="C28" s="823">
        <v>125000</v>
      </c>
      <c r="D28" s="1113">
        <v>45991</v>
      </c>
      <c r="E28" s="822">
        <v>184</v>
      </c>
      <c r="F28" s="858">
        <f>+C28*4.875%/2</f>
        <v>3046.875</v>
      </c>
      <c r="G28" s="813" t="s">
        <v>242</v>
      </c>
      <c r="H28" s="813" t="s">
        <v>840</v>
      </c>
      <c r="J28" s="609"/>
    </row>
    <row r="29" spans="1:10" s="47" customFormat="1" ht="13">
      <c r="A29" s="830">
        <v>45519</v>
      </c>
      <c r="B29" s="1111">
        <v>53000</v>
      </c>
      <c r="C29" s="823">
        <v>53000</v>
      </c>
      <c r="D29" s="1113">
        <v>45991</v>
      </c>
      <c r="E29" s="822">
        <v>183</v>
      </c>
      <c r="F29" s="858">
        <f>+C29*3.625%/2</f>
        <v>960.62499999999989</v>
      </c>
      <c r="G29" s="813" t="s">
        <v>245</v>
      </c>
      <c r="H29" s="813" t="s">
        <v>841</v>
      </c>
      <c r="I29" s="21"/>
      <c r="J29" s="609"/>
    </row>
    <row r="30" spans="1:10" s="47" customFormat="1" ht="13">
      <c r="A30" s="830">
        <v>45810</v>
      </c>
      <c r="B30" s="1111">
        <v>45000</v>
      </c>
      <c r="C30" s="823">
        <v>45000</v>
      </c>
      <c r="D30" s="1113">
        <v>45991</v>
      </c>
      <c r="E30" s="822">
        <v>183</v>
      </c>
      <c r="F30" s="858">
        <f>+C30*4.125%/2</f>
        <v>928.125</v>
      </c>
      <c r="G30" s="813" t="s">
        <v>243</v>
      </c>
      <c r="H30" s="813" t="s">
        <v>851</v>
      </c>
      <c r="I30" s="21"/>
      <c r="J30" s="609">
        <v>90</v>
      </c>
    </row>
    <row r="31" spans="1:10" s="47" customFormat="1" ht="13">
      <c r="A31" s="830">
        <v>45679</v>
      </c>
      <c r="B31" s="1111">
        <v>57000</v>
      </c>
      <c r="C31" s="823">
        <v>57000</v>
      </c>
      <c r="D31" s="1113">
        <v>46008</v>
      </c>
      <c r="E31" s="822">
        <v>329</v>
      </c>
      <c r="F31" s="858">
        <f>+C31*4.25%/2</f>
        <v>1211.25</v>
      </c>
      <c r="G31" s="813" t="s">
        <v>245</v>
      </c>
      <c r="H31" s="813" t="s">
        <v>839</v>
      </c>
      <c r="I31" s="837" t="s">
        <v>789</v>
      </c>
      <c r="J31" s="609">
        <v>90</v>
      </c>
    </row>
    <row r="32" spans="1:10" s="47" customFormat="1" ht="13">
      <c r="A32" s="830">
        <v>45838</v>
      </c>
      <c r="B32" s="1111">
        <v>165000</v>
      </c>
      <c r="C32" s="823">
        <v>165000</v>
      </c>
      <c r="D32" s="1113">
        <f>+A32+E32</f>
        <v>46021</v>
      </c>
      <c r="E32" s="822">
        <v>183</v>
      </c>
      <c r="F32" s="858">
        <f>+C32*4.25%/2</f>
        <v>3506.2500000000005</v>
      </c>
      <c r="G32" s="813" t="s">
        <v>243</v>
      </c>
      <c r="H32" s="813" t="s">
        <v>850</v>
      </c>
      <c r="I32" s="21"/>
      <c r="J32" s="609">
        <v>37</v>
      </c>
    </row>
    <row r="33" spans="1:10" s="47" customFormat="1" ht="13">
      <c r="A33" s="830">
        <v>45858</v>
      </c>
      <c r="B33" s="1111">
        <v>140000</v>
      </c>
      <c r="C33" s="823">
        <f>+B33</f>
        <v>140000</v>
      </c>
      <c r="D33" s="1113">
        <f>+A33+E33</f>
        <v>46042</v>
      </c>
      <c r="E33" s="822">
        <v>184</v>
      </c>
      <c r="F33" s="858">
        <f>+C33*7.125%/2</f>
        <v>4987.5</v>
      </c>
      <c r="G33" s="813" t="s">
        <v>240</v>
      </c>
      <c r="H33" s="813" t="s">
        <v>846</v>
      </c>
      <c r="I33" s="837">
        <f>+F33*2/B33</f>
        <v>7.1249999999999994E-2</v>
      </c>
      <c r="J33" s="609">
        <v>37</v>
      </c>
    </row>
    <row r="34" spans="1:10" s="47" customFormat="1" ht="13">
      <c r="A34" s="830">
        <v>45858</v>
      </c>
      <c r="B34" s="1111">
        <f>21000+125000</f>
        <v>146000</v>
      </c>
      <c r="C34" s="823">
        <f>+B34</f>
        <v>146000</v>
      </c>
      <c r="D34" s="1113">
        <f>+A34+E34</f>
        <v>46042</v>
      </c>
      <c r="E34" s="822">
        <v>184</v>
      </c>
      <c r="F34" s="858">
        <f>+C34*7.125%/2</f>
        <v>5201.25</v>
      </c>
      <c r="G34" s="813" t="s">
        <v>243</v>
      </c>
      <c r="H34" s="813" t="s">
        <v>846</v>
      </c>
      <c r="I34" s="21"/>
      <c r="J34" s="609">
        <v>90</v>
      </c>
    </row>
    <row r="35" spans="1:10" s="47" customFormat="1" ht="13">
      <c r="A35" s="676">
        <v>45890</v>
      </c>
      <c r="B35" s="1110">
        <v>25614.11</v>
      </c>
      <c r="C35" s="692">
        <v>26000</v>
      </c>
      <c r="D35" s="1112">
        <f>+A35+E35</f>
        <v>46053</v>
      </c>
      <c r="E35" s="630">
        <v>163</v>
      </c>
      <c r="F35" s="840">
        <f>+C35-B35</f>
        <v>385.88999999999942</v>
      </c>
      <c r="G35" s="469" t="s">
        <v>242</v>
      </c>
      <c r="H35" s="469" t="s">
        <v>241</v>
      </c>
      <c r="I35" s="21"/>
      <c r="J35" s="609">
        <v>90</v>
      </c>
    </row>
    <row r="36" spans="1:10" s="47" customFormat="1" ht="26">
      <c r="A36" s="830">
        <v>45870</v>
      </c>
      <c r="B36" s="1142">
        <f>36000+33000</f>
        <v>69000</v>
      </c>
      <c r="C36" s="1143">
        <f>+B36</f>
        <v>69000</v>
      </c>
      <c r="D36" s="1113">
        <f>+E36+A36</f>
        <v>46054</v>
      </c>
      <c r="E36" s="822">
        <v>184</v>
      </c>
      <c r="F36" s="1130">
        <f>+C36*3.65%/2</f>
        <v>1259.25</v>
      </c>
      <c r="G36" s="813" t="s">
        <v>243</v>
      </c>
      <c r="H36" s="1124" t="s">
        <v>848</v>
      </c>
      <c r="I36" s="21"/>
      <c r="J36" s="609">
        <v>90</v>
      </c>
    </row>
    <row r="37" spans="1:10" s="47" customFormat="1" ht="13">
      <c r="A37" s="830">
        <v>45884</v>
      </c>
      <c r="B37" s="1111">
        <v>50000</v>
      </c>
      <c r="C37" s="823">
        <v>50000</v>
      </c>
      <c r="D37" s="1113">
        <f>+A37+E37</f>
        <v>46068</v>
      </c>
      <c r="E37" s="822">
        <v>184</v>
      </c>
      <c r="F37" s="858">
        <v>1000</v>
      </c>
      <c r="G37" s="813" t="s">
        <v>245</v>
      </c>
      <c r="H37" s="813" t="s">
        <v>843</v>
      </c>
      <c r="I37" s="21">
        <v>45000</v>
      </c>
      <c r="J37" s="609"/>
    </row>
    <row r="38" spans="1:10" s="47" customFormat="1" ht="13">
      <c r="A38" s="830">
        <v>45884</v>
      </c>
      <c r="B38" s="1028">
        <f>206000+35000</f>
        <v>241000</v>
      </c>
      <c r="C38" s="1028">
        <f>+B38</f>
        <v>241000</v>
      </c>
      <c r="D38" s="1113">
        <f>+A38+E38</f>
        <v>46068</v>
      </c>
      <c r="E38" s="822">
        <v>184</v>
      </c>
      <c r="F38" s="858">
        <f>+C38*4%/2</f>
        <v>4820</v>
      </c>
      <c r="G38" s="813" t="s">
        <v>243</v>
      </c>
      <c r="H38" s="813" t="s">
        <v>849</v>
      </c>
      <c r="I38" s="837"/>
      <c r="J38" s="609"/>
    </row>
    <row r="39" spans="1:10" s="47" customFormat="1" ht="13">
      <c r="A39" s="830">
        <v>45638</v>
      </c>
      <c r="B39" s="1111">
        <v>30305.83</v>
      </c>
      <c r="C39" s="823">
        <v>37000</v>
      </c>
      <c r="D39" s="1113">
        <v>47529</v>
      </c>
      <c r="E39" s="822">
        <v>0</v>
      </c>
      <c r="F39" s="1097"/>
      <c r="G39" s="813" t="s">
        <v>242</v>
      </c>
      <c r="H39" s="813" t="s">
        <v>844</v>
      </c>
      <c r="I39" s="21" t="s">
        <v>789</v>
      </c>
      <c r="J39" s="609"/>
    </row>
    <row r="40" spans="1:10" ht="13">
      <c r="A40" s="830">
        <v>45808</v>
      </c>
      <c r="B40" s="1111">
        <v>23760.35</v>
      </c>
      <c r="C40" s="823">
        <v>36000</v>
      </c>
      <c r="D40" s="1113">
        <v>49171</v>
      </c>
      <c r="E40" s="822">
        <v>0</v>
      </c>
      <c r="F40" s="1097"/>
      <c r="G40" s="813" t="s">
        <v>242</v>
      </c>
      <c r="H40" s="813" t="s">
        <v>845</v>
      </c>
    </row>
    <row r="42" spans="1:10">
      <c r="B42" s="649">
        <f>SUBTOTAL(109,B23:B40)</f>
        <v>1621759.9900000002</v>
      </c>
      <c r="C42" s="649">
        <f>SUBTOTAL(109,C23:C40)</f>
        <v>1641000</v>
      </c>
      <c r="E42" s="21">
        <f>MEDIAN(E29:E37)</f>
        <v>184</v>
      </c>
      <c r="F42" s="649">
        <f>SUM(F23:F40)</f>
        <v>38032.21</v>
      </c>
    </row>
    <row r="43" spans="1:10">
      <c r="B43" s="649"/>
      <c r="C43" s="649">
        <f>+C42-B42</f>
        <v>19240.009999999776</v>
      </c>
      <c r="D43" s="508">
        <f>+C43/B42*2</f>
        <v>2.3727321081585907E-2</v>
      </c>
      <c r="F43" s="21">
        <f>SUBTOTAL(9,F23:F38)</f>
        <v>38032.21</v>
      </c>
      <c r="H43" s="21">
        <f>SUM(H29:H31)</f>
        <v>0</v>
      </c>
      <c r="I43" s="621" t="s">
        <v>250</v>
      </c>
    </row>
    <row r="44" spans="1:10">
      <c r="A44" s="217" t="s">
        <v>0</v>
      </c>
      <c r="B44" s="217" t="s">
        <v>218</v>
      </c>
      <c r="C44" s="217">
        <f>SUM(C36:C40)</f>
        <v>433000</v>
      </c>
      <c r="D44" s="622" t="s">
        <v>220</v>
      </c>
      <c r="E44" s="217" t="s">
        <v>221</v>
      </c>
      <c r="F44" s="217" t="s">
        <v>222</v>
      </c>
      <c r="G44" s="217" t="s">
        <v>223</v>
      </c>
      <c r="H44" s="299" t="s">
        <v>182</v>
      </c>
    </row>
    <row r="45" spans="1:10">
      <c r="C45" s="21">
        <v>27657.985000000102</v>
      </c>
      <c r="I45" s="235"/>
    </row>
    <row r="46" spans="1:10" ht="13">
      <c r="A46" s="422"/>
      <c r="B46" s="454"/>
      <c r="C46" s="454"/>
      <c r="D46" s="624"/>
      <c r="E46" s="630"/>
      <c r="F46" s="423"/>
      <c r="G46" s="469"/>
      <c r="I46" s="235"/>
    </row>
    <row r="47" spans="1:10" ht="13">
      <c r="A47" s="422"/>
      <c r="B47" s="454">
        <f>SUM(B46)</f>
        <v>0</v>
      </c>
      <c r="C47" s="454">
        <f>SUM(C46)</f>
        <v>0</v>
      </c>
      <c r="D47" s="624"/>
      <c r="E47" s="630"/>
      <c r="F47" s="423"/>
      <c r="G47" s="469"/>
      <c r="I47" s="235"/>
    </row>
    <row r="48" spans="1:10" ht="13">
      <c r="A48" s="532"/>
      <c r="B48" s="454"/>
      <c r="C48" s="454">
        <f>+C47-B47</f>
        <v>0</v>
      </c>
      <c r="D48" s="624"/>
      <c r="E48" s="630"/>
      <c r="F48" s="423"/>
      <c r="G48" s="469"/>
    </row>
    <row r="50" spans="1:14" ht="13">
      <c r="A50" s="532" t="s">
        <v>251</v>
      </c>
      <c r="B50" s="648">
        <f>+B42</f>
        <v>1621759.9900000002</v>
      </c>
      <c r="C50" s="648">
        <f>+C42</f>
        <v>1641000</v>
      </c>
      <c r="D50"/>
      <c r="E50" s="7"/>
      <c r="F50"/>
      <c r="G50"/>
      <c r="H50" s="209"/>
      <c r="I50" s="623"/>
    </row>
    <row r="51" spans="1:14" ht="14">
      <c r="A51" s="532"/>
      <c r="B51" s="654">
        <f>+B47+B50</f>
        <v>1621759.9900000002</v>
      </c>
      <c r="C51" s="654">
        <f>+C47+C50</f>
        <v>1641000</v>
      </c>
      <c r="D51"/>
      <c r="E51" s="7"/>
      <c r="F51"/>
      <c r="G51"/>
      <c r="H51" s="209"/>
      <c r="I51" s="623"/>
    </row>
    <row r="52" spans="1:14">
      <c r="A52" s="532"/>
      <c r="B52" s="47"/>
      <c r="C52" s="47"/>
      <c r="D52"/>
      <c r="E52" s="7"/>
      <c r="F52"/>
      <c r="G52"/>
      <c r="H52" s="209"/>
      <c r="I52" s="298"/>
    </row>
    <row r="53" spans="1:14">
      <c r="A53" s="532" t="s">
        <v>252</v>
      </c>
      <c r="B53" s="454">
        <f>SUBTOTAL(109,' PF ANTERIORES U$S'!B538:B538)</f>
        <v>58256</v>
      </c>
      <c r="C53" s="454">
        <f>+C47</f>
        <v>0</v>
      </c>
      <c r="D53"/>
      <c r="E53" s="7"/>
      <c r="F53"/>
      <c r="G53"/>
      <c r="H53" s="209"/>
    </row>
    <row r="55" spans="1:14">
      <c r="I55" s="298"/>
    </row>
    <row r="56" spans="1:14" ht="13">
      <c r="A56" s="532"/>
      <c r="B56" s="533"/>
      <c r="C56" s="454"/>
      <c r="D56"/>
      <c r="E56" s="7"/>
      <c r="F56"/>
      <c r="G56"/>
      <c r="H56" s="775"/>
      <c r="I56" s="298"/>
    </row>
    <row r="57" spans="1:14" ht="13">
      <c r="A57" s="532"/>
      <c r="B57" s="533"/>
      <c r="C57" s="533"/>
      <c r="D57"/>
      <c r="E57" s="7"/>
      <c r="F57"/>
      <c r="G57"/>
      <c r="H57" s="209"/>
      <c r="I57" s="298"/>
    </row>
    <row r="58" spans="1:14" ht="13">
      <c r="A58" s="532" t="s">
        <v>253</v>
      </c>
      <c r="B58" s="533"/>
      <c r="C58" s="454">
        <v>104993.16</v>
      </c>
      <c r="D58" s="596" t="e">
        <f>SUM(#REF!)</f>
        <v>#REF!</v>
      </c>
      <c r="E58" s="7"/>
      <c r="F58"/>
      <c r="G58"/>
      <c r="H58" s="209">
        <f>2.88*12</f>
        <v>34.56</v>
      </c>
      <c r="I58" s="298"/>
    </row>
    <row r="59" spans="1:14" ht="13">
      <c r="A59" s="532" t="s">
        <v>254</v>
      </c>
      <c r="B59" s="533"/>
      <c r="C59" s="454">
        <v>2240.59</v>
      </c>
      <c r="D59"/>
      <c r="E59" s="7"/>
      <c r="F59"/>
      <c r="G59"/>
      <c r="H59" s="209"/>
    </row>
    <row r="60" spans="1:14" ht="13">
      <c r="A60" s="532" t="s">
        <v>237</v>
      </c>
      <c r="B60" s="533"/>
      <c r="C60" s="599">
        <f>+C53+C58</f>
        <v>104993.16</v>
      </c>
      <c r="D60"/>
      <c r="E60" s="7"/>
      <c r="F60"/>
      <c r="G60"/>
      <c r="H60" s="209"/>
      <c r="I60" s="298"/>
    </row>
    <row r="61" spans="1:14" ht="13">
      <c r="A61" s="532" t="s">
        <v>255</v>
      </c>
      <c r="B61" s="533"/>
      <c r="C61" s="859"/>
      <c r="D61" s="534"/>
      <c r="E61" s="532"/>
      <c r="F61" s="601"/>
      <c r="G61" s="536"/>
      <c r="H61" s="775" t="e">
        <f>SUM(#REF!)</f>
        <v>#REF!</v>
      </c>
      <c r="I61" s="298"/>
    </row>
    <row r="62" spans="1:14" ht="13">
      <c r="A62" s="532"/>
      <c r="B62" s="533"/>
      <c r="C62" s="533"/>
      <c r="D62" s="534"/>
      <c r="E62" s="532">
        <f>A62+D62</f>
        <v>0</v>
      </c>
      <c r="F62" s="601"/>
      <c r="G62" s="536"/>
      <c r="H62" s="775" t="e">
        <f>SUM(#REF!)</f>
        <v>#REF!</v>
      </c>
      <c r="I62" s="298"/>
    </row>
    <row r="63" spans="1:14" s="732" customFormat="1" ht="28.5" customHeight="1">
      <c r="A63" s="731" t="s">
        <v>0</v>
      </c>
      <c r="B63" s="731" t="s">
        <v>218</v>
      </c>
      <c r="C63" s="731" t="s">
        <v>219</v>
      </c>
      <c r="D63" s="731" t="s">
        <v>220</v>
      </c>
      <c r="E63" s="731" t="s">
        <v>221</v>
      </c>
      <c r="F63" s="731" t="s">
        <v>222</v>
      </c>
      <c r="G63" s="731" t="s">
        <v>223</v>
      </c>
      <c r="H63" s="209" t="s">
        <v>825</v>
      </c>
      <c r="I63" s="1116" t="s">
        <v>826</v>
      </c>
      <c r="J63" s="1116" t="s">
        <v>827</v>
      </c>
      <c r="K63" s="1116" t="s">
        <v>828</v>
      </c>
      <c r="L63" s="1116" t="s">
        <v>829</v>
      </c>
      <c r="M63" s="1116" t="s">
        <v>830</v>
      </c>
    </row>
    <row r="64" spans="1:14" s="611" customFormat="1" ht="14.25" customHeight="1">
      <c r="A64" s="1064">
        <v>45915</v>
      </c>
      <c r="B64" s="1061">
        <v>185000</v>
      </c>
      <c r="C64" s="1061">
        <f t="shared" ref="C64:C95" si="0">B64+(B64*F64/365*E64)*1</f>
        <v>195182.60273972602</v>
      </c>
      <c r="D64" s="1062">
        <f t="shared" ref="D64:D95" si="1">+A64+E64</f>
        <v>45964</v>
      </c>
      <c r="E64" s="1063">
        <v>49</v>
      </c>
      <c r="F64" s="1065">
        <v>0.41</v>
      </c>
      <c r="G64" s="1066" t="s">
        <v>257</v>
      </c>
      <c r="H64" s="1067">
        <f t="shared" ref="H64:H95" si="2">(C64-B64)/E64*30</f>
        <v>6234.2465753424603</v>
      </c>
      <c r="I64" s="1094">
        <f>VLOOKUP(Tabla1[[#This Row],[FECHA]],TablaUVA[#All],2)</f>
        <v>1581.0787389428131</v>
      </c>
      <c r="J64" s="1094">
        <f>VLOOKUP(Tabla1[[#This Row],[VTO.]],TablaUVA[#All],2)</f>
        <v>1622.9309243646992</v>
      </c>
      <c r="K64" s="1093">
        <f>+Tabla1[[#This Row],[DEPOSITADO]]/I64</f>
        <v>117.00872033969674</v>
      </c>
      <c r="L64" s="1095">
        <f>IF(Tabla1[[#This Row],[DIAS]]&gt;89,+K64*J64*(1+1%/365*Tabla1[[#This Row],[DIAS]]),Tabla1[[#This Row],[ACOBRAR]])</f>
        <v>195182.60273972602</v>
      </c>
      <c r="M64" s="1096">
        <f>+L64-Tabla1[[#This Row],[ACOBRAR]]</f>
        <v>0</v>
      </c>
      <c r="N64"/>
    </row>
    <row r="65" spans="1:16" s="611" customFormat="1" ht="14.25" customHeight="1">
      <c r="A65" s="1062">
        <v>45915</v>
      </c>
      <c r="B65" s="713">
        <v>621000</v>
      </c>
      <c r="C65" s="1061">
        <f t="shared" si="0"/>
        <v>656014.19178082189</v>
      </c>
      <c r="D65" s="1062">
        <f t="shared" si="1"/>
        <v>45964</v>
      </c>
      <c r="E65" s="1063">
        <v>49</v>
      </c>
      <c r="F65" s="1065">
        <v>0.42</v>
      </c>
      <c r="G65" s="716" t="s">
        <v>260</v>
      </c>
      <c r="H65" s="717">
        <f t="shared" si="2"/>
        <v>21437.260273972584</v>
      </c>
      <c r="I65" s="1094">
        <f>VLOOKUP(Tabla1[[#This Row],[FECHA]],TablaUVA[#All],2)</f>
        <v>1581.0787389428131</v>
      </c>
      <c r="J65" s="1094">
        <f>VLOOKUP(Tabla1[[#This Row],[VTO.]],TablaUVA[#All],2)</f>
        <v>1622.9309243646992</v>
      </c>
      <c r="K65" s="1093">
        <f>+Tabla1[[#This Row],[DEPOSITADO]]/I65</f>
        <v>392.76981259973877</v>
      </c>
      <c r="L65" s="1095">
        <f>IF(Tabla1[[#This Row],[DIAS]]&gt;89,+K65*J65*(1+1%/365*Tabla1[[#This Row],[DIAS]]),Tabla1[[#This Row],[ACOBRAR]])</f>
        <v>656014.19178082189</v>
      </c>
      <c r="M65" s="1096">
        <f>+L65-Tabla1[[#This Row],[ACOBRAR]]</f>
        <v>0</v>
      </c>
      <c r="N65"/>
    </row>
    <row r="66" spans="1:16" s="611" customFormat="1" ht="14.25" customHeight="1">
      <c r="A66" s="1089">
        <v>45915</v>
      </c>
      <c r="B66" s="1090">
        <v>1280000</v>
      </c>
      <c r="C66" s="1090">
        <f t="shared" si="0"/>
        <v>1353889.3150684931</v>
      </c>
      <c r="D66" s="1089">
        <f t="shared" si="1"/>
        <v>45964</v>
      </c>
      <c r="E66" s="1091">
        <v>49</v>
      </c>
      <c r="F66" s="1092">
        <v>0.43</v>
      </c>
      <c r="G66" s="1093" t="s">
        <v>266</v>
      </c>
      <c r="H66" s="1088">
        <f t="shared" si="2"/>
        <v>45238.356164383549</v>
      </c>
      <c r="I66" s="1094">
        <f>VLOOKUP(Tabla1[[#This Row],[FECHA]],TablaUVA[#All],2)</f>
        <v>1581.0787389428131</v>
      </c>
      <c r="J66" s="1094">
        <f>VLOOKUP(Tabla1[[#This Row],[VTO.]],TablaUVA[#All],2)</f>
        <v>1622.9309243646992</v>
      </c>
      <c r="K66" s="1093">
        <f>+Tabla1[[#This Row],[DEPOSITADO]]/I66</f>
        <v>809.57384883682073</v>
      </c>
      <c r="L66" s="1095">
        <f>IF(Tabla1[[#This Row],[DIAS]]&gt;89,+K66*J66*(1+1%/365*Tabla1[[#This Row],[DIAS]]),Tabla1[[#This Row],[ACOBRAR]])</f>
        <v>1353889.3150684931</v>
      </c>
      <c r="M66" s="1096">
        <f>+L66-Tabla1[[#This Row],[ACOBRAR]]</f>
        <v>0</v>
      </c>
      <c r="N66"/>
    </row>
    <row r="67" spans="1:16" s="611" customFormat="1" ht="14.25" customHeight="1">
      <c r="A67" s="1089">
        <v>45915</v>
      </c>
      <c r="B67" s="713">
        <v>920000</v>
      </c>
      <c r="C67" s="713">
        <f t="shared" si="0"/>
        <v>974343.01369863015</v>
      </c>
      <c r="D67" s="532">
        <f t="shared" si="1"/>
        <v>45964</v>
      </c>
      <c r="E67" s="534">
        <v>49</v>
      </c>
      <c r="F67" s="777">
        <v>0.44</v>
      </c>
      <c r="G67" s="716" t="s">
        <v>258</v>
      </c>
      <c r="H67" s="717">
        <f t="shared" si="2"/>
        <v>33271.23287671234</v>
      </c>
      <c r="I67" s="1094">
        <f>VLOOKUP(Tabla1[[#This Row],[FECHA]],TablaUVA[#All],2)</f>
        <v>1581.0787389428131</v>
      </c>
      <c r="J67" s="1094">
        <f>VLOOKUP(Tabla1[[#This Row],[VTO.]],TablaUVA[#All],2)</f>
        <v>1622.9309243646992</v>
      </c>
      <c r="K67" s="1093">
        <f>+Tabla1[[#This Row],[DEPOSITADO]]/I67</f>
        <v>581.88120385146487</v>
      </c>
      <c r="L67" s="1095">
        <f>IF(Tabla1[[#This Row],[DIAS]]&gt;89,+K67*J67*(1+1%/365*Tabla1[[#This Row],[DIAS]]),Tabla1[[#This Row],[ACOBRAR]])</f>
        <v>974343.01369863015</v>
      </c>
      <c r="M67" s="1096">
        <f>+L67-Tabla1[[#This Row],[ACOBRAR]]</f>
        <v>0</v>
      </c>
      <c r="N67"/>
    </row>
    <row r="68" spans="1:16" s="611" customFormat="1" ht="15" customHeight="1">
      <c r="A68" s="1062">
        <v>45912</v>
      </c>
      <c r="B68" s="1061">
        <v>400000</v>
      </c>
      <c r="C68" s="1061">
        <f t="shared" si="0"/>
        <v>423364.38356164383</v>
      </c>
      <c r="D68" s="1062">
        <f t="shared" si="1"/>
        <v>45964</v>
      </c>
      <c r="E68" s="1063">
        <v>52</v>
      </c>
      <c r="F68" s="1065">
        <v>0.41</v>
      </c>
      <c r="G68" s="1066" t="s">
        <v>257</v>
      </c>
      <c r="H68" s="1067">
        <f t="shared" si="2"/>
        <v>13479.452054794518</v>
      </c>
      <c r="I68" s="1094">
        <f>VLOOKUP(Tabla1[[#This Row],[FECHA]],TablaUVA[#All],2)</f>
        <v>1578.5517089382483</v>
      </c>
      <c r="J68" s="1094">
        <f>VLOOKUP(Tabla1[[#This Row],[VTO.]],TablaUVA[#All],2)</f>
        <v>1622.9309243646992</v>
      </c>
      <c r="K68" s="1093">
        <f>+Tabla1[[#This Row],[DEPOSITADO]]/I68</f>
        <v>253.39683061066432</v>
      </c>
      <c r="L68" s="1095">
        <f>IF(Tabla1[[#This Row],[DIAS]]&gt;89,+K68*J68*(1+1%/365*Tabla1[[#This Row],[DIAS]]),Tabla1[[#This Row],[ACOBRAR]])</f>
        <v>423364.38356164383</v>
      </c>
      <c r="M68" s="1096">
        <f>+L68-Tabla1[[#This Row],[ACOBRAR]]</f>
        <v>0</v>
      </c>
      <c r="N68"/>
      <c r="O68" s="577"/>
      <c r="P68" s="577"/>
    </row>
    <row r="69" spans="1:16" s="611" customFormat="1" ht="14.25" customHeight="1">
      <c r="A69" s="1064">
        <v>45917</v>
      </c>
      <c r="B69" s="713">
        <v>800000</v>
      </c>
      <c r="C69" s="713">
        <f t="shared" si="0"/>
        <v>842082.19178082189</v>
      </c>
      <c r="D69" s="532">
        <f t="shared" si="1"/>
        <v>45965</v>
      </c>
      <c r="E69" s="534">
        <v>48</v>
      </c>
      <c r="F69" s="777">
        <v>0.4</v>
      </c>
      <c r="G69" s="716" t="s">
        <v>258</v>
      </c>
      <c r="H69" s="717">
        <f t="shared" si="2"/>
        <v>26301.369863013679</v>
      </c>
      <c r="I69" s="1094">
        <f>VLOOKUP(Tabla1[[#This Row],[FECHA]],TablaUVA[#All],2)</f>
        <v>1582.7656726600821</v>
      </c>
      <c r="J69" s="1094">
        <f>VLOOKUP(Tabla1[[#This Row],[VTO.]],TablaUVA[#All],2)</f>
        <v>1623.7964875243604</v>
      </c>
      <c r="K69" s="1093">
        <f>+Tabla1[[#This Row],[DEPOSITADO]]/I69</f>
        <v>505.44437108967395</v>
      </c>
      <c r="L69" s="1095">
        <f>IF(Tabla1[[#This Row],[DIAS]]&gt;89,+K69*J69*(1+1%/365*Tabla1[[#This Row],[DIAS]]),Tabla1[[#This Row],[ACOBRAR]])</f>
        <v>842082.19178082189</v>
      </c>
      <c r="M69" s="1096">
        <f>+L69-Tabla1[[#This Row],[ACOBRAR]]</f>
        <v>0</v>
      </c>
      <c r="N69"/>
      <c r="O69" s="577"/>
      <c r="P69" s="577"/>
    </row>
    <row r="70" spans="1:16" s="611" customFormat="1" ht="15" customHeight="1">
      <c r="A70" s="1068">
        <v>45916</v>
      </c>
      <c r="B70" s="1069">
        <v>381000</v>
      </c>
      <c r="C70" s="1069">
        <f t="shared" si="0"/>
        <v>402993.61643835617</v>
      </c>
      <c r="D70" s="1070">
        <f t="shared" si="1"/>
        <v>45965</v>
      </c>
      <c r="E70" s="1071">
        <v>49</v>
      </c>
      <c r="F70" s="1074">
        <v>0.43</v>
      </c>
      <c r="G70" s="1072" t="s">
        <v>261</v>
      </c>
      <c r="H70" s="1073">
        <f t="shared" si="2"/>
        <v>13465.479452054797</v>
      </c>
      <c r="I70" s="1094">
        <f>VLOOKUP(Tabla1[[#This Row],[FECHA]],TablaUVA[#All],2)</f>
        <v>1581.9219809369158</v>
      </c>
      <c r="J70" s="1094">
        <f>VLOOKUP(Tabla1[[#This Row],[VTO.]],TablaUVA[#All],2)</f>
        <v>1623.7964875243604</v>
      </c>
      <c r="K70" s="1093">
        <f>+Tabla1[[#This Row],[DEPOSITADO]]/I70</f>
        <v>240.84626460171401</v>
      </c>
      <c r="L70" s="1095">
        <f>IF(Tabla1[[#This Row],[DIAS]]&gt;89,+K70*J70*(1+1%/365*Tabla1[[#This Row],[DIAS]]),Tabla1[[#This Row],[ACOBRAR]])</f>
        <v>402993.61643835617</v>
      </c>
      <c r="M70" s="1096">
        <f>+L70-Tabla1[[#This Row],[ACOBRAR]]</f>
        <v>0</v>
      </c>
      <c r="N70"/>
      <c r="O70" s="577"/>
      <c r="P70" s="577"/>
    </row>
    <row r="71" spans="1:16" s="611" customFormat="1" ht="15" customHeight="1">
      <c r="A71" s="712">
        <v>45916</v>
      </c>
      <c r="B71" s="713">
        <v>496000</v>
      </c>
      <c r="C71" s="1061">
        <f t="shared" si="0"/>
        <v>523966.24657534249</v>
      </c>
      <c r="D71" s="1062">
        <f t="shared" si="1"/>
        <v>45965</v>
      </c>
      <c r="E71" s="1063">
        <v>49</v>
      </c>
      <c r="F71" s="1065">
        <v>0.42</v>
      </c>
      <c r="G71" s="716" t="s">
        <v>260</v>
      </c>
      <c r="H71" s="717">
        <f t="shared" si="2"/>
        <v>17122.191780821933</v>
      </c>
      <c r="I71" s="1094">
        <f>VLOOKUP(Tabla1[[#This Row],[FECHA]],TablaUVA[#All],2)</f>
        <v>1581.9219809369158</v>
      </c>
      <c r="J71" s="1094">
        <f>VLOOKUP(Tabla1[[#This Row],[VTO.]],TablaUVA[#All],2)</f>
        <v>1623.7964875243604</v>
      </c>
      <c r="K71" s="1093">
        <f>+Tabla1[[#This Row],[DEPOSITADO]]/I71</f>
        <v>313.54264368097154</v>
      </c>
      <c r="L71" s="1095">
        <f>IF(Tabla1[[#This Row],[DIAS]]&gt;89,+K71*J71*(1+1%/365*Tabla1[[#This Row],[DIAS]]),Tabla1[[#This Row],[ACOBRAR]])</f>
        <v>523966.24657534249</v>
      </c>
      <c r="M71" s="1096">
        <f>+L71-Tabla1[[#This Row],[ACOBRAR]]</f>
        <v>0</v>
      </c>
      <c r="N71"/>
      <c r="O71" s="577"/>
      <c r="P71" s="577"/>
    </row>
    <row r="72" spans="1:16" s="611" customFormat="1" ht="14.25" customHeight="1">
      <c r="A72" s="712">
        <v>45916</v>
      </c>
      <c r="B72" s="713">
        <v>755000</v>
      </c>
      <c r="C72" s="713">
        <f t="shared" si="0"/>
        <v>795542.46575342468</v>
      </c>
      <c r="D72" s="532">
        <f t="shared" si="1"/>
        <v>45965</v>
      </c>
      <c r="E72" s="534">
        <v>49</v>
      </c>
      <c r="F72" s="777">
        <v>0.4</v>
      </c>
      <c r="G72" s="716" t="s">
        <v>258</v>
      </c>
      <c r="H72" s="717">
        <f t="shared" si="2"/>
        <v>24821.917808219194</v>
      </c>
      <c r="I72" s="1094">
        <f>VLOOKUP(Tabla1[[#This Row],[FECHA]],TablaUVA[#All],2)</f>
        <v>1581.9219809369158</v>
      </c>
      <c r="J72" s="1094">
        <f>VLOOKUP(Tabla1[[#This Row],[VTO.]],TablaUVA[#All],2)</f>
        <v>1623.7964875243604</v>
      </c>
      <c r="K72" s="1093">
        <f>+Tabla1[[#This Row],[DEPOSITADO]]/I72</f>
        <v>477.26753221599495</v>
      </c>
      <c r="L72" s="1095">
        <f>IF(Tabla1[[#This Row],[DIAS]]&gt;89,+K72*J72*(1+1%/365*Tabla1[[#This Row],[DIAS]]),Tabla1[[#This Row],[ACOBRAR]])</f>
        <v>795542.46575342468</v>
      </c>
      <c r="M72" s="1096">
        <f>+L72-Tabla1[[#This Row],[ACOBRAR]]</f>
        <v>0</v>
      </c>
      <c r="N72"/>
      <c r="O72" s="577"/>
      <c r="P72" s="577"/>
    </row>
    <row r="73" spans="1:16" s="611" customFormat="1" ht="15" customHeight="1">
      <c r="A73" s="712">
        <v>45916</v>
      </c>
      <c r="B73" s="713">
        <v>560000</v>
      </c>
      <c r="C73" s="713">
        <f t="shared" si="0"/>
        <v>591950.68493150687</v>
      </c>
      <c r="D73" s="532">
        <f t="shared" si="1"/>
        <v>45965</v>
      </c>
      <c r="E73" s="534">
        <v>49</v>
      </c>
      <c r="F73" s="777">
        <v>0.42499999999999999</v>
      </c>
      <c r="G73" s="716" t="s">
        <v>256</v>
      </c>
      <c r="H73" s="717">
        <f t="shared" si="2"/>
        <v>19561.643835616447</v>
      </c>
      <c r="I73" s="1094">
        <f>VLOOKUP(Tabla1[[#This Row],[FECHA]],TablaUVA[#All],2)</f>
        <v>1581.9219809369158</v>
      </c>
      <c r="J73" s="1094">
        <f>VLOOKUP(Tabla1[[#This Row],[VTO.]],TablaUVA[#All],2)</f>
        <v>1623.7964875243604</v>
      </c>
      <c r="K73" s="1093">
        <f>+Tabla1[[#This Row],[DEPOSITADO]]/I73</f>
        <v>353.99975899464528</v>
      </c>
      <c r="L73" s="1095">
        <f>IF(Tabla1[[#This Row],[DIAS]]&gt;89,+K73*J73*(1+1%/365*Tabla1[[#This Row],[DIAS]]),Tabla1[[#This Row],[ACOBRAR]])</f>
        <v>591950.68493150687</v>
      </c>
      <c r="M73" s="1096">
        <f>+L73-Tabla1[[#This Row],[ACOBRAR]]</f>
        <v>0</v>
      </c>
      <c r="N73"/>
      <c r="O73" s="577"/>
      <c r="P73" s="577"/>
    </row>
    <row r="74" spans="1:16" s="611" customFormat="1" ht="14.25" customHeight="1">
      <c r="A74" s="712">
        <v>45922</v>
      </c>
      <c r="B74" s="713">
        <v>250000</v>
      </c>
      <c r="C74" s="713">
        <f t="shared" si="0"/>
        <v>261904.10958904109</v>
      </c>
      <c r="D74" s="714">
        <f t="shared" si="1"/>
        <v>45966</v>
      </c>
      <c r="E74" s="715">
        <v>44</v>
      </c>
      <c r="F74" s="777">
        <v>0.39500000000000002</v>
      </c>
      <c r="G74" s="716" t="s">
        <v>265</v>
      </c>
      <c r="H74" s="717">
        <f t="shared" si="2"/>
        <v>8116.4383561643826</v>
      </c>
      <c r="I74" s="1094">
        <f>VLOOKUP(Tabla1[[#This Row],[FECHA]],TablaUVA[#All],2)</f>
        <v>1586.9908856112877</v>
      </c>
      <c r="J74" s="1094">
        <f>VLOOKUP(Tabla1[[#This Row],[VTO.]],TablaUVA[#All],2)</f>
        <v>1624.6625123177066</v>
      </c>
      <c r="K74" s="1093">
        <f>+Tabla1[[#This Row],[DEPOSITADO]]/I74</f>
        <v>157.53083541100699</v>
      </c>
      <c r="L74" s="1095">
        <f>IF(Tabla1[[#This Row],[DIAS]]&gt;89,+K74*J74*(1+1%/365*Tabla1[[#This Row],[DIAS]]),Tabla1[[#This Row],[ACOBRAR]])</f>
        <v>261904.10958904109</v>
      </c>
      <c r="M74" s="1096">
        <f>+L74-Tabla1[[#This Row],[ACOBRAR]]</f>
        <v>0</v>
      </c>
      <c r="N74"/>
      <c r="O74" s="577"/>
      <c r="P74" s="577"/>
    </row>
    <row r="75" spans="1:16" s="611" customFormat="1" ht="14.25" customHeight="1">
      <c r="A75" s="1062">
        <v>45922</v>
      </c>
      <c r="B75" s="1061">
        <v>638000</v>
      </c>
      <c r="C75" s="1061">
        <f t="shared" si="0"/>
        <v>667225.64383561641</v>
      </c>
      <c r="D75" s="1062">
        <f t="shared" si="1"/>
        <v>45966</v>
      </c>
      <c r="E75" s="1063">
        <v>44</v>
      </c>
      <c r="F75" s="1065">
        <v>0.38</v>
      </c>
      <c r="G75" s="1066" t="s">
        <v>257</v>
      </c>
      <c r="H75" s="1067">
        <f t="shared" si="2"/>
        <v>19926.575342465738</v>
      </c>
      <c r="I75" s="1094">
        <f>VLOOKUP(Tabla1[[#This Row],[FECHA]],TablaUVA[#All],2)</f>
        <v>1586.9908856112877</v>
      </c>
      <c r="J75" s="1094">
        <f>VLOOKUP(Tabla1[[#This Row],[VTO.]],TablaUVA[#All],2)</f>
        <v>1624.6625123177066</v>
      </c>
      <c r="K75" s="1093">
        <f>+Tabla1[[#This Row],[DEPOSITADO]]/I75</f>
        <v>402.01869196888987</v>
      </c>
      <c r="L75" s="1095">
        <f>IF(Tabla1[[#This Row],[DIAS]]&gt;89,+K75*J75*(1+1%/365*Tabla1[[#This Row],[DIAS]]),Tabla1[[#This Row],[ACOBRAR]])</f>
        <v>667225.64383561641</v>
      </c>
      <c r="M75" s="1096">
        <f>+L75-Tabla1[[#This Row],[ACOBRAR]]</f>
        <v>0</v>
      </c>
      <c r="N75"/>
      <c r="O75" s="577"/>
      <c r="P75" s="577"/>
    </row>
    <row r="76" spans="1:16" s="611" customFormat="1" ht="14.25" customHeight="1">
      <c r="A76" s="1089">
        <v>45922</v>
      </c>
      <c r="B76" s="1090">
        <v>920000</v>
      </c>
      <c r="C76" s="1090">
        <f t="shared" si="0"/>
        <v>967688.76712328766</v>
      </c>
      <c r="D76" s="1089">
        <f t="shared" si="1"/>
        <v>45966</v>
      </c>
      <c r="E76" s="1091">
        <v>44</v>
      </c>
      <c r="F76" s="1092">
        <v>0.43</v>
      </c>
      <c r="G76" s="1093" t="s">
        <v>266</v>
      </c>
      <c r="H76" s="1088">
        <f t="shared" si="2"/>
        <v>32515.068493150677</v>
      </c>
      <c r="I76" s="1094">
        <f>VLOOKUP(Tabla1[[#This Row],[FECHA]],TablaUVA[#All],2)</f>
        <v>1586.9908856112877</v>
      </c>
      <c r="J76" s="1094">
        <f>VLOOKUP(Tabla1[[#This Row],[VTO.]],TablaUVA[#All],2)</f>
        <v>1624.6625123177066</v>
      </c>
      <c r="K76" s="1093">
        <f>+Tabla1[[#This Row],[DEPOSITADO]]/I76</f>
        <v>579.71347431250581</v>
      </c>
      <c r="L76" s="1095">
        <f>IF(Tabla1[[#This Row],[DIAS]]&gt;89,+K76*J76*(1+1%/365*Tabla1[[#This Row],[DIAS]]),Tabla1[[#This Row],[ACOBRAR]])</f>
        <v>967688.76712328766</v>
      </c>
      <c r="M76" s="1096">
        <f>+L76-Tabla1[[#This Row],[ACOBRAR]]</f>
        <v>0</v>
      </c>
      <c r="N76"/>
      <c r="O76" s="577"/>
      <c r="P76" s="577"/>
    </row>
    <row r="77" spans="1:16" s="611" customFormat="1" ht="15" customHeight="1">
      <c r="A77" s="712">
        <v>45917</v>
      </c>
      <c r="B77" s="713">
        <v>750000</v>
      </c>
      <c r="C77" s="713">
        <f t="shared" si="0"/>
        <v>790273.9726027397</v>
      </c>
      <c r="D77" s="532">
        <f t="shared" si="1"/>
        <v>45966</v>
      </c>
      <c r="E77" s="534">
        <v>49</v>
      </c>
      <c r="F77" s="777">
        <v>0.4</v>
      </c>
      <c r="G77" s="716" t="s">
        <v>258</v>
      </c>
      <c r="H77" s="717">
        <f t="shared" si="2"/>
        <v>24657.534246575324</v>
      </c>
      <c r="I77" s="1094">
        <f>VLOOKUP(Tabla1[[#This Row],[FECHA]],TablaUVA[#All],2)</f>
        <v>1582.7656726600821</v>
      </c>
      <c r="J77" s="1094">
        <f>VLOOKUP(Tabla1[[#This Row],[VTO.]],TablaUVA[#All],2)</f>
        <v>1624.6625123177066</v>
      </c>
      <c r="K77" s="1093">
        <f>+Tabla1[[#This Row],[DEPOSITADO]]/I77</f>
        <v>473.85409789656933</v>
      </c>
      <c r="L77" s="1095">
        <f>IF(Tabla1[[#This Row],[DIAS]]&gt;89,+K77*J77*(1+1%/365*Tabla1[[#This Row],[DIAS]]),Tabla1[[#This Row],[ACOBRAR]])</f>
        <v>790273.9726027397</v>
      </c>
      <c r="M77" s="1096">
        <f>+L77-Tabla1[[#This Row],[ACOBRAR]]</f>
        <v>0</v>
      </c>
      <c r="N77"/>
      <c r="O77" s="577"/>
      <c r="P77" s="577"/>
    </row>
    <row r="78" spans="1:16" ht="15" customHeight="1">
      <c r="A78" s="712">
        <v>45917</v>
      </c>
      <c r="B78" s="713">
        <v>550000</v>
      </c>
      <c r="C78" s="713">
        <f t="shared" si="0"/>
        <v>579165.06849315064</v>
      </c>
      <c r="D78" s="532">
        <f t="shared" si="1"/>
        <v>45966</v>
      </c>
      <c r="E78" s="534">
        <v>49</v>
      </c>
      <c r="F78" s="777">
        <v>0.39500000000000002</v>
      </c>
      <c r="G78" s="716" t="s">
        <v>256</v>
      </c>
      <c r="H78" s="717">
        <f t="shared" si="2"/>
        <v>17856.164383561616</v>
      </c>
      <c r="I78" s="1094">
        <f>VLOOKUP(Tabla1[[#This Row],[FECHA]],TablaUVA[#All],2)</f>
        <v>1582.7656726600821</v>
      </c>
      <c r="J78" s="1094">
        <f>VLOOKUP(Tabla1[[#This Row],[VTO.]],TablaUVA[#All],2)</f>
        <v>1624.6625123177066</v>
      </c>
      <c r="K78" s="1093">
        <f>+Tabla1[[#This Row],[DEPOSITADO]]/I78</f>
        <v>347.49300512415084</v>
      </c>
      <c r="L78" s="1095">
        <f>IF(Tabla1[[#This Row],[DIAS]]&gt;89,+K78*J78*(1+1%/365*Tabla1[[#This Row],[DIAS]]),Tabla1[[#This Row],[ACOBRAR]])</f>
        <v>579165.06849315064</v>
      </c>
      <c r="M78" s="1096">
        <f>+L78-Tabla1[[#This Row],[ACOBRAR]]</f>
        <v>0</v>
      </c>
    </row>
    <row r="79" spans="1:16" s="611" customFormat="1" ht="14.25" customHeight="1">
      <c r="A79" s="712">
        <v>45923</v>
      </c>
      <c r="B79" s="713">
        <v>150000</v>
      </c>
      <c r="C79" s="713">
        <f t="shared" si="0"/>
        <v>157674.65753424657</v>
      </c>
      <c r="D79" s="532">
        <f t="shared" si="1"/>
        <v>45968</v>
      </c>
      <c r="E79" s="534">
        <v>45</v>
      </c>
      <c r="F79" s="777">
        <v>0.41499999999999998</v>
      </c>
      <c r="G79" s="716" t="s">
        <v>256</v>
      </c>
      <c r="H79" s="717">
        <f t="shared" si="2"/>
        <v>5116.4383561643772</v>
      </c>
      <c r="I79" s="1094">
        <f>VLOOKUP(Tabla1[[#This Row],[FECHA]],TablaUVA[#All],2)</f>
        <v>1587.8372807502803</v>
      </c>
      <c r="J79" s="1094">
        <f>VLOOKUP(Tabla1[[#This Row],[VTO.]],TablaUVA[#All],2)</f>
        <v>1626.3959477904045</v>
      </c>
      <c r="K79" s="1093">
        <f>+Tabla1[[#This Row],[DEPOSITADO]]/I79</f>
        <v>94.4681182502041</v>
      </c>
      <c r="L79" s="1095">
        <f>IF(Tabla1[[#This Row],[DIAS]]&gt;89,+K79*J79*(1+1%/365*Tabla1[[#This Row],[DIAS]]),Tabla1[[#This Row],[ACOBRAR]])</f>
        <v>157674.65753424657</v>
      </c>
      <c r="M79" s="1096">
        <f>+L79-Tabla1[[#This Row],[ACOBRAR]]</f>
        <v>0</v>
      </c>
      <c r="N79"/>
      <c r="O79" s="577"/>
      <c r="P79" s="577"/>
    </row>
    <row r="80" spans="1:16" s="611" customFormat="1" ht="14.25" customHeight="1">
      <c r="A80" s="712">
        <v>45922</v>
      </c>
      <c r="B80" s="713">
        <v>250000</v>
      </c>
      <c r="C80" s="713">
        <f t="shared" si="0"/>
        <v>262445.20547945204</v>
      </c>
      <c r="D80" s="714">
        <f t="shared" si="1"/>
        <v>45968</v>
      </c>
      <c r="E80" s="715">
        <v>46</v>
      </c>
      <c r="F80" s="777">
        <v>0.39500000000000002</v>
      </c>
      <c r="G80" s="716" t="s">
        <v>265</v>
      </c>
      <c r="H80" s="717">
        <f t="shared" si="2"/>
        <v>8116.4383561643726</v>
      </c>
      <c r="I80" s="1094">
        <f>VLOOKUP(Tabla1[[#This Row],[FECHA]],TablaUVA[#All],2)</f>
        <v>1586.9908856112877</v>
      </c>
      <c r="J80" s="1094">
        <f>VLOOKUP(Tabla1[[#This Row],[VTO.]],TablaUVA[#All],2)</f>
        <v>1626.3959477904045</v>
      </c>
      <c r="K80" s="1093">
        <f>+Tabla1[[#This Row],[DEPOSITADO]]/I80</f>
        <v>157.53083541100699</v>
      </c>
      <c r="L80" s="1095">
        <f>IF(Tabla1[[#This Row],[DIAS]]&gt;89,+K80*J80*(1+1%/365*Tabla1[[#This Row],[DIAS]]),Tabla1[[#This Row],[ACOBRAR]])</f>
        <v>262445.20547945204</v>
      </c>
      <c r="M80" s="1096">
        <f>+L80-Tabla1[[#This Row],[ACOBRAR]]</f>
        <v>0</v>
      </c>
      <c r="N80"/>
      <c r="O80" s="577"/>
      <c r="P80" s="577"/>
    </row>
    <row r="81" spans="1:16" s="611" customFormat="1" ht="14.25" customHeight="1">
      <c r="A81" s="712">
        <v>45922</v>
      </c>
      <c r="B81" s="713">
        <v>1105000</v>
      </c>
      <c r="C81" s="1061">
        <f t="shared" si="0"/>
        <v>1164881.9178082191</v>
      </c>
      <c r="D81" s="1062">
        <f t="shared" si="1"/>
        <v>45968</v>
      </c>
      <c r="E81" s="1063">
        <v>46</v>
      </c>
      <c r="F81" s="1065">
        <v>0.43</v>
      </c>
      <c r="G81" s="716" t="s">
        <v>258</v>
      </c>
      <c r="H81" s="717">
        <f t="shared" si="2"/>
        <v>39053.424657534189</v>
      </c>
      <c r="I81" s="1094">
        <f>VLOOKUP(Tabla1[[#This Row],[FECHA]],TablaUVA[#All],2)</f>
        <v>1586.9908856112877</v>
      </c>
      <c r="J81" s="1094">
        <f>VLOOKUP(Tabla1[[#This Row],[VTO.]],TablaUVA[#All],2)</f>
        <v>1626.3959477904045</v>
      </c>
      <c r="K81" s="1093">
        <f>+Tabla1[[#This Row],[DEPOSITADO]]/I81</f>
        <v>696.28629251665097</v>
      </c>
      <c r="L81" s="1095">
        <f>IF(Tabla1[[#This Row],[DIAS]]&gt;89,+K81*J81*(1+1%/365*Tabla1[[#This Row],[DIAS]]),Tabla1[[#This Row],[ACOBRAR]])</f>
        <v>1164881.9178082191</v>
      </c>
      <c r="M81" s="1096">
        <f>+L81-Tabla1[[#This Row],[ACOBRAR]]</f>
        <v>0</v>
      </c>
      <c r="N81"/>
      <c r="O81" s="577"/>
      <c r="P81" s="577"/>
    </row>
    <row r="82" spans="1:16" s="611" customFormat="1" ht="14.25" customHeight="1">
      <c r="A82" s="712">
        <v>45922</v>
      </c>
      <c r="B82" s="713">
        <v>1047000</v>
      </c>
      <c r="C82" s="1061">
        <f t="shared" si="0"/>
        <v>1107697.3150684931</v>
      </c>
      <c r="D82" s="1062">
        <f t="shared" si="1"/>
        <v>45968</v>
      </c>
      <c r="E82" s="1063">
        <v>46</v>
      </c>
      <c r="F82" s="1065">
        <v>0.46</v>
      </c>
      <c r="G82" s="716" t="s">
        <v>260</v>
      </c>
      <c r="H82" s="717">
        <f t="shared" si="2"/>
        <v>39585.205479452045</v>
      </c>
      <c r="I82" s="1094">
        <f>VLOOKUP(Tabla1[[#This Row],[FECHA]],TablaUVA[#All],2)</f>
        <v>1586.9908856112877</v>
      </c>
      <c r="J82" s="1094">
        <f>VLOOKUP(Tabla1[[#This Row],[VTO.]],TablaUVA[#All],2)</f>
        <v>1626.3959477904045</v>
      </c>
      <c r="K82" s="1093">
        <f>+Tabla1[[#This Row],[DEPOSITADO]]/I82</f>
        <v>659.73913870129729</v>
      </c>
      <c r="L82" s="1095">
        <f>IF(Tabla1[[#This Row],[DIAS]]&gt;89,+K82*J82*(1+1%/365*Tabla1[[#This Row],[DIAS]]),Tabla1[[#This Row],[ACOBRAR]])</f>
        <v>1107697.3150684931</v>
      </c>
      <c r="M82" s="1096">
        <f>+L82-Tabla1[[#This Row],[ACOBRAR]]</f>
        <v>0</v>
      </c>
      <c r="N82" s="860" t="e">
        <f>SUM(#REF!)</f>
        <v>#REF!</v>
      </c>
      <c r="O82" s="860" t="e">
        <f>SUM(#REF!)</f>
        <v>#REF!</v>
      </c>
      <c r="P82" s="861" t="e">
        <f>+O82-N82</f>
        <v>#REF!</v>
      </c>
    </row>
    <row r="83" spans="1:16" s="611" customFormat="1" ht="14.25" customHeight="1">
      <c r="A83" s="1082">
        <v>45922</v>
      </c>
      <c r="B83" s="1083">
        <v>399000</v>
      </c>
      <c r="C83" s="1083">
        <f t="shared" si="0"/>
        <v>420622.52054794523</v>
      </c>
      <c r="D83" s="1082">
        <f t="shared" si="1"/>
        <v>45968</v>
      </c>
      <c r="E83" s="1084">
        <v>46</v>
      </c>
      <c r="F83" s="1085">
        <v>0.43</v>
      </c>
      <c r="G83" s="1086" t="s">
        <v>264</v>
      </c>
      <c r="H83" s="1087">
        <f t="shared" si="2"/>
        <v>14101.643835616453</v>
      </c>
      <c r="I83" s="1094">
        <f>VLOOKUP(Tabla1[[#This Row],[FECHA]],TablaUVA[#All],2)</f>
        <v>1586.9908856112877</v>
      </c>
      <c r="J83" s="1094">
        <f>VLOOKUP(Tabla1[[#This Row],[VTO.]],TablaUVA[#All],2)</f>
        <v>1626.3959477904045</v>
      </c>
      <c r="K83" s="1093">
        <f>+Tabla1[[#This Row],[DEPOSITADO]]/I83</f>
        <v>251.41921331596717</v>
      </c>
      <c r="L83" s="1095">
        <f>IF(Tabla1[[#This Row],[DIAS]]&gt;89,+K83*J83*(1+1%/365*Tabla1[[#This Row],[DIAS]]),Tabla1[[#This Row],[ACOBRAR]])</f>
        <v>420622.52054794523</v>
      </c>
      <c r="M83" s="1096">
        <f>+L83-Tabla1[[#This Row],[ACOBRAR]]</f>
        <v>0</v>
      </c>
      <c r="N83"/>
      <c r="O83" s="577"/>
      <c r="P83" s="577"/>
    </row>
    <row r="84" spans="1:16" s="611" customFormat="1" ht="14.25" customHeight="1">
      <c r="A84" s="712">
        <v>45923</v>
      </c>
      <c r="B84" s="713">
        <v>1590000</v>
      </c>
      <c r="C84" s="713">
        <f t="shared" si="0"/>
        <v>1683047.6712328768</v>
      </c>
      <c r="D84" s="532">
        <f t="shared" si="1"/>
        <v>45971</v>
      </c>
      <c r="E84" s="534">
        <v>48</v>
      </c>
      <c r="F84" s="777">
        <v>0.44500000000000001</v>
      </c>
      <c r="G84" s="716" t="s">
        <v>258</v>
      </c>
      <c r="H84" s="717">
        <f t="shared" si="2"/>
        <v>58154.794520548021</v>
      </c>
      <c r="I84" s="1094">
        <f>VLOOKUP(Tabla1[[#This Row],[FECHA]],TablaUVA[#All],2)</f>
        <v>1587.8372807502803</v>
      </c>
      <c r="J84" s="1094">
        <f>VLOOKUP(Tabla1[[#This Row],[VTO.]],TablaUVA[#All],2)</f>
        <v>1628.9995694114746</v>
      </c>
      <c r="K84" s="1093">
        <f>+Tabla1[[#This Row],[DEPOSITADO]]/I84</f>
        <v>1001.3620534521634</v>
      </c>
      <c r="L84" s="1095">
        <f>IF(Tabla1[[#This Row],[DIAS]]&gt;89,+K84*J84*(1+1%/365*Tabla1[[#This Row],[DIAS]]),Tabla1[[#This Row],[ACOBRAR]])</f>
        <v>1683047.6712328768</v>
      </c>
      <c r="M84" s="1096">
        <f>+L84-Tabla1[[#This Row],[ACOBRAR]]</f>
        <v>0</v>
      </c>
      <c r="N84"/>
    </row>
    <row r="85" spans="1:16" s="611" customFormat="1" ht="14.25" customHeight="1">
      <c r="A85" s="1106">
        <v>45923</v>
      </c>
      <c r="B85" s="1032">
        <v>1557000</v>
      </c>
      <c r="C85" s="713">
        <f t="shared" si="0"/>
        <v>2498878.3561643837</v>
      </c>
      <c r="D85" s="532">
        <f t="shared" si="1"/>
        <v>45971</v>
      </c>
      <c r="E85" s="534">
        <v>48</v>
      </c>
      <c r="F85" s="777">
        <v>4.5999999999999996</v>
      </c>
      <c r="G85" s="1108" t="s">
        <v>260</v>
      </c>
      <c r="H85" s="717">
        <f t="shared" si="2"/>
        <v>588673.97260273981</v>
      </c>
      <c r="I85" s="1094">
        <f>VLOOKUP(Tabla1[[#This Row],[FECHA]],TablaUVA[#All],2)</f>
        <v>1587.8372807502803</v>
      </c>
      <c r="J85" s="1094">
        <f>VLOOKUP(Tabla1[[#This Row],[VTO.]],TablaUVA[#All],2)</f>
        <v>1628.9995694114746</v>
      </c>
      <c r="K85" s="1093">
        <f>+Tabla1[[#This Row],[DEPOSITADO]]/I85</f>
        <v>980.57906743711851</v>
      </c>
      <c r="L85" s="1095">
        <f>IF(Tabla1[[#This Row],[DIAS]]&gt;89,+K85*J85*(1+1%/365*Tabla1[[#This Row],[DIAS]]),Tabla1[[#This Row],[ACOBRAR]])</f>
        <v>2498878.3561643837</v>
      </c>
      <c r="M85" s="1096">
        <f>+L85-Tabla1[[#This Row],[ACOBRAR]]</f>
        <v>0</v>
      </c>
      <c r="N85"/>
    </row>
    <row r="86" spans="1:16" s="611" customFormat="1" ht="14.25" customHeight="1">
      <c r="A86" s="1106">
        <v>45924</v>
      </c>
      <c r="B86" s="713">
        <v>1000000</v>
      </c>
      <c r="C86" s="713">
        <f t="shared" si="0"/>
        <v>1054575.3424657534</v>
      </c>
      <c r="D86" s="532">
        <f t="shared" si="1"/>
        <v>45972</v>
      </c>
      <c r="E86" s="534">
        <v>48</v>
      </c>
      <c r="F86" s="777">
        <v>0.41499999999999998</v>
      </c>
      <c r="G86" s="716" t="s">
        <v>256</v>
      </c>
      <c r="H86" s="717">
        <f t="shared" si="2"/>
        <v>34109.589041095896</v>
      </c>
      <c r="I86" s="1094">
        <f>VLOOKUP(Tabla1[[#This Row],[FECHA]],TablaUVA[#All],2)</f>
        <v>1588.6841273000136</v>
      </c>
      <c r="J86" s="1094">
        <f>VLOOKUP(Tabla1[[#This Row],[VTO.]],TablaUVA[#All],2)</f>
        <v>1629.8683691818273</v>
      </c>
      <c r="K86" s="1093">
        <f>+Tabla1[[#This Row],[DEPOSITADO]]/I86</f>
        <v>629.45174740274592</v>
      </c>
      <c r="L86" s="1095">
        <f>IF(Tabla1[[#This Row],[DIAS]]&gt;89,+K86*J86*(1+1%/365*Tabla1[[#This Row],[DIAS]]),Tabla1[[#This Row],[ACOBRAR]])</f>
        <v>1054575.3424657534</v>
      </c>
      <c r="M86" s="1096">
        <f>+L86-Tabla1[[#This Row],[ACOBRAR]]</f>
        <v>0</v>
      </c>
      <c r="N86"/>
    </row>
    <row r="87" spans="1:16" s="611" customFormat="1" ht="14.25" customHeight="1">
      <c r="A87" s="1106">
        <v>45924</v>
      </c>
      <c r="B87" s="713">
        <v>1000000</v>
      </c>
      <c r="C87" s="713">
        <f t="shared" si="0"/>
        <v>1052602.7397260275</v>
      </c>
      <c r="D87" s="532">
        <f t="shared" si="1"/>
        <v>45972</v>
      </c>
      <c r="E87" s="534">
        <v>48</v>
      </c>
      <c r="F87" s="777">
        <v>0.4</v>
      </c>
      <c r="G87" s="716" t="s">
        <v>258</v>
      </c>
      <c r="H87" s="717">
        <f t="shared" si="2"/>
        <v>32876.712328767171</v>
      </c>
      <c r="I87" s="1094">
        <f>VLOOKUP(Tabla1[[#This Row],[FECHA]],TablaUVA[#All],2)</f>
        <v>1588.6841273000136</v>
      </c>
      <c r="J87" s="1094">
        <f>VLOOKUP(Tabla1[[#This Row],[VTO.]],TablaUVA[#All],2)</f>
        <v>1629.8683691818273</v>
      </c>
      <c r="K87" s="1093">
        <f>+Tabla1[[#This Row],[DEPOSITADO]]/I87</f>
        <v>629.45174740274592</v>
      </c>
      <c r="L87" s="1095">
        <f>IF(Tabla1[[#This Row],[DIAS]]&gt;89,+K87*J87*(1+1%/365*Tabla1[[#This Row],[DIAS]]),Tabla1[[#This Row],[ACOBRAR]])</f>
        <v>1052602.7397260275</v>
      </c>
      <c r="M87" s="1096">
        <f>+L87-Tabla1[[#This Row],[ACOBRAR]]</f>
        <v>0</v>
      </c>
      <c r="N87"/>
    </row>
    <row r="88" spans="1:16" s="611" customFormat="1" ht="15" customHeight="1">
      <c r="A88" s="1106">
        <v>45924</v>
      </c>
      <c r="B88" s="1032">
        <v>984000</v>
      </c>
      <c r="C88" s="713">
        <f t="shared" si="0"/>
        <v>1043525.2602739726</v>
      </c>
      <c r="D88" s="532">
        <f t="shared" si="1"/>
        <v>45972</v>
      </c>
      <c r="E88" s="534">
        <v>48</v>
      </c>
      <c r="F88" s="777">
        <v>0.46</v>
      </c>
      <c r="G88" s="1108" t="s">
        <v>260</v>
      </c>
      <c r="H88" s="717">
        <f t="shared" si="2"/>
        <v>37203.287671232902</v>
      </c>
      <c r="I88" s="1094">
        <f>VLOOKUP(Tabla1[[#This Row],[FECHA]],TablaUVA[#All],2)</f>
        <v>1588.6841273000136</v>
      </c>
      <c r="J88" s="1094">
        <f>VLOOKUP(Tabla1[[#This Row],[VTO.]],TablaUVA[#All],2)</f>
        <v>1629.8683691818273</v>
      </c>
      <c r="K88" s="1093">
        <f>+Tabla1[[#This Row],[DEPOSITADO]]/I88</f>
        <v>619.38051944430197</v>
      </c>
      <c r="L88" s="1095">
        <f>IF(Tabla1[[#This Row],[DIAS]]&gt;89,+K88*J88*(1+1%/365*Tabla1[[#This Row],[DIAS]]),Tabla1[[#This Row],[ACOBRAR]])</f>
        <v>1043525.2602739726</v>
      </c>
      <c r="M88" s="1096">
        <f>+L88-Tabla1[[#This Row],[ACOBRAR]]</f>
        <v>0</v>
      </c>
      <c r="N88" s="596" t="e">
        <f>SUM(#REF!)</f>
        <v>#REF!</v>
      </c>
    </row>
    <row r="89" spans="1:16" s="611" customFormat="1" ht="14.25" customHeight="1">
      <c r="A89" s="712">
        <v>45926</v>
      </c>
      <c r="B89" s="713">
        <v>454000</v>
      </c>
      <c r="C89" s="713">
        <f t="shared" si="0"/>
        <v>475338</v>
      </c>
      <c r="D89" s="712">
        <f t="shared" si="1"/>
        <v>45973</v>
      </c>
      <c r="E89" s="1098">
        <v>47</v>
      </c>
      <c r="F89" s="777">
        <v>0.36499999999999999</v>
      </c>
      <c r="G89" s="716" t="s">
        <v>265</v>
      </c>
      <c r="H89" s="717">
        <f t="shared" si="2"/>
        <v>13620</v>
      </c>
      <c r="I89" s="1094">
        <f>VLOOKUP(Tabla1[[#This Row],[FECHA]],TablaUVA[#All],2)</f>
        <v>1590.3791755948407</v>
      </c>
      <c r="J89" s="1094">
        <f>VLOOKUP(Tabla1[[#This Row],[VTO.]],TablaUVA[#All],2)</f>
        <v>1630.7376323120575</v>
      </c>
      <c r="K89" s="1093">
        <f>+Tabla1[[#This Row],[DEPOSITADO]]/I89</f>
        <v>285.4665145060095</v>
      </c>
      <c r="L89" s="1095">
        <f>IF(Tabla1[[#This Row],[DIAS]]&gt;89,+K89*J89*(1+1%/365*Tabla1[[#This Row],[DIAS]]),Tabla1[[#This Row],[ACOBRAR]])</f>
        <v>475338</v>
      </c>
      <c r="M89" s="1096">
        <f>+L89-Tabla1[[#This Row],[ACOBRAR]]</f>
        <v>0</v>
      </c>
      <c r="N89"/>
    </row>
    <row r="90" spans="1:16" s="611" customFormat="1" ht="14.25" customHeight="1">
      <c r="A90" s="1075">
        <v>45925</v>
      </c>
      <c r="B90" s="713">
        <v>1000000</v>
      </c>
      <c r="C90" s="713">
        <f t="shared" si="0"/>
        <v>1048000</v>
      </c>
      <c r="D90" s="532">
        <f t="shared" si="1"/>
        <v>45973</v>
      </c>
      <c r="E90" s="534">
        <v>48</v>
      </c>
      <c r="F90" s="777">
        <v>0.36499999999999999</v>
      </c>
      <c r="G90" s="716" t="s">
        <v>256</v>
      </c>
      <c r="H90" s="717">
        <f t="shared" si="2"/>
        <v>30000</v>
      </c>
      <c r="I90" s="1094">
        <f>VLOOKUP(Tabla1[[#This Row],[FECHA]],TablaUVA[#All],2)</f>
        <v>1589.5314255012402</v>
      </c>
      <c r="J90" s="1094">
        <f>VLOOKUP(Tabla1[[#This Row],[VTO.]],TablaUVA[#All],2)</f>
        <v>1630.7376323120575</v>
      </c>
      <c r="K90" s="1093">
        <f>+Tabla1[[#This Row],[DEPOSITADO]]/I90</f>
        <v>629.11621875274454</v>
      </c>
      <c r="L90" s="1095">
        <f>IF(Tabla1[[#This Row],[DIAS]]&gt;89,+K90*J90*(1+1%/365*Tabla1[[#This Row],[DIAS]]),Tabla1[[#This Row],[ACOBRAR]])</f>
        <v>1048000</v>
      </c>
      <c r="M90" s="1096">
        <f>+L90-Tabla1[[#This Row],[ACOBRAR]]</f>
        <v>0</v>
      </c>
      <c r="N90" s="596"/>
    </row>
    <row r="91" spans="1:16" s="611" customFormat="1" ht="14.25" customHeight="1">
      <c r="A91" s="1075">
        <v>45925</v>
      </c>
      <c r="B91" s="1076">
        <v>1000000</v>
      </c>
      <c r="C91" s="713">
        <f t="shared" si="0"/>
        <v>1048986.3013698631</v>
      </c>
      <c r="D91" s="532">
        <f t="shared" si="1"/>
        <v>45973</v>
      </c>
      <c r="E91" s="534">
        <v>48</v>
      </c>
      <c r="F91" s="777">
        <v>0.3725</v>
      </c>
      <c r="G91" s="716" t="s">
        <v>258</v>
      </c>
      <c r="H91" s="717">
        <f t="shared" si="2"/>
        <v>30616.438356164435</v>
      </c>
      <c r="I91" s="1094">
        <f>VLOOKUP(Tabla1[[#This Row],[FECHA]],TablaUVA[#All],2)</f>
        <v>1589.5314255012402</v>
      </c>
      <c r="J91" s="1094">
        <f>VLOOKUP(Tabla1[[#This Row],[VTO.]],TablaUVA[#All],2)</f>
        <v>1630.7376323120575</v>
      </c>
      <c r="K91" s="1093">
        <f>+Tabla1[[#This Row],[DEPOSITADO]]/I91</f>
        <v>629.11621875274454</v>
      </c>
      <c r="L91" s="1095">
        <f>IF(Tabla1[[#This Row],[DIAS]]&gt;89,+K91*J91*(1+1%/365*Tabla1[[#This Row],[DIAS]]),Tabla1[[#This Row],[ACOBRAR]])</f>
        <v>1048986.3013698631</v>
      </c>
      <c r="M91" s="1096">
        <f>+L91-Tabla1[[#This Row],[ACOBRAR]]</f>
        <v>0</v>
      </c>
      <c r="N91"/>
    </row>
    <row r="92" spans="1:16" s="611" customFormat="1" ht="14.25" customHeight="1">
      <c r="A92" s="1106">
        <v>45924</v>
      </c>
      <c r="B92" s="713">
        <v>550000</v>
      </c>
      <c r="C92" s="713">
        <f t="shared" si="0"/>
        <v>577503.76712328766</v>
      </c>
      <c r="D92" s="532">
        <f t="shared" si="1"/>
        <v>45973</v>
      </c>
      <c r="E92" s="534">
        <v>49</v>
      </c>
      <c r="F92" s="777">
        <v>0.3725</v>
      </c>
      <c r="G92" s="716" t="s">
        <v>258</v>
      </c>
      <c r="H92" s="717">
        <f t="shared" si="2"/>
        <v>16839.041095890407</v>
      </c>
      <c r="I92" s="1094">
        <f>VLOOKUP(Tabla1[[#This Row],[FECHA]],TablaUVA[#All],2)</f>
        <v>1588.6841273000136</v>
      </c>
      <c r="J92" s="1094">
        <f>VLOOKUP(Tabla1[[#This Row],[VTO.]],TablaUVA[#All],2)</f>
        <v>1630.7376323120575</v>
      </c>
      <c r="K92" s="1093">
        <f>+Tabla1[[#This Row],[DEPOSITADO]]/I92</f>
        <v>346.19846107151022</v>
      </c>
      <c r="L92" s="1095">
        <f>IF(Tabla1[[#This Row],[DIAS]]&gt;89,+K92*J92*(1+1%/365*Tabla1[[#This Row],[DIAS]]),Tabla1[[#This Row],[ACOBRAR]])</f>
        <v>577503.76712328766</v>
      </c>
      <c r="M92" s="1096">
        <f>+L92-Tabla1[[#This Row],[ACOBRAR]]</f>
        <v>0</v>
      </c>
      <c r="N92"/>
    </row>
    <row r="93" spans="1:16" s="611" customFormat="1" ht="14.25" customHeight="1">
      <c r="A93" s="1062">
        <v>45926</v>
      </c>
      <c r="B93" s="1061">
        <v>599000</v>
      </c>
      <c r="C93" s="1061">
        <f t="shared" si="0"/>
        <v>626570.41095890407</v>
      </c>
      <c r="D93" s="1062">
        <f t="shared" si="1"/>
        <v>45974</v>
      </c>
      <c r="E93" s="1063">
        <v>48</v>
      </c>
      <c r="F93" s="1065">
        <v>0.35</v>
      </c>
      <c r="G93" s="1066" t="s">
        <v>257</v>
      </c>
      <c r="H93" s="1067">
        <f t="shared" si="2"/>
        <v>17231.506849315047</v>
      </c>
      <c r="I93" s="1094">
        <f>VLOOKUP(Tabla1[[#This Row],[FECHA]],TablaUVA[#All],2)</f>
        <v>1590.3791755948407</v>
      </c>
      <c r="J93" s="1094">
        <f>VLOOKUP(Tabla1[[#This Row],[VTO.]],TablaUVA[#All],2)</f>
        <v>1631.6073590492904</v>
      </c>
      <c r="K93" s="1093">
        <f>+Tabla1[[#This Row],[DEPOSITADO]]/I93</f>
        <v>376.63974050462485</v>
      </c>
      <c r="L93" s="1095">
        <f>IF(Tabla1[[#This Row],[DIAS]]&gt;89,+K93*J93*(1+1%/365*Tabla1[[#This Row],[DIAS]]),Tabla1[[#This Row],[ACOBRAR]])</f>
        <v>626570.41095890407</v>
      </c>
      <c r="M93" s="1096">
        <f>+L93-Tabla1[[#This Row],[ACOBRAR]]</f>
        <v>0</v>
      </c>
      <c r="N93"/>
    </row>
    <row r="94" spans="1:16" s="611" customFormat="1" ht="14.25" customHeight="1">
      <c r="A94" s="712">
        <v>45926</v>
      </c>
      <c r="B94" s="713">
        <v>1400000</v>
      </c>
      <c r="C94" s="713">
        <f t="shared" si="0"/>
        <v>1468580.8219178081</v>
      </c>
      <c r="D94" s="532">
        <f t="shared" si="1"/>
        <v>45974</v>
      </c>
      <c r="E94" s="534">
        <v>48</v>
      </c>
      <c r="F94" s="777">
        <v>0.3725</v>
      </c>
      <c r="G94" s="716" t="s">
        <v>258</v>
      </c>
      <c r="H94" s="717">
        <f t="shared" si="2"/>
        <v>42863.013698630093</v>
      </c>
      <c r="I94" s="1094">
        <f>VLOOKUP(Tabla1[[#This Row],[FECHA]],TablaUVA[#All],2)</f>
        <v>1590.3791755948407</v>
      </c>
      <c r="J94" s="1094">
        <f>VLOOKUP(Tabla1[[#This Row],[VTO.]],TablaUVA[#All],2)</f>
        <v>1631.6073590492904</v>
      </c>
      <c r="K94" s="1093">
        <f>+Tabla1[[#This Row],[DEPOSITADO]]/I94</f>
        <v>880.29321653835518</v>
      </c>
      <c r="L94" s="1095">
        <f>IF(Tabla1[[#This Row],[DIAS]]&gt;89,+K94*J94*(1+1%/365*Tabla1[[#This Row],[DIAS]]),Tabla1[[#This Row],[ACOBRAR]])</f>
        <v>1468580.8219178081</v>
      </c>
      <c r="M94" s="1096">
        <f>+L94-Tabla1[[#This Row],[ACOBRAR]]</f>
        <v>0</v>
      </c>
      <c r="N94"/>
    </row>
    <row r="95" spans="1:16" s="611" customFormat="1" ht="14.25" customHeight="1">
      <c r="A95" s="1075">
        <v>45925</v>
      </c>
      <c r="B95" s="1076">
        <v>1000000</v>
      </c>
      <c r="C95" s="1076">
        <f t="shared" si="0"/>
        <v>1050006.8493150685</v>
      </c>
      <c r="D95" s="1077">
        <f t="shared" si="1"/>
        <v>45974</v>
      </c>
      <c r="E95" s="1078">
        <v>49</v>
      </c>
      <c r="F95" s="1081">
        <v>0.3725</v>
      </c>
      <c r="G95" s="1079" t="s">
        <v>262</v>
      </c>
      <c r="H95" s="1080">
        <f t="shared" si="2"/>
        <v>30616.438356164359</v>
      </c>
      <c r="I95" s="1094">
        <f>VLOOKUP(Tabla1[[#This Row],[FECHA]],TablaUVA[#All],2)</f>
        <v>1589.5314255012402</v>
      </c>
      <c r="J95" s="1094">
        <f>VLOOKUP(Tabla1[[#This Row],[VTO.]],TablaUVA[#All],2)</f>
        <v>1631.6073590492904</v>
      </c>
      <c r="K95" s="1117">
        <f>+Tabla1[[#This Row],[DEPOSITADO]]/I95</f>
        <v>629.11621875274454</v>
      </c>
      <c r="L95" s="1095">
        <f>IF(Tabla1[[#This Row],[DIAS]]&gt;89,+K95*J95*(1+1%/365*Tabla1[[#This Row],[DIAS]]),Tabla1[[#This Row],[ACOBRAR]])</f>
        <v>1050006.8493150685</v>
      </c>
      <c r="M95" s="1118">
        <f>+L95-Tabla1[[#This Row],[ACOBRAR]]</f>
        <v>0</v>
      </c>
      <c r="N95"/>
    </row>
    <row r="96" spans="1:16" s="611" customFormat="1" ht="14.25" customHeight="1">
      <c r="A96" s="712">
        <v>45933</v>
      </c>
      <c r="B96" s="713">
        <v>450000</v>
      </c>
      <c r="C96" s="713">
        <f t="shared" ref="C96:C127" si="3">B96+(B96*F96/365*E96)*1</f>
        <v>469288.35616438359</v>
      </c>
      <c r="D96" s="532">
        <f t="shared" ref="D96:D127" si="4">+A96+E96</f>
        <v>45975</v>
      </c>
      <c r="E96" s="534">
        <v>42</v>
      </c>
      <c r="F96" s="777">
        <v>0.3725</v>
      </c>
      <c r="G96" s="716" t="s">
        <v>258</v>
      </c>
      <c r="H96" s="717">
        <f>('PF ANTERIORES $'!C4019-'PF ANTERIORES $'!B4019)/'PF ANTERIORES $'!E4019*30</f>
        <v>9372.3287671233065</v>
      </c>
      <c r="I96" s="1094">
        <f>VLOOKUP(Tabla1[[#This Row],[FECHA]],TablaUVA[#All],2)</f>
        <v>1596.3260994974994</v>
      </c>
      <c r="J96" s="1094">
        <f>VLOOKUP(Tabla1[[#This Row],[VTO.]],TablaUVA[#All],2)</f>
        <v>1632.4775496407833</v>
      </c>
      <c r="K96" s="1093">
        <f>+Tabla1[[#This Row],[DEPOSITADO]]/I96</f>
        <v>281.89728912009491</v>
      </c>
      <c r="L96" s="1095">
        <f>IF(Tabla1[[#This Row],[DIAS]]&gt;89,+K96*J96*(1+1%/365*Tabla1[[#This Row],[DIAS]]),Tabla1[[#This Row],[ACOBRAR]])</f>
        <v>469288.35616438359</v>
      </c>
      <c r="M96" s="1096">
        <f>+'PF ANTERIORES $'!L4019-Tabla1[[#This Row],[ACOBRAR]]</f>
        <v>-159603.61643835617</v>
      </c>
      <c r="N96"/>
    </row>
    <row r="97" spans="1:14" s="611" customFormat="1" ht="14.25" customHeight="1">
      <c r="A97" s="1068">
        <v>45933</v>
      </c>
      <c r="B97" s="1069">
        <v>600000</v>
      </c>
      <c r="C97" s="1069">
        <f t="shared" si="3"/>
        <v>625890.41095890407</v>
      </c>
      <c r="D97" s="1070">
        <f t="shared" si="4"/>
        <v>45975</v>
      </c>
      <c r="E97" s="1071">
        <v>42</v>
      </c>
      <c r="F97" s="1074">
        <v>0.375</v>
      </c>
      <c r="G97" s="1072" t="s">
        <v>261</v>
      </c>
      <c r="H97" s="1073">
        <f t="shared" ref="H97:H102" si="5">(C97-B97)/E97*30</f>
        <v>18493.150684931483</v>
      </c>
      <c r="I97" s="1094">
        <f>VLOOKUP(Tabla1[[#This Row],[FECHA]],TablaUVA[#All],2)</f>
        <v>1596.3260994974994</v>
      </c>
      <c r="J97" s="1094">
        <f>VLOOKUP(Tabla1[[#This Row],[VTO.]],TablaUVA[#All],2)</f>
        <v>1632.4775496407833</v>
      </c>
      <c r="K97" s="1093">
        <f>+Tabla1[[#This Row],[DEPOSITADO]]/I97</f>
        <v>375.86305216012659</v>
      </c>
      <c r="L97" s="1095">
        <f>IF(Tabla1[[#This Row],[DIAS]]&gt;89,+K97*J97*(1+1%/365*Tabla1[[#This Row],[DIAS]]),Tabla1[[#This Row],[ACOBRAR]])</f>
        <v>625890.41095890407</v>
      </c>
      <c r="M97" s="1096">
        <f>+L97-Tabla1[[#This Row],[ACOBRAR]]</f>
        <v>0</v>
      </c>
      <c r="N97"/>
    </row>
    <row r="98" spans="1:14" s="611" customFormat="1" ht="14.25" customHeight="1">
      <c r="A98" s="712">
        <v>45929</v>
      </c>
      <c r="B98" s="713">
        <v>260000</v>
      </c>
      <c r="C98" s="713">
        <f t="shared" si="3"/>
        <v>272205.75342465751</v>
      </c>
      <c r="D98" s="532">
        <f t="shared" si="4"/>
        <v>45975</v>
      </c>
      <c r="E98" s="534">
        <v>46</v>
      </c>
      <c r="F98" s="777">
        <v>0.3725</v>
      </c>
      <c r="G98" s="716" t="s">
        <v>258</v>
      </c>
      <c r="H98" s="717">
        <f t="shared" si="5"/>
        <v>7960.273972602723</v>
      </c>
      <c r="I98" s="1094">
        <f>VLOOKUP(Tabla1[[#This Row],[FECHA]],TablaUVA[#All],2)</f>
        <v>1592.9251396406219</v>
      </c>
      <c r="J98" s="1094">
        <f>VLOOKUP(Tabla1[[#This Row],[VTO.]],TablaUVA[#All],2)</f>
        <v>1632.4775496407833</v>
      </c>
      <c r="K98" s="1093">
        <f>+Tabla1[[#This Row],[DEPOSITADO]]/I98</f>
        <v>163.22173185028541</v>
      </c>
      <c r="L98" s="1095">
        <f>IF(Tabla1[[#This Row],[DIAS]]&gt;89,+K98*J98*(1+1%/365*Tabla1[[#This Row],[DIAS]]),Tabla1[[#This Row],[ACOBRAR]])</f>
        <v>272205.75342465751</v>
      </c>
      <c r="M98" s="1096">
        <f>+L98-Tabla1[[#This Row],[ACOBRAR]]</f>
        <v>0</v>
      </c>
      <c r="N98"/>
    </row>
    <row r="99" spans="1:14" s="611" customFormat="1" ht="14.25" customHeight="1">
      <c r="A99" s="712">
        <v>45929</v>
      </c>
      <c r="B99" s="713">
        <v>420000</v>
      </c>
      <c r="C99" s="1061">
        <f t="shared" si="3"/>
        <v>439716.98630136985</v>
      </c>
      <c r="D99" s="1062">
        <f t="shared" si="4"/>
        <v>45975</v>
      </c>
      <c r="E99" s="1063">
        <v>46</v>
      </c>
      <c r="F99" s="1065">
        <v>0.3725</v>
      </c>
      <c r="G99" s="716" t="s">
        <v>258</v>
      </c>
      <c r="H99" s="717">
        <f t="shared" si="5"/>
        <v>12858.904109589032</v>
      </c>
      <c r="I99" s="1094">
        <f>VLOOKUP(Tabla1[[#This Row],[FECHA]],TablaUVA[#All],2)</f>
        <v>1592.9251396406219</v>
      </c>
      <c r="J99" s="1094">
        <f>VLOOKUP(Tabla1[[#This Row],[VTO.]],TablaUVA[#All],2)</f>
        <v>1632.4775496407833</v>
      </c>
      <c r="K99" s="1093">
        <f>+Tabla1[[#This Row],[DEPOSITADO]]/I99</f>
        <v>263.66587452738412</v>
      </c>
      <c r="L99" s="1095">
        <f>IF(Tabla1[[#This Row],[DIAS]]&gt;89,+K99*J99*(1+1%/365*Tabla1[[#This Row],[DIAS]]),Tabla1[[#This Row],[ACOBRAR]])</f>
        <v>439716.98630136985</v>
      </c>
      <c r="M99" s="1096">
        <f>+L99-Tabla1[[#This Row],[ACOBRAR]]</f>
        <v>0</v>
      </c>
      <c r="N99"/>
    </row>
    <row r="100" spans="1:14" s="611" customFormat="1" ht="15" customHeight="1">
      <c r="A100" s="1075">
        <v>45929</v>
      </c>
      <c r="B100" s="1076">
        <v>420000</v>
      </c>
      <c r="C100" s="1076">
        <f t="shared" si="3"/>
        <v>439716.98630136985</v>
      </c>
      <c r="D100" s="1077">
        <f t="shared" si="4"/>
        <v>45975</v>
      </c>
      <c r="E100" s="1078">
        <v>46</v>
      </c>
      <c r="F100" s="1081">
        <v>0.3725</v>
      </c>
      <c r="G100" s="1079" t="s">
        <v>262</v>
      </c>
      <c r="H100" s="1080">
        <f t="shared" si="5"/>
        <v>12858.904109589032</v>
      </c>
      <c r="I100" s="1094">
        <f>VLOOKUP(Tabla1[[#This Row],[FECHA]],TablaUVA[#All],2)</f>
        <v>1592.9251396406219</v>
      </c>
      <c r="J100" s="1094">
        <f>VLOOKUP(Tabla1[[#This Row],[VTO.]],TablaUVA[#All],2)</f>
        <v>1632.4775496407833</v>
      </c>
      <c r="K100" s="1117">
        <f>+Tabla1[[#This Row],[DEPOSITADO]]/I100</f>
        <v>263.66587452738412</v>
      </c>
      <c r="L100" s="1095">
        <f>IF(Tabla1[[#This Row],[DIAS]]&gt;89,+K100*J100*(1+1%/365*Tabla1[[#This Row],[DIAS]]),Tabla1[[#This Row],[ACOBRAR]])</f>
        <v>439716.98630136985</v>
      </c>
      <c r="M100" s="1118">
        <f>+L100-Tabla1[[#This Row],[ACOBRAR]]</f>
        <v>0</v>
      </c>
      <c r="N100"/>
    </row>
    <row r="101" spans="1:14" s="611" customFormat="1" ht="14.25" customHeight="1">
      <c r="A101" s="712">
        <v>45929</v>
      </c>
      <c r="B101" s="713">
        <v>534000</v>
      </c>
      <c r="C101" s="1076">
        <f t="shared" si="3"/>
        <v>559236.98630136985</v>
      </c>
      <c r="D101" s="1077">
        <f t="shared" si="4"/>
        <v>45975</v>
      </c>
      <c r="E101" s="1078">
        <v>46</v>
      </c>
      <c r="F101" s="1081">
        <v>0.375</v>
      </c>
      <c r="G101" s="716" t="s">
        <v>260</v>
      </c>
      <c r="H101" s="717">
        <f t="shared" si="5"/>
        <v>16458.904109589032</v>
      </c>
      <c r="I101" s="1094">
        <f>VLOOKUP(Tabla1[[#This Row],[FECHA]],TablaUVA[#All],2)</f>
        <v>1592.9251396406219</v>
      </c>
      <c r="J101" s="1094">
        <f>VLOOKUP(Tabla1[[#This Row],[VTO.]],TablaUVA[#All],2)</f>
        <v>1632.4775496407833</v>
      </c>
      <c r="K101" s="1093">
        <f>+Tabla1[[#This Row],[DEPOSITADO]]/I101</f>
        <v>335.23232618481694</v>
      </c>
      <c r="L101" s="1095">
        <f>IF(Tabla1[[#This Row],[DIAS]]&gt;89,+K101*J101*(1+1%/365*Tabla1[[#This Row],[DIAS]]),Tabla1[[#This Row],[ACOBRAR]])</f>
        <v>559236.98630136985</v>
      </c>
      <c r="M101" s="1096">
        <f>+L101-Tabla1[[#This Row],[ACOBRAR]]</f>
        <v>0</v>
      </c>
      <c r="N101"/>
    </row>
    <row r="102" spans="1:14" s="611" customFormat="1" ht="14.25" customHeight="1">
      <c r="A102" s="1068">
        <v>45929</v>
      </c>
      <c r="B102" s="1069">
        <v>229000</v>
      </c>
      <c r="C102" s="1069">
        <f t="shared" si="3"/>
        <v>239389.69863013699</v>
      </c>
      <c r="D102" s="1068">
        <f t="shared" si="4"/>
        <v>45975</v>
      </c>
      <c r="E102" s="1071">
        <v>46</v>
      </c>
      <c r="F102" s="1074">
        <v>0.36</v>
      </c>
      <c r="G102" s="1072" t="s">
        <v>261</v>
      </c>
      <c r="H102" s="1073">
        <f t="shared" si="5"/>
        <v>6775.8904109589066</v>
      </c>
      <c r="I102" s="1094">
        <f>VLOOKUP(Tabla1[[#This Row],[FECHA]],TablaUVA[#All],2)</f>
        <v>1592.9251396406219</v>
      </c>
      <c r="J102" s="1094">
        <f>VLOOKUP(Tabla1[[#This Row],[VTO.]],TablaUVA[#All],2)</f>
        <v>1632.4775496407833</v>
      </c>
      <c r="K102" s="1093">
        <f>+Tabla1[[#This Row],[DEPOSITADO]]/I102</f>
        <v>143.76067920659753</v>
      </c>
      <c r="L102" s="1095">
        <f>IF(Tabla1[[#This Row],[DIAS]]&gt;89,+K102*J102*(1+1%/365*Tabla1[[#This Row],[DIAS]]),Tabla1[[#This Row],[ACOBRAR]])</f>
        <v>239389.69863013699</v>
      </c>
      <c r="M102" s="1096">
        <f>+L102-Tabla1[[#This Row],[ACOBRAR]]</f>
        <v>0</v>
      </c>
      <c r="N102"/>
    </row>
    <row r="103" spans="1:14" s="611" customFormat="1" ht="14.25" customHeight="1">
      <c r="A103" s="712">
        <v>45946</v>
      </c>
      <c r="B103" s="1134">
        <v>10000</v>
      </c>
      <c r="C103" s="1134">
        <f t="shared" si="3"/>
        <v>10021.917808219177</v>
      </c>
      <c r="D103" s="532">
        <f t="shared" si="4"/>
        <v>45978</v>
      </c>
      <c r="E103" s="534">
        <v>32</v>
      </c>
      <c r="F103" s="777">
        <v>2.5000000000000001E-2</v>
      </c>
      <c r="G103" s="716" t="s">
        <v>258</v>
      </c>
      <c r="H103" s="717" t="s">
        <v>38</v>
      </c>
      <c r="I103" s="1094">
        <f>VLOOKUP(Tabla1[[#This Row],[FECHA]],TablaUVA[#All],2)</f>
        <v>1607.429446961725</v>
      </c>
      <c r="J103" s="1094">
        <f>VLOOKUP(Tabla1[[#This Row],[VTO.]],TablaUVA[#All],2)</f>
        <v>1635.0909070153702</v>
      </c>
      <c r="K103" s="1093">
        <f>+Tabla1[[#This Row],[DEPOSITADO]]/I103</f>
        <v>6.2211128574889871</v>
      </c>
      <c r="L103" s="1095">
        <f>IF(Tabla1[[#This Row],[DIAS]]&gt;89,+K103*J103*(1+1%/365*Tabla1[[#This Row],[DIAS]]),Tabla1[[#This Row],[ACOBRAR]])</f>
        <v>10021.917808219177</v>
      </c>
      <c r="M103" s="1096">
        <f>+L103-Tabla1[[#This Row],[ACOBRAR]]</f>
        <v>0</v>
      </c>
      <c r="N103"/>
    </row>
    <row r="104" spans="1:14" s="611" customFormat="1" ht="14.25" customHeight="1">
      <c r="A104" s="712">
        <v>45936</v>
      </c>
      <c r="B104" s="713">
        <v>950000</v>
      </c>
      <c r="C104" s="713">
        <f t="shared" si="3"/>
        <v>993179.45205479453</v>
      </c>
      <c r="D104" s="714">
        <f t="shared" si="4"/>
        <v>45978</v>
      </c>
      <c r="E104" s="715">
        <v>42</v>
      </c>
      <c r="F104" s="777">
        <v>0.39500000000000002</v>
      </c>
      <c r="G104" s="1043" t="s">
        <v>260</v>
      </c>
      <c r="H104" s="717">
        <f>(C104-B104)/E104*30</f>
        <v>30842.465753424662</v>
      </c>
      <c r="I104" s="1094">
        <f>VLOOKUP(Tabla1[[#This Row],[FECHA]],TablaUVA[#All],2)</f>
        <v>1598.8815836971353</v>
      </c>
      <c r="J104" s="1094">
        <f>VLOOKUP(Tabla1[[#This Row],[VTO.]],TablaUVA[#All],2)</f>
        <v>1635.0909070153702</v>
      </c>
      <c r="K104" s="1093">
        <f>+Tabla1[[#This Row],[DEPOSITADO]]/I104</f>
        <v>594.16532761812812</v>
      </c>
      <c r="L104" s="1095">
        <f>IF(Tabla1[[#This Row],[DIAS]]&gt;89,+K104*J104*(1+1%/365*Tabla1[[#This Row],[DIAS]]),Tabla1[[#This Row],[ACOBRAR]])</f>
        <v>993179.45205479453</v>
      </c>
      <c r="M104" s="1096">
        <f>+L104-Tabla1[[#This Row],[ACOBRAR]]</f>
        <v>0</v>
      </c>
      <c r="N104"/>
    </row>
    <row r="105" spans="1:14" s="611" customFormat="1" ht="14.25" customHeight="1">
      <c r="A105" s="712">
        <v>45933</v>
      </c>
      <c r="B105" s="713">
        <v>1200000</v>
      </c>
      <c r="C105" s="713">
        <f t="shared" si="3"/>
        <v>1255109.5890410959</v>
      </c>
      <c r="D105" s="532">
        <f t="shared" si="4"/>
        <v>45978</v>
      </c>
      <c r="E105" s="534">
        <v>45</v>
      </c>
      <c r="F105" s="777">
        <v>0.3725</v>
      </c>
      <c r="G105" s="716" t="s">
        <v>258</v>
      </c>
      <c r="H105" s="717">
        <f>('PF ANTERIORES $'!C4020-'PF ANTERIORES $'!B4020)/'PF ANTERIORES $'!E4020*30</f>
        <v>25879.00790317274</v>
      </c>
      <c r="I105" s="1094">
        <f>VLOOKUP(Tabla1[[#This Row],[FECHA]],TablaUVA[#All],2)</f>
        <v>1596.3260994974994</v>
      </c>
      <c r="J105" s="1094">
        <f>VLOOKUP(Tabla1[[#This Row],[VTO.]],TablaUVA[#All],2)</f>
        <v>1635.0909070153702</v>
      </c>
      <c r="K105" s="1093">
        <f>+Tabla1[[#This Row],[DEPOSITADO]]/I105</f>
        <v>751.72610432025317</v>
      </c>
      <c r="L105" s="1095">
        <f>IF(Tabla1[[#This Row],[DIAS]]&gt;89,+K105*J105*(1+1%/365*Tabla1[[#This Row],[DIAS]]),Tabla1[[#This Row],[ACOBRAR]])</f>
        <v>1255109.5890410959</v>
      </c>
      <c r="M105" s="1096">
        <f>+'PF ANTERIORES $'!L4020-Tabla1[[#This Row],[ACOBRAR]]</f>
        <v>-924835.54162205942</v>
      </c>
      <c r="N105"/>
    </row>
    <row r="106" spans="1:14" s="611" customFormat="1" ht="15" customHeight="1">
      <c r="A106" s="1068">
        <v>45933</v>
      </c>
      <c r="B106" s="1069">
        <v>783000</v>
      </c>
      <c r="C106" s="1069">
        <f t="shared" si="3"/>
        <v>819200.34246575343</v>
      </c>
      <c r="D106" s="1070">
        <f t="shared" si="4"/>
        <v>45978</v>
      </c>
      <c r="E106" s="1071">
        <v>45</v>
      </c>
      <c r="F106" s="1074">
        <v>0.375</v>
      </c>
      <c r="G106" s="1072" t="s">
        <v>261</v>
      </c>
      <c r="H106" s="1073">
        <f t="shared" ref="H106:H133" si="6">(C106-B106)/E106*30</f>
        <v>24133.561643835623</v>
      </c>
      <c r="I106" s="1094">
        <f>VLOOKUP(Tabla1[[#This Row],[FECHA]],TablaUVA[#All],2)</f>
        <v>1596.3260994974994</v>
      </c>
      <c r="J106" s="1094">
        <f>VLOOKUP(Tabla1[[#This Row],[VTO.]],TablaUVA[#All],2)</f>
        <v>1635.0909070153702</v>
      </c>
      <c r="K106" s="1093">
        <f>+Tabla1[[#This Row],[DEPOSITADO]]/I106</f>
        <v>490.50128306896517</v>
      </c>
      <c r="L106" s="1095">
        <f>IF(Tabla1[[#This Row],[DIAS]]&gt;89,+K106*J106*(1+1%/365*Tabla1[[#This Row],[DIAS]]),Tabla1[[#This Row],[ACOBRAR]])</f>
        <v>819200.34246575343</v>
      </c>
      <c r="M106" s="1096">
        <f>+L106-Tabla1[[#This Row],[ACOBRAR]]</f>
        <v>0</v>
      </c>
      <c r="N106" s="596" t="e">
        <f>SUM(#REF!)</f>
        <v>#REF!</v>
      </c>
    </row>
    <row r="107" spans="1:14" s="611" customFormat="1" ht="15" customHeight="1">
      <c r="A107" s="1062">
        <v>45938</v>
      </c>
      <c r="B107" s="1061">
        <v>455000</v>
      </c>
      <c r="C107" s="1061">
        <f t="shared" si="3"/>
        <v>474677.19178082189</v>
      </c>
      <c r="D107" s="1062">
        <f t="shared" si="4"/>
        <v>45979</v>
      </c>
      <c r="E107" s="1063">
        <v>41</v>
      </c>
      <c r="F107" s="1065">
        <v>0.38500000000000001</v>
      </c>
      <c r="G107" s="1066" t="s">
        <v>257</v>
      </c>
      <c r="H107" s="1067">
        <f t="shared" si="6"/>
        <v>14397.945205479429</v>
      </c>
      <c r="I107" s="1094">
        <f>VLOOKUP(Tabla1[[#This Row],[FECHA]],TablaUVA[#All],2)</f>
        <v>1600.5875121793958</v>
      </c>
      <c r="J107" s="1094">
        <f>VLOOKUP(Tabla1[[#This Row],[VTO.]],TablaUVA[#All],2)</f>
        <v>1635.9629554991118</v>
      </c>
      <c r="K107" s="1093">
        <f>+Tabla1[[#This Row],[DEPOSITADO]]/I107</f>
        <v>284.27061721883723</v>
      </c>
      <c r="L107" s="1095">
        <f>IF(Tabla1[[#This Row],[DIAS]]&gt;89,+K107*J107*(1+1%/365*Tabla1[[#This Row],[DIAS]]),Tabla1[[#This Row],[ACOBRAR]])</f>
        <v>474677.19178082189</v>
      </c>
      <c r="M107" s="1096">
        <f>+L107-Tabla1[[#This Row],[ACOBRAR]]</f>
        <v>0</v>
      </c>
      <c r="N107"/>
    </row>
    <row r="108" spans="1:14" s="611" customFormat="1" ht="14.25" customHeight="1">
      <c r="A108" s="712">
        <v>45937</v>
      </c>
      <c r="B108" s="1059">
        <v>900000</v>
      </c>
      <c r="C108" s="713">
        <f t="shared" si="3"/>
        <v>940906.84931506845</v>
      </c>
      <c r="D108" s="532">
        <f t="shared" si="4"/>
        <v>45979</v>
      </c>
      <c r="E108" s="534">
        <v>42</v>
      </c>
      <c r="F108" s="777">
        <v>0.39500000000000002</v>
      </c>
      <c r="G108" s="716" t="s">
        <v>258</v>
      </c>
      <c r="H108" s="1067">
        <f t="shared" si="6"/>
        <v>29219.178082191753</v>
      </c>
      <c r="I108" s="1094">
        <f>VLOOKUP(Tabla1[[#This Row],[FECHA]],TablaUVA[#All],2)</f>
        <v>1599.7343205417737</v>
      </c>
      <c r="J108" s="1094">
        <f>VLOOKUP(Tabla1[[#This Row],[VTO.]],TablaUVA[#All],2)</f>
        <v>1635.9629554991118</v>
      </c>
      <c r="K108" s="1093">
        <f>+Tabla1[[#This Row],[DEPOSITADO]]/I108</f>
        <v>562.59341844663413</v>
      </c>
      <c r="L108" s="1095">
        <f>IF(Tabla1[[#This Row],[DIAS]]&gt;89,+K108*J108*(1+1%/365*Tabla1[[#This Row],[DIAS]]),Tabla1[[#This Row],[ACOBRAR]])</f>
        <v>940906.84931506845</v>
      </c>
      <c r="M108" s="1096">
        <f>+L108-Tabla1[[#This Row],[ACOBRAR]]</f>
        <v>0</v>
      </c>
      <c r="N108"/>
    </row>
    <row r="109" spans="1:14" s="611" customFormat="1" ht="14.25" customHeight="1">
      <c r="A109" s="712">
        <v>45936</v>
      </c>
      <c r="B109" s="713">
        <v>1590000</v>
      </c>
      <c r="C109" s="713">
        <f t="shared" si="3"/>
        <v>1663989.4520547944</v>
      </c>
      <c r="D109" s="714">
        <f t="shared" si="4"/>
        <v>45979</v>
      </c>
      <c r="E109" s="715">
        <v>43</v>
      </c>
      <c r="F109" s="777">
        <v>0.39500000000000002</v>
      </c>
      <c r="G109" s="1043" t="s">
        <v>260</v>
      </c>
      <c r="H109" s="717">
        <f t="shared" si="6"/>
        <v>51620.547945205406</v>
      </c>
      <c r="I109" s="1094">
        <f>VLOOKUP(Tabla1[[#This Row],[FECHA]],TablaUVA[#All],2)</f>
        <v>1598.8815836971353</v>
      </c>
      <c r="J109" s="1094">
        <f>VLOOKUP(Tabla1[[#This Row],[VTO.]],TablaUVA[#All],2)</f>
        <v>1635.9629554991118</v>
      </c>
      <c r="K109" s="1093">
        <f>+Tabla1[[#This Row],[DEPOSITADO]]/I109</f>
        <v>994.44512727665665</v>
      </c>
      <c r="L109" s="1095">
        <f>IF(Tabla1[[#This Row],[DIAS]]&gt;89,+K109*J109*(1+1%/365*Tabla1[[#This Row],[DIAS]]),Tabla1[[#This Row],[ACOBRAR]])</f>
        <v>1663989.4520547944</v>
      </c>
      <c r="M109" s="1096">
        <f>+L109-Tabla1[[#This Row],[ACOBRAR]]</f>
        <v>0</v>
      </c>
      <c r="N109"/>
    </row>
    <row r="110" spans="1:14" s="611" customFormat="1" ht="14.25" customHeight="1">
      <c r="A110" s="1082">
        <v>45939</v>
      </c>
      <c r="B110" s="1083">
        <v>528000</v>
      </c>
      <c r="C110" s="1083">
        <f t="shared" si="3"/>
        <v>551130.73972602736</v>
      </c>
      <c r="D110" s="1082">
        <f t="shared" si="4"/>
        <v>45980</v>
      </c>
      <c r="E110" s="1084">
        <v>41</v>
      </c>
      <c r="F110" s="1085">
        <v>0.39</v>
      </c>
      <c r="G110" s="1086" t="s">
        <v>264</v>
      </c>
      <c r="H110" s="1087">
        <f t="shared" si="6"/>
        <v>16924.931506849283</v>
      </c>
      <c r="I110" s="1094">
        <f>VLOOKUP(Tabla1[[#This Row],[FECHA]],TablaUVA[#All],2)</f>
        <v>1601.4411588525581</v>
      </c>
      <c r="J110" s="1094">
        <f>VLOOKUP(Tabla1[[#This Row],[VTO.]],TablaUVA[#All],2)</f>
        <v>1636.8354690753779</v>
      </c>
      <c r="K110" s="1093">
        <f>+Tabla1[[#This Row],[DEPOSITADO]]/I110</f>
        <v>329.70302847612277</v>
      </c>
      <c r="L110" s="1095">
        <f>IF(Tabla1[[#This Row],[DIAS]]&gt;89,+K110*J110*(1+1%/365*Tabla1[[#This Row],[DIAS]]),Tabla1[[#This Row],[ACOBRAR]])</f>
        <v>551130.73972602736</v>
      </c>
      <c r="M110" s="1096">
        <f>+L110-Tabla1[[#This Row],[ACOBRAR]]</f>
        <v>0</v>
      </c>
      <c r="N110"/>
    </row>
    <row r="111" spans="1:14" s="611" customFormat="1" ht="14.25" customHeight="1">
      <c r="A111" s="712">
        <v>45938</v>
      </c>
      <c r="B111" s="713">
        <v>430000</v>
      </c>
      <c r="C111" s="713">
        <f t="shared" si="3"/>
        <v>450781.36986301368</v>
      </c>
      <c r="D111" s="532">
        <f t="shared" si="4"/>
        <v>45980</v>
      </c>
      <c r="E111" s="534">
        <v>42</v>
      </c>
      <c r="F111" s="777">
        <v>0.42</v>
      </c>
      <c r="G111" s="716" t="s">
        <v>258</v>
      </c>
      <c r="H111" s="717">
        <f t="shared" si="6"/>
        <v>14843.835616438342</v>
      </c>
      <c r="I111" s="1094">
        <f>VLOOKUP(Tabla1[[#This Row],[FECHA]],TablaUVA[#All],2)</f>
        <v>1600.5875121793958</v>
      </c>
      <c r="J111" s="1094">
        <f>VLOOKUP(Tabla1[[#This Row],[VTO.]],TablaUVA[#All],2)</f>
        <v>1636.8354690753779</v>
      </c>
      <c r="K111" s="1093">
        <f>+Tabla1[[#This Row],[DEPOSITADO]]/I111</f>
        <v>268.65135253648356</v>
      </c>
      <c r="L111" s="1095">
        <f>IF(Tabla1[[#This Row],[DIAS]]&gt;89,+K111*J111*(1+1%/365*Tabla1[[#This Row],[DIAS]]),Tabla1[[#This Row],[ACOBRAR]])</f>
        <v>450781.36986301368</v>
      </c>
      <c r="M111" s="1096">
        <f>+L111-Tabla1[[#This Row],[ACOBRAR]]</f>
        <v>0</v>
      </c>
      <c r="N111" s="596" t="e">
        <f>SUM(#REF!)</f>
        <v>#REF!</v>
      </c>
    </row>
    <row r="112" spans="1:14" s="611" customFormat="1" ht="15" customHeight="1">
      <c r="A112" s="1077">
        <v>45938</v>
      </c>
      <c r="B112" s="1076">
        <v>430000</v>
      </c>
      <c r="C112" s="1076">
        <f t="shared" si="3"/>
        <v>450781.36986301368</v>
      </c>
      <c r="D112" s="1077">
        <f t="shared" si="4"/>
        <v>45980</v>
      </c>
      <c r="E112" s="1078">
        <v>42</v>
      </c>
      <c r="F112" s="1081">
        <v>0.42</v>
      </c>
      <c r="G112" s="1079" t="s">
        <v>262</v>
      </c>
      <c r="H112" s="1080">
        <f t="shared" si="6"/>
        <v>14843.835616438342</v>
      </c>
      <c r="I112" s="1094">
        <f>VLOOKUP(Tabla1[[#This Row],[FECHA]],TablaUVA[#All],2)</f>
        <v>1600.5875121793958</v>
      </c>
      <c r="J112" s="1094">
        <f>VLOOKUP(Tabla1[[#This Row],[VTO.]],TablaUVA[#All],2)</f>
        <v>1636.8354690753779</v>
      </c>
      <c r="K112" s="1117">
        <f>+Tabla1[[#This Row],[DEPOSITADO]]/I112</f>
        <v>268.65135253648356</v>
      </c>
      <c r="L112" s="1095">
        <f>IF(Tabla1[[#This Row],[DIAS]]&gt;89,+K112*J112*(1+1%/365*Tabla1[[#This Row],[DIAS]]),Tabla1[[#This Row],[ACOBRAR]])</f>
        <v>450781.36986301368</v>
      </c>
      <c r="M112" s="1118">
        <f>+L112-Tabla1[[#This Row],[ACOBRAR]]</f>
        <v>0</v>
      </c>
      <c r="N112" s="596" t="e">
        <f>SUM(#REF!)</f>
        <v>#REF!</v>
      </c>
    </row>
    <row r="113" spans="1:16" s="611" customFormat="1" ht="15" customHeight="1">
      <c r="A113" s="712">
        <v>45938</v>
      </c>
      <c r="B113" s="1059">
        <v>890000</v>
      </c>
      <c r="C113" s="713">
        <f t="shared" si="3"/>
        <v>942229.58904109593</v>
      </c>
      <c r="D113" s="532">
        <f t="shared" si="4"/>
        <v>45980</v>
      </c>
      <c r="E113" s="534">
        <v>42</v>
      </c>
      <c r="F113" s="777">
        <v>0.51</v>
      </c>
      <c r="G113" s="716" t="s">
        <v>258</v>
      </c>
      <c r="H113" s="1067">
        <f t="shared" si="6"/>
        <v>37306.849315068524</v>
      </c>
      <c r="I113" s="1094">
        <f>VLOOKUP(Tabla1[[#This Row],[FECHA]],TablaUVA[#All],2)</f>
        <v>1600.5875121793958</v>
      </c>
      <c r="J113" s="1094">
        <f>VLOOKUP(Tabla1[[#This Row],[VTO.]],TablaUVA[#All],2)</f>
        <v>1636.8354690753779</v>
      </c>
      <c r="K113" s="1093">
        <f>+Tabla1[[#This Row],[DEPOSITADO]]/I113</f>
        <v>556.0458226917915</v>
      </c>
      <c r="L113" s="1095">
        <f>IF(Tabla1[[#This Row],[DIAS]]&gt;89,+K113*J113*(1+1%/365*Tabla1[[#This Row],[DIAS]]),Tabla1[[#This Row],[ACOBRAR]])</f>
        <v>942229.58904109593</v>
      </c>
      <c r="M113" s="1096">
        <f>+L113-Tabla1[[#This Row],[ACOBRAR]]</f>
        <v>0</v>
      </c>
      <c r="N113"/>
    </row>
    <row r="114" spans="1:16" s="611" customFormat="1" ht="14.25" customHeight="1">
      <c r="A114" s="712">
        <v>45937</v>
      </c>
      <c r="B114" s="713">
        <v>488000</v>
      </c>
      <c r="C114" s="1061">
        <f t="shared" si="3"/>
        <v>510708.71232876711</v>
      </c>
      <c r="D114" s="714">
        <f t="shared" si="4"/>
        <v>45980</v>
      </c>
      <c r="E114" s="715">
        <v>43</v>
      </c>
      <c r="F114" s="777">
        <v>0.39500000000000002</v>
      </c>
      <c r="G114" s="1043" t="s">
        <v>260</v>
      </c>
      <c r="H114" s="717">
        <f t="shared" si="6"/>
        <v>15843.287671232869</v>
      </c>
      <c r="I114" s="1094">
        <f>VLOOKUP(Tabla1[[#This Row],[FECHA]],TablaUVA[#All],2)</f>
        <v>1599.7343205417737</v>
      </c>
      <c r="J114" s="1094">
        <f>VLOOKUP(Tabla1[[#This Row],[VTO.]],TablaUVA[#All],2)</f>
        <v>1636.8354690753779</v>
      </c>
      <c r="K114" s="1093">
        <f>+Tabla1[[#This Row],[DEPOSITADO]]/I114</f>
        <v>305.05065355773047</v>
      </c>
      <c r="L114" s="1095">
        <f>IF(Tabla1[[#This Row],[DIAS]]&gt;89,+K114*J114*(1+1%/365*Tabla1[[#This Row],[DIAS]]),Tabla1[[#This Row],[ACOBRAR]])</f>
        <v>510708.71232876711</v>
      </c>
      <c r="M114" s="1096">
        <f>+L114-Tabla1[[#This Row],[ACOBRAR]]</f>
        <v>0</v>
      </c>
      <c r="N114" s="596" t="e">
        <f>SUM(#REF!)</f>
        <v>#REF!</v>
      </c>
    </row>
    <row r="115" spans="1:16" s="611" customFormat="1" ht="14.25" customHeight="1">
      <c r="A115" s="1075">
        <v>45937</v>
      </c>
      <c r="B115" s="1076">
        <v>530000</v>
      </c>
      <c r="C115" s="1076">
        <f t="shared" si="3"/>
        <v>554663.15068493155</v>
      </c>
      <c r="D115" s="1077">
        <f t="shared" si="4"/>
        <v>45980</v>
      </c>
      <c r="E115" s="1078">
        <v>43</v>
      </c>
      <c r="F115" s="1081">
        <v>0.39500000000000002</v>
      </c>
      <c r="G115" s="1079" t="s">
        <v>262</v>
      </c>
      <c r="H115" s="1080">
        <f t="shared" si="6"/>
        <v>17206.849315068521</v>
      </c>
      <c r="I115" s="1094">
        <f>VLOOKUP(Tabla1[[#This Row],[FECHA]],TablaUVA[#All],2)</f>
        <v>1599.7343205417737</v>
      </c>
      <c r="J115" s="1094">
        <f>VLOOKUP(Tabla1[[#This Row],[VTO.]],TablaUVA[#All],2)</f>
        <v>1636.8354690753779</v>
      </c>
      <c r="K115" s="1117">
        <f>+Tabla1[[#This Row],[DEPOSITADO]]/I115</f>
        <v>331.30501308524009</v>
      </c>
      <c r="L115" s="1095">
        <f>IF(Tabla1[[#This Row],[DIAS]]&gt;89,+K115*J115*(1+1%/365*Tabla1[[#This Row],[DIAS]]),Tabla1[[#This Row],[ACOBRAR]])</f>
        <v>554663.15068493155</v>
      </c>
      <c r="M115" s="1118">
        <f>+L115-Tabla1[[#This Row],[ACOBRAR]]</f>
        <v>0</v>
      </c>
      <c r="N115"/>
    </row>
    <row r="116" spans="1:16" s="611" customFormat="1" ht="14.25" customHeight="1">
      <c r="A116" s="712">
        <v>45944</v>
      </c>
      <c r="B116" s="713">
        <v>250000</v>
      </c>
      <c r="C116" s="713">
        <f t="shared" si="3"/>
        <v>259883.56164383562</v>
      </c>
      <c r="D116" s="714">
        <f t="shared" si="4"/>
        <v>45981</v>
      </c>
      <c r="E116" s="715">
        <v>37</v>
      </c>
      <c r="F116" s="777">
        <v>0.39</v>
      </c>
      <c r="G116" s="716" t="s">
        <v>265</v>
      </c>
      <c r="H116" s="717">
        <f t="shared" si="6"/>
        <v>8013.6986301369925</v>
      </c>
      <c r="I116" s="1094">
        <f>VLOOKUP(Tabla1[[#This Row],[FECHA]],TablaUVA[#All],2)</f>
        <v>1605.7162262499987</v>
      </c>
      <c r="J116" s="1094">
        <f>VLOOKUP(Tabla1[[#This Row],[VTO.]],TablaUVA[#All],2)</f>
        <v>1637.708447992218</v>
      </c>
      <c r="K116" s="1093">
        <f>+Tabla1[[#This Row],[DEPOSITADO]]/I116</f>
        <v>155.69376201911581</v>
      </c>
      <c r="L116" s="1095">
        <f>IF(Tabla1[[#This Row],[DIAS]]&gt;89,+K116*J116*(1+1%/365*Tabla1[[#This Row],[DIAS]]),Tabla1[[#This Row],[ACOBRAR]])</f>
        <v>259883.56164383562</v>
      </c>
      <c r="M116" s="1096">
        <f>+L116-Tabla1[[#This Row],[ACOBRAR]]</f>
        <v>0</v>
      </c>
      <c r="N116"/>
    </row>
    <row r="117" spans="1:16" s="611" customFormat="1" ht="15" customHeight="1">
      <c r="A117" s="712">
        <v>45943</v>
      </c>
      <c r="B117" s="713">
        <v>1200000</v>
      </c>
      <c r="C117" s="713">
        <f t="shared" si="3"/>
        <v>1256219.1780821919</v>
      </c>
      <c r="D117" s="714">
        <f t="shared" si="4"/>
        <v>45981</v>
      </c>
      <c r="E117" s="715">
        <v>38</v>
      </c>
      <c r="F117" s="777">
        <v>0.45</v>
      </c>
      <c r="G117" s="716" t="s">
        <v>258</v>
      </c>
      <c r="H117" s="717">
        <f t="shared" si="6"/>
        <v>44383.561643835674</v>
      </c>
      <c r="I117" s="1094">
        <f>VLOOKUP(Tabla1[[#This Row],[FECHA]],TablaUVA[#All],2)</f>
        <v>1604.8603007562622</v>
      </c>
      <c r="J117" s="1094">
        <f>VLOOKUP(Tabla1[[#This Row],[VTO.]],TablaUVA[#All],2)</f>
        <v>1637.708447992218</v>
      </c>
      <c r="K117" s="1093">
        <f>+Tabla1[[#This Row],[DEPOSITADO]]/I117</f>
        <v>747.72863372252471</v>
      </c>
      <c r="L117" s="1095">
        <f>IF(Tabla1[[#This Row],[DIAS]]&gt;89,+K117*J117*(1+1%/365*Tabla1[[#This Row],[DIAS]]),Tabla1[[#This Row],[ACOBRAR]])</f>
        <v>1256219.1780821919</v>
      </c>
      <c r="M117" s="1096">
        <f>+L117-Tabla1[[#This Row],[ACOBRAR]]</f>
        <v>0</v>
      </c>
      <c r="N117"/>
    </row>
    <row r="118" spans="1:16" s="611" customFormat="1" ht="14.25" customHeight="1">
      <c r="A118" s="712">
        <v>45939</v>
      </c>
      <c r="B118" s="713">
        <v>800000</v>
      </c>
      <c r="C118" s="713">
        <f t="shared" si="3"/>
        <v>835901.36986301374</v>
      </c>
      <c r="D118" s="532">
        <f t="shared" si="4"/>
        <v>45981</v>
      </c>
      <c r="E118" s="534">
        <v>42</v>
      </c>
      <c r="F118" s="777">
        <v>0.39</v>
      </c>
      <c r="G118" s="716" t="s">
        <v>256</v>
      </c>
      <c r="H118" s="717">
        <f t="shared" si="6"/>
        <v>25643.835616438384</v>
      </c>
      <c r="I118" s="1094">
        <f>VLOOKUP(Tabla1[[#This Row],[FECHA]],TablaUVA[#All],2)</f>
        <v>1601.4411588525581</v>
      </c>
      <c r="J118" s="1094">
        <f>VLOOKUP(Tabla1[[#This Row],[VTO.]],TablaUVA[#All],2)</f>
        <v>1637.708447992218</v>
      </c>
      <c r="K118" s="1093">
        <f>+Tabla1[[#This Row],[DEPOSITADO]]/I118</f>
        <v>499.55004314564053</v>
      </c>
      <c r="L118" s="1095">
        <f>IF(Tabla1[[#This Row],[DIAS]]&gt;89,+K118*J118*(1+1%/365*Tabla1[[#This Row],[DIAS]]),Tabla1[[#This Row],[ACOBRAR]])</f>
        <v>835901.36986301374</v>
      </c>
      <c r="M118" s="1096">
        <f>+L118-Tabla1[[#This Row],[ACOBRAR]]</f>
        <v>0</v>
      </c>
      <c r="N118"/>
    </row>
    <row r="119" spans="1:16" s="611" customFormat="1" ht="14.25" customHeight="1">
      <c r="A119" s="712">
        <v>45939</v>
      </c>
      <c r="B119" s="713">
        <v>700000</v>
      </c>
      <c r="C119" s="713">
        <f t="shared" si="3"/>
        <v>736246.57534246577</v>
      </c>
      <c r="D119" s="532">
        <f t="shared" si="4"/>
        <v>45981</v>
      </c>
      <c r="E119" s="534">
        <v>42</v>
      </c>
      <c r="F119" s="777">
        <v>0.45</v>
      </c>
      <c r="G119" s="716" t="s">
        <v>258</v>
      </c>
      <c r="H119" s="717">
        <f t="shared" si="6"/>
        <v>25890.410958904125</v>
      </c>
      <c r="I119" s="1094">
        <f>VLOOKUP(Tabla1[[#This Row],[FECHA]],TablaUVA[#All],2)</f>
        <v>1601.4411588525581</v>
      </c>
      <c r="J119" s="1094">
        <f>VLOOKUP(Tabla1[[#This Row],[VTO.]],TablaUVA[#All],2)</f>
        <v>1637.708447992218</v>
      </c>
      <c r="K119" s="1093">
        <f>+Tabla1[[#This Row],[DEPOSITADO]]/I119</f>
        <v>437.10628775243549</v>
      </c>
      <c r="L119" s="1095">
        <f>IF(Tabla1[[#This Row],[DIAS]]&gt;89,+K119*J119*(1+1%/365*Tabla1[[#This Row],[DIAS]]),Tabla1[[#This Row],[ACOBRAR]])</f>
        <v>736246.57534246577</v>
      </c>
      <c r="M119" s="1096">
        <f>+L119-Tabla1[[#This Row],[ACOBRAR]]</f>
        <v>0</v>
      </c>
      <c r="N119"/>
    </row>
    <row r="120" spans="1:16" s="611" customFormat="1" ht="14.25" customHeight="1">
      <c r="A120" s="712">
        <v>45944</v>
      </c>
      <c r="B120" s="713">
        <v>1000000</v>
      </c>
      <c r="C120" s="713">
        <f t="shared" si="3"/>
        <v>1054082.1917808219</v>
      </c>
      <c r="D120" s="532">
        <f t="shared" si="4"/>
        <v>45986</v>
      </c>
      <c r="E120" s="534">
        <v>42</v>
      </c>
      <c r="F120" s="777">
        <v>0.47</v>
      </c>
      <c r="G120" s="1043" t="s">
        <v>260</v>
      </c>
      <c r="H120" s="717">
        <f t="shared" si="6"/>
        <v>38630.136986301353</v>
      </c>
      <c r="I120" s="1094">
        <f>VLOOKUP(Tabla1[[#This Row],[FECHA]],TablaUVA[#All],2)</f>
        <v>1605.7162262499987</v>
      </c>
      <c r="J120" s="1094">
        <f>VLOOKUP(Tabla1[[#This Row],[VTO.]],TablaUVA[#All],2)</f>
        <v>1642.08033137602</v>
      </c>
      <c r="K120" s="1093">
        <f>+Tabla1[[#This Row],[DEPOSITADO]]/I120</f>
        <v>622.77504807646324</v>
      </c>
      <c r="L120" s="1095">
        <f>IF(Tabla1[[#This Row],[DIAS]]&gt;89,+K120*J120*(1+1%/365*Tabla1[[#This Row],[DIAS]]),Tabla1[[#This Row],[ACOBRAR]])</f>
        <v>1054082.1917808219</v>
      </c>
      <c r="M120" s="1096">
        <f>+L120-Tabla1[[#This Row],[ACOBRAR]]</f>
        <v>0</v>
      </c>
      <c r="N120"/>
    </row>
    <row r="121" spans="1:16" s="611" customFormat="1" ht="14.25" customHeight="1">
      <c r="A121" s="712">
        <v>45943</v>
      </c>
      <c r="B121" s="713">
        <v>450000</v>
      </c>
      <c r="C121" s="713">
        <f t="shared" si="3"/>
        <v>470675.34246575343</v>
      </c>
      <c r="D121" s="714">
        <f t="shared" si="4"/>
        <v>45986</v>
      </c>
      <c r="E121" s="715">
        <v>43</v>
      </c>
      <c r="F121" s="777">
        <v>0.39</v>
      </c>
      <c r="G121" s="716" t="s">
        <v>265</v>
      </c>
      <c r="H121" s="717">
        <f t="shared" si="6"/>
        <v>14424.657534246582</v>
      </c>
      <c r="I121" s="1094">
        <f>VLOOKUP(Tabla1[[#This Row],[FECHA]],TablaUVA[#All],2)</f>
        <v>1604.8603007562622</v>
      </c>
      <c r="J121" s="1094">
        <f>VLOOKUP(Tabla1[[#This Row],[VTO.]],TablaUVA[#All],2)</f>
        <v>1642.08033137602</v>
      </c>
      <c r="K121" s="1093">
        <f>+Tabla1[[#This Row],[DEPOSITADO]]/I121</f>
        <v>280.39823764594678</v>
      </c>
      <c r="L121" s="1095">
        <f>IF(Tabla1[[#This Row],[DIAS]]&gt;89,+K121*J121*(1+1%/365*Tabla1[[#This Row],[DIAS]]),Tabla1[[#This Row],[ACOBRAR]])</f>
        <v>470675.34246575343</v>
      </c>
      <c r="M121" s="1096">
        <f>+L121-Tabla1[[#This Row],[ACOBRAR]]</f>
        <v>0</v>
      </c>
      <c r="N121" s="1155">
        <f>SUM(C68:C120)</f>
        <v>40392252.068493158</v>
      </c>
      <c r="O121" s="713"/>
      <c r="P121" s="713"/>
    </row>
    <row r="122" spans="1:16" s="611" customFormat="1" ht="15" customHeight="1">
      <c r="A122" s="712">
        <v>45943</v>
      </c>
      <c r="B122" s="713">
        <v>1150000</v>
      </c>
      <c r="C122" s="713">
        <f t="shared" si="3"/>
        <v>1210965.7534246575</v>
      </c>
      <c r="D122" s="714">
        <f t="shared" si="4"/>
        <v>45986</v>
      </c>
      <c r="E122" s="715">
        <v>43</v>
      </c>
      <c r="F122" s="777">
        <v>0.45</v>
      </c>
      <c r="G122" s="716" t="s">
        <v>258</v>
      </c>
      <c r="H122" s="717">
        <f t="shared" si="6"/>
        <v>42534.246575342448</v>
      </c>
      <c r="I122" s="1094">
        <f>VLOOKUP(Tabla1[[#This Row],[FECHA]],TablaUVA[#All],2)</f>
        <v>1604.8603007562622</v>
      </c>
      <c r="J122" s="1094">
        <f>VLOOKUP(Tabla1[[#This Row],[VTO.]],TablaUVA[#All],2)</f>
        <v>1642.08033137602</v>
      </c>
      <c r="K122" s="1093">
        <f>+Tabla1[[#This Row],[DEPOSITADO]]/I122</f>
        <v>716.5732739840862</v>
      </c>
      <c r="L122" s="1095">
        <f>IF(Tabla1[[#This Row],[DIAS]]&gt;89,+K122*J122*(1+1%/365*Tabla1[[#This Row],[DIAS]]),Tabla1[[#This Row],[ACOBRAR]])</f>
        <v>1210965.7534246575</v>
      </c>
      <c r="M122" s="1096">
        <f>+L122-Tabla1[[#This Row],[ACOBRAR]]</f>
        <v>0</v>
      </c>
      <c r="N122"/>
    </row>
    <row r="123" spans="1:16" s="611" customFormat="1" ht="14.25" customHeight="1">
      <c r="A123" s="712">
        <v>45943</v>
      </c>
      <c r="B123" s="713">
        <v>770000</v>
      </c>
      <c r="C123" s="1069">
        <f t="shared" si="3"/>
        <v>811727.67123287672</v>
      </c>
      <c r="D123" s="1070">
        <f t="shared" si="4"/>
        <v>45986</v>
      </c>
      <c r="E123" s="1071">
        <v>43</v>
      </c>
      <c r="F123" s="1074">
        <v>0.46</v>
      </c>
      <c r="G123" s="1043" t="s">
        <v>260</v>
      </c>
      <c r="H123" s="717">
        <f t="shared" si="6"/>
        <v>29112.328767123294</v>
      </c>
      <c r="I123" s="1094">
        <f>VLOOKUP(Tabla1[[#This Row],[FECHA]],TablaUVA[#All],2)</f>
        <v>1604.8603007562622</v>
      </c>
      <c r="J123" s="1094">
        <f>VLOOKUP(Tabla1[[#This Row],[VTO.]],TablaUVA[#All],2)</f>
        <v>1642.08033137602</v>
      </c>
      <c r="K123" s="1093">
        <f>+Tabla1[[#This Row],[DEPOSITADO]]/I123</f>
        <v>479.79253997195337</v>
      </c>
      <c r="L123" s="1095">
        <f>IF(Tabla1[[#This Row],[DIAS]]&gt;89,+K123*J123*(1+1%/365*Tabla1[[#This Row],[DIAS]]),Tabla1[[#This Row],[ACOBRAR]])</f>
        <v>811727.67123287672</v>
      </c>
      <c r="M123" s="1096">
        <f>+L123-Tabla1[[#This Row],[ACOBRAR]]</f>
        <v>0</v>
      </c>
      <c r="N123"/>
    </row>
    <row r="124" spans="1:16" s="611" customFormat="1" ht="15" customHeight="1">
      <c r="A124" s="1062">
        <v>45945</v>
      </c>
      <c r="B124" s="1061">
        <v>331000</v>
      </c>
      <c r="C124" s="1061">
        <f t="shared" si="3"/>
        <v>350424.71232876711</v>
      </c>
      <c r="D124" s="1062">
        <f t="shared" si="4"/>
        <v>45987</v>
      </c>
      <c r="E124" s="1063">
        <v>42</v>
      </c>
      <c r="F124" s="1065">
        <v>0.51</v>
      </c>
      <c r="G124" s="1066" t="s">
        <v>257</v>
      </c>
      <c r="H124" s="1067">
        <f t="shared" si="6"/>
        <v>13874.794520547937</v>
      </c>
      <c r="I124" s="1094">
        <f>VLOOKUP(Tabla1[[#This Row],[FECHA]],TablaUVA[#All],2)</f>
        <v>1606.5726082373319</v>
      </c>
      <c r="J124" s="1094">
        <f>VLOOKUP(Tabla1[[#This Row],[VTO.]],TablaUVA[#All],2)</f>
        <v>1642.9561075527538</v>
      </c>
      <c r="K124" s="1093">
        <f>+Tabla1[[#This Row],[DEPOSITADO]]/I124</f>
        <v>206.02865896186302</v>
      </c>
      <c r="L124" s="1095">
        <f>IF(Tabla1[[#This Row],[DIAS]]&gt;89,+K124*J124*(1+1%/365*Tabla1[[#This Row],[DIAS]]),Tabla1[[#This Row],[ACOBRAR]])</f>
        <v>350424.71232876711</v>
      </c>
      <c r="M124" s="1096">
        <f>+L124-Tabla1[[#This Row],[ACOBRAR]]</f>
        <v>0</v>
      </c>
      <c r="N124"/>
    </row>
    <row r="125" spans="1:16" s="611" customFormat="1" ht="14.25" customHeight="1">
      <c r="A125" s="712">
        <v>45944</v>
      </c>
      <c r="B125" s="713">
        <v>600000</v>
      </c>
      <c r="C125" s="713">
        <f t="shared" si="3"/>
        <v>632515.06849315064</v>
      </c>
      <c r="D125" s="532">
        <f t="shared" si="4"/>
        <v>45987</v>
      </c>
      <c r="E125" s="534">
        <v>43</v>
      </c>
      <c r="F125" s="777">
        <v>0.46</v>
      </c>
      <c r="G125" s="716" t="s">
        <v>258</v>
      </c>
      <c r="H125" s="717">
        <f t="shared" si="6"/>
        <v>22684.931506849283</v>
      </c>
      <c r="I125" s="1094">
        <f>VLOOKUP(Tabla1[[#This Row],[FECHA]],TablaUVA[#All],2)</f>
        <v>1605.7162262499987</v>
      </c>
      <c r="J125" s="1094">
        <f>VLOOKUP(Tabla1[[#This Row],[VTO.]],TablaUVA[#All],2)</f>
        <v>1642.9561075527538</v>
      </c>
      <c r="K125" s="1093">
        <f>+Tabla1[[#This Row],[DEPOSITADO]]/I125</f>
        <v>373.66502884587794</v>
      </c>
      <c r="L125" s="1095">
        <f>IF(Tabla1[[#This Row],[DIAS]]&gt;89,+K125*J125*(1+1%/365*Tabla1[[#This Row],[DIAS]]),Tabla1[[#This Row],[ACOBRAR]])</f>
        <v>632515.06849315064</v>
      </c>
      <c r="M125" s="1096">
        <f>+L125-Tabla1[[#This Row],[ACOBRAR]]</f>
        <v>0</v>
      </c>
      <c r="N125"/>
    </row>
    <row r="126" spans="1:16" s="611" customFormat="1" ht="14.25" customHeight="1">
      <c r="A126" s="712">
        <v>45943</v>
      </c>
      <c r="B126" s="713">
        <v>450000</v>
      </c>
      <c r="C126" s="713">
        <f t="shared" si="3"/>
        <v>471156.16438356164</v>
      </c>
      <c r="D126" s="714">
        <f t="shared" si="4"/>
        <v>45987</v>
      </c>
      <c r="E126" s="715">
        <v>44</v>
      </c>
      <c r="F126" s="777">
        <v>0.39</v>
      </c>
      <c r="G126" s="716" t="s">
        <v>265</v>
      </c>
      <c r="H126" s="717">
        <f t="shared" si="6"/>
        <v>14424.657534246573</v>
      </c>
      <c r="I126" s="1094">
        <f>VLOOKUP(Tabla1[[#This Row],[FECHA]],TablaUVA[#All],2)</f>
        <v>1604.8603007562622</v>
      </c>
      <c r="J126" s="1094">
        <f>VLOOKUP(Tabla1[[#This Row],[VTO.]],TablaUVA[#All],2)</f>
        <v>1642.9561075527538</v>
      </c>
      <c r="K126" s="1093">
        <f>+Tabla1[[#This Row],[DEPOSITADO]]/I126</f>
        <v>280.39823764594678</v>
      </c>
      <c r="L126" s="1095">
        <f>IF(Tabla1[[#This Row],[DIAS]]&gt;89,+K126*J126*(1+1%/365*Tabla1[[#This Row],[DIAS]]),Tabla1[[#This Row],[ACOBRAR]])</f>
        <v>471156.16438356164</v>
      </c>
      <c r="M126" s="1096">
        <f>+L126-Tabla1[[#This Row],[ACOBRAR]]</f>
        <v>0</v>
      </c>
      <c r="N126"/>
    </row>
    <row r="127" spans="1:16" s="611" customFormat="1" ht="14.25" customHeight="1">
      <c r="A127" s="712">
        <v>45943</v>
      </c>
      <c r="B127" s="713">
        <v>1200000</v>
      </c>
      <c r="C127" s="713">
        <f t="shared" si="3"/>
        <v>1265095.8904109588</v>
      </c>
      <c r="D127" s="714">
        <f t="shared" si="4"/>
        <v>45987</v>
      </c>
      <c r="E127" s="715">
        <v>44</v>
      </c>
      <c r="F127" s="777">
        <v>0.45</v>
      </c>
      <c r="G127" s="716" t="s">
        <v>258</v>
      </c>
      <c r="H127" s="717">
        <f t="shared" si="6"/>
        <v>44383.561643835536</v>
      </c>
      <c r="I127" s="1094">
        <f>VLOOKUP(Tabla1[[#This Row],[FECHA]],TablaUVA[#All],2)</f>
        <v>1604.8603007562622</v>
      </c>
      <c r="J127" s="1094">
        <f>VLOOKUP(Tabla1[[#This Row],[VTO.]],TablaUVA[#All],2)</f>
        <v>1642.9561075527538</v>
      </c>
      <c r="K127" s="1093">
        <f>+Tabla1[[#This Row],[DEPOSITADO]]/I127</f>
        <v>747.72863372252471</v>
      </c>
      <c r="L127" s="1095">
        <f>IF(Tabla1[[#This Row],[DIAS]]&gt;89,+K127*J127*(1+1%/365*Tabla1[[#This Row],[DIAS]]),Tabla1[[#This Row],[ACOBRAR]])</f>
        <v>1265095.8904109588</v>
      </c>
      <c r="M127" s="1096">
        <f>+L127-Tabla1[[#This Row],[ACOBRAR]]</f>
        <v>0</v>
      </c>
      <c r="N127"/>
    </row>
    <row r="128" spans="1:16" s="611" customFormat="1" ht="15" customHeight="1">
      <c r="A128" s="712">
        <v>45943</v>
      </c>
      <c r="B128" s="713">
        <v>770000</v>
      </c>
      <c r="C128" s="1069">
        <f t="shared" ref="C128:C159" si="7">B128+(B128*F128/365*E128)*1</f>
        <v>812698.08219178079</v>
      </c>
      <c r="D128" s="1070">
        <f t="shared" ref="D128:D159" si="8">+A128+E128</f>
        <v>45987</v>
      </c>
      <c r="E128" s="1071">
        <v>44</v>
      </c>
      <c r="F128" s="1074">
        <v>0.46</v>
      </c>
      <c r="G128" s="1043" t="s">
        <v>260</v>
      </c>
      <c r="H128" s="717">
        <f t="shared" si="6"/>
        <v>29112.328767123268</v>
      </c>
      <c r="I128" s="1094">
        <f>VLOOKUP(Tabla1[[#This Row],[FECHA]],TablaUVA[#All],2)</f>
        <v>1604.8603007562622</v>
      </c>
      <c r="J128" s="1094">
        <f>VLOOKUP(Tabla1[[#This Row],[VTO.]],TablaUVA[#All],2)</f>
        <v>1642.9561075527538</v>
      </c>
      <c r="K128" s="1093">
        <f>+Tabla1[[#This Row],[DEPOSITADO]]/I128</f>
        <v>479.79253997195337</v>
      </c>
      <c r="L128" s="1095">
        <f>IF(Tabla1[[#This Row],[DIAS]]&gt;89,+K128*J128*(1+1%/365*Tabla1[[#This Row],[DIAS]]),Tabla1[[#This Row],[ACOBRAR]])</f>
        <v>812698.08219178079</v>
      </c>
      <c r="M128" s="1096">
        <f>+L128-Tabla1[[#This Row],[ACOBRAR]]</f>
        <v>0</v>
      </c>
      <c r="N128"/>
    </row>
    <row r="129" spans="1:14" s="611" customFormat="1" ht="14.25" customHeight="1">
      <c r="A129" s="1077">
        <v>45946</v>
      </c>
      <c r="B129" s="1076">
        <v>490000</v>
      </c>
      <c r="C129" s="1076">
        <f t="shared" si="7"/>
        <v>514244.9315068493</v>
      </c>
      <c r="D129" s="1077">
        <f t="shared" si="8"/>
        <v>45988</v>
      </c>
      <c r="E129" s="1078">
        <v>42</v>
      </c>
      <c r="F129" s="1081">
        <v>0.43</v>
      </c>
      <c r="G129" s="1079" t="s">
        <v>262</v>
      </c>
      <c r="H129" s="1080">
        <f t="shared" si="6"/>
        <v>17317.80821917807</v>
      </c>
      <c r="I129" s="1094">
        <f>VLOOKUP(Tabla1[[#This Row],[FECHA]],TablaUVA[#All],2)</f>
        <v>1607.429446961725</v>
      </c>
      <c r="J129" s="1094">
        <f>VLOOKUP(Tabla1[[#This Row],[VTO.]],TablaUVA[#All],2)</f>
        <v>1643.8323508101153</v>
      </c>
      <c r="K129" s="1117">
        <f>+Tabla1[[#This Row],[DEPOSITADO]]/I129</f>
        <v>304.8345300169604</v>
      </c>
      <c r="L129" s="1095">
        <f>IF(Tabla1[[#This Row],[DIAS]]&gt;89,+K129*J129*(1+1%/365*Tabla1[[#This Row],[DIAS]]),Tabla1[[#This Row],[ACOBRAR]])</f>
        <v>514244.9315068493</v>
      </c>
      <c r="M129" s="1118">
        <f>+L129-Tabla1[[#This Row],[ACOBRAR]]</f>
        <v>0</v>
      </c>
      <c r="N129"/>
    </row>
    <row r="130" spans="1:14" s="611" customFormat="1" ht="15" customHeight="1">
      <c r="A130" s="1068">
        <v>45946</v>
      </c>
      <c r="B130" s="1069">
        <v>357000</v>
      </c>
      <c r="C130" s="1069">
        <f t="shared" si="7"/>
        <v>376307.34246575343</v>
      </c>
      <c r="D130" s="1070">
        <f t="shared" si="8"/>
        <v>45988</v>
      </c>
      <c r="E130" s="1071">
        <v>42</v>
      </c>
      <c r="F130" s="1074">
        <v>0.47</v>
      </c>
      <c r="G130" s="1072" t="s">
        <v>261</v>
      </c>
      <c r="H130" s="1073">
        <f t="shared" si="6"/>
        <v>13790.958904109597</v>
      </c>
      <c r="I130" s="1094">
        <f>VLOOKUP(Tabla1[[#This Row],[FECHA]],TablaUVA[#All],2)</f>
        <v>1607.429446961725</v>
      </c>
      <c r="J130" s="1094">
        <f>VLOOKUP(Tabla1[[#This Row],[VTO.]],TablaUVA[#All],2)</f>
        <v>1643.8323508101153</v>
      </c>
      <c r="K130" s="1093">
        <f>+Tabla1[[#This Row],[DEPOSITADO]]/I130</f>
        <v>222.09372901235685</v>
      </c>
      <c r="L130" s="1095">
        <f>IF(Tabla1[[#This Row],[DIAS]]&gt;89,+K130*J130*(1+1%/365*Tabla1[[#This Row],[DIAS]]),Tabla1[[#This Row],[ACOBRAR]])</f>
        <v>376307.34246575343</v>
      </c>
      <c r="M130" s="1096">
        <f>+L130-Tabla1[[#This Row],[ACOBRAR]]</f>
        <v>0</v>
      </c>
      <c r="N130"/>
    </row>
    <row r="131" spans="1:14" s="611" customFormat="1" ht="15" customHeight="1">
      <c r="A131" s="712">
        <v>45945</v>
      </c>
      <c r="B131" s="713">
        <v>950000</v>
      </c>
      <c r="C131" s="713">
        <f t="shared" si="7"/>
        <v>998124.65753424657</v>
      </c>
      <c r="D131" s="532">
        <f t="shared" si="8"/>
        <v>45988</v>
      </c>
      <c r="E131" s="534">
        <v>43</v>
      </c>
      <c r="F131" s="777">
        <v>0.43</v>
      </c>
      <c r="G131" s="716" t="s">
        <v>258</v>
      </c>
      <c r="H131" s="717">
        <f t="shared" si="6"/>
        <v>33575.342465753412</v>
      </c>
      <c r="I131" s="1094">
        <f>VLOOKUP(Tabla1[[#This Row],[FECHA]],TablaUVA[#All],2)</f>
        <v>1606.5726082373319</v>
      </c>
      <c r="J131" s="1094">
        <f>VLOOKUP(Tabla1[[#This Row],[VTO.]],TablaUVA[#All],2)</f>
        <v>1643.8323508101153</v>
      </c>
      <c r="K131" s="1093">
        <f>+Tabla1[[#This Row],[DEPOSITADO]]/I131</f>
        <v>591.32092451289986</v>
      </c>
      <c r="L131" s="1095">
        <f>IF(Tabla1[[#This Row],[DIAS]]&gt;89,+K131*J131*(1+1%/365*Tabla1[[#This Row],[DIAS]]),Tabla1[[#This Row],[ACOBRAR]])</f>
        <v>998124.65753424657</v>
      </c>
      <c r="M131" s="1096">
        <f>+L131-Tabla1[[#This Row],[ACOBRAR]]</f>
        <v>0</v>
      </c>
      <c r="N131"/>
    </row>
    <row r="132" spans="1:14" s="611" customFormat="1" ht="14.25" customHeight="1">
      <c r="A132" s="712">
        <v>45945</v>
      </c>
      <c r="B132" s="713">
        <v>1000000</v>
      </c>
      <c r="C132" s="713">
        <f t="shared" si="7"/>
        <v>1055369.8630136987</v>
      </c>
      <c r="D132" s="714">
        <f t="shared" si="8"/>
        <v>45988</v>
      </c>
      <c r="E132" s="715">
        <v>43</v>
      </c>
      <c r="F132" s="777">
        <v>0.47</v>
      </c>
      <c r="G132" s="1043" t="s">
        <v>260</v>
      </c>
      <c r="H132" s="717">
        <f t="shared" si="6"/>
        <v>38630.136986301433</v>
      </c>
      <c r="I132" s="1094">
        <f>VLOOKUP(Tabla1[[#This Row],[FECHA]],TablaUVA[#All],2)</f>
        <v>1606.5726082373319</v>
      </c>
      <c r="J132" s="1094">
        <f>VLOOKUP(Tabla1[[#This Row],[VTO.]],TablaUVA[#All],2)</f>
        <v>1643.8323508101153</v>
      </c>
      <c r="K132" s="1093">
        <f>+Tabla1[[#This Row],[DEPOSITADO]]/I132</f>
        <v>622.44307843463139</v>
      </c>
      <c r="L132" s="1095">
        <f>IF(Tabla1[[#This Row],[DIAS]]&gt;89,+K132*J132*(1+1%/365*Tabla1[[#This Row],[DIAS]]),Tabla1[[#This Row],[ACOBRAR]])</f>
        <v>1055369.8630136987</v>
      </c>
      <c r="M132" s="1096">
        <f>+L132-Tabla1[[#This Row],[ACOBRAR]]</f>
        <v>0</v>
      </c>
      <c r="N132"/>
    </row>
    <row r="133" spans="1:14" s="611" customFormat="1" ht="14.25" customHeight="1">
      <c r="A133" s="712">
        <v>45945</v>
      </c>
      <c r="B133" s="713">
        <v>500000</v>
      </c>
      <c r="C133" s="713">
        <f t="shared" si="7"/>
        <v>529452.05479452061</v>
      </c>
      <c r="D133" s="714">
        <f t="shared" si="8"/>
        <v>45988</v>
      </c>
      <c r="E133" s="715">
        <v>43</v>
      </c>
      <c r="F133" s="777">
        <v>0.5</v>
      </c>
      <c r="G133" s="1043" t="s">
        <v>260</v>
      </c>
      <c r="H133" s="717">
        <f t="shared" si="6"/>
        <v>20547.945205479493</v>
      </c>
      <c r="I133" s="1094">
        <f>VLOOKUP(Tabla1[[#This Row],[FECHA]],TablaUVA[#All],2)</f>
        <v>1606.5726082373319</v>
      </c>
      <c r="J133" s="1094">
        <f>VLOOKUP(Tabla1[[#This Row],[VTO.]],TablaUVA[#All],2)</f>
        <v>1643.8323508101153</v>
      </c>
      <c r="K133" s="1093">
        <f>+Tabla1[[#This Row],[DEPOSITADO]]/I133</f>
        <v>311.22153921731569</v>
      </c>
      <c r="L133" s="1095">
        <f>IF(Tabla1[[#This Row],[DIAS]]&gt;89,+K133*J133*(1+1%/365*Tabla1[[#This Row],[DIAS]]),Tabla1[[#This Row],[ACOBRAR]])</f>
        <v>529452.05479452061</v>
      </c>
      <c r="M133" s="1096">
        <f>+L133-Tabla1[[#This Row],[ACOBRAR]]</f>
        <v>0</v>
      </c>
      <c r="N133"/>
    </row>
    <row r="134" spans="1:14" s="611" customFormat="1" ht="15" customHeight="1">
      <c r="A134" s="712">
        <v>45959</v>
      </c>
      <c r="B134" s="1134">
        <v>40000</v>
      </c>
      <c r="C134" s="1134">
        <f t="shared" si="7"/>
        <v>40082.191780821915</v>
      </c>
      <c r="D134" s="532">
        <f t="shared" si="8"/>
        <v>45989</v>
      </c>
      <c r="E134" s="534">
        <v>30</v>
      </c>
      <c r="F134" s="777">
        <v>2.5000000000000001E-2</v>
      </c>
      <c r="G134" s="716" t="s">
        <v>258</v>
      </c>
      <c r="H134" s="717" t="s">
        <v>38</v>
      </c>
      <c r="I134" s="1094">
        <f>VLOOKUP(Tabla1[[#This Row],[FECHA]],TablaUVA[#All],2)</f>
        <v>1618.6100244636918</v>
      </c>
      <c r="J134" s="1094">
        <f>VLOOKUP(Tabla1[[#This Row],[VTO.]],TablaUVA[#All],2)</f>
        <v>1644.7090613972139</v>
      </c>
      <c r="K134" s="1093">
        <f>+Tabla1[[#This Row],[DEPOSITADO]]/I134</f>
        <v>24.712561639579334</v>
      </c>
      <c r="L134" s="1095">
        <f>IF(Tabla1[[#This Row],[DIAS]]&gt;89,+K134*J134*(1+1%/365*Tabla1[[#This Row],[DIAS]]),Tabla1[[#This Row],[ACOBRAR]])</f>
        <v>40082.191780821915</v>
      </c>
      <c r="M134" s="1096">
        <f>+L134-Tabla1[[#This Row],[ACOBRAR]]</f>
        <v>0</v>
      </c>
      <c r="N134"/>
    </row>
    <row r="135" spans="1:14" s="611" customFormat="1" ht="14.25" customHeight="1">
      <c r="A135" s="712">
        <v>45950</v>
      </c>
      <c r="B135" s="713">
        <v>321000</v>
      </c>
      <c r="C135" s="713">
        <f t="shared" si="7"/>
        <v>335405.42465753423</v>
      </c>
      <c r="D135" s="714">
        <f t="shared" si="8"/>
        <v>45989</v>
      </c>
      <c r="E135" s="715">
        <v>39</v>
      </c>
      <c r="F135" s="777">
        <v>0.42</v>
      </c>
      <c r="G135" s="716" t="s">
        <v>265</v>
      </c>
      <c r="H135" s="717">
        <f t="shared" ref="H135:H162" si="9">(C135-B135)/E135*30</f>
        <v>11081.095890410943</v>
      </c>
      <c r="I135" s="1094">
        <f>VLOOKUP(Tabla1[[#This Row],[FECHA]],TablaUVA[#All],2)</f>
        <v>1610.8613741037079</v>
      </c>
      <c r="J135" s="1094">
        <f>VLOOKUP(Tabla1[[#This Row],[VTO.]],TablaUVA[#All],2)</f>
        <v>1644.7090613972139</v>
      </c>
      <c r="K135" s="1093">
        <f>+Tabla1[[#This Row],[DEPOSITADO]]/I135</f>
        <v>199.27226834066101</v>
      </c>
      <c r="L135" s="1095">
        <f>IF(Tabla1[[#This Row],[DIAS]]&gt;89,+K135*J135*(1+1%/365*Tabla1[[#This Row],[DIAS]]),Tabla1[[#This Row],[ACOBRAR]])</f>
        <v>335405.42465753423</v>
      </c>
      <c r="M135" s="1096">
        <f>+L135-Tabla1[[#This Row],[ACOBRAR]]</f>
        <v>0</v>
      </c>
      <c r="N135"/>
    </row>
    <row r="136" spans="1:14" s="611" customFormat="1" ht="15" customHeight="1">
      <c r="A136" s="712">
        <v>45947</v>
      </c>
      <c r="B136" s="713">
        <v>437000</v>
      </c>
      <c r="C136" s="713">
        <f t="shared" si="7"/>
        <v>458119.67123287672</v>
      </c>
      <c r="D136" s="714">
        <f t="shared" si="8"/>
        <v>45989</v>
      </c>
      <c r="E136" s="715">
        <v>42</v>
      </c>
      <c r="F136" s="777">
        <v>0.42</v>
      </c>
      <c r="G136" s="716" t="s">
        <v>265</v>
      </c>
      <c r="H136" s="717">
        <f t="shared" si="9"/>
        <v>15085.479452054797</v>
      </c>
      <c r="I136" s="1094">
        <f>VLOOKUP(Tabla1[[#This Row],[FECHA]],TablaUVA[#All],2)</f>
        <v>1608.2867426667713</v>
      </c>
      <c r="J136" s="1094">
        <f>VLOOKUP(Tabla1[[#This Row],[VTO.]],TablaUVA[#All],2)</f>
        <v>1644.7090613972139</v>
      </c>
      <c r="K136" s="1093">
        <f>+Tabla1[[#This Row],[DEPOSITADO]]/I136</f>
        <v>271.71771575719828</v>
      </c>
      <c r="L136" s="1095">
        <f>IF(Tabla1[[#This Row],[DIAS]]&gt;89,+K136*J136*(1+1%/365*Tabla1[[#This Row],[DIAS]]),Tabla1[[#This Row],[ACOBRAR]])</f>
        <v>458119.67123287672</v>
      </c>
      <c r="M136" s="1096">
        <f>+L136-Tabla1[[#This Row],[ACOBRAR]]</f>
        <v>0</v>
      </c>
      <c r="N136"/>
    </row>
    <row r="137" spans="1:14" s="611" customFormat="1" ht="15" customHeight="1">
      <c r="A137" s="1068">
        <v>45947</v>
      </c>
      <c r="B137" s="1069">
        <v>427000</v>
      </c>
      <c r="C137" s="1069">
        <f t="shared" si="7"/>
        <v>448619.0684931507</v>
      </c>
      <c r="D137" s="1070">
        <f t="shared" si="8"/>
        <v>45989</v>
      </c>
      <c r="E137" s="1071">
        <v>42</v>
      </c>
      <c r="F137" s="1074">
        <v>0.44</v>
      </c>
      <c r="G137" s="1072" t="s">
        <v>261</v>
      </c>
      <c r="H137" s="1073">
        <f t="shared" si="9"/>
        <v>15442.19178082193</v>
      </c>
      <c r="I137" s="1094">
        <f>VLOOKUP(Tabla1[[#This Row],[FECHA]],TablaUVA[#All],2)</f>
        <v>1608.2867426667713</v>
      </c>
      <c r="J137" s="1094">
        <f>VLOOKUP(Tabla1[[#This Row],[VTO.]],TablaUVA[#All],2)</f>
        <v>1644.7090613972139</v>
      </c>
      <c r="K137" s="1093">
        <f>+Tabla1[[#This Row],[DEPOSITADO]]/I137</f>
        <v>265.49991905794889</v>
      </c>
      <c r="L137" s="1095">
        <f>IF(Tabla1[[#This Row],[DIAS]]&gt;89,+K137*J137*(1+1%/365*Tabla1[[#This Row],[DIAS]]),Tabla1[[#This Row],[ACOBRAR]])</f>
        <v>448619.0684931507</v>
      </c>
      <c r="M137" s="1096">
        <f>+L137-Tabla1[[#This Row],[ACOBRAR]]</f>
        <v>0</v>
      </c>
      <c r="N137"/>
    </row>
    <row r="138" spans="1:14" s="611" customFormat="1" ht="15" customHeight="1">
      <c r="A138" s="1075">
        <v>45947</v>
      </c>
      <c r="B138" s="1076">
        <v>400000</v>
      </c>
      <c r="C138" s="1076">
        <f t="shared" si="7"/>
        <v>419791.78082191781</v>
      </c>
      <c r="D138" s="1077">
        <f t="shared" si="8"/>
        <v>45989</v>
      </c>
      <c r="E138" s="1078">
        <v>42</v>
      </c>
      <c r="F138" s="1081">
        <v>0.43</v>
      </c>
      <c r="G138" s="1079" t="s">
        <v>262</v>
      </c>
      <c r="H138" s="1080">
        <f t="shared" si="9"/>
        <v>14136.986301369865</v>
      </c>
      <c r="I138" s="1094">
        <f>VLOOKUP(Tabla1[[#This Row],[FECHA]],TablaUVA[#All],2)</f>
        <v>1608.2867426667713</v>
      </c>
      <c r="J138" s="1094">
        <f>VLOOKUP(Tabla1[[#This Row],[VTO.]],TablaUVA[#All],2)</f>
        <v>1644.7090613972139</v>
      </c>
      <c r="K138" s="1117">
        <f>+Tabla1[[#This Row],[DEPOSITADO]]/I138</f>
        <v>248.71186796997551</v>
      </c>
      <c r="L138" s="1095">
        <f>IF(Tabla1[[#This Row],[DIAS]]&gt;89,+K138*J138*(1+1%/365*Tabla1[[#This Row],[DIAS]]),Tabla1[[#This Row],[ACOBRAR]])</f>
        <v>419791.78082191781</v>
      </c>
      <c r="M138" s="1118">
        <f>+L138-Tabla1[[#This Row],[ACOBRAR]]</f>
        <v>0</v>
      </c>
      <c r="N138"/>
    </row>
    <row r="139" spans="1:14" s="611" customFormat="1" ht="15" customHeight="1">
      <c r="A139" s="1089">
        <v>45946</v>
      </c>
      <c r="B139" s="1090">
        <v>280000</v>
      </c>
      <c r="C139" s="1090">
        <f t="shared" si="7"/>
        <v>293854.24657534249</v>
      </c>
      <c r="D139" s="1089">
        <f t="shared" si="8"/>
        <v>45989</v>
      </c>
      <c r="E139" s="1091">
        <v>43</v>
      </c>
      <c r="F139" s="1092">
        <v>0.42</v>
      </c>
      <c r="G139" s="1093" t="s">
        <v>266</v>
      </c>
      <c r="H139" s="1088">
        <f t="shared" si="9"/>
        <v>9665.7534246575524</v>
      </c>
      <c r="I139" s="1094">
        <f>VLOOKUP(Tabla1[[#This Row],[FECHA]],TablaUVA[#All],2)</f>
        <v>1607.429446961725</v>
      </c>
      <c r="J139" s="1094">
        <f>VLOOKUP(Tabla1[[#This Row],[VTO.]],TablaUVA[#All],2)</f>
        <v>1644.7090613972139</v>
      </c>
      <c r="K139" s="1093">
        <f>+Tabla1[[#This Row],[DEPOSITADO]]/I139</f>
        <v>174.19116000969166</v>
      </c>
      <c r="L139" s="1095">
        <f>IF(Tabla1[[#This Row],[DIAS]]&gt;89,+K139*J139*(1+1%/365*Tabla1[[#This Row],[DIAS]]),Tabla1[[#This Row],[ACOBRAR]])</f>
        <v>293854.24657534249</v>
      </c>
      <c r="M139" s="1096">
        <f>+L139-Tabla1[[#This Row],[ACOBRAR]]</f>
        <v>0</v>
      </c>
      <c r="N139"/>
    </row>
    <row r="140" spans="1:14" s="611" customFormat="1" ht="15" customHeight="1">
      <c r="A140" s="1082">
        <v>45946</v>
      </c>
      <c r="B140" s="713">
        <v>600000</v>
      </c>
      <c r="C140" s="713">
        <f t="shared" si="7"/>
        <v>630394.52054794517</v>
      </c>
      <c r="D140" s="714">
        <f t="shared" si="8"/>
        <v>45989</v>
      </c>
      <c r="E140" s="715">
        <v>43</v>
      </c>
      <c r="F140" s="777">
        <v>0.43</v>
      </c>
      <c r="G140" s="716" t="s">
        <v>258</v>
      </c>
      <c r="H140" s="717">
        <f t="shared" si="9"/>
        <v>21205.479452054769</v>
      </c>
      <c r="I140" s="1094">
        <f>VLOOKUP(Tabla1[[#This Row],[FECHA]],TablaUVA[#All],2)</f>
        <v>1607.429446961725</v>
      </c>
      <c r="J140" s="1094">
        <f>VLOOKUP(Tabla1[[#This Row],[VTO.]],TablaUVA[#All],2)</f>
        <v>1644.7090613972139</v>
      </c>
      <c r="K140" s="1093">
        <f>+Tabla1[[#This Row],[DEPOSITADO]]/I140</f>
        <v>373.26677144933927</v>
      </c>
      <c r="L140" s="1095">
        <f>IF(Tabla1[[#This Row],[DIAS]]&gt;89,+K140*J140*(1+1%/365*Tabla1[[#This Row],[DIAS]]),Tabla1[[#This Row],[ACOBRAR]])</f>
        <v>630394.52054794517</v>
      </c>
      <c r="M140" s="1096">
        <f>+L140-Tabla1[[#This Row],[ACOBRAR]]</f>
        <v>0</v>
      </c>
      <c r="N140"/>
    </row>
    <row r="141" spans="1:14" s="611" customFormat="1" ht="14.25" customHeight="1">
      <c r="A141" s="1082">
        <v>45946</v>
      </c>
      <c r="B141" s="713">
        <v>220000</v>
      </c>
      <c r="C141" s="713">
        <f t="shared" si="7"/>
        <v>231144.65753424657</v>
      </c>
      <c r="D141" s="714">
        <f t="shared" si="8"/>
        <v>45989</v>
      </c>
      <c r="E141" s="715">
        <v>43</v>
      </c>
      <c r="F141" s="777">
        <v>0.43</v>
      </c>
      <c r="G141" s="716" t="s">
        <v>258</v>
      </c>
      <c r="H141" s="717">
        <f t="shared" si="9"/>
        <v>7775.3424657534188</v>
      </c>
      <c r="I141" s="1094">
        <f>VLOOKUP(Tabla1[[#This Row],[FECHA]],TablaUVA[#All],2)</f>
        <v>1607.429446961725</v>
      </c>
      <c r="J141" s="1094">
        <f>VLOOKUP(Tabla1[[#This Row],[VTO.]],TablaUVA[#All],2)</f>
        <v>1644.7090613972139</v>
      </c>
      <c r="K141" s="1093">
        <f>+Tabla1[[#This Row],[DEPOSITADO]]/I141</f>
        <v>136.86448286475772</v>
      </c>
      <c r="L141" s="1095">
        <f>IF(Tabla1[[#This Row],[DIAS]]&gt;89,+K141*J141*(1+1%/365*Tabla1[[#This Row],[DIAS]]),Tabla1[[#This Row],[ACOBRAR]])</f>
        <v>231144.65753424657</v>
      </c>
      <c r="M141" s="1096">
        <f>+L141-Tabla1[[#This Row],[ACOBRAR]]</f>
        <v>0</v>
      </c>
      <c r="N141"/>
    </row>
    <row r="142" spans="1:14" s="611" customFormat="1" ht="14.25" customHeight="1">
      <c r="A142" s="712">
        <v>45946</v>
      </c>
      <c r="B142" s="713">
        <v>389000</v>
      </c>
      <c r="C142" s="713">
        <f t="shared" si="7"/>
        <v>411913.69863013696</v>
      </c>
      <c r="D142" s="532">
        <f t="shared" si="8"/>
        <v>45989</v>
      </c>
      <c r="E142" s="534">
        <v>43</v>
      </c>
      <c r="F142" s="777">
        <v>0.5</v>
      </c>
      <c r="G142" s="1043" t="s">
        <v>260</v>
      </c>
      <c r="H142" s="717">
        <f t="shared" si="9"/>
        <v>15986.301369862997</v>
      </c>
      <c r="I142" s="1094">
        <f>VLOOKUP(Tabla1[[#This Row],[FECHA]],TablaUVA[#All],2)</f>
        <v>1607.429446961725</v>
      </c>
      <c r="J142" s="1094">
        <f>VLOOKUP(Tabla1[[#This Row],[VTO.]],TablaUVA[#All],2)</f>
        <v>1644.7090613972139</v>
      </c>
      <c r="K142" s="1093">
        <f>+Tabla1[[#This Row],[DEPOSITADO]]/I142</f>
        <v>242.0012901563216</v>
      </c>
      <c r="L142" s="1095">
        <f>IF(Tabla1[[#This Row],[DIAS]]&gt;89,+K142*J142*(1+1%/365*Tabla1[[#This Row],[DIAS]]),Tabla1[[#This Row],[ACOBRAR]])</f>
        <v>411913.69863013696</v>
      </c>
      <c r="M142" s="1096">
        <f>+L142-Tabla1[[#This Row],[ACOBRAR]]</f>
        <v>0</v>
      </c>
      <c r="N142"/>
    </row>
    <row r="143" spans="1:14" s="611" customFormat="1" ht="15" customHeight="1">
      <c r="A143" s="1129">
        <v>45950</v>
      </c>
      <c r="B143" s="1032">
        <v>400000</v>
      </c>
      <c r="C143" s="713">
        <f t="shared" si="7"/>
        <v>420712.32876712328</v>
      </c>
      <c r="D143" s="532">
        <f t="shared" si="8"/>
        <v>45992</v>
      </c>
      <c r="E143" s="534">
        <v>42</v>
      </c>
      <c r="F143" s="777">
        <v>0.45</v>
      </c>
      <c r="G143" s="716" t="s">
        <v>260</v>
      </c>
      <c r="H143" s="717">
        <f t="shared" si="9"/>
        <v>14794.520547945203</v>
      </c>
      <c r="I143" s="1094">
        <f>VLOOKUP(Tabla1[[#This Row],[FECHA]],TablaUVA[#All],2)</f>
        <v>1610.8613741037079</v>
      </c>
      <c r="J143" s="1094">
        <f>VLOOKUP(Tabla1[[#This Row],[VTO.]],TablaUVA[#All],2)</f>
        <v>1647.3419996300233</v>
      </c>
      <c r="K143" s="1093">
        <f>+Tabla1[[#This Row],[DEPOSITADO]]/I143</f>
        <v>248.31435307247477</v>
      </c>
      <c r="L143" s="1095">
        <f>IF(Tabla1[[#This Row],[DIAS]]&gt;89,+K143*J143*(1+1%/365*Tabla1[[#This Row],[DIAS]]),Tabla1[[#This Row],[ACOBRAR]])</f>
        <v>420712.32876712328</v>
      </c>
      <c r="M143" s="1096">
        <f>+L143-Tabla1[[#This Row],[ACOBRAR]]</f>
        <v>0</v>
      </c>
      <c r="N143"/>
    </row>
    <row r="144" spans="1:14" s="611" customFormat="1" ht="14.25" customHeight="1">
      <c r="A144" s="1068">
        <v>45950</v>
      </c>
      <c r="B144" s="1069">
        <v>587000</v>
      </c>
      <c r="C144" s="1069">
        <f t="shared" si="7"/>
        <v>616719.89041095891</v>
      </c>
      <c r="D144" s="1070">
        <f t="shared" si="8"/>
        <v>45992</v>
      </c>
      <c r="E144" s="1071">
        <v>42</v>
      </c>
      <c r="F144" s="1074">
        <v>0.44</v>
      </c>
      <c r="G144" s="1072" t="s">
        <v>261</v>
      </c>
      <c r="H144" s="1073">
        <f t="shared" si="9"/>
        <v>21228.493150684932</v>
      </c>
      <c r="I144" s="1094">
        <f>VLOOKUP(Tabla1[[#This Row],[FECHA]],TablaUVA[#All],2)</f>
        <v>1610.8613741037079</v>
      </c>
      <c r="J144" s="1094">
        <f>VLOOKUP(Tabla1[[#This Row],[VTO.]],TablaUVA[#All],2)</f>
        <v>1647.3419996300233</v>
      </c>
      <c r="K144" s="1093">
        <f>+Tabla1[[#This Row],[DEPOSITADO]]/I144</f>
        <v>364.40131313385672</v>
      </c>
      <c r="L144" s="1095">
        <f>IF(Tabla1[[#This Row],[DIAS]]&gt;89,+K144*J144*(1+1%/365*Tabla1[[#This Row],[DIAS]]),Tabla1[[#This Row],[ACOBRAR]])</f>
        <v>616719.89041095891</v>
      </c>
      <c r="M144" s="1096">
        <f>+L144-Tabla1[[#This Row],[ACOBRAR]]</f>
        <v>0</v>
      </c>
      <c r="N144"/>
    </row>
    <row r="145" spans="1:15" s="611" customFormat="1" ht="14.25" customHeight="1">
      <c r="A145" s="1082">
        <v>45950</v>
      </c>
      <c r="B145" s="1083">
        <v>452000</v>
      </c>
      <c r="C145" s="1083">
        <f t="shared" si="7"/>
        <v>474884.82191780821</v>
      </c>
      <c r="D145" s="1082">
        <f t="shared" si="8"/>
        <v>45992</v>
      </c>
      <c r="E145" s="1144">
        <v>42</v>
      </c>
      <c r="F145" s="1085">
        <v>0.44</v>
      </c>
      <c r="G145" s="1086" t="s">
        <v>264</v>
      </c>
      <c r="H145" s="1087">
        <f t="shared" si="9"/>
        <v>16346.301369863006</v>
      </c>
      <c r="I145" s="1094">
        <f>VLOOKUP(Tabla1[[#This Row],[FECHA]],TablaUVA[#All],2)</f>
        <v>1610.8613741037079</v>
      </c>
      <c r="J145" s="1094">
        <f>VLOOKUP(Tabla1[[#This Row],[VTO.]],TablaUVA[#All],2)</f>
        <v>1647.3419996300233</v>
      </c>
      <c r="K145" s="1093">
        <f>+Tabla1[[#This Row],[DEPOSITADO]]/I145</f>
        <v>280.59521897189649</v>
      </c>
      <c r="L145" s="1095">
        <f>IF(Tabla1[[#This Row],[DIAS]]&gt;89,+K145*J145*(1+1%/365*Tabla1[[#This Row],[DIAS]]),Tabla1[[#This Row],[ACOBRAR]])</f>
        <v>474884.82191780821</v>
      </c>
      <c r="M145" s="1096">
        <f>+L145-Tabla1[[#This Row],[ACOBRAR]]</f>
        <v>0</v>
      </c>
      <c r="N145"/>
    </row>
    <row r="146" spans="1:15" s="611" customFormat="1" ht="14.25" customHeight="1">
      <c r="A146" s="1129">
        <v>45950</v>
      </c>
      <c r="B146" s="1032">
        <v>1000000</v>
      </c>
      <c r="C146" s="713">
        <f t="shared" si="7"/>
        <v>1051780.8219178081</v>
      </c>
      <c r="D146" s="532">
        <f t="shared" si="8"/>
        <v>45992</v>
      </c>
      <c r="E146" s="534">
        <v>42</v>
      </c>
      <c r="F146" s="777">
        <v>0.45</v>
      </c>
      <c r="G146" s="716" t="s">
        <v>260</v>
      </c>
      <c r="H146" s="717">
        <f t="shared" si="9"/>
        <v>36986.301369862966</v>
      </c>
      <c r="I146" s="1094">
        <f>VLOOKUP(Tabla1[[#This Row],[FECHA]],TablaUVA[#All],2)</f>
        <v>1610.8613741037079</v>
      </c>
      <c r="J146" s="1094">
        <f>VLOOKUP(Tabla1[[#This Row],[VTO.]],TablaUVA[#All],2)</f>
        <v>1647.3419996300233</v>
      </c>
      <c r="K146" s="1093">
        <f>+Tabla1[[#This Row],[DEPOSITADO]]/I146</f>
        <v>620.78588268118688</v>
      </c>
      <c r="L146" s="1095">
        <f>IF(Tabla1[[#This Row],[DIAS]]&gt;89,+K146*J146*(1+1%/365*Tabla1[[#This Row],[DIAS]]),Tabla1[[#This Row],[ACOBRAR]])</f>
        <v>1051780.8219178081</v>
      </c>
      <c r="M146" s="1096">
        <f>+L146-Tabla1[[#This Row],[ACOBRAR]]</f>
        <v>0</v>
      </c>
      <c r="N146"/>
    </row>
    <row r="147" spans="1:15" s="611" customFormat="1" ht="14.25" customHeight="1">
      <c r="A147" s="712">
        <v>45947</v>
      </c>
      <c r="B147" s="713">
        <v>500000</v>
      </c>
      <c r="C147" s="713">
        <f t="shared" si="7"/>
        <v>527739.72602739721</v>
      </c>
      <c r="D147" s="532">
        <f t="shared" si="8"/>
        <v>45992</v>
      </c>
      <c r="E147" s="534">
        <v>45</v>
      </c>
      <c r="F147" s="777">
        <v>0.45</v>
      </c>
      <c r="G147" s="716" t="s">
        <v>260</v>
      </c>
      <c r="H147" s="717">
        <f t="shared" si="9"/>
        <v>18493.150684931472</v>
      </c>
      <c r="I147" s="1094">
        <f>VLOOKUP(Tabla1[[#This Row],[FECHA]],TablaUVA[#All],2)</f>
        <v>1608.2867426667713</v>
      </c>
      <c r="J147" s="1094">
        <f>VLOOKUP(Tabla1[[#This Row],[VTO.]],TablaUVA[#All],2)</f>
        <v>1647.3419996300233</v>
      </c>
      <c r="K147" s="1093">
        <f>+Tabla1[[#This Row],[DEPOSITADO]]/I147</f>
        <v>310.88983496246937</v>
      </c>
      <c r="L147" s="1095">
        <f>IF(Tabla1[[#This Row],[DIAS]]&gt;89,+K147*J147*(1+1%/365*Tabla1[[#This Row],[DIAS]]),Tabla1[[#This Row],[ACOBRAR]])</f>
        <v>527739.72602739721</v>
      </c>
      <c r="M147" s="1096">
        <f>+L147-Tabla1[[#This Row],[ACOBRAR]]</f>
        <v>0</v>
      </c>
      <c r="N147"/>
    </row>
    <row r="148" spans="1:15" s="611" customFormat="1" ht="15" customHeight="1">
      <c r="A148" s="712">
        <v>45951</v>
      </c>
      <c r="B148" s="713">
        <v>1250000</v>
      </c>
      <c r="C148" s="713">
        <f t="shared" si="7"/>
        <v>1306095.8904109588</v>
      </c>
      <c r="D148" s="532">
        <f t="shared" si="8"/>
        <v>45993</v>
      </c>
      <c r="E148" s="534">
        <v>42</v>
      </c>
      <c r="F148" s="777">
        <v>0.39</v>
      </c>
      <c r="G148" s="716" t="s">
        <v>258</v>
      </c>
      <c r="H148" s="717">
        <f t="shared" si="9"/>
        <v>40068.493150684844</v>
      </c>
      <c r="I148" s="1094">
        <f>VLOOKUP(Tabla1[[#This Row],[FECHA]],TablaUVA[#All],2)</f>
        <v>1611.7205001698965</v>
      </c>
      <c r="J148" s="1094">
        <f>VLOOKUP(Tabla1[[#This Row],[VTO.]],TablaUVA[#All],2)</f>
        <v>1648.2205820298259</v>
      </c>
      <c r="K148" s="1093">
        <f>+Tabla1[[#This Row],[DEPOSITADO]]/I148</f>
        <v>775.56871670257567</v>
      </c>
      <c r="L148" s="1095">
        <f>IF(Tabla1[[#This Row],[DIAS]]&gt;89,+K148*J148*(1+1%/365*Tabla1[[#This Row],[DIAS]]),Tabla1[[#This Row],[ACOBRAR]])</f>
        <v>1306095.8904109588</v>
      </c>
      <c r="M148" s="1096">
        <f>+L148-Tabla1[[#This Row],[ACOBRAR]]</f>
        <v>0</v>
      </c>
      <c r="N148"/>
    </row>
    <row r="149" spans="1:15" s="611" customFormat="1" ht="14.25" customHeight="1">
      <c r="A149" s="1129">
        <v>45951</v>
      </c>
      <c r="B149" s="1032">
        <v>700000</v>
      </c>
      <c r="C149" s="713">
        <f t="shared" si="7"/>
        <v>736246.57534246577</v>
      </c>
      <c r="D149" s="532">
        <f t="shared" si="8"/>
        <v>45993</v>
      </c>
      <c r="E149" s="534">
        <v>42</v>
      </c>
      <c r="F149" s="777">
        <v>0.45</v>
      </c>
      <c r="G149" s="716" t="s">
        <v>260</v>
      </c>
      <c r="H149" s="717">
        <f t="shared" si="9"/>
        <v>25890.410958904125</v>
      </c>
      <c r="I149" s="1094">
        <f>VLOOKUP(Tabla1[[#This Row],[FECHA]],TablaUVA[#All],2)</f>
        <v>1611.7205001698965</v>
      </c>
      <c r="J149" s="1094">
        <f>VLOOKUP(Tabla1[[#This Row],[VTO.]],TablaUVA[#All],2)</f>
        <v>1648.2205820298259</v>
      </c>
      <c r="K149" s="1093">
        <f>+Tabla1[[#This Row],[DEPOSITADO]]/I149</f>
        <v>434.31848135344239</v>
      </c>
      <c r="L149" s="1095">
        <f>IF(Tabla1[[#This Row],[DIAS]]&gt;89,+K149*J149*(1+1%/365*Tabla1[[#This Row],[DIAS]]),Tabla1[[#This Row],[ACOBRAR]])</f>
        <v>736246.57534246577</v>
      </c>
      <c r="M149" s="1096">
        <f>+L149-Tabla1[[#This Row],[ACOBRAR]]</f>
        <v>0</v>
      </c>
      <c r="N149"/>
    </row>
    <row r="150" spans="1:15" s="611" customFormat="1" ht="15" customHeight="1">
      <c r="A150" s="712">
        <v>45951</v>
      </c>
      <c r="B150" s="713">
        <v>500000</v>
      </c>
      <c r="C150" s="713">
        <f t="shared" si="7"/>
        <v>523013.69863013696</v>
      </c>
      <c r="D150" s="714">
        <f t="shared" si="8"/>
        <v>45993</v>
      </c>
      <c r="E150" s="715">
        <v>42</v>
      </c>
      <c r="F150" s="777">
        <v>0.4</v>
      </c>
      <c r="G150" s="716" t="s">
        <v>265</v>
      </c>
      <c r="H150" s="717">
        <f t="shared" si="9"/>
        <v>16438.356164383546</v>
      </c>
      <c r="I150" s="1094">
        <f>VLOOKUP(Tabla1[[#This Row],[FECHA]],TablaUVA[#All],2)</f>
        <v>1611.7205001698965</v>
      </c>
      <c r="J150" s="1094">
        <f>VLOOKUP(Tabla1[[#This Row],[VTO.]],TablaUVA[#All],2)</f>
        <v>1648.2205820298259</v>
      </c>
      <c r="K150" s="1093">
        <f>+Tabla1[[#This Row],[DEPOSITADO]]/I150</f>
        <v>310.22748668103026</v>
      </c>
      <c r="L150" s="1095">
        <f>IF(Tabla1[[#This Row],[DIAS]]&gt;89,+K150*J150*(1+1%/365*Tabla1[[#This Row],[DIAS]]),Tabla1[[#This Row],[ACOBRAR]])</f>
        <v>523013.69863013696</v>
      </c>
      <c r="M150" s="1096">
        <f>+L150-Tabla1[[#This Row],[ACOBRAR]]</f>
        <v>0</v>
      </c>
      <c r="N150"/>
    </row>
    <row r="151" spans="1:15" s="611" customFormat="1" ht="14.25" customHeight="1">
      <c r="A151" s="1129">
        <v>45950</v>
      </c>
      <c r="B151" s="1032">
        <v>500000</v>
      </c>
      <c r="C151" s="713">
        <f t="shared" si="7"/>
        <v>526506.84931506845</v>
      </c>
      <c r="D151" s="532">
        <f t="shared" si="8"/>
        <v>45993</v>
      </c>
      <c r="E151" s="534">
        <v>43</v>
      </c>
      <c r="F151" s="777">
        <v>0.45</v>
      </c>
      <c r="G151" s="716" t="s">
        <v>260</v>
      </c>
      <c r="H151" s="717">
        <f t="shared" si="9"/>
        <v>18493.150684931479</v>
      </c>
      <c r="I151" s="1094">
        <f>VLOOKUP(Tabla1[[#This Row],[FECHA]],TablaUVA[#All],2)</f>
        <v>1610.8613741037079</v>
      </c>
      <c r="J151" s="1094">
        <f>VLOOKUP(Tabla1[[#This Row],[VTO.]],TablaUVA[#All],2)</f>
        <v>1648.2205820298259</v>
      </c>
      <c r="K151" s="1093">
        <f>+Tabla1[[#This Row],[DEPOSITADO]]/I151</f>
        <v>310.39294134059344</v>
      </c>
      <c r="L151" s="1095">
        <f>IF(Tabla1[[#This Row],[DIAS]]&gt;89,+K151*J151*(1+1%/365*Tabla1[[#This Row],[DIAS]]),Tabla1[[#This Row],[ACOBRAR]])</f>
        <v>526506.84931506845</v>
      </c>
      <c r="M151" s="1096">
        <f>+L151-Tabla1[[#This Row],[ACOBRAR]]</f>
        <v>0</v>
      </c>
      <c r="N151"/>
    </row>
    <row r="152" spans="1:15" s="611" customFormat="1" ht="14.25" customHeight="1">
      <c r="A152" s="1075">
        <v>45952</v>
      </c>
      <c r="B152" s="1032">
        <v>300000</v>
      </c>
      <c r="C152" s="1076">
        <f t="shared" si="7"/>
        <v>314843.83561643836</v>
      </c>
      <c r="D152" s="1033">
        <f t="shared" si="8"/>
        <v>45994</v>
      </c>
      <c r="E152" s="1034">
        <v>42</v>
      </c>
      <c r="F152" s="1107">
        <v>0.43</v>
      </c>
      <c r="G152" s="1108" t="s">
        <v>260</v>
      </c>
      <c r="H152" s="717">
        <f t="shared" si="9"/>
        <v>10602.739726027399</v>
      </c>
      <c r="I152" s="1094">
        <f>VLOOKUP(Tabla1[[#This Row],[FECHA]],TablaUVA[#All],2)</f>
        <v>1612.5800844366536</v>
      </c>
      <c r="J152" s="1094">
        <f>VLOOKUP(Tabla1[[#This Row],[VTO.]],TablaUVA[#All],2)</f>
        <v>1649.0996330069083</v>
      </c>
      <c r="K152" s="1093">
        <f>+Tabla1[[#This Row],[DEPOSITADO]]/I152</f>
        <v>186.03727213014878</v>
      </c>
      <c r="L152" s="1095">
        <f>IF(Tabla1[[#This Row],[DIAS]]&gt;89,+K152*J152*(1+1%/365*Tabla1[[#This Row],[DIAS]]),Tabla1[[#This Row],[ACOBRAR]])</f>
        <v>314843.83561643836</v>
      </c>
      <c r="M152" s="1096">
        <f>+L152-Tabla1[[#This Row],[ACOBRAR]]</f>
        <v>0</v>
      </c>
      <c r="N152" s="1039"/>
      <c r="O152" s="1044"/>
    </row>
    <row r="153" spans="1:15" s="611" customFormat="1" ht="14.25" customHeight="1">
      <c r="A153" s="1075">
        <v>45952</v>
      </c>
      <c r="B153" s="1076">
        <v>900000</v>
      </c>
      <c r="C153" s="1076">
        <f t="shared" si="7"/>
        <v>940389.04109589045</v>
      </c>
      <c r="D153" s="1077">
        <f t="shared" si="8"/>
        <v>45994</v>
      </c>
      <c r="E153" s="1078">
        <v>42</v>
      </c>
      <c r="F153" s="1081">
        <v>0.39</v>
      </c>
      <c r="G153" s="1079" t="s">
        <v>262</v>
      </c>
      <c r="H153" s="1080">
        <f t="shared" si="9"/>
        <v>28849.315068493179</v>
      </c>
      <c r="I153" s="1094">
        <f>VLOOKUP(Tabla1[[#This Row],[FECHA]],TablaUVA[#All],2)</f>
        <v>1612.5800844366536</v>
      </c>
      <c r="J153" s="1094">
        <f>VLOOKUP(Tabla1[[#This Row],[VTO.]],TablaUVA[#All],2)</f>
        <v>1649.0996330069083</v>
      </c>
      <c r="K153" s="1117">
        <f>+Tabla1[[#This Row],[DEPOSITADO]]/I153</f>
        <v>558.11181639044628</v>
      </c>
      <c r="L153" s="1095">
        <f>IF(Tabla1[[#This Row],[DIAS]]&gt;89,+K153*J153*(1+1%/365*Tabla1[[#This Row],[DIAS]]),Tabla1[[#This Row],[ACOBRAR]])</f>
        <v>940389.04109589045</v>
      </c>
      <c r="M153" s="1118">
        <f>+L153-Tabla1[[#This Row],[ACOBRAR]]</f>
        <v>0</v>
      </c>
      <c r="N153" s="1039"/>
      <c r="O153" s="1044"/>
    </row>
    <row r="154" spans="1:15" s="611" customFormat="1" ht="14.25" customHeight="1">
      <c r="A154" s="712">
        <v>45952</v>
      </c>
      <c r="B154" s="713">
        <v>480000</v>
      </c>
      <c r="C154" s="713">
        <f t="shared" si="7"/>
        <v>501540.82191780821</v>
      </c>
      <c r="D154" s="1070">
        <f t="shared" si="8"/>
        <v>45994</v>
      </c>
      <c r="E154" s="1071">
        <v>42</v>
      </c>
      <c r="F154" s="1074">
        <v>0.39</v>
      </c>
      <c r="G154" s="716" t="s">
        <v>258</v>
      </c>
      <c r="H154" s="717">
        <f t="shared" si="9"/>
        <v>15386.301369863006</v>
      </c>
      <c r="I154" s="1094">
        <f>VLOOKUP(Tabla1[[#This Row],[FECHA]],TablaUVA[#All],2)</f>
        <v>1612.5800844366536</v>
      </c>
      <c r="J154" s="1094">
        <f>VLOOKUP(Tabla1[[#This Row],[VTO.]],TablaUVA[#All],2)</f>
        <v>1649.0996330069083</v>
      </c>
      <c r="K154" s="1093">
        <f>+Tabla1[[#This Row],[DEPOSITADO]]/I154</f>
        <v>297.65963540823805</v>
      </c>
      <c r="L154" s="1095">
        <f>IF(Tabla1[[#This Row],[DIAS]]&gt;89,+K154*J154*(1+1%/365*Tabla1[[#This Row],[DIAS]]),Tabla1[[#This Row],[ACOBRAR]])</f>
        <v>501540.82191780821</v>
      </c>
      <c r="M154" s="1096">
        <f>+L154-Tabla1[[#This Row],[ACOBRAR]]</f>
        <v>0</v>
      </c>
      <c r="N154" s="1039"/>
    </row>
    <row r="155" spans="1:15" s="611" customFormat="1" ht="15" customHeight="1">
      <c r="A155" s="1082">
        <v>45952</v>
      </c>
      <c r="B155" s="1083">
        <v>407000</v>
      </c>
      <c r="C155" s="1083">
        <f t="shared" si="7"/>
        <v>427606.46575342468</v>
      </c>
      <c r="D155" s="1082">
        <f t="shared" si="8"/>
        <v>45994</v>
      </c>
      <c r="E155" s="1084">
        <v>42</v>
      </c>
      <c r="F155" s="1085">
        <v>0.44</v>
      </c>
      <c r="G155" s="1086" t="s">
        <v>264</v>
      </c>
      <c r="H155" s="1087">
        <f t="shared" si="9"/>
        <v>14718.904109589057</v>
      </c>
      <c r="I155" s="1094">
        <f>VLOOKUP(Tabla1[[#This Row],[FECHA]],TablaUVA[#All],2)</f>
        <v>1612.5800844366536</v>
      </c>
      <c r="J155" s="1094">
        <f>VLOOKUP(Tabla1[[#This Row],[VTO.]],TablaUVA[#All],2)</f>
        <v>1649.0996330069083</v>
      </c>
      <c r="K155" s="1093">
        <f>+Tabla1[[#This Row],[DEPOSITADO]]/I155</f>
        <v>252.39056585656849</v>
      </c>
      <c r="L155" s="1095">
        <f>IF(Tabla1[[#This Row],[DIAS]]&gt;89,+K155*J155*(1+1%/365*Tabla1[[#This Row],[DIAS]]),Tabla1[[#This Row],[ACOBRAR]])</f>
        <v>427606.46575342468</v>
      </c>
      <c r="M155" s="1096">
        <f>+L155-Tabla1[[#This Row],[ACOBRAR]]</f>
        <v>0</v>
      </c>
      <c r="N155" s="1039"/>
    </row>
    <row r="156" spans="1:15" s="611" customFormat="1" ht="14.25" customHeight="1">
      <c r="A156" s="1129">
        <v>45951</v>
      </c>
      <c r="B156" s="1032">
        <v>800000</v>
      </c>
      <c r="C156" s="713">
        <f t="shared" si="7"/>
        <v>842410.95890410955</v>
      </c>
      <c r="D156" s="532">
        <f t="shared" si="8"/>
        <v>45994</v>
      </c>
      <c r="E156" s="534">
        <v>43</v>
      </c>
      <c r="F156" s="777">
        <v>0.45</v>
      </c>
      <c r="G156" s="716" t="s">
        <v>260</v>
      </c>
      <c r="H156" s="717">
        <f t="shared" si="9"/>
        <v>29589.041095890381</v>
      </c>
      <c r="I156" s="1094">
        <f>VLOOKUP(Tabla1[[#This Row],[FECHA]],TablaUVA[#All],2)</f>
        <v>1611.7205001698965</v>
      </c>
      <c r="J156" s="1094">
        <f>VLOOKUP(Tabla1[[#This Row],[VTO.]],TablaUVA[#All],2)</f>
        <v>1649.0996330069083</v>
      </c>
      <c r="K156" s="1093">
        <f>+Tabla1[[#This Row],[DEPOSITADO]]/I156</f>
        <v>496.36397868964843</v>
      </c>
      <c r="L156" s="1095">
        <f>IF(Tabla1[[#This Row],[DIAS]]&gt;89,+K156*J156*(1+1%/365*Tabla1[[#This Row],[DIAS]]),Tabla1[[#This Row],[ACOBRAR]])</f>
        <v>842410.95890410955</v>
      </c>
      <c r="M156" s="1096">
        <f>+L156-Tabla1[[#This Row],[ACOBRAR]]</f>
        <v>0</v>
      </c>
      <c r="N156" s="1039"/>
    </row>
    <row r="157" spans="1:15" s="611" customFormat="1" ht="14.25" customHeight="1">
      <c r="A157" s="712">
        <v>45953</v>
      </c>
      <c r="B157" s="713">
        <v>440000</v>
      </c>
      <c r="C157" s="713">
        <f t="shared" si="7"/>
        <v>460252.05479452055</v>
      </c>
      <c r="D157" s="532">
        <f t="shared" si="8"/>
        <v>45995</v>
      </c>
      <c r="E157" s="534">
        <v>42</v>
      </c>
      <c r="F157" s="777">
        <v>0.4</v>
      </c>
      <c r="G157" s="716" t="s">
        <v>256</v>
      </c>
      <c r="H157" s="717">
        <f t="shared" si="9"/>
        <v>14465.753424657534</v>
      </c>
      <c r="I157" s="1094">
        <f>VLOOKUP(Tabla1[[#This Row],[FECHA]],TablaUVA[#All],2)</f>
        <v>1613.440127148353</v>
      </c>
      <c r="J157" s="1094">
        <f>VLOOKUP(Tabla1[[#This Row],[VTO.]],TablaUVA[#All],2)</f>
        <v>1649.9791528111787</v>
      </c>
      <c r="K157" s="1093">
        <f>+Tabla1[[#This Row],[DEPOSITADO]]/I157</f>
        <v>272.70922087308588</v>
      </c>
      <c r="L157" s="1095">
        <f>IF(Tabla1[[#This Row],[DIAS]]&gt;89,+K157*J157*(1+1%/365*Tabla1[[#This Row],[DIAS]]),Tabla1[[#This Row],[ACOBRAR]])</f>
        <v>460252.05479452055</v>
      </c>
      <c r="M157" s="1096">
        <f>+L157-Tabla1[[#This Row],[ACOBRAR]]</f>
        <v>0</v>
      </c>
      <c r="N157" s="1039"/>
    </row>
    <row r="158" spans="1:15" s="611" customFormat="1" ht="14.25" customHeight="1">
      <c r="A158" s="712">
        <v>45953</v>
      </c>
      <c r="B158" s="713">
        <v>700000</v>
      </c>
      <c r="C158" s="713">
        <f t="shared" si="7"/>
        <v>731413.69863013702</v>
      </c>
      <c r="D158" s="532">
        <f t="shared" si="8"/>
        <v>45995</v>
      </c>
      <c r="E158" s="534">
        <v>42</v>
      </c>
      <c r="F158" s="777">
        <v>0.39</v>
      </c>
      <c r="G158" s="716" t="s">
        <v>258</v>
      </c>
      <c r="H158" s="717">
        <f t="shared" si="9"/>
        <v>22438.356164383586</v>
      </c>
      <c r="I158" s="1094">
        <f>VLOOKUP(Tabla1[[#This Row],[FECHA]],TablaUVA[#All],2)</f>
        <v>1613.440127148353</v>
      </c>
      <c r="J158" s="1094">
        <f>VLOOKUP(Tabla1[[#This Row],[VTO.]],TablaUVA[#All],2)</f>
        <v>1649.9791528111787</v>
      </c>
      <c r="K158" s="1093">
        <f>+Tabla1[[#This Row],[DEPOSITADO]]/I158</f>
        <v>433.85557866172758</v>
      </c>
      <c r="L158" s="1095">
        <f>IF(Tabla1[[#This Row],[DIAS]]&gt;89,+K158*J158*(1+1%/365*Tabla1[[#This Row],[DIAS]]),Tabla1[[#This Row],[ACOBRAR]])</f>
        <v>731413.69863013702</v>
      </c>
      <c r="M158" s="1096">
        <f>+L158-Tabla1[[#This Row],[ACOBRAR]]</f>
        <v>0</v>
      </c>
      <c r="N158" s="1039"/>
    </row>
    <row r="159" spans="1:15" s="611" customFormat="1" ht="15" customHeight="1">
      <c r="A159" s="712">
        <v>45953</v>
      </c>
      <c r="B159" s="713">
        <v>180000</v>
      </c>
      <c r="C159" s="713">
        <f t="shared" si="7"/>
        <v>188284.9315068493</v>
      </c>
      <c r="D159" s="714">
        <f t="shared" si="8"/>
        <v>45995</v>
      </c>
      <c r="E159" s="715">
        <v>42</v>
      </c>
      <c r="F159" s="777">
        <v>0.4</v>
      </c>
      <c r="G159" s="716" t="s">
        <v>265</v>
      </c>
      <c r="H159" s="717">
        <f t="shared" si="9"/>
        <v>5917.8082191780722</v>
      </c>
      <c r="I159" s="1094">
        <f>VLOOKUP(Tabla1[[#This Row],[FECHA]],TablaUVA[#All],2)</f>
        <v>1613.440127148353</v>
      </c>
      <c r="J159" s="1094">
        <f>VLOOKUP(Tabla1[[#This Row],[VTO.]],TablaUVA[#All],2)</f>
        <v>1649.9791528111787</v>
      </c>
      <c r="K159" s="1093">
        <f>+Tabla1[[#This Row],[DEPOSITADO]]/I159</f>
        <v>111.56286308444423</v>
      </c>
      <c r="L159" s="1095">
        <f>IF(Tabla1[[#This Row],[DIAS]]&gt;89,+K159*J159*(1+1%/365*Tabla1[[#This Row],[DIAS]]),Tabla1[[#This Row],[ACOBRAR]])</f>
        <v>188284.9315068493</v>
      </c>
      <c r="M159" s="1096">
        <f>+L159-Tabla1[[#This Row],[ACOBRAR]]</f>
        <v>0</v>
      </c>
      <c r="N159" s="1049" t="s">
        <v>805</v>
      </c>
    </row>
    <row r="160" spans="1:15" s="611" customFormat="1" ht="14.25" customHeight="1">
      <c r="A160" s="712">
        <v>45953</v>
      </c>
      <c r="B160" s="1148">
        <v>1100000</v>
      </c>
      <c r="C160" s="1148">
        <f t="shared" ref="C160:C191" si="10">B160+(B160*F160/365*E160)*1</f>
        <v>1154427.397260274</v>
      </c>
      <c r="D160" s="1149">
        <f t="shared" ref="D160:D191" si="11">+A160+E160</f>
        <v>45995</v>
      </c>
      <c r="E160" s="1150">
        <v>42</v>
      </c>
      <c r="F160" s="777">
        <v>0.43</v>
      </c>
      <c r="G160" s="1043" t="s">
        <v>260</v>
      </c>
      <c r="H160" s="1152">
        <f t="shared" si="9"/>
        <v>38876.712328767171</v>
      </c>
      <c r="I160" s="1094">
        <f>VLOOKUP(Tabla1[[#This Row],[FECHA]],TablaUVA[#All],2)</f>
        <v>1613.440127148353</v>
      </c>
      <c r="J160" s="1094">
        <f>VLOOKUP(Tabla1[[#This Row],[VTO.]],TablaUVA[#All],2)</f>
        <v>1649.9791528111787</v>
      </c>
      <c r="K160" s="1093">
        <f>+Tabla1[[#This Row],[DEPOSITADO]]/I160</f>
        <v>681.77305218271476</v>
      </c>
      <c r="L160" s="1095">
        <f>IF(Tabla1[[#This Row],[DIAS]]&gt;89,+K160*J160*(1+1%/365*Tabla1[[#This Row],[DIAS]]),Tabla1[[#This Row],[ACOBRAR]])</f>
        <v>1154427.397260274</v>
      </c>
      <c r="M160" s="1096">
        <f>+L160-Tabla1[[#This Row],[ACOBRAR]]</f>
        <v>0</v>
      </c>
      <c r="N160" s="1048">
        <v>1350000</v>
      </c>
    </row>
    <row r="161" spans="1:14" s="611" customFormat="1" ht="15" customHeight="1">
      <c r="A161" s="1075">
        <v>45952</v>
      </c>
      <c r="B161" s="1032">
        <v>514000</v>
      </c>
      <c r="C161" s="1076">
        <f t="shared" si="10"/>
        <v>540037.9726027397</v>
      </c>
      <c r="D161" s="1033">
        <f t="shared" si="11"/>
        <v>45995</v>
      </c>
      <c r="E161" s="1034">
        <v>43</v>
      </c>
      <c r="F161" s="1107">
        <v>0.43</v>
      </c>
      <c r="G161" s="1108" t="s">
        <v>260</v>
      </c>
      <c r="H161" s="717">
        <f t="shared" si="9"/>
        <v>18166.027397260255</v>
      </c>
      <c r="I161" s="1094">
        <f>VLOOKUP(Tabla1[[#This Row],[FECHA]],TablaUVA[#All],2)</f>
        <v>1612.5800844366536</v>
      </c>
      <c r="J161" s="1094">
        <f>VLOOKUP(Tabla1[[#This Row],[VTO.]],TablaUVA[#All],2)</f>
        <v>1649.9791528111787</v>
      </c>
      <c r="K161" s="1093">
        <f>+Tabla1[[#This Row],[DEPOSITADO]]/I161</f>
        <v>318.74385958298825</v>
      </c>
      <c r="L161" s="1095">
        <f>IF(Tabla1[[#This Row],[DIAS]]&gt;89,+K161*J161*(1+1%/365*Tabla1[[#This Row],[DIAS]]),Tabla1[[#This Row],[ACOBRAR]])</f>
        <v>540037.9726027397</v>
      </c>
      <c r="M161" s="1096">
        <f>+L161-Tabla1[[#This Row],[ACOBRAR]]</f>
        <v>0</v>
      </c>
      <c r="N161" s="1048">
        <v>410000</v>
      </c>
    </row>
    <row r="162" spans="1:14" s="611" customFormat="1" ht="14.25" customHeight="1">
      <c r="A162" s="714">
        <v>45954</v>
      </c>
      <c r="B162" s="713">
        <v>1000000</v>
      </c>
      <c r="C162" s="713">
        <f t="shared" si="10"/>
        <v>1046027.3972602739</v>
      </c>
      <c r="D162" s="532">
        <f t="shared" si="11"/>
        <v>45996</v>
      </c>
      <c r="E162" s="534">
        <v>42</v>
      </c>
      <c r="F162" s="777">
        <v>0.4</v>
      </c>
      <c r="G162" s="716" t="s">
        <v>256</v>
      </c>
      <c r="H162" s="717">
        <f t="shared" si="9"/>
        <v>32876.712328767091</v>
      </c>
      <c r="I162" s="1094">
        <f>VLOOKUP(Tabla1[[#This Row],[FECHA]],TablaUVA[#All],2)</f>
        <v>1614.3006285494987</v>
      </c>
      <c r="J162" s="1094">
        <f>VLOOKUP(Tabla1[[#This Row],[VTO.]],TablaUVA[#All],2)</f>
        <v>1650.8591416926779</v>
      </c>
      <c r="K162" s="1093">
        <f>+Tabla1[[#This Row],[DEPOSITADO]]/I162</f>
        <v>619.46330337400184</v>
      </c>
      <c r="L162" s="1095">
        <f>IF(Tabla1[[#This Row],[DIAS]]&gt;89,+K162*J162*(1+1%/365*Tabla1[[#This Row],[DIAS]]),Tabla1[[#This Row],[ACOBRAR]])</f>
        <v>1046027.3972602739</v>
      </c>
      <c r="M162" s="1096">
        <f>+L162-Tabla1[[#This Row],[ACOBRAR]]</f>
        <v>0</v>
      </c>
      <c r="N162" s="1048">
        <v>900000</v>
      </c>
    </row>
    <row r="163" spans="1:14" s="611" customFormat="1" ht="14.25" customHeight="1">
      <c r="A163" s="712">
        <v>45954</v>
      </c>
      <c r="B163" s="1148">
        <v>1600000</v>
      </c>
      <c r="C163" s="1148">
        <f t="shared" si="10"/>
        <v>1671802.7397260275</v>
      </c>
      <c r="D163" s="1070">
        <f t="shared" si="11"/>
        <v>45996</v>
      </c>
      <c r="E163" s="1071">
        <v>42</v>
      </c>
      <c r="F163" s="1074">
        <v>0.39</v>
      </c>
      <c r="G163" s="1151" t="s">
        <v>258</v>
      </c>
      <c r="H163" s="1152">
        <f>SUBTOTAL(109,H113:H162)</f>
        <v>1098337.8082191776</v>
      </c>
      <c r="I163" s="1094">
        <f>VLOOKUP(Tabla1[[#This Row],[FECHA]],TablaUVA[#All],2)</f>
        <v>1614.3006285494987</v>
      </c>
      <c r="J163" s="1094">
        <f>VLOOKUP(Tabla1[[#This Row],[VTO.]],TablaUVA[#All],2)</f>
        <v>1650.8591416926779</v>
      </c>
      <c r="K163" s="1093">
        <f>+Tabla1[[#This Row],[DEPOSITADO]]/I163</f>
        <v>991.14128539840294</v>
      </c>
      <c r="L163" s="1095">
        <f>IF(Tabla1[[#This Row],[DIAS]]&gt;89,+K163*J163*(1+1%/365*Tabla1[[#This Row],[DIAS]]),Tabla1[[#This Row],[ACOBRAR]])</f>
        <v>1671802.7397260275</v>
      </c>
      <c r="M163" s="1096">
        <f>+L163-Tabla1[[#This Row],[ACOBRAR]]</f>
        <v>0</v>
      </c>
      <c r="N163" s="1048">
        <v>190000</v>
      </c>
    </row>
    <row r="164" spans="1:14" s="611" customFormat="1" ht="14.25" customHeight="1">
      <c r="A164" s="712">
        <v>45953</v>
      </c>
      <c r="B164" s="713">
        <v>537000</v>
      </c>
      <c r="C164" s="713">
        <f t="shared" si="10"/>
        <v>564203.09589041094</v>
      </c>
      <c r="D164" s="1070">
        <f t="shared" si="11"/>
        <v>45996</v>
      </c>
      <c r="E164" s="1071">
        <v>43</v>
      </c>
      <c r="F164" s="777">
        <v>0.43</v>
      </c>
      <c r="G164" s="1043" t="s">
        <v>260</v>
      </c>
      <c r="H164" s="717">
        <f t="shared" ref="H164:H191" si="12">(C164-B164)/E164*30</f>
        <v>18978.904109589028</v>
      </c>
      <c r="I164" s="1094">
        <f>VLOOKUP(Tabla1[[#This Row],[FECHA]],TablaUVA[#All],2)</f>
        <v>1613.440127148353</v>
      </c>
      <c r="J164" s="1094">
        <f>VLOOKUP(Tabla1[[#This Row],[VTO.]],TablaUVA[#All],2)</f>
        <v>1650.8591416926779</v>
      </c>
      <c r="K164" s="1093">
        <f>+Tabla1[[#This Row],[DEPOSITADO]]/I164</f>
        <v>332.82920820192533</v>
      </c>
      <c r="L164" s="1095">
        <f>IF(Tabla1[[#This Row],[DIAS]]&gt;89,+K164*J164*(1+1%/365*Tabla1[[#This Row],[DIAS]]),Tabla1[[#This Row],[ACOBRAR]])</f>
        <v>564203.09589041094</v>
      </c>
      <c r="M164" s="1096">
        <f>+L164-Tabla1[[#This Row],[ACOBRAR]]</f>
        <v>0</v>
      </c>
      <c r="N164" s="1048">
        <v>115000</v>
      </c>
    </row>
    <row r="165" spans="1:14" s="611" customFormat="1" ht="15.75" customHeight="1" thickBot="1">
      <c r="A165" s="712">
        <v>45957</v>
      </c>
      <c r="B165" s="713">
        <v>250000</v>
      </c>
      <c r="C165" s="713">
        <f t="shared" si="10"/>
        <v>259719.17808219179</v>
      </c>
      <c r="D165" s="714">
        <f t="shared" si="11"/>
        <v>46000</v>
      </c>
      <c r="E165" s="715">
        <v>43</v>
      </c>
      <c r="F165" s="777">
        <v>0.33</v>
      </c>
      <c r="G165" s="716" t="s">
        <v>258</v>
      </c>
      <c r="H165" s="717">
        <f t="shared" si="12"/>
        <v>6780.8219178082272</v>
      </c>
      <c r="I165" s="1094">
        <f>VLOOKUP(Tabla1[[#This Row],[FECHA]],TablaUVA[#All],2)</f>
        <v>1616.8848873366094</v>
      </c>
      <c r="J165" s="1094">
        <f>VLOOKUP(Tabla1[[#This Row],[VTO.]],TablaUVA[#All],2)</f>
        <v>1654.3837929964564</v>
      </c>
      <c r="K165" s="1093">
        <f>+Tabla1[[#This Row],[DEPOSITADO]]/I165</f>
        <v>154.61830459174428</v>
      </c>
      <c r="L165" s="1095">
        <f>IF(Tabla1[[#This Row],[DIAS]]&gt;89,+K165*J165*(1+1%/365*Tabla1[[#This Row],[DIAS]]),Tabla1[[#This Row],[ACOBRAR]])</f>
        <v>259719.17808219179</v>
      </c>
      <c r="M165" s="1096">
        <f>+L165-Tabla1[[#This Row],[ACOBRAR]]</f>
        <v>0</v>
      </c>
      <c r="N165" s="1050">
        <v>500000</v>
      </c>
    </row>
    <row r="166" spans="1:14" s="611" customFormat="1" ht="14.25" customHeight="1">
      <c r="A166" s="1082">
        <v>45957</v>
      </c>
      <c r="B166" s="1083">
        <v>1479000</v>
      </c>
      <c r="C166" s="1083">
        <f t="shared" si="10"/>
        <v>1555664.8767123288</v>
      </c>
      <c r="D166" s="1082">
        <f t="shared" si="11"/>
        <v>46000</v>
      </c>
      <c r="E166" s="1084">
        <v>43</v>
      </c>
      <c r="F166" s="1085">
        <v>0.44</v>
      </c>
      <c r="G166" s="1086" t="s">
        <v>264</v>
      </c>
      <c r="H166" s="1087">
        <f t="shared" si="12"/>
        <v>53487.123287671224</v>
      </c>
      <c r="I166" s="1094">
        <f>VLOOKUP(Tabla1[[#This Row],[FECHA]],TablaUVA[#All],2)</f>
        <v>1616.8848873366094</v>
      </c>
      <c r="J166" s="1094">
        <f>VLOOKUP(Tabla1[[#This Row],[VTO.]],TablaUVA[#All],2)</f>
        <v>1654.3837929964564</v>
      </c>
      <c r="K166" s="1093">
        <f>+Tabla1[[#This Row],[DEPOSITADO]]/I166</f>
        <v>914.72188996475916</v>
      </c>
      <c r="L166" s="1095">
        <f>IF(Tabla1[[#This Row],[DIAS]]&gt;89,+K166*J166*(1+1%/365*Tabla1[[#This Row],[DIAS]]),Tabla1[[#This Row],[ACOBRAR]])</f>
        <v>1555664.8767123288</v>
      </c>
      <c r="M166" s="1096">
        <f>+L166-Tabla1[[#This Row],[ACOBRAR]]</f>
        <v>0</v>
      </c>
      <c r="N166" s="1048">
        <f>SUM(N160:N165)</f>
        <v>3465000</v>
      </c>
    </row>
    <row r="167" spans="1:14" s="611" customFormat="1" ht="15.75" customHeight="1" thickBot="1">
      <c r="A167" s="712">
        <v>45957</v>
      </c>
      <c r="B167" s="713">
        <v>600000</v>
      </c>
      <c r="C167" s="713">
        <f t="shared" si="10"/>
        <v>623326.0273972603</v>
      </c>
      <c r="D167" s="714">
        <f t="shared" si="11"/>
        <v>46000</v>
      </c>
      <c r="E167" s="715">
        <v>43</v>
      </c>
      <c r="F167" s="777">
        <v>0.33</v>
      </c>
      <c r="G167" s="716" t="s">
        <v>258</v>
      </c>
      <c r="H167" s="717">
        <f t="shared" si="12"/>
        <v>16273.972602739745</v>
      </c>
      <c r="I167" s="1094">
        <f>VLOOKUP(Tabla1[[#This Row],[FECHA]],TablaUVA[#All],2)</f>
        <v>1616.8848873366094</v>
      </c>
      <c r="J167" s="1094">
        <f>VLOOKUP(Tabla1[[#This Row],[VTO.]],TablaUVA[#All],2)</f>
        <v>1654.3837929964564</v>
      </c>
      <c r="K167" s="1093">
        <f>+Tabla1[[#This Row],[DEPOSITADO]]/I167</f>
        <v>371.08393102018624</v>
      </c>
      <c r="L167" s="1095">
        <f>IF(Tabla1[[#This Row],[DIAS]]&gt;89,+K167*J167*(1+1%/365*Tabla1[[#This Row],[DIAS]]),Tabla1[[#This Row],[ACOBRAR]])</f>
        <v>623326.0273972603</v>
      </c>
      <c r="M167" s="1096">
        <f>+L167-Tabla1[[#This Row],[ACOBRAR]]</f>
        <v>0</v>
      </c>
      <c r="N167" s="1051">
        <v>3197000</v>
      </c>
    </row>
    <row r="168" spans="1:14" s="611" customFormat="1" ht="15" customHeight="1">
      <c r="A168" s="712">
        <v>45957</v>
      </c>
      <c r="B168" s="713">
        <v>611000</v>
      </c>
      <c r="C168" s="713">
        <f t="shared" si="10"/>
        <v>639792.32876712328</v>
      </c>
      <c r="D168" s="532">
        <f t="shared" si="11"/>
        <v>46000</v>
      </c>
      <c r="E168" s="534">
        <v>43</v>
      </c>
      <c r="F168" s="777">
        <v>0.4</v>
      </c>
      <c r="G168" s="716" t="s">
        <v>260</v>
      </c>
      <c r="H168" s="717">
        <f t="shared" si="12"/>
        <v>20087.671232876706</v>
      </c>
      <c r="I168" s="1094">
        <f>VLOOKUP(Tabla1[[#This Row],[FECHA]],TablaUVA[#All],2)</f>
        <v>1616.8848873366094</v>
      </c>
      <c r="J168" s="1094">
        <f>VLOOKUP(Tabla1[[#This Row],[VTO.]],TablaUVA[#All],2)</f>
        <v>1654.3837929964564</v>
      </c>
      <c r="K168" s="1093">
        <f>+Tabla1[[#This Row],[DEPOSITADO]]/I168</f>
        <v>377.88713642222302</v>
      </c>
      <c r="L168" s="1095">
        <f>IF(Tabla1[[#This Row],[DIAS]]&gt;89,+K168*J168*(1+1%/365*Tabla1[[#This Row],[DIAS]]),Tabla1[[#This Row],[ACOBRAR]])</f>
        <v>639792.32876712328</v>
      </c>
      <c r="M168" s="1096">
        <f>+L168-Tabla1[[#This Row],[ACOBRAR]]</f>
        <v>0</v>
      </c>
      <c r="N168" s="1048">
        <f>+N166-N167</f>
        <v>268000</v>
      </c>
    </row>
    <row r="169" spans="1:14" s="611" customFormat="1" ht="15" customHeight="1">
      <c r="A169" s="712">
        <v>45958</v>
      </c>
      <c r="B169" s="713">
        <v>1300000</v>
      </c>
      <c r="C169" s="713">
        <f t="shared" si="10"/>
        <v>1350539.7260273972</v>
      </c>
      <c r="D169" s="714">
        <f t="shared" si="11"/>
        <v>46001</v>
      </c>
      <c r="E169" s="715">
        <v>43</v>
      </c>
      <c r="F169" s="777">
        <v>0.33</v>
      </c>
      <c r="G169" s="716" t="s">
        <v>258</v>
      </c>
      <c r="H169" s="717">
        <f t="shared" si="12"/>
        <v>35260.273972602699</v>
      </c>
      <c r="I169" s="1094">
        <f>VLOOKUP(Tabla1[[#This Row],[FECHA]],TablaUVA[#All],2)</f>
        <v>1617.7472259431888</v>
      </c>
      <c r="J169" s="1094">
        <f>VLOOKUP(Tabla1[[#This Row],[VTO.]],TablaUVA[#All],2)</f>
        <v>1655.2661310193878</v>
      </c>
      <c r="K169" s="1093">
        <f>+Tabla1[[#This Row],[DEPOSITADO]]/I169</f>
        <v>803.58660435474781</v>
      </c>
      <c r="L169" s="1095">
        <f>IF(Tabla1[[#This Row],[DIAS]]&gt;89,+K169*J169*(1+1%/365*Tabla1[[#This Row],[DIAS]]),Tabla1[[#This Row],[ACOBRAR]])</f>
        <v>1350539.7260273972</v>
      </c>
      <c r="M169" s="1096">
        <f>+L169-Tabla1[[#This Row],[ACOBRAR]]</f>
        <v>0</v>
      </c>
      <c r="N169" s="193"/>
    </row>
    <row r="170" spans="1:14" s="611" customFormat="1" ht="14.25" customHeight="1">
      <c r="A170" s="1062">
        <v>45958</v>
      </c>
      <c r="B170" s="1061">
        <v>220000</v>
      </c>
      <c r="C170" s="1061">
        <f t="shared" si="10"/>
        <v>228293.69863013699</v>
      </c>
      <c r="D170" s="1062">
        <f t="shared" si="11"/>
        <v>46001</v>
      </c>
      <c r="E170" s="1063">
        <v>43</v>
      </c>
      <c r="F170" s="1065">
        <v>0.32</v>
      </c>
      <c r="G170" s="1066" t="s">
        <v>257</v>
      </c>
      <c r="H170" s="1067">
        <f t="shared" si="12"/>
        <v>5786.3013698630166</v>
      </c>
      <c r="I170" s="1094">
        <f>VLOOKUP(Tabla1[[#This Row],[FECHA]],TablaUVA[#All],2)</f>
        <v>1617.7472259431888</v>
      </c>
      <c r="J170" s="1094">
        <f>VLOOKUP(Tabla1[[#This Row],[VTO.]],TablaUVA[#All],2)</f>
        <v>1655.2661310193878</v>
      </c>
      <c r="K170" s="1093">
        <f>+Tabla1[[#This Row],[DEPOSITADO]]/I170</f>
        <v>135.99157919849577</v>
      </c>
      <c r="L170" s="1095">
        <f>IF(Tabla1[[#This Row],[DIAS]]&gt;89,+K170*J170*(1+1%/365*Tabla1[[#This Row],[DIAS]]),Tabla1[[#This Row],[ACOBRAR]])</f>
        <v>228293.69863013699</v>
      </c>
      <c r="M170" s="1096">
        <f>+L170-Tabla1[[#This Row],[ACOBRAR]]</f>
        <v>0</v>
      </c>
      <c r="N170" s="193"/>
    </row>
    <row r="171" spans="1:14" s="611" customFormat="1" ht="15" customHeight="1">
      <c r="A171" s="712">
        <v>45958</v>
      </c>
      <c r="B171" s="713">
        <v>1383000</v>
      </c>
      <c r="C171" s="713">
        <f t="shared" si="10"/>
        <v>1440025.0684931506</v>
      </c>
      <c r="D171" s="532">
        <f t="shared" si="11"/>
        <v>46001</v>
      </c>
      <c r="E171" s="534">
        <v>43</v>
      </c>
      <c r="F171" s="777">
        <v>0.35</v>
      </c>
      <c r="G171" s="716" t="s">
        <v>260</v>
      </c>
      <c r="H171" s="717">
        <f t="shared" si="12"/>
        <v>39784.931506849287</v>
      </c>
      <c r="I171" s="1094">
        <f>VLOOKUP(Tabla1[[#This Row],[FECHA]],TablaUVA[#All],2)</f>
        <v>1617.7472259431888</v>
      </c>
      <c r="J171" s="1094">
        <f>VLOOKUP(Tabla1[[#This Row],[VTO.]],TablaUVA[#All],2)</f>
        <v>1655.2661310193878</v>
      </c>
      <c r="K171" s="1093">
        <f>+Tabla1[[#This Row],[DEPOSITADO]]/I171</f>
        <v>854.89251832508933</v>
      </c>
      <c r="L171" s="1095">
        <f>IF(Tabla1[[#This Row],[DIAS]]&gt;89,+K171*J171*(1+1%/365*Tabla1[[#This Row],[DIAS]]),Tabla1[[#This Row],[ACOBRAR]])</f>
        <v>1440025.0684931506</v>
      </c>
      <c r="M171" s="1096">
        <f>+L171-Tabla1[[#This Row],[ACOBRAR]]</f>
        <v>0</v>
      </c>
      <c r="N171" s="193"/>
    </row>
    <row r="172" spans="1:14" s="611" customFormat="1" ht="14.25" customHeight="1">
      <c r="A172" s="1075">
        <v>45959</v>
      </c>
      <c r="B172" s="713">
        <v>400000</v>
      </c>
      <c r="C172" s="713">
        <f t="shared" si="10"/>
        <v>415550.68493150687</v>
      </c>
      <c r="D172" s="714">
        <f t="shared" si="11"/>
        <v>46002</v>
      </c>
      <c r="E172" s="715">
        <v>43</v>
      </c>
      <c r="F172" s="777">
        <v>0.33</v>
      </c>
      <c r="G172" s="716" t="s">
        <v>258</v>
      </c>
      <c r="H172" s="717">
        <f t="shared" si="12"/>
        <v>10849.315068493164</v>
      </c>
      <c r="I172" s="1094">
        <f>VLOOKUP(Tabla1[[#This Row],[FECHA]],TablaUVA[#All],2)</f>
        <v>1618.6100244636918</v>
      </c>
      <c r="J172" s="1094">
        <f>VLOOKUP(Tabla1[[#This Row],[VTO.]],TablaUVA[#All],2)</f>
        <v>1656.1489396225979</v>
      </c>
      <c r="K172" s="1093">
        <f>+Tabla1[[#This Row],[DEPOSITADO]]/I172</f>
        <v>247.12561639579334</v>
      </c>
      <c r="L172" s="1095">
        <f>IF(Tabla1[[#This Row],[DIAS]]&gt;89,+K172*J172*(1+1%/365*Tabla1[[#This Row],[DIAS]]),Tabla1[[#This Row],[ACOBRAR]])</f>
        <v>415550.68493150687</v>
      </c>
      <c r="M172" s="1096">
        <f>+L172-Tabla1[[#This Row],[ACOBRAR]]</f>
        <v>0</v>
      </c>
      <c r="N172" s="193"/>
    </row>
    <row r="173" spans="1:14" s="611" customFormat="1" ht="14.25" customHeight="1">
      <c r="A173" s="1082">
        <v>45959</v>
      </c>
      <c r="B173" s="1083">
        <v>1011000</v>
      </c>
      <c r="C173" s="1083">
        <f t="shared" si="10"/>
        <v>1058046.1232876712</v>
      </c>
      <c r="D173" s="1082">
        <f t="shared" si="11"/>
        <v>46002</v>
      </c>
      <c r="E173" s="1144">
        <v>43</v>
      </c>
      <c r="F173" s="1085">
        <v>0.39500000000000002</v>
      </c>
      <c r="G173" s="1086" t="s">
        <v>264</v>
      </c>
      <c r="H173" s="1087">
        <f t="shared" si="12"/>
        <v>32822.876712328776</v>
      </c>
      <c r="I173" s="1094">
        <f>VLOOKUP(Tabla1[[#This Row],[FECHA]],TablaUVA[#All],2)</f>
        <v>1618.6100244636918</v>
      </c>
      <c r="J173" s="1094">
        <f>VLOOKUP(Tabla1[[#This Row],[VTO.]],TablaUVA[#All],2)</f>
        <v>1656.1489396225979</v>
      </c>
      <c r="K173" s="1093">
        <f>+Tabla1[[#This Row],[DEPOSITADO]]/I173</f>
        <v>624.6099954403677</v>
      </c>
      <c r="L173" s="1095">
        <f>IF(Tabla1[[#This Row],[DIAS]]&gt;89,+K173*J173*(1+1%/365*Tabla1[[#This Row],[DIAS]]),Tabla1[[#This Row],[ACOBRAR]])</f>
        <v>1058046.1232876712</v>
      </c>
      <c r="M173" s="1096">
        <f>+L173-Tabla1[[#This Row],[ACOBRAR]]</f>
        <v>0</v>
      </c>
      <c r="N173" s="193"/>
    </row>
    <row r="174" spans="1:14" s="611" customFormat="1" ht="14.25" customHeight="1">
      <c r="A174" s="1068">
        <v>45959</v>
      </c>
      <c r="B174" s="1069">
        <v>1229000</v>
      </c>
      <c r="C174" s="1069">
        <f t="shared" si="10"/>
        <v>1286190.5890410959</v>
      </c>
      <c r="D174" s="1070">
        <f t="shared" si="11"/>
        <v>46002</v>
      </c>
      <c r="E174" s="1071">
        <v>43</v>
      </c>
      <c r="F174" s="1074">
        <v>0.39500000000000002</v>
      </c>
      <c r="G174" s="1072" t="s">
        <v>261</v>
      </c>
      <c r="H174" s="1073">
        <f t="shared" si="12"/>
        <v>39900.410958904133</v>
      </c>
      <c r="I174" s="1094">
        <f>VLOOKUP(Tabla1[[#This Row],[FECHA]],TablaUVA[#All],2)</f>
        <v>1618.6100244636918</v>
      </c>
      <c r="J174" s="1094">
        <f>VLOOKUP(Tabla1[[#This Row],[VTO.]],TablaUVA[#All],2)</f>
        <v>1656.1489396225979</v>
      </c>
      <c r="K174" s="1093">
        <f>+Tabla1[[#This Row],[DEPOSITADO]]/I174</f>
        <v>759.29345637607503</v>
      </c>
      <c r="L174" s="1095">
        <f>IF(Tabla1[[#This Row],[DIAS]]&gt;89,+K174*J174*(1+1%/365*Tabla1[[#This Row],[DIAS]]),Tabla1[[#This Row],[ACOBRAR]])</f>
        <v>1286190.5890410959</v>
      </c>
      <c r="M174" s="1096">
        <f>+L174-Tabla1[[#This Row],[ACOBRAR]]</f>
        <v>0</v>
      </c>
      <c r="N174" s="193"/>
    </row>
    <row r="175" spans="1:14" s="611" customFormat="1" ht="14.25" customHeight="1">
      <c r="A175" s="1075">
        <v>45958</v>
      </c>
      <c r="B175" s="713">
        <v>270000</v>
      </c>
      <c r="C175" s="713">
        <f t="shared" si="10"/>
        <v>280740.82191780821</v>
      </c>
      <c r="D175" s="714">
        <f t="shared" si="11"/>
        <v>46002</v>
      </c>
      <c r="E175" s="715">
        <v>44</v>
      </c>
      <c r="F175" s="777">
        <v>0.33</v>
      </c>
      <c r="G175" s="716" t="s">
        <v>258</v>
      </c>
      <c r="H175" s="717">
        <f t="shared" si="12"/>
        <v>7323.2876712328689</v>
      </c>
      <c r="I175" s="1094">
        <f>VLOOKUP(Tabla1[[#This Row],[FECHA]],TablaUVA[#All],2)</f>
        <v>1617.7472259431888</v>
      </c>
      <c r="J175" s="1094">
        <f>VLOOKUP(Tabla1[[#This Row],[VTO.]],TablaUVA[#All],2)</f>
        <v>1656.1489396225979</v>
      </c>
      <c r="K175" s="1093">
        <f>+Tabla1[[#This Row],[DEPOSITADO]]/I175</f>
        <v>166.89875628906299</v>
      </c>
      <c r="L175" s="1095">
        <f>IF(Tabla1[[#This Row],[DIAS]]&gt;89,+K175*J175*(1+1%/365*Tabla1[[#This Row],[DIAS]]),Tabla1[[#This Row],[ACOBRAR]])</f>
        <v>280740.82191780821</v>
      </c>
      <c r="M175" s="1096">
        <f>+L175-Tabla1[[#This Row],[ACOBRAR]]</f>
        <v>0</v>
      </c>
      <c r="N175" s="193"/>
    </row>
    <row r="176" spans="1:14" s="611" customFormat="1" ht="14.25" customHeight="1">
      <c r="A176" s="1062">
        <v>45961</v>
      </c>
      <c r="B176" s="1061">
        <v>461000</v>
      </c>
      <c r="C176" s="1061">
        <f t="shared" si="10"/>
        <v>477974.90410958906</v>
      </c>
      <c r="D176" s="1062">
        <f t="shared" si="11"/>
        <v>46003</v>
      </c>
      <c r="E176" s="1063">
        <v>42</v>
      </c>
      <c r="F176" s="1065">
        <v>0.32</v>
      </c>
      <c r="G176" s="1066" t="s">
        <v>257</v>
      </c>
      <c r="H176" s="1067">
        <f t="shared" si="12"/>
        <v>12124.931506849327</v>
      </c>
      <c r="I176" s="1094">
        <f>VLOOKUP(Tabla1[[#This Row],[FECHA]],TablaUVA[#All],2)</f>
        <v>1620.3370022277488</v>
      </c>
      <c r="J176" s="1094">
        <f>VLOOKUP(Tabla1[[#This Row],[VTO.]],TablaUVA[#All],2)</f>
        <v>1657.0322190570632</v>
      </c>
      <c r="K176" s="1093">
        <f>+Tabla1[[#This Row],[DEPOSITADO]]/I176</f>
        <v>284.50871600548902</v>
      </c>
      <c r="L176" s="1095">
        <f>IF(Tabla1[[#This Row],[DIAS]]&gt;89,+K176*J176*(1+1%/365*Tabla1[[#This Row],[DIAS]]),Tabla1[[#This Row],[ACOBRAR]])</f>
        <v>477974.90410958906</v>
      </c>
      <c r="M176" s="1096">
        <f>+L176-Tabla1[[#This Row],[ACOBRAR]]</f>
        <v>0</v>
      </c>
      <c r="N176" s="193"/>
    </row>
    <row r="177" spans="1:16" s="611" customFormat="1" ht="14.25" customHeight="1">
      <c r="A177" s="1062">
        <v>45960</v>
      </c>
      <c r="B177" s="1061">
        <v>636000</v>
      </c>
      <c r="C177" s="1061">
        <f t="shared" si="10"/>
        <v>659976.32876712328</v>
      </c>
      <c r="D177" s="1062">
        <f t="shared" si="11"/>
        <v>46003</v>
      </c>
      <c r="E177" s="1063">
        <v>43</v>
      </c>
      <c r="F177" s="1065">
        <v>0.32</v>
      </c>
      <c r="G177" s="1066" t="s">
        <v>257</v>
      </c>
      <c r="H177" s="1067">
        <f t="shared" si="12"/>
        <v>16727.671232876706</v>
      </c>
      <c r="I177" s="1094">
        <f>VLOOKUP(Tabla1[[#This Row],[FECHA]],TablaUVA[#All],2)</f>
        <v>1619.4732831434058</v>
      </c>
      <c r="J177" s="1094">
        <f>VLOOKUP(Tabla1[[#This Row],[VTO.]],TablaUVA[#All],2)</f>
        <v>1657.0322190570632</v>
      </c>
      <c r="K177" s="1093">
        <f>+Tabla1[[#This Row],[DEPOSITADO]]/I177</f>
        <v>392.72027925370946</v>
      </c>
      <c r="L177" s="1095">
        <f>IF(Tabla1[[#This Row],[DIAS]]&gt;89,+K177*J177*(1+1%/365*Tabla1[[#This Row],[DIAS]]),Tabla1[[#This Row],[ACOBRAR]])</f>
        <v>659976.32876712328</v>
      </c>
      <c r="M177" s="1096">
        <f>+L177-Tabla1[[#This Row],[ACOBRAR]]</f>
        <v>0</v>
      </c>
      <c r="N177" s="193"/>
    </row>
    <row r="178" spans="1:16" s="611" customFormat="1" ht="14.25" customHeight="1">
      <c r="A178" s="1064">
        <v>45960</v>
      </c>
      <c r="B178" s="713">
        <v>500000</v>
      </c>
      <c r="C178" s="1061">
        <f t="shared" si="10"/>
        <v>520616.43835616438</v>
      </c>
      <c r="D178" s="1062">
        <f t="shared" si="11"/>
        <v>46003</v>
      </c>
      <c r="E178" s="1063">
        <v>43</v>
      </c>
      <c r="F178" s="1065">
        <v>0.35</v>
      </c>
      <c r="G178" s="1043" t="s">
        <v>260</v>
      </c>
      <c r="H178" s="717">
        <f t="shared" si="12"/>
        <v>14383.561643835612</v>
      </c>
      <c r="I178" s="1094">
        <f>VLOOKUP(Tabla1[[#This Row],[FECHA]],TablaUVA[#All],2)</f>
        <v>1619.4732831434058</v>
      </c>
      <c r="J178" s="1094">
        <f>VLOOKUP(Tabla1[[#This Row],[VTO.]],TablaUVA[#All],2)</f>
        <v>1657.0322190570632</v>
      </c>
      <c r="K178" s="1093">
        <f>+Tabla1[[#This Row],[DEPOSITADO]]/I178</f>
        <v>308.74235790385961</v>
      </c>
      <c r="L178" s="1095">
        <f>IF(Tabla1[[#This Row],[DIAS]]&gt;89,+K178*J178*(1+1%/365*Tabla1[[#This Row],[DIAS]]),Tabla1[[#This Row],[ACOBRAR]])</f>
        <v>520616.43835616438</v>
      </c>
      <c r="M178" s="1096">
        <f>+L178-Tabla1[[#This Row],[ACOBRAR]]</f>
        <v>0</v>
      </c>
      <c r="N178" s="193"/>
      <c r="O178" s="1045"/>
      <c r="P178" s="1044"/>
    </row>
    <row r="179" spans="1:16" s="611" customFormat="1" ht="15" customHeight="1">
      <c r="A179" s="712">
        <v>45960</v>
      </c>
      <c r="B179" s="713">
        <v>526000</v>
      </c>
      <c r="C179" s="713">
        <f t="shared" si="10"/>
        <v>545829.47945205483</v>
      </c>
      <c r="D179" s="714">
        <f t="shared" si="11"/>
        <v>46003</v>
      </c>
      <c r="E179" s="715">
        <v>43</v>
      </c>
      <c r="F179" s="777">
        <v>0.32</v>
      </c>
      <c r="G179" s="716" t="s">
        <v>265</v>
      </c>
      <c r="H179" s="717">
        <f t="shared" si="12"/>
        <v>13834.520547945232</v>
      </c>
      <c r="I179" s="1094">
        <f>VLOOKUP(Tabla1[[#This Row],[FECHA]],TablaUVA[#All],2)</f>
        <v>1619.4732831434058</v>
      </c>
      <c r="J179" s="1094">
        <f>VLOOKUP(Tabla1[[#This Row],[VTO.]],TablaUVA[#All],2)</f>
        <v>1657.0322190570632</v>
      </c>
      <c r="K179" s="1093">
        <f>+Tabla1[[#This Row],[DEPOSITADO]]/I179</f>
        <v>324.79696051486036</v>
      </c>
      <c r="L179" s="1095">
        <f>IF(Tabla1[[#This Row],[DIAS]]&gt;89,+K179*J179*(1+1%/365*Tabla1[[#This Row],[DIAS]]),Tabla1[[#This Row],[ACOBRAR]])</f>
        <v>545829.47945205483</v>
      </c>
      <c r="M179" s="1096">
        <f>+L179-Tabla1[[#This Row],[ACOBRAR]]</f>
        <v>0</v>
      </c>
      <c r="N179" s="193"/>
    </row>
    <row r="180" spans="1:16" s="611" customFormat="1" ht="14.25" customHeight="1">
      <c r="A180" s="1075">
        <v>45959</v>
      </c>
      <c r="B180" s="713">
        <v>250000</v>
      </c>
      <c r="C180" s="713">
        <f t="shared" si="10"/>
        <v>259945.20547945207</v>
      </c>
      <c r="D180" s="714">
        <f t="shared" si="11"/>
        <v>46003</v>
      </c>
      <c r="E180" s="715">
        <v>44</v>
      </c>
      <c r="F180" s="777">
        <v>0.33</v>
      </c>
      <c r="G180" s="716" t="s">
        <v>258</v>
      </c>
      <c r="H180" s="717">
        <f t="shared" si="12"/>
        <v>6780.8219178082272</v>
      </c>
      <c r="I180" s="1094">
        <f>VLOOKUP(Tabla1[[#This Row],[FECHA]],TablaUVA[#All],2)</f>
        <v>1618.6100244636918</v>
      </c>
      <c r="J180" s="1094">
        <f>VLOOKUP(Tabla1[[#This Row],[VTO.]],TablaUVA[#All],2)</f>
        <v>1657.0322190570632</v>
      </c>
      <c r="K180" s="1093">
        <f>+Tabla1[[#This Row],[DEPOSITADO]]/I180</f>
        <v>154.45351024737084</v>
      </c>
      <c r="L180" s="1095">
        <f>IF(Tabla1[[#This Row],[DIAS]]&gt;89,+K180*J180*(1+1%/365*Tabla1[[#This Row],[DIAS]]),Tabla1[[#This Row],[ACOBRAR]])</f>
        <v>259945.20547945207</v>
      </c>
      <c r="M180" s="1096">
        <f>+L180-Tabla1[[#This Row],[ACOBRAR]]</f>
        <v>0</v>
      </c>
      <c r="N180" s="193"/>
    </row>
    <row r="181" spans="1:16" s="611" customFormat="1" ht="14.25" customHeight="1">
      <c r="A181" s="1082">
        <v>45959</v>
      </c>
      <c r="B181" s="713">
        <v>572000</v>
      </c>
      <c r="C181" s="713">
        <f t="shared" si="10"/>
        <v>596133.69863013702</v>
      </c>
      <c r="D181" s="714">
        <f t="shared" si="11"/>
        <v>46003</v>
      </c>
      <c r="E181" s="715">
        <v>44</v>
      </c>
      <c r="F181" s="777">
        <v>0.35</v>
      </c>
      <c r="G181" s="1043" t="s">
        <v>260</v>
      </c>
      <c r="H181" s="717">
        <f t="shared" si="12"/>
        <v>16454.79452054797</v>
      </c>
      <c r="I181" s="1094">
        <f>VLOOKUP(Tabla1[[#This Row],[FECHA]],TablaUVA[#All],2)</f>
        <v>1618.6100244636918</v>
      </c>
      <c r="J181" s="1094">
        <f>VLOOKUP(Tabla1[[#This Row],[VTO.]],TablaUVA[#All],2)</f>
        <v>1657.0322190570632</v>
      </c>
      <c r="K181" s="1093">
        <f>+Tabla1[[#This Row],[DEPOSITADO]]/I181</f>
        <v>353.38963144598449</v>
      </c>
      <c r="L181" s="1095">
        <f>IF(Tabla1[[#This Row],[DIAS]]&gt;89,+K181*J181*(1+1%/365*Tabla1[[#This Row],[DIAS]]),Tabla1[[#This Row],[ACOBRAR]])</f>
        <v>596133.69863013702</v>
      </c>
      <c r="M181" s="1096">
        <f>+L181-Tabla1[[#This Row],[ACOBRAR]]</f>
        <v>0</v>
      </c>
      <c r="N181" s="193"/>
    </row>
    <row r="182" spans="1:16" s="611" customFormat="1" ht="14.25" customHeight="1">
      <c r="A182" s="1075">
        <v>45961</v>
      </c>
      <c r="B182" s="1076">
        <v>1580000</v>
      </c>
      <c r="C182" s="1076">
        <f t="shared" si="10"/>
        <v>1665709.5890410959</v>
      </c>
      <c r="D182" s="1077">
        <f t="shared" si="11"/>
        <v>46006</v>
      </c>
      <c r="E182" s="1078">
        <v>45</v>
      </c>
      <c r="F182" s="1081">
        <v>0.44</v>
      </c>
      <c r="G182" s="1079" t="s">
        <v>262</v>
      </c>
      <c r="H182" s="1080">
        <f t="shared" si="12"/>
        <v>57139.726027397286</v>
      </c>
      <c r="I182" s="1094">
        <f>VLOOKUP(Tabla1[[#This Row],[FECHA]],TablaUVA[#All],2)</f>
        <v>1620.3370022277488</v>
      </c>
      <c r="J182" s="1094">
        <f>VLOOKUP(Tabla1[[#This Row],[VTO.]],TablaUVA[#All],2)</f>
        <v>1659.6848848597592</v>
      </c>
      <c r="K182" s="1117">
        <f>+Tabla1[[#This Row],[DEPOSITADO]]/I182</f>
        <v>975.10579455243521</v>
      </c>
      <c r="L182" s="1095">
        <f>IF(Tabla1[[#This Row],[DIAS]]&gt;89,+K182*J182*(1+1%/365*Tabla1[[#This Row],[DIAS]]),Tabla1[[#This Row],[ACOBRAR]])</f>
        <v>1665709.5890410959</v>
      </c>
      <c r="M182" s="1118">
        <f>+L182-Tabla1[[#This Row],[ACOBRAR]]</f>
        <v>0</v>
      </c>
      <c r="N182"/>
    </row>
    <row r="183" spans="1:16" s="611" customFormat="1" ht="14.25" customHeight="1">
      <c r="A183" s="1064">
        <v>45960</v>
      </c>
      <c r="B183" s="713">
        <v>684000</v>
      </c>
      <c r="C183" s="1061">
        <f t="shared" si="10"/>
        <v>714170.95890410955</v>
      </c>
      <c r="D183" s="1062">
        <f t="shared" si="11"/>
        <v>46006</v>
      </c>
      <c r="E183" s="1063">
        <v>46</v>
      </c>
      <c r="F183" s="1065">
        <v>0.35</v>
      </c>
      <c r="G183" s="1043" t="s">
        <v>260</v>
      </c>
      <c r="H183" s="717">
        <f t="shared" si="12"/>
        <v>19676.712328767095</v>
      </c>
      <c r="I183" s="1094">
        <f>VLOOKUP(Tabla1[[#This Row],[FECHA]],TablaUVA[#All],2)</f>
        <v>1619.4732831434058</v>
      </c>
      <c r="J183" s="1094">
        <f>VLOOKUP(Tabla1[[#This Row],[VTO.]],TablaUVA[#All],2)</f>
        <v>1659.6848848597592</v>
      </c>
      <c r="K183" s="1093">
        <f>+Tabla1[[#This Row],[DEPOSITADO]]/I183</f>
        <v>422.35954561247996</v>
      </c>
      <c r="L183" s="1095">
        <f>IF(Tabla1[[#This Row],[DIAS]]&gt;89,+K183*J183*(1+1%/365*Tabla1[[#This Row],[DIAS]]),Tabla1[[#This Row],[ACOBRAR]])</f>
        <v>714170.95890410955</v>
      </c>
      <c r="M183" s="1096">
        <f>+L183-Tabla1[[#This Row],[ACOBRAR]]</f>
        <v>0</v>
      </c>
      <c r="N183"/>
    </row>
    <row r="184" spans="1:16" s="611" customFormat="1" ht="14">
      <c r="A184" s="714">
        <v>45960</v>
      </c>
      <c r="B184" s="713">
        <v>470000</v>
      </c>
      <c r="C184" s="713">
        <f t="shared" si="10"/>
        <v>488954.52054794523</v>
      </c>
      <c r="D184" s="532">
        <f t="shared" si="11"/>
        <v>46006</v>
      </c>
      <c r="E184" s="534">
        <v>46</v>
      </c>
      <c r="F184" s="777">
        <v>0.32</v>
      </c>
      <c r="G184" s="716" t="s">
        <v>256</v>
      </c>
      <c r="H184" s="717">
        <f t="shared" si="12"/>
        <v>12361.643835616453</v>
      </c>
      <c r="I184" s="1094">
        <f>VLOOKUP(Tabla1[[#This Row],[FECHA]],TablaUVA[#All],2)</f>
        <v>1619.4732831434058</v>
      </c>
      <c r="J184" s="1094">
        <f>VLOOKUP(Tabla1[[#This Row],[VTO.]],TablaUVA[#All],2)</f>
        <v>1659.6848848597592</v>
      </c>
      <c r="K184" s="1093">
        <f>+Tabla1[[#This Row],[DEPOSITADO]]/I184</f>
        <v>290.21781642962804</v>
      </c>
      <c r="L184" s="1095">
        <f>IF(Tabla1[[#This Row],[DIAS]]&gt;89,+K184*J184*(1+1%/365*Tabla1[[#This Row],[DIAS]]),Tabla1[[#This Row],[ACOBRAR]])</f>
        <v>488954.52054794523</v>
      </c>
      <c r="M184" s="1096">
        <f>+L184-Tabla1[[#This Row],[ACOBRAR]]</f>
        <v>0</v>
      </c>
      <c r="N184"/>
    </row>
    <row r="185" spans="1:16" ht="14">
      <c r="A185" s="1082">
        <v>45960</v>
      </c>
      <c r="B185" s="1083">
        <v>728000</v>
      </c>
      <c r="C185" s="1083">
        <f t="shared" si="10"/>
        <v>760111.78082191781</v>
      </c>
      <c r="D185" s="1082">
        <f t="shared" si="11"/>
        <v>46006</v>
      </c>
      <c r="E185" s="1144">
        <v>46</v>
      </c>
      <c r="F185" s="1085">
        <v>0.35</v>
      </c>
      <c r="G185" s="1086" t="s">
        <v>264</v>
      </c>
      <c r="H185" s="1087">
        <f t="shared" si="12"/>
        <v>20942.465753424658</v>
      </c>
      <c r="I185" s="1094">
        <f>VLOOKUP(Tabla1[[#This Row],[FECHA]],TablaUVA[#All],2)</f>
        <v>1619.4732831434058</v>
      </c>
      <c r="J185" s="1094">
        <f>VLOOKUP(Tabla1[[#This Row],[VTO.]],TablaUVA[#All],2)</f>
        <v>1659.6848848597592</v>
      </c>
      <c r="K185" s="1093">
        <f>+Tabla1[[#This Row],[DEPOSITADO]]/I185</f>
        <v>449.52887310801964</v>
      </c>
      <c r="L185" s="1095">
        <f>IF(Tabla1[[#This Row],[DIAS]]&gt;89,+K185*J185*(1+1%/365*Tabla1[[#This Row],[DIAS]]),Tabla1[[#This Row],[ACOBRAR]])</f>
        <v>760111.78082191781</v>
      </c>
      <c r="M185" s="1096">
        <f>+L185-Tabla1[[#This Row],[ACOBRAR]]</f>
        <v>0</v>
      </c>
    </row>
    <row r="186" spans="1:16" ht="14">
      <c r="A186" s="1075">
        <v>45961</v>
      </c>
      <c r="B186" s="713">
        <v>1000000</v>
      </c>
      <c r="C186" s="713">
        <f t="shared" si="10"/>
        <v>1039068.493150685</v>
      </c>
      <c r="D186" s="714">
        <f t="shared" si="11"/>
        <v>46007</v>
      </c>
      <c r="E186" s="715">
        <v>46</v>
      </c>
      <c r="F186" s="777">
        <v>0.31</v>
      </c>
      <c r="G186" s="716" t="s">
        <v>258</v>
      </c>
      <c r="H186" s="717">
        <f t="shared" si="12"/>
        <v>25479.452054794554</v>
      </c>
      <c r="I186" s="1094">
        <f>VLOOKUP(Tabla1[[#This Row],[FECHA]],TablaUVA[#All],2)</f>
        <v>1620.3370022277488</v>
      </c>
      <c r="J186" s="1094">
        <f>VLOOKUP(Tabla1[[#This Row],[VTO.]],TablaUVA[#All],2)</f>
        <v>1659.6848848597592</v>
      </c>
      <c r="K186" s="1093">
        <f>+Tabla1[[#This Row],[DEPOSITADO]]/I186</f>
        <v>617.15556617242737</v>
      </c>
      <c r="L186" s="1095">
        <f>IF(Tabla1[[#This Row],[DIAS]]&gt;89,+K186*J186*(1+1%/365*Tabla1[[#This Row],[DIAS]]),Tabla1[[#This Row],[ACOBRAR]])</f>
        <v>1039068.493150685</v>
      </c>
      <c r="M186" s="1096">
        <f>+L186-Tabla1[[#This Row],[ACOBRAR]]</f>
        <v>0</v>
      </c>
    </row>
    <row r="187" spans="1:16" ht="14">
      <c r="A187" s="712">
        <v>45961</v>
      </c>
      <c r="B187" s="713">
        <v>200000</v>
      </c>
      <c r="C187" s="713">
        <f t="shared" si="10"/>
        <v>207813.69863013699</v>
      </c>
      <c r="D187" s="532">
        <f t="shared" si="11"/>
        <v>46007</v>
      </c>
      <c r="E187" s="534">
        <v>46</v>
      </c>
      <c r="F187" s="777">
        <v>0.31</v>
      </c>
      <c r="G187" s="716" t="s">
        <v>258</v>
      </c>
      <c r="H187" s="717">
        <f t="shared" si="12"/>
        <v>5095.8904109589066</v>
      </c>
      <c r="I187" s="1094">
        <f>VLOOKUP(Tabla1[[#This Row],[FECHA]],TablaUVA[#All],2)</f>
        <v>1620.3370022277488</v>
      </c>
      <c r="J187" s="1094">
        <f>VLOOKUP(Tabla1[[#This Row],[VTO.]],TablaUVA[#All],2)</f>
        <v>1659.6848848597592</v>
      </c>
      <c r="K187" s="1093">
        <f>+Tabla1[[#This Row],[DEPOSITADO]]/I187</f>
        <v>123.43111323448547</v>
      </c>
      <c r="L187" s="1095">
        <f>IF(Tabla1[[#This Row],[DIAS]]&gt;89,+K187*J187*(1+1%/365*Tabla1[[#This Row],[DIAS]]),Tabla1[[#This Row],[ACOBRAR]])</f>
        <v>207813.69863013699</v>
      </c>
      <c r="M187" s="1096">
        <f>+L187-Tabla1[[#This Row],[ACOBRAR]]</f>
        <v>0</v>
      </c>
    </row>
    <row r="188" spans="1:16" ht="14">
      <c r="A188" s="712">
        <v>45961</v>
      </c>
      <c r="B188" s="713">
        <v>400000</v>
      </c>
      <c r="C188" s="713">
        <f t="shared" si="10"/>
        <v>416131.50684931508</v>
      </c>
      <c r="D188" s="532">
        <f t="shared" si="11"/>
        <v>46007</v>
      </c>
      <c r="E188" s="534">
        <v>46</v>
      </c>
      <c r="F188" s="777">
        <v>0.32</v>
      </c>
      <c r="G188" s="716" t="s">
        <v>256</v>
      </c>
      <c r="H188" s="717">
        <f t="shared" si="12"/>
        <v>10520.547945205484</v>
      </c>
      <c r="I188" s="1094">
        <f>VLOOKUP(Tabla1[[#This Row],[FECHA]],TablaUVA[#All],2)</f>
        <v>1620.3370022277488</v>
      </c>
      <c r="J188" s="1094">
        <f>VLOOKUP(Tabla1[[#This Row],[VTO.]],TablaUVA[#All],2)</f>
        <v>1659.6848848597592</v>
      </c>
      <c r="K188" s="1093">
        <f>+Tabla1[[#This Row],[DEPOSITADO]]/I188</f>
        <v>246.86222646897093</v>
      </c>
      <c r="L188" s="1095">
        <f>IF(Tabla1[[#This Row],[DIAS]]&gt;89,+K188*J188*(1+1%/365*Tabla1[[#This Row],[DIAS]]),Tabla1[[#This Row],[ACOBRAR]])</f>
        <v>416131.50684931508</v>
      </c>
      <c r="M188" s="1096">
        <f>+L188-Tabla1[[#This Row],[ACOBRAR]]</f>
        <v>0</v>
      </c>
    </row>
    <row r="189" spans="1:16" ht="14.25" customHeight="1">
      <c r="A189" s="1075">
        <v>45961</v>
      </c>
      <c r="B189" s="1076">
        <v>900000</v>
      </c>
      <c r="C189" s="1076">
        <f t="shared" si="10"/>
        <v>935161.64383561641</v>
      </c>
      <c r="D189" s="1077">
        <f t="shared" si="11"/>
        <v>46007</v>
      </c>
      <c r="E189" s="1078">
        <v>46</v>
      </c>
      <c r="F189" s="1081">
        <v>0.31</v>
      </c>
      <c r="G189" s="1079" t="s">
        <v>262</v>
      </c>
      <c r="H189" s="1080">
        <f t="shared" si="12"/>
        <v>22931.506849315054</v>
      </c>
      <c r="I189" s="1094">
        <f>VLOOKUP(Tabla1[[#This Row],[FECHA]],TablaUVA[#All],2)</f>
        <v>1620.3370022277488</v>
      </c>
      <c r="J189" s="1094">
        <f>VLOOKUP(Tabla1[[#This Row],[VTO.]],TablaUVA[#All],2)</f>
        <v>1659.6848848597592</v>
      </c>
      <c r="K189" s="1117">
        <f>+Tabla1[[#This Row],[DEPOSITADO]]/I189</f>
        <v>555.44000955518459</v>
      </c>
      <c r="L189" s="1095">
        <f>IF(Tabla1[[#This Row],[DIAS]]&gt;89,+K189*J189*(1+1%/365*Tabla1[[#This Row],[DIAS]]),Tabla1[[#This Row],[ACOBRAR]])</f>
        <v>935161.64383561641</v>
      </c>
      <c r="M189" s="1118">
        <f>+L189-Tabla1[[#This Row],[ACOBRAR]]</f>
        <v>0</v>
      </c>
    </row>
    <row r="190" spans="1:16" ht="14.25" customHeight="1">
      <c r="A190" s="1075">
        <v>45961</v>
      </c>
      <c r="B190" s="1076">
        <v>880000</v>
      </c>
      <c r="C190" s="1076">
        <f t="shared" si="10"/>
        <v>915127.67123287672</v>
      </c>
      <c r="D190" s="1077">
        <f t="shared" si="11"/>
        <v>46008</v>
      </c>
      <c r="E190" s="1078">
        <v>47</v>
      </c>
      <c r="F190" s="1081">
        <v>0.31</v>
      </c>
      <c r="G190" s="1079" t="s">
        <v>262</v>
      </c>
      <c r="H190" s="1080">
        <f t="shared" si="12"/>
        <v>22421.917808219183</v>
      </c>
      <c r="I190" s="1094">
        <f>VLOOKUP(Tabla1[[#This Row],[FECHA]],TablaUVA[#All],2)</f>
        <v>1620.3370022277488</v>
      </c>
      <c r="J190" s="1094">
        <f>VLOOKUP(Tabla1[[#This Row],[VTO.]],TablaUVA[#All],2)</f>
        <v>1659.6848848597592</v>
      </c>
      <c r="K190" s="1117">
        <f>+Tabla1[[#This Row],[DEPOSITADO]]/I190</f>
        <v>543.09689823173608</v>
      </c>
      <c r="L190" s="1095">
        <f>IF(Tabla1[[#This Row],[DIAS]]&gt;89,+K190*J190*(1+1%/365*Tabla1[[#This Row],[DIAS]]),Tabla1[[#This Row],[ACOBRAR]])</f>
        <v>915127.67123287672</v>
      </c>
      <c r="M190" s="1118">
        <f>+L190-Tabla1[[#This Row],[ACOBRAR]]</f>
        <v>0</v>
      </c>
    </row>
    <row r="191" spans="1:16" ht="14">
      <c r="A191" s="1082">
        <v>45944</v>
      </c>
      <c r="B191" s="713">
        <v>950000</v>
      </c>
      <c r="C191" s="713">
        <f t="shared" si="10"/>
        <v>1041356.1643835616</v>
      </c>
      <c r="D191" s="714">
        <f t="shared" si="11"/>
        <v>46034</v>
      </c>
      <c r="E191" s="715">
        <v>90</v>
      </c>
      <c r="F191" s="777">
        <v>0.39</v>
      </c>
      <c r="G191" s="716" t="s">
        <v>258</v>
      </c>
      <c r="H191" s="717">
        <f t="shared" si="12"/>
        <v>30452.054794520529</v>
      </c>
      <c r="I191" s="1094">
        <f>VLOOKUP(Tabla1[[#This Row],[FECHA]],TablaUVA[#All],2)</f>
        <v>1605.7162262499987</v>
      </c>
      <c r="J191" s="1094">
        <f>VLOOKUP(Tabla1[[#This Row],[VTO.]],TablaUVA[#All],2)</f>
        <v>1659.6848848597592</v>
      </c>
      <c r="K191" s="1093">
        <f>+Tabla1[[#This Row],[DEPOSITADO]]/I191</f>
        <v>591.63629567264002</v>
      </c>
      <c r="L191" s="1095">
        <f>IF(Tabla1[[#This Row],[DIAS]]&gt;89,+K191*J191*(1+1%/365*Tabla1[[#This Row],[DIAS]]),Tabla1[[#This Row],[ACOBRAR]])</f>
        <v>984351.01407198783</v>
      </c>
      <c r="M191" s="1096">
        <f>+L191-Tabla1[[#This Row],[ACOBRAR]]</f>
        <v>-57005.150311573758</v>
      </c>
    </row>
    <row r="192" spans="1:16" ht="14">
      <c r="A192" s="1139" t="s">
        <v>838</v>
      </c>
      <c r="B192" s="1137"/>
      <c r="C192" s="1140"/>
      <c r="D192" s="1140"/>
      <c r="E192" s="1140"/>
      <c r="F192" s="1140"/>
      <c r="G192" s="1138"/>
      <c r="H192" s="716"/>
      <c r="I192" s="1093"/>
      <c r="J192" s="1093"/>
      <c r="K192" s="1093"/>
      <c r="L192" s="1093"/>
      <c r="M192" s="1093">
        <f>SUBTOTAL(103,Tabla1[Columna13])</f>
        <v>128</v>
      </c>
    </row>
    <row r="193" spans="1:13" ht="14">
      <c r="A193" s="641"/>
      <c r="B193" s="774">
        <f>SUM(B64:B191)</f>
        <v>87107000</v>
      </c>
      <c r="C193" s="774">
        <f>SUM(C64:C191)</f>
        <v>92288676.205479488</v>
      </c>
      <c r="D193" s="1109">
        <f>+C193-B193</f>
        <v>5181676.2054794878</v>
      </c>
      <c r="E193" s="212"/>
      <c r="F193" s="641"/>
      <c r="G193" s="641"/>
      <c r="H193" s="774">
        <f>SUM(H64:H191)</f>
        <v>4461606.2681771442</v>
      </c>
    </row>
    <row r="194" spans="1:13" ht="14.25" customHeight="1">
      <c r="A194" s="641"/>
      <c r="B194" s="713"/>
      <c r="C194" s="713"/>
      <c r="D194" s="641">
        <v>7052026.3898498118</v>
      </c>
      <c r="E194" s="641"/>
      <c r="F194" s="1026">
        <f>+E194/D194</f>
        <v>0</v>
      </c>
      <c r="G194" s="641"/>
      <c r="I194" s="1041"/>
      <c r="J194" s="596"/>
      <c r="K194" s="7"/>
    </row>
    <row r="195" spans="1:13" ht="14">
      <c r="A195" s="641"/>
      <c r="B195" s="713"/>
      <c r="C195" s="713"/>
      <c r="D195" s="836">
        <f>+D193-D194</f>
        <v>-1870350.184370324</v>
      </c>
      <c r="F195" s="641"/>
      <c r="G195" s="641"/>
      <c r="H195" s="1042"/>
      <c r="I195" s="1041"/>
      <c r="J195" s="596"/>
      <c r="K195" s="7"/>
    </row>
    <row r="196" spans="1:13">
      <c r="H196" s="1042"/>
      <c r="I196" s="1041"/>
      <c r="J196" s="596"/>
      <c r="K196" s="7"/>
    </row>
    <row r="197" spans="1:13" ht="13">
      <c r="A197" s="21" t="s">
        <v>817</v>
      </c>
      <c r="B197" s="1016">
        <v>2340393.71</v>
      </c>
      <c r="C197" s="1038" t="s">
        <v>804</v>
      </c>
      <c r="H197" s="1042"/>
      <c r="I197" s="1041"/>
      <c r="J197" s="596"/>
      <c r="K197" s="7"/>
    </row>
    <row r="198" spans="1:13" ht="13">
      <c r="A198" s="21" t="s">
        <v>267</v>
      </c>
      <c r="B198" s="650">
        <v>86679680</v>
      </c>
      <c r="C198" s="1135">
        <f>+B193-B199-B198</f>
        <v>377320</v>
      </c>
      <c r="D198" s="1135">
        <v>92320</v>
      </c>
      <c r="E198" s="611"/>
      <c r="H198" s="1042"/>
      <c r="I198" s="1041"/>
      <c r="J198" s="596"/>
      <c r="K198" s="1046"/>
      <c r="L198" s="510" t="s">
        <v>695</v>
      </c>
      <c r="M198" s="193"/>
    </row>
    <row r="199" spans="1:13" ht="13">
      <c r="A199" s="21" t="s">
        <v>835</v>
      </c>
      <c r="B199" s="1132">
        <f>10000+40000</f>
        <v>50000</v>
      </c>
      <c r="D199" s="1135">
        <f>+C198-D198</f>
        <v>285000</v>
      </c>
      <c r="H199" s="1042"/>
      <c r="I199" s="1041"/>
      <c r="J199" s="596"/>
      <c r="K199" s="1047">
        <v>45488</v>
      </c>
      <c r="L199" s="1048">
        <v>1000000</v>
      </c>
      <c r="M199" s="1047">
        <v>45551</v>
      </c>
    </row>
    <row r="200" spans="1:13" ht="13">
      <c r="B200" s="1133"/>
      <c r="H200" s="1042"/>
      <c r="I200" s="1041"/>
      <c r="J200" s="596"/>
      <c r="K200" s="1047"/>
      <c r="L200" s="1048"/>
      <c r="M200" s="1047"/>
    </row>
    <row r="201" spans="1:13" ht="13">
      <c r="A201" s="641" t="s">
        <v>268</v>
      </c>
      <c r="B201" s="797">
        <v>89020073.709999993</v>
      </c>
      <c r="C201" s="641"/>
      <c r="D201" s="641"/>
      <c r="E201" s="610"/>
      <c r="F201" s="641"/>
      <c r="G201" s="641"/>
      <c r="H201" s="1042"/>
      <c r="I201" s="1041"/>
      <c r="J201" s="596"/>
      <c r="K201" s="1047">
        <v>45490</v>
      </c>
      <c r="L201" s="1048">
        <v>112000</v>
      </c>
      <c r="M201" s="1047">
        <v>45552</v>
      </c>
    </row>
    <row r="202" spans="1:13">
      <c r="A202" s="691" t="s">
        <v>269</v>
      </c>
      <c r="B202" s="650">
        <f>+B198-B201+B197</f>
        <v>6.5192580223083496E-9</v>
      </c>
      <c r="H202" s="1042"/>
      <c r="I202" s="1041"/>
      <c r="J202" s="596"/>
      <c r="K202" s="1047">
        <v>45495</v>
      </c>
      <c r="L202" s="1048">
        <v>200000</v>
      </c>
      <c r="M202" s="1047">
        <v>45558</v>
      </c>
    </row>
    <row r="203" spans="1:13">
      <c r="A203" s="691"/>
      <c r="B203" s="650"/>
      <c r="H203" s="1042"/>
      <c r="I203" s="1041"/>
      <c r="J203" s="596"/>
      <c r="K203" s="1047">
        <v>45496</v>
      </c>
      <c r="L203" s="1048">
        <v>350000</v>
      </c>
      <c r="M203" s="1047">
        <v>45559</v>
      </c>
    </row>
    <row r="204" spans="1:13">
      <c r="A204" s="672" t="s">
        <v>0</v>
      </c>
      <c r="B204" s="672" t="s">
        <v>218</v>
      </c>
      <c r="C204" s="672" t="s">
        <v>219</v>
      </c>
      <c r="D204" s="672" t="s">
        <v>220</v>
      </c>
      <c r="E204" s="672" t="s">
        <v>221</v>
      </c>
      <c r="F204" s="672" t="s">
        <v>222</v>
      </c>
      <c r="G204" s="673" t="s">
        <v>270</v>
      </c>
      <c r="H204" s="1042"/>
      <c r="I204" s="1041"/>
      <c r="J204" s="596"/>
      <c r="K204" s="1047">
        <v>45527</v>
      </c>
      <c r="L204" s="1048">
        <v>400000</v>
      </c>
      <c r="M204" s="1047">
        <v>45565</v>
      </c>
    </row>
    <row r="205" spans="1:13">
      <c r="H205" s="1042"/>
    </row>
    <row r="207" spans="1:13">
      <c r="I207" s="1041"/>
      <c r="J207" s="596"/>
      <c r="K207" s="1047">
        <v>45575</v>
      </c>
      <c r="L207" s="1048">
        <v>286000</v>
      </c>
      <c r="M207" s="1047">
        <v>45646</v>
      </c>
    </row>
    <row r="208" spans="1:13" s="611" customFormat="1">
      <c r="A208" s="21"/>
      <c r="B208" s="650"/>
      <c r="C208" s="21"/>
      <c r="D208" s="21"/>
      <c r="E208" s="21"/>
      <c r="F208" s="21"/>
      <c r="G208" s="21"/>
      <c r="H208" s="1042"/>
      <c r="I208" s="1041"/>
      <c r="J208" s="596"/>
      <c r="K208" s="1047">
        <v>45631</v>
      </c>
      <c r="L208" s="1048">
        <v>354000</v>
      </c>
      <c r="M208" s="1052"/>
    </row>
    <row r="209" spans="1:16">
      <c r="B209" s="650"/>
      <c r="H209" s="1042"/>
      <c r="I209" s="1041"/>
      <c r="J209" s="596"/>
      <c r="K209" s="1047">
        <v>45631</v>
      </c>
      <c r="L209" s="1048">
        <v>800000</v>
      </c>
      <c r="M209" s="193"/>
    </row>
    <row r="210" spans="1:16" s="611" customFormat="1">
      <c r="A210" s="656">
        <v>45371</v>
      </c>
      <c r="B210" s="657">
        <v>200000</v>
      </c>
      <c r="C210" s="657">
        <v>313000</v>
      </c>
      <c r="D210" s="656">
        <f>+A210+E210</f>
        <v>45551</v>
      </c>
      <c r="E210" s="658">
        <v>180</v>
      </c>
      <c r="F210" s="659">
        <v>1.228</v>
      </c>
      <c r="G210" s="657" t="s">
        <v>271</v>
      </c>
      <c r="H210" s="1042"/>
      <c r="I210" s="1041"/>
      <c r="J210" s="596"/>
      <c r="K210" s="1047">
        <v>45635</v>
      </c>
      <c r="L210" s="1048">
        <v>944000</v>
      </c>
      <c r="M210" s="193"/>
    </row>
    <row r="211" spans="1:16">
      <c r="A211" s="656">
        <v>45288</v>
      </c>
      <c r="B211" s="657">
        <v>40000</v>
      </c>
      <c r="C211" s="657">
        <f>B211+(B211*F211/365*E211)*1</f>
        <v>53117.808219178085</v>
      </c>
      <c r="D211" s="656">
        <f>+A211+E211</f>
        <v>45378</v>
      </c>
      <c r="E211" s="658">
        <v>90</v>
      </c>
      <c r="F211" s="659">
        <v>1.33</v>
      </c>
      <c r="G211" s="657" t="s">
        <v>271</v>
      </c>
      <c r="H211" s="1042"/>
      <c r="I211" s="1041"/>
      <c r="J211" s="596"/>
      <c r="K211" s="1047">
        <v>45649</v>
      </c>
      <c r="L211" s="1048">
        <v>1400000</v>
      </c>
      <c r="M211" s="193"/>
    </row>
    <row r="212" spans="1:16">
      <c r="A212" s="704" t="s">
        <v>272</v>
      </c>
      <c r="B212" s="650"/>
      <c r="H212" s="1042"/>
      <c r="I212" s="1041"/>
      <c r="J212" s="596"/>
      <c r="K212" s="1047">
        <v>45652</v>
      </c>
      <c r="L212" s="1048">
        <v>3500000</v>
      </c>
      <c r="M212" s="193"/>
    </row>
    <row r="213" spans="1:16">
      <c r="A213" s="699">
        <v>45246</v>
      </c>
      <c r="B213" s="700">
        <v>200000</v>
      </c>
      <c r="C213" s="700">
        <f t="shared" ref="C213:C219" si="13">B213+(B213*F213/365*E213)*1</f>
        <v>223320.54794520547</v>
      </c>
      <c r="D213" s="699">
        <f t="shared" ref="D213:D224" si="14">+A213+E213</f>
        <v>45278</v>
      </c>
      <c r="E213" s="701">
        <v>32</v>
      </c>
      <c r="F213" s="702">
        <v>1.33</v>
      </c>
      <c r="G213" s="700"/>
      <c r="H213" s="1042"/>
      <c r="I213" s="1041"/>
      <c r="J213" s="596"/>
      <c r="K213" s="1047">
        <v>45652</v>
      </c>
      <c r="L213" s="1048">
        <v>1735000</v>
      </c>
      <c r="M213" s="193"/>
    </row>
    <row r="214" spans="1:16">
      <c r="A214" s="699">
        <v>45197</v>
      </c>
      <c r="B214" s="700">
        <v>125800</v>
      </c>
      <c r="C214" s="700">
        <f t="shared" si="13"/>
        <v>138814.26849315068</v>
      </c>
      <c r="D214" s="699">
        <f t="shared" si="14"/>
        <v>45229</v>
      </c>
      <c r="E214" s="701">
        <v>32</v>
      </c>
      <c r="F214" s="702">
        <v>1.18</v>
      </c>
      <c r="G214" s="703"/>
      <c r="H214" s="1042"/>
      <c r="I214" s="1041"/>
      <c r="J214" s="596"/>
      <c r="K214" s="1047">
        <v>45653</v>
      </c>
      <c r="L214" s="1048">
        <v>200000</v>
      </c>
      <c r="M214" s="510"/>
    </row>
    <row r="215" spans="1:16">
      <c r="A215" s="699">
        <v>45216</v>
      </c>
      <c r="B215" s="700">
        <v>225000</v>
      </c>
      <c r="C215" s="700">
        <f t="shared" si="13"/>
        <v>249595.89041095891</v>
      </c>
      <c r="D215" s="699">
        <f t="shared" si="14"/>
        <v>45246</v>
      </c>
      <c r="E215" s="701">
        <v>30</v>
      </c>
      <c r="F215" s="702">
        <v>1.33</v>
      </c>
      <c r="G215" s="703"/>
      <c r="H215" s="1042"/>
      <c r="I215" s="1041"/>
      <c r="J215" s="596"/>
      <c r="K215" s="1047">
        <v>45656</v>
      </c>
      <c r="L215" s="1048">
        <v>240000</v>
      </c>
      <c r="M215" s="510"/>
    </row>
    <row r="216" spans="1:16">
      <c r="A216" s="699">
        <v>45231</v>
      </c>
      <c r="B216" s="700">
        <v>180000</v>
      </c>
      <c r="C216" s="700">
        <f t="shared" si="13"/>
        <v>199676.71232876711</v>
      </c>
      <c r="D216" s="699">
        <f t="shared" si="14"/>
        <v>45261</v>
      </c>
      <c r="E216" s="701">
        <v>30</v>
      </c>
      <c r="F216" s="702">
        <v>1.33</v>
      </c>
      <c r="G216" s="700"/>
      <c r="H216" s="1042"/>
      <c r="I216" s="1041"/>
      <c r="J216" s="596"/>
      <c r="K216" s="1047">
        <v>45656</v>
      </c>
      <c r="L216" s="1053">
        <v>500000</v>
      </c>
      <c r="M216" s="193"/>
    </row>
    <row r="217" spans="1:16" ht="14">
      <c r="A217" s="699">
        <v>45231</v>
      </c>
      <c r="B217" s="700">
        <v>180000</v>
      </c>
      <c r="C217" s="700">
        <f t="shared" si="13"/>
        <v>199676.71232876711</v>
      </c>
      <c r="D217" s="699">
        <f t="shared" si="14"/>
        <v>45261</v>
      </c>
      <c r="E217" s="701">
        <v>30</v>
      </c>
      <c r="F217" s="702">
        <v>1.33</v>
      </c>
      <c r="G217" s="700"/>
      <c r="H217" s="1042"/>
      <c r="I217" s="1041"/>
      <c r="J217" s="596"/>
      <c r="K217" s="1052"/>
      <c r="L217" s="1048">
        <f>SUM(L199:L216)</f>
        <v>12021000</v>
      </c>
      <c r="M217" s="193"/>
      <c r="N217" s="712"/>
      <c r="O217" s="713"/>
      <c r="P217" s="713"/>
    </row>
    <row r="218" spans="1:16">
      <c r="A218" s="699">
        <v>45216</v>
      </c>
      <c r="B218" s="700">
        <v>225000</v>
      </c>
      <c r="C218" s="700">
        <f t="shared" si="13"/>
        <v>293128.76712328766</v>
      </c>
      <c r="D218" s="699">
        <f t="shared" si="14"/>
        <v>45306</v>
      </c>
      <c r="E218" s="701">
        <v>90</v>
      </c>
      <c r="F218" s="702">
        <v>1.228</v>
      </c>
      <c r="G218" s="700" t="s">
        <v>271</v>
      </c>
      <c r="H218" s="1042"/>
      <c r="I218" s="1041"/>
      <c r="J218" s="596"/>
      <c r="K218" s="1052"/>
      <c r="L218" s="1054">
        <v>13232000</v>
      </c>
      <c r="M218" s="193"/>
    </row>
    <row r="219" spans="1:16">
      <c r="A219" s="699">
        <v>45222</v>
      </c>
      <c r="B219" s="700">
        <v>60000</v>
      </c>
      <c r="C219" s="700">
        <f t="shared" si="13"/>
        <v>78369.534246575349</v>
      </c>
      <c r="D219" s="699">
        <f t="shared" si="14"/>
        <v>45313</v>
      </c>
      <c r="E219" s="701">
        <v>91</v>
      </c>
      <c r="F219" s="702">
        <v>1.228</v>
      </c>
      <c r="G219" s="700" t="s">
        <v>271</v>
      </c>
      <c r="H219" s="1042"/>
      <c r="I219" s="1041"/>
      <c r="J219" s="596"/>
      <c r="K219" s="1052"/>
      <c r="L219" s="1055">
        <f>+L217-L218</f>
        <v>-1211000</v>
      </c>
      <c r="M219" s="193"/>
    </row>
    <row r="220" spans="1:16">
      <c r="A220" s="656">
        <v>45279</v>
      </c>
      <c r="B220" s="657">
        <v>160000</v>
      </c>
      <c r="C220" s="657">
        <v>270663.27</v>
      </c>
      <c r="D220" s="656">
        <f t="shared" si="14"/>
        <v>45369</v>
      </c>
      <c r="E220" s="658">
        <v>90</v>
      </c>
      <c r="F220" s="659">
        <v>1.33</v>
      </c>
      <c r="G220" s="657" t="s">
        <v>271</v>
      </c>
      <c r="H220" s="1042"/>
      <c r="I220" s="1041"/>
      <c r="J220" s="596"/>
      <c r="K220" s="510" t="s">
        <v>266</v>
      </c>
      <c r="L220" s="1056">
        <f>+N168</f>
        <v>268000</v>
      </c>
      <c r="M220" s="193"/>
    </row>
    <row r="221" spans="1:16">
      <c r="A221" s="656">
        <v>45278</v>
      </c>
      <c r="B221" s="657">
        <v>220000</v>
      </c>
      <c r="C221" s="657">
        <v>376531</v>
      </c>
      <c r="D221" s="656">
        <f t="shared" si="14"/>
        <v>45369</v>
      </c>
      <c r="E221" s="658">
        <v>91</v>
      </c>
      <c r="F221" s="659">
        <v>1.33</v>
      </c>
      <c r="G221" s="657" t="s">
        <v>271</v>
      </c>
      <c r="H221" s="1042"/>
      <c r="K221" s="193"/>
      <c r="L221" s="1057">
        <f>+L219+L220</f>
        <v>-943000</v>
      </c>
      <c r="M221" s="193"/>
    </row>
    <row r="222" spans="1:16">
      <c r="A222" s="656">
        <v>45278</v>
      </c>
      <c r="B222" s="657">
        <v>183000</v>
      </c>
      <c r="C222" s="657">
        <v>313205.53999999998</v>
      </c>
      <c r="D222" s="656">
        <f t="shared" si="14"/>
        <v>45369</v>
      </c>
      <c r="E222" s="658">
        <v>91</v>
      </c>
      <c r="F222" s="659">
        <v>1.33</v>
      </c>
      <c r="G222" s="657" t="s">
        <v>273</v>
      </c>
    </row>
    <row r="223" spans="1:16" s="611" customFormat="1">
      <c r="A223" s="656">
        <v>45280</v>
      </c>
      <c r="B223" s="657">
        <v>200000</v>
      </c>
      <c r="C223" s="657">
        <v>341086.65</v>
      </c>
      <c r="D223" s="656">
        <f t="shared" si="14"/>
        <v>45370</v>
      </c>
      <c r="E223" s="658">
        <v>90</v>
      </c>
      <c r="F223" s="659">
        <v>1.33</v>
      </c>
      <c r="G223" s="657" t="s">
        <v>271</v>
      </c>
      <c r="H223" s="21"/>
      <c r="I223" s="21"/>
      <c r="J223"/>
      <c r="K223"/>
      <c r="L223"/>
      <c r="M223"/>
    </row>
    <row r="224" spans="1:16" s="611" customFormat="1">
      <c r="A224" s="656">
        <v>45306</v>
      </c>
      <c r="B224" s="657">
        <v>300000</v>
      </c>
      <c r="C224" s="657">
        <f>B224+(B224*F224/365*E224)*1</f>
        <v>483695.34246575343</v>
      </c>
      <c r="D224" s="656">
        <f t="shared" si="14"/>
        <v>45488</v>
      </c>
      <c r="E224" s="658">
        <v>182</v>
      </c>
      <c r="F224" s="659">
        <v>1.228</v>
      </c>
      <c r="G224" s="657" t="s">
        <v>271</v>
      </c>
      <c r="H224" s="21"/>
      <c r="I224" s="21"/>
      <c r="J224"/>
      <c r="K224"/>
      <c r="L224"/>
      <c r="M224"/>
    </row>
    <row r="225" spans="1:17">
      <c r="A225" s="675"/>
      <c r="B225" s="678"/>
      <c r="C225" s="678"/>
      <c r="D225" s="675"/>
      <c r="E225" s="682"/>
      <c r="F225" s="685"/>
      <c r="G225" s="678"/>
    </row>
    <row r="226" spans="1:17" s="611" customFormat="1">
      <c r="A226" s="675"/>
      <c r="B226" s="678"/>
      <c r="C226" s="678"/>
      <c r="D226" s="675"/>
      <c r="E226" s="682"/>
      <c r="F226" s="685"/>
      <c r="G226" s="678"/>
      <c r="H226" s="21"/>
      <c r="I226" s="21"/>
      <c r="J226"/>
      <c r="K226"/>
      <c r="L226"/>
      <c r="M226"/>
    </row>
    <row r="227" spans="1:17" s="611" customFormat="1">
      <c r="A227" s="675"/>
      <c r="B227" s="678"/>
      <c r="C227" s="678"/>
      <c r="D227" s="675"/>
      <c r="E227" s="682"/>
      <c r="F227" s="685"/>
      <c r="G227" s="678"/>
      <c r="H227" s="21"/>
      <c r="I227" s="21"/>
      <c r="J227"/>
      <c r="K227"/>
      <c r="L227"/>
      <c r="M227"/>
    </row>
    <row r="228" spans="1:17" s="611" customFormat="1">
      <c r="A228" s="675"/>
      <c r="B228" s="678"/>
      <c r="C228" s="678"/>
      <c r="D228" s="675"/>
      <c r="E228" s="682"/>
      <c r="F228" s="685"/>
      <c r="G228" s="678"/>
      <c r="H228" s="21"/>
      <c r="I228" s="647"/>
      <c r="J228"/>
      <c r="K228"/>
      <c r="L228"/>
      <c r="M228"/>
    </row>
    <row r="229" spans="1:17" s="611" customFormat="1">
      <c r="A229" s="607"/>
      <c r="B229" s="650"/>
      <c r="C229" s="608"/>
      <c r="D229" s="608"/>
      <c r="E229" s="610"/>
      <c r="F229" s="608"/>
      <c r="G229" s="577"/>
      <c r="H229" s="862"/>
      <c r="I229" s="647"/>
      <c r="J229"/>
      <c r="K229"/>
      <c r="L229"/>
      <c r="M229"/>
    </row>
    <row r="230" spans="1:17" s="611" customFormat="1" ht="14">
      <c r="A230" s="513" t="s">
        <v>274</v>
      </c>
      <c r="B230" s="514"/>
      <c r="C230" s="514"/>
      <c r="D230" s="515"/>
      <c r="E230" s="516"/>
      <c r="F230" s="517"/>
      <c r="G230" s="518"/>
      <c r="H230" s="862"/>
      <c r="I230" s="647"/>
      <c r="J230"/>
      <c r="K230"/>
      <c r="L230"/>
      <c r="M230"/>
    </row>
    <row r="231" spans="1:17">
      <c r="A231" s="519">
        <v>42689</v>
      </c>
      <c r="B231" s="514">
        <f>+C231*15.7</f>
        <v>31400</v>
      </c>
      <c r="C231" s="520">
        <v>2000</v>
      </c>
      <c r="D231" s="514">
        <f>+B231/C231</f>
        <v>15.7</v>
      </c>
      <c r="E231" s="521" t="s">
        <v>275</v>
      </c>
      <c r="F231" s="517"/>
      <c r="G231" s="518"/>
      <c r="H231" s="862"/>
      <c r="I231" s="647"/>
    </row>
    <row r="232" spans="1:17" s="47" customFormat="1">
      <c r="A232" s="519">
        <v>42692</v>
      </c>
      <c r="B232" s="514">
        <f>+C232*15.8</f>
        <v>23700</v>
      </c>
      <c r="C232" s="520">
        <v>1500</v>
      </c>
      <c r="D232" s="514">
        <f>+B232/C232</f>
        <v>15.8</v>
      </c>
      <c r="E232" s="521" t="s">
        <v>275</v>
      </c>
      <c r="F232" s="517"/>
      <c r="G232" s="522"/>
      <c r="H232" s="862"/>
      <c r="I232" s="647"/>
      <c r="J232"/>
      <c r="K232"/>
      <c r="L232"/>
      <c r="M232"/>
      <c r="N232"/>
    </row>
    <row r="233" spans="1:17" s="47" customFormat="1">
      <c r="A233" s="519">
        <v>42716</v>
      </c>
      <c r="B233" s="514">
        <f>900*16.4</f>
        <v>14759.999999999998</v>
      </c>
      <c r="C233" s="520">
        <v>900</v>
      </c>
      <c r="D233" s="514">
        <f>+B233/C233</f>
        <v>16.399999999999999</v>
      </c>
      <c r="E233" s="521" t="s">
        <v>275</v>
      </c>
      <c r="F233" s="517"/>
      <c r="G233" s="522"/>
      <c r="H233" s="862"/>
      <c r="I233" s="647"/>
      <c r="J233"/>
      <c r="K233"/>
      <c r="L233"/>
      <c r="M233"/>
      <c r="N233"/>
    </row>
    <row r="234" spans="1:17" s="47" customFormat="1">
      <c r="A234" s="519">
        <v>42732</v>
      </c>
      <c r="B234" s="514">
        <f>+C234*15.7</f>
        <v>31400</v>
      </c>
      <c r="C234" s="520">
        <v>2000</v>
      </c>
      <c r="D234" s="514">
        <f>+B234/C234</f>
        <v>15.7</v>
      </c>
      <c r="E234" s="515" t="s">
        <v>120</v>
      </c>
      <c r="F234" s="517"/>
      <c r="G234" s="522"/>
      <c r="H234" s="862"/>
      <c r="I234" s="647"/>
      <c r="J234"/>
      <c r="K234"/>
      <c r="L234"/>
      <c r="M234"/>
      <c r="N234"/>
      <c r="O234"/>
      <c r="P234"/>
      <c r="Q234"/>
    </row>
    <row r="235" spans="1:17">
      <c r="A235" s="519"/>
      <c r="B235" s="514">
        <f>SUBTOTAL(9,B231:B234)</f>
        <v>101260</v>
      </c>
      <c r="C235" s="520"/>
      <c r="D235" s="514"/>
      <c r="E235" s="515"/>
      <c r="F235" s="517"/>
      <c r="G235" s="522"/>
      <c r="H235" s="862"/>
      <c r="I235" s="647"/>
      <c r="Q235">
        <v>49314</v>
      </c>
    </row>
    <row r="236" spans="1:17">
      <c r="A236" s="519">
        <v>42801</v>
      </c>
      <c r="B236" s="514">
        <f>+C236*15.7</f>
        <v>62800</v>
      </c>
      <c r="C236" s="520">
        <v>4000</v>
      </c>
      <c r="D236" s="514">
        <v>15.75</v>
      </c>
      <c r="E236" s="515" t="s">
        <v>120</v>
      </c>
      <c r="F236" s="517"/>
      <c r="G236" s="522"/>
      <c r="H236" s="862"/>
      <c r="I236" s="647"/>
    </row>
    <row r="237" spans="1:17">
      <c r="A237" s="519">
        <v>42804</v>
      </c>
      <c r="B237" s="514">
        <f>+C237*16.1</f>
        <v>80500</v>
      </c>
      <c r="C237" s="520">
        <v>5000</v>
      </c>
      <c r="D237" s="514">
        <f t="shared" ref="D237:D243" si="15">+B237/C237</f>
        <v>16.100000000000001</v>
      </c>
      <c r="E237" s="521" t="s">
        <v>275</v>
      </c>
      <c r="F237" s="517"/>
      <c r="G237" s="522"/>
      <c r="H237" s="862"/>
      <c r="I237" s="647"/>
    </row>
    <row r="238" spans="1:17">
      <c r="A238" s="519">
        <v>42837</v>
      </c>
      <c r="B238" s="514">
        <f>+C238*15.7</f>
        <v>54950</v>
      </c>
      <c r="C238" s="520">
        <v>3500</v>
      </c>
      <c r="D238" s="514">
        <f t="shared" si="15"/>
        <v>15.7</v>
      </c>
      <c r="E238" s="521" t="s">
        <v>275</v>
      </c>
      <c r="F238" s="517"/>
      <c r="G238" s="522"/>
      <c r="H238" s="862"/>
      <c r="I238" s="647"/>
    </row>
    <row r="239" spans="1:17">
      <c r="A239" s="519">
        <v>42864</v>
      </c>
      <c r="B239" s="514">
        <v>18186</v>
      </c>
      <c r="C239" s="576">
        <v>850</v>
      </c>
      <c r="D239" s="514">
        <f t="shared" si="15"/>
        <v>21.395294117647058</v>
      </c>
      <c r="E239" s="515" t="s">
        <v>120</v>
      </c>
      <c r="F239" s="517"/>
      <c r="G239" s="522"/>
      <c r="H239" s="862"/>
      <c r="I239" s="647"/>
      <c r="J239" s="442"/>
      <c r="K239" s="442"/>
      <c r="L239" s="442"/>
      <c r="M239" s="442"/>
    </row>
    <row r="240" spans="1:17">
      <c r="A240" s="519">
        <v>42866</v>
      </c>
      <c r="B240" s="514">
        <v>15700</v>
      </c>
      <c r="C240" s="520">
        <v>1000</v>
      </c>
      <c r="D240" s="514">
        <f t="shared" si="15"/>
        <v>15.7</v>
      </c>
      <c r="E240" s="515" t="s">
        <v>120</v>
      </c>
      <c r="F240" s="517"/>
      <c r="G240" s="522"/>
      <c r="H240" s="862"/>
      <c r="I240" s="647"/>
      <c r="J240" s="442"/>
      <c r="K240" s="442"/>
      <c r="L240" s="442"/>
      <c r="M240" s="442"/>
    </row>
    <row r="241" spans="1:17">
      <c r="A241" s="519">
        <v>42866</v>
      </c>
      <c r="B241" s="514">
        <v>22050</v>
      </c>
      <c r="C241" s="520">
        <v>1400</v>
      </c>
      <c r="D241" s="514">
        <f t="shared" si="15"/>
        <v>15.75</v>
      </c>
      <c r="E241" s="515" t="s">
        <v>276</v>
      </c>
      <c r="F241" s="517"/>
      <c r="G241" s="522"/>
      <c r="H241" s="862"/>
      <c r="I241" s="647"/>
      <c r="J241" s="442"/>
      <c r="K241" s="442"/>
      <c r="L241" s="442"/>
      <c r="M241" s="442"/>
    </row>
    <row r="242" spans="1:17" ht="14.5">
      <c r="A242" s="519">
        <v>42872</v>
      </c>
      <c r="B242" s="514">
        <v>15890</v>
      </c>
      <c r="C242" s="520">
        <v>1000</v>
      </c>
      <c r="D242" s="514">
        <f t="shared" si="15"/>
        <v>15.89</v>
      </c>
      <c r="E242" s="521" t="s">
        <v>276</v>
      </c>
      <c r="F242" s="517"/>
      <c r="G242" s="522"/>
      <c r="H242" s="862"/>
      <c r="I242" s="647"/>
      <c r="K242" s="603"/>
    </row>
    <row r="243" spans="1:17" ht="14.5">
      <c r="A243" s="519">
        <v>42900</v>
      </c>
      <c r="B243" s="514">
        <v>96844</v>
      </c>
      <c r="C243" s="520">
        <v>6200</v>
      </c>
      <c r="D243" s="514">
        <f t="shared" si="15"/>
        <v>15.62</v>
      </c>
      <c r="E243" s="515" t="s">
        <v>277</v>
      </c>
      <c r="F243" s="517"/>
      <c r="G243" s="522"/>
      <c r="H243" s="862"/>
      <c r="I243" s="647"/>
      <c r="K243" s="603"/>
      <c r="Q243">
        <v>49314</v>
      </c>
    </row>
    <row r="244" spans="1:17" ht="14.5">
      <c r="A244" s="516"/>
      <c r="B244" s="514"/>
      <c r="C244" s="520"/>
      <c r="D244" s="514"/>
      <c r="E244" s="515"/>
      <c r="F244" s="517"/>
      <c r="G244" s="522"/>
      <c r="H244" s="862"/>
      <c r="I244" s="647"/>
      <c r="K244" s="603"/>
    </row>
    <row r="245" spans="1:17" ht="14.5">
      <c r="A245" s="519">
        <v>43187</v>
      </c>
      <c r="B245" s="514">
        <f>+C245*21</f>
        <v>31500</v>
      </c>
      <c r="C245" s="520">
        <v>1500</v>
      </c>
      <c r="D245" s="514">
        <f>+B245/C245</f>
        <v>21</v>
      </c>
      <c r="E245" s="515"/>
      <c r="F245" s="517"/>
      <c r="G245" s="522"/>
      <c r="H245" s="862"/>
      <c r="I245" s="647"/>
      <c r="K245" s="603"/>
    </row>
    <row r="246" spans="1:17" ht="14.5">
      <c r="A246" s="519">
        <v>43199</v>
      </c>
      <c r="B246" s="514">
        <v>20600</v>
      </c>
      <c r="C246" s="520">
        <v>1000</v>
      </c>
      <c r="D246" s="514">
        <f>+B246/C246</f>
        <v>20.6</v>
      </c>
      <c r="E246" s="515"/>
      <c r="F246" s="517"/>
      <c r="G246" s="522"/>
      <c r="H246" s="862"/>
      <c r="I246" s="647"/>
      <c r="K246" s="603"/>
    </row>
    <row r="247" spans="1:17" ht="14.5">
      <c r="A247" s="519">
        <v>43217</v>
      </c>
      <c r="B247" s="514">
        <v>252000</v>
      </c>
      <c r="C247" s="520">
        <v>12000</v>
      </c>
      <c r="D247" s="514">
        <f>+B247/C247</f>
        <v>21</v>
      </c>
      <c r="E247" s="515" t="s">
        <v>278</v>
      </c>
      <c r="F247" s="517"/>
      <c r="G247" s="522"/>
      <c r="H247" s="862"/>
      <c r="I247" s="647"/>
      <c r="K247" s="603"/>
    </row>
    <row r="248" spans="1:17" ht="14.5">
      <c r="A248" s="519">
        <v>43222</v>
      </c>
      <c r="B248" s="514">
        <v>21200</v>
      </c>
      <c r="C248" s="520">
        <v>1000</v>
      </c>
      <c r="D248" s="514">
        <f>+B248/C248</f>
        <v>21.2</v>
      </c>
      <c r="E248" s="515"/>
      <c r="F248" s="517"/>
      <c r="G248" s="522"/>
      <c r="H248" s="862"/>
      <c r="I248" s="647"/>
      <c r="K248" s="603"/>
    </row>
    <row r="249" spans="1:17" s="47" customFormat="1" ht="14.5">
      <c r="A249" s="516"/>
      <c r="B249" s="514"/>
      <c r="C249" s="520"/>
      <c r="D249" s="514"/>
      <c r="E249" s="515"/>
      <c r="F249" s="517"/>
      <c r="G249" s="522"/>
      <c r="H249" s="862"/>
      <c r="I249" s="647"/>
      <c r="J249"/>
      <c r="K249" s="603"/>
      <c r="L249"/>
      <c r="M249"/>
      <c r="N249"/>
    </row>
    <row r="250" spans="1:17" s="47" customFormat="1" ht="14.5">
      <c r="A250" s="519">
        <v>43216</v>
      </c>
      <c r="B250" s="514">
        <v>76590</v>
      </c>
      <c r="C250" s="520">
        <v>3700</v>
      </c>
      <c r="D250" s="514">
        <f>+B250/C250</f>
        <v>20.7</v>
      </c>
      <c r="E250" s="515" t="s">
        <v>279</v>
      </c>
      <c r="F250" s="517"/>
      <c r="G250" s="522"/>
      <c r="H250" s="862"/>
      <c r="I250" s="647"/>
      <c r="J250"/>
      <c r="K250" s="603"/>
      <c r="L250"/>
      <c r="M250"/>
      <c r="N250"/>
    </row>
    <row r="251" spans="1:17" s="47" customFormat="1" ht="14.5">
      <c r="A251" s="519">
        <v>43216</v>
      </c>
      <c r="B251" s="514">
        <v>310000</v>
      </c>
      <c r="C251" s="520">
        <v>14868</v>
      </c>
      <c r="D251" s="514">
        <f>+B251/C251</f>
        <v>20.850147968792037</v>
      </c>
      <c r="E251" s="515" t="s">
        <v>280</v>
      </c>
      <c r="F251" s="517"/>
      <c r="G251" s="522"/>
      <c r="H251" s="862"/>
      <c r="I251" s="647"/>
      <c r="J251"/>
      <c r="K251" s="603"/>
      <c r="L251"/>
      <c r="M251"/>
      <c r="N251"/>
    </row>
    <row r="252" spans="1:17" s="47" customFormat="1">
      <c r="A252" s="519">
        <v>43236</v>
      </c>
      <c r="B252" s="514">
        <f>23969.36+5175790.15</f>
        <v>5199759.5100000007</v>
      </c>
      <c r="C252" s="520">
        <v>205924.23</v>
      </c>
      <c r="D252" s="514">
        <f>+B252/C252</f>
        <v>25.250838670126388</v>
      </c>
      <c r="E252" s="515" t="s">
        <v>281</v>
      </c>
      <c r="F252" s="517"/>
      <c r="G252" s="522"/>
      <c r="H252" s="862"/>
      <c r="I252" s="647"/>
      <c r="J252"/>
      <c r="K252"/>
      <c r="L252"/>
      <c r="M252"/>
      <c r="N252"/>
    </row>
    <row r="253" spans="1:17" s="47" customFormat="1" ht="14.5">
      <c r="A253" s="516"/>
      <c r="B253" s="514"/>
      <c r="C253" s="520"/>
      <c r="D253" s="514"/>
      <c r="E253" s="515"/>
      <c r="F253" s="517"/>
      <c r="G253" s="522"/>
      <c r="H253" s="862"/>
      <c r="I253" s="647"/>
      <c r="J253"/>
      <c r="K253" s="603"/>
      <c r="L253"/>
      <c r="M253"/>
      <c r="N253"/>
    </row>
    <row r="254" spans="1:17" s="47" customFormat="1">
      <c r="A254" s="516"/>
      <c r="B254" s="514"/>
      <c r="C254" s="520"/>
      <c r="D254" s="514"/>
      <c r="E254" s="515"/>
      <c r="F254" s="517"/>
      <c r="G254" s="522"/>
      <c r="H254" s="862"/>
      <c r="I254" s="647"/>
      <c r="J254"/>
      <c r="K254"/>
      <c r="L254"/>
      <c r="M254"/>
      <c r="N254"/>
    </row>
    <row r="255" spans="1:17" s="47" customFormat="1" ht="14.5">
      <c r="A255" s="519">
        <v>43552</v>
      </c>
      <c r="B255" s="514">
        <v>170750</v>
      </c>
      <c r="C255" s="520">
        <f>+B255/D255</f>
        <v>3850.0563697857947</v>
      </c>
      <c r="D255" s="514">
        <v>44.35</v>
      </c>
      <c r="E255" s="515" t="s">
        <v>282</v>
      </c>
      <c r="F255" s="517"/>
      <c r="G255" s="522"/>
      <c r="H255" s="862"/>
      <c r="I255" s="647"/>
      <c r="J255"/>
      <c r="K255" s="603"/>
      <c r="L255"/>
      <c r="M255"/>
      <c r="N255"/>
    </row>
    <row r="256" spans="1:17" s="47" customFormat="1" ht="14.5">
      <c r="A256" s="519">
        <v>43552</v>
      </c>
      <c r="B256" s="514">
        <v>300000</v>
      </c>
      <c r="C256" s="520">
        <f>+B256/D256</f>
        <v>6764.3742953776773</v>
      </c>
      <c r="D256" s="514">
        <v>44.35</v>
      </c>
      <c r="E256" s="515" t="s">
        <v>283</v>
      </c>
      <c r="F256" s="517"/>
      <c r="G256" s="522"/>
      <c r="H256" s="862"/>
      <c r="I256" s="647"/>
      <c r="J256" s="496"/>
      <c r="K256" s="603"/>
      <c r="L256"/>
      <c r="M256"/>
      <c r="N256"/>
    </row>
    <row r="257" spans="1:14" s="47" customFormat="1" ht="14.5">
      <c r="A257" s="519">
        <v>43560</v>
      </c>
      <c r="B257" s="514">
        <v>438000</v>
      </c>
      <c r="C257" s="520">
        <v>10000</v>
      </c>
      <c r="D257" s="514">
        <f>+B257/C257</f>
        <v>43.8</v>
      </c>
      <c r="E257" s="515" t="s">
        <v>284</v>
      </c>
      <c r="F257" s="517"/>
      <c r="G257" s="522"/>
      <c r="H257" s="862"/>
      <c r="I257" s="647"/>
      <c r="J257" s="496"/>
      <c r="K257" s="603"/>
      <c r="L257"/>
      <c r="M257"/>
      <c r="N257" s="592"/>
    </row>
    <row r="258" spans="1:14" s="47" customFormat="1" ht="14.5">
      <c r="A258" s="519">
        <v>43670</v>
      </c>
      <c r="B258" s="514">
        <v>44000</v>
      </c>
      <c r="C258" s="520">
        <v>1000</v>
      </c>
      <c r="D258" s="514">
        <f>+B258/C258</f>
        <v>44</v>
      </c>
      <c r="E258" s="515" t="s">
        <v>285</v>
      </c>
      <c r="F258" s="517"/>
      <c r="G258" s="522"/>
      <c r="H258" s="862"/>
      <c r="I258" s="647">
        <v>3523</v>
      </c>
      <c r="J258" s="496"/>
      <c r="K258" s="603"/>
      <c r="L258"/>
      <c r="M258"/>
      <c r="N258" s="592"/>
    </row>
    <row r="259" spans="1:14" s="47" customFormat="1" ht="14.5">
      <c r="A259" s="519">
        <v>43710</v>
      </c>
      <c r="B259" s="514">
        <f t="shared" ref="B259:B287" si="16">+C259*D259</f>
        <v>29972</v>
      </c>
      <c r="C259" s="520">
        <v>508</v>
      </c>
      <c r="D259" s="514">
        <v>59</v>
      </c>
      <c r="E259" s="515" t="s">
        <v>282</v>
      </c>
      <c r="F259" s="517"/>
      <c r="G259" s="522"/>
      <c r="H259" s="862"/>
      <c r="I259" s="647"/>
      <c r="J259" s="862"/>
      <c r="K259" s="603"/>
      <c r="L259"/>
      <c r="M259"/>
      <c r="N259" s="592"/>
    </row>
    <row r="260" spans="1:14" s="47" customFormat="1" ht="14.5">
      <c r="A260" s="519">
        <v>43721</v>
      </c>
      <c r="B260" s="514">
        <f t="shared" si="16"/>
        <v>222490</v>
      </c>
      <c r="C260" s="520">
        <v>3800</v>
      </c>
      <c r="D260" s="514">
        <v>58.55</v>
      </c>
      <c r="E260" s="515" t="s">
        <v>286</v>
      </c>
      <c r="F260" s="517"/>
      <c r="G260" s="522"/>
      <c r="H260" s="862"/>
      <c r="I260" s="647"/>
      <c r="J260" s="862"/>
      <c r="K260" s="603"/>
      <c r="L260"/>
      <c r="M260"/>
      <c r="N260" s="592"/>
    </row>
    <row r="261" spans="1:14" s="47" customFormat="1" ht="14.5">
      <c r="A261" s="519">
        <v>43721</v>
      </c>
      <c r="B261" s="514">
        <f t="shared" si="16"/>
        <v>46840</v>
      </c>
      <c r="C261" s="520">
        <v>800</v>
      </c>
      <c r="D261" s="514">
        <v>58.55</v>
      </c>
      <c r="E261" s="515" t="s">
        <v>286</v>
      </c>
      <c r="F261" s="517"/>
      <c r="G261" s="522"/>
      <c r="H261" s="862"/>
      <c r="I261" s="647"/>
      <c r="J261" s="862"/>
      <c r="K261" s="603"/>
      <c r="L261"/>
      <c r="M261"/>
      <c r="N261" s="592"/>
    </row>
    <row r="262" spans="1:14" s="47" customFormat="1" ht="14.5">
      <c r="A262" s="519">
        <v>43721</v>
      </c>
      <c r="B262" s="514">
        <f t="shared" si="16"/>
        <v>175500</v>
      </c>
      <c r="C262" s="520">
        <v>3000</v>
      </c>
      <c r="D262" s="514">
        <v>58.5</v>
      </c>
      <c r="E262" s="515" t="s">
        <v>287</v>
      </c>
      <c r="F262" s="517"/>
      <c r="G262" s="522"/>
      <c r="H262" s="862"/>
      <c r="I262" s="647"/>
      <c r="J262" s="862"/>
      <c r="K262" s="603"/>
      <c r="L262"/>
      <c r="M262"/>
      <c r="N262" s="592"/>
    </row>
    <row r="263" spans="1:14" s="47" customFormat="1" ht="14.5">
      <c r="A263" s="519">
        <v>43726</v>
      </c>
      <c r="B263" s="514">
        <f t="shared" si="16"/>
        <v>88500</v>
      </c>
      <c r="C263" s="520">
        <v>1500</v>
      </c>
      <c r="D263" s="514">
        <v>59</v>
      </c>
      <c r="E263" s="515" t="s">
        <v>120</v>
      </c>
      <c r="F263" s="517"/>
      <c r="G263" s="522"/>
      <c r="H263" s="862"/>
      <c r="I263" s="647"/>
      <c r="J263" s="862"/>
      <c r="K263" s="603"/>
      <c r="L263"/>
      <c r="M263"/>
      <c r="N263" s="592"/>
    </row>
    <row r="264" spans="1:14" s="47" customFormat="1">
      <c r="A264" s="519">
        <v>43727</v>
      </c>
      <c r="B264" s="514">
        <f t="shared" si="16"/>
        <v>112100</v>
      </c>
      <c r="C264" s="520">
        <v>1900</v>
      </c>
      <c r="D264" s="514">
        <v>59</v>
      </c>
      <c r="E264" s="515" t="s">
        <v>288</v>
      </c>
      <c r="F264" s="517"/>
      <c r="G264" s="522"/>
      <c r="H264" s="862"/>
      <c r="I264" s="647"/>
      <c r="J264" s="862"/>
      <c r="K264" s="578"/>
      <c r="L264" s="578"/>
      <c r="M264" s="592"/>
      <c r="N264" s="592"/>
    </row>
    <row r="265" spans="1:14" s="47" customFormat="1">
      <c r="A265" s="519">
        <v>43733</v>
      </c>
      <c r="B265" s="514">
        <f t="shared" si="16"/>
        <v>99781.5</v>
      </c>
      <c r="C265" s="520">
        <v>1677</v>
      </c>
      <c r="D265" s="514">
        <v>59.5</v>
      </c>
      <c r="E265" s="515" t="s">
        <v>289</v>
      </c>
      <c r="F265" s="517"/>
      <c r="G265" s="522"/>
      <c r="H265" s="862"/>
      <c r="I265" s="647"/>
      <c r="J265" s="862"/>
      <c r="K265" s="578"/>
      <c r="L265" s="578"/>
      <c r="M265" s="592"/>
      <c r="N265" s="592"/>
    </row>
    <row r="266" spans="1:14" s="47" customFormat="1">
      <c r="A266" s="519">
        <v>43739</v>
      </c>
      <c r="B266" s="514">
        <f t="shared" si="16"/>
        <v>2938.1174999999994</v>
      </c>
      <c r="C266" s="520">
        <v>50</v>
      </c>
      <c r="D266" s="514">
        <f>58.47*1.005</f>
        <v>58.762349999999991</v>
      </c>
      <c r="E266" s="515" t="s">
        <v>290</v>
      </c>
      <c r="F266" s="517"/>
      <c r="G266" s="522"/>
      <c r="H266" s="862"/>
      <c r="I266" s="647"/>
      <c r="J266" s="862"/>
      <c r="K266" s="578"/>
      <c r="L266" s="578"/>
      <c r="M266" s="592"/>
      <c r="N266" s="592"/>
    </row>
    <row r="267" spans="1:14" s="47" customFormat="1">
      <c r="A267" s="519">
        <v>43739</v>
      </c>
      <c r="B267" s="514">
        <f t="shared" si="16"/>
        <v>26474.714999999997</v>
      </c>
      <c r="C267" s="520">
        <v>450</v>
      </c>
      <c r="D267" s="514">
        <f>58.54*1.005</f>
        <v>58.832699999999996</v>
      </c>
      <c r="E267" s="515" t="s">
        <v>290</v>
      </c>
      <c r="F267" s="517"/>
      <c r="G267" s="522"/>
      <c r="H267" s="862"/>
      <c r="I267" s="647"/>
      <c r="J267" s="862"/>
      <c r="K267" s="578"/>
      <c r="L267" s="578"/>
      <c r="M267" s="592"/>
      <c r="N267" s="592"/>
    </row>
    <row r="268" spans="1:14" s="47" customFormat="1">
      <c r="A268" s="519">
        <v>43740</v>
      </c>
      <c r="B268" s="514">
        <f t="shared" si="16"/>
        <v>199907.61524999997</v>
      </c>
      <c r="C268" s="520">
        <v>3395</v>
      </c>
      <c r="D268" s="514">
        <f>58.59*1.005</f>
        <v>58.882949999999994</v>
      </c>
      <c r="E268" s="515" t="s">
        <v>290</v>
      </c>
      <c r="F268" s="517"/>
      <c r="G268" s="522"/>
      <c r="H268" s="862"/>
      <c r="I268" s="647"/>
      <c r="J268" s="862"/>
      <c r="K268" s="578"/>
      <c r="L268" s="578"/>
      <c r="M268" s="592"/>
      <c r="N268" s="592"/>
    </row>
    <row r="269" spans="1:14" s="47" customFormat="1">
      <c r="A269" s="519">
        <v>43741</v>
      </c>
      <c r="B269" s="514">
        <f t="shared" si="16"/>
        <v>100104.13049999998</v>
      </c>
      <c r="C269" s="520">
        <v>1705</v>
      </c>
      <c r="D269" s="514">
        <f>58.42*1.005</f>
        <v>58.712099999999992</v>
      </c>
      <c r="E269" s="515" t="s">
        <v>290</v>
      </c>
      <c r="F269" s="517"/>
      <c r="G269" s="522"/>
      <c r="H269" s="862"/>
      <c r="I269" s="647"/>
      <c r="J269" s="862"/>
      <c r="K269" s="578"/>
      <c r="L269" s="578"/>
      <c r="M269" s="592"/>
      <c r="N269" s="592"/>
    </row>
    <row r="270" spans="1:14" s="47" customFormat="1">
      <c r="A270" s="519">
        <v>43760</v>
      </c>
      <c r="B270" s="514">
        <f t="shared" si="16"/>
        <v>59480</v>
      </c>
      <c r="C270" s="520">
        <v>1000</v>
      </c>
      <c r="D270" s="514">
        <v>59.48</v>
      </c>
      <c r="E270" s="515" t="s">
        <v>290</v>
      </c>
      <c r="F270" s="517"/>
      <c r="G270" s="522"/>
      <c r="H270" s="862"/>
      <c r="I270" s="647"/>
      <c r="J270" s="862"/>
      <c r="K270" s="578"/>
      <c r="L270" s="578"/>
      <c r="M270" s="592"/>
      <c r="N270" s="592"/>
    </row>
    <row r="271" spans="1:14" s="47" customFormat="1">
      <c r="A271" s="519">
        <v>43761</v>
      </c>
      <c r="B271" s="514">
        <f t="shared" si="16"/>
        <v>17939.249999999996</v>
      </c>
      <c r="C271" s="520">
        <v>300</v>
      </c>
      <c r="D271" s="514">
        <f>59.5*1.005</f>
        <v>59.797499999999992</v>
      </c>
      <c r="E271" s="515" t="s">
        <v>290</v>
      </c>
      <c r="F271" s="517"/>
      <c r="G271" s="522"/>
      <c r="H271" s="862"/>
      <c r="I271" s="647"/>
      <c r="J271" s="862"/>
      <c r="K271" s="578"/>
      <c r="L271" s="578"/>
      <c r="M271" s="592"/>
      <c r="N271" s="592"/>
    </row>
    <row r="272" spans="1:14" s="47" customFormat="1">
      <c r="A272" s="519">
        <v>43762</v>
      </c>
      <c r="B272" s="514">
        <f t="shared" si="16"/>
        <v>33543.890100000004</v>
      </c>
      <c r="C272" s="520">
        <v>549.99</v>
      </c>
      <c r="D272" s="514">
        <v>60.99</v>
      </c>
      <c r="E272" s="515" t="s">
        <v>290</v>
      </c>
      <c r="F272" s="517"/>
      <c r="G272" s="522"/>
      <c r="H272" s="862"/>
      <c r="I272" s="647"/>
      <c r="J272" s="862"/>
      <c r="K272" s="578"/>
      <c r="L272" s="578"/>
      <c r="M272" s="592"/>
      <c r="N272" s="592"/>
    </row>
    <row r="273" spans="1:14" s="47" customFormat="1">
      <c r="A273" s="519">
        <v>43763</v>
      </c>
      <c r="B273" s="514">
        <f t="shared" si="16"/>
        <v>39812.5</v>
      </c>
      <c r="C273" s="520">
        <v>650</v>
      </c>
      <c r="D273" s="514">
        <v>61.25</v>
      </c>
      <c r="E273" s="515" t="s">
        <v>290</v>
      </c>
      <c r="F273" s="517"/>
      <c r="G273" s="522"/>
      <c r="H273" s="862"/>
      <c r="I273" s="647"/>
      <c r="J273" s="862"/>
      <c r="K273" s="578"/>
      <c r="L273" s="578"/>
      <c r="M273" s="592"/>
      <c r="N273" s="592"/>
    </row>
    <row r="274" spans="1:14" s="47" customFormat="1">
      <c r="A274" s="519">
        <v>43763</v>
      </c>
      <c r="B274" s="514">
        <f t="shared" si="16"/>
        <v>116793</v>
      </c>
      <c r="C274" s="520">
        <v>1900</v>
      </c>
      <c r="D274" s="514">
        <f>61.47</f>
        <v>61.47</v>
      </c>
      <c r="E274" s="515" t="s">
        <v>291</v>
      </c>
      <c r="F274" s="517"/>
      <c r="G274" s="522"/>
      <c r="H274" s="862"/>
      <c r="I274" s="647"/>
      <c r="J274" s="862"/>
      <c r="K274" s="578"/>
      <c r="L274" s="578"/>
      <c r="M274" s="592"/>
      <c r="N274" s="592"/>
    </row>
    <row r="275" spans="1:14" s="47" customFormat="1">
      <c r="A275" s="519">
        <v>43768</v>
      </c>
      <c r="B275" s="514">
        <f t="shared" si="16"/>
        <v>12600</v>
      </c>
      <c r="C275" s="520">
        <v>200</v>
      </c>
      <c r="D275" s="514">
        <v>63</v>
      </c>
      <c r="E275" s="515" t="s">
        <v>292</v>
      </c>
      <c r="F275" s="517"/>
      <c r="G275" s="522"/>
      <c r="H275" s="862"/>
      <c r="I275" s="647"/>
      <c r="J275" s="862"/>
      <c r="K275" s="578"/>
      <c r="L275" s="578"/>
      <c r="M275" s="592"/>
      <c r="N275" s="592"/>
    </row>
    <row r="276" spans="1:14" s="47" customFormat="1">
      <c r="A276" s="519">
        <v>43770</v>
      </c>
      <c r="B276" s="514">
        <f t="shared" si="16"/>
        <v>12600</v>
      </c>
      <c r="C276" s="520">
        <v>200</v>
      </c>
      <c r="D276" s="514">
        <v>63</v>
      </c>
      <c r="E276" s="515" t="s">
        <v>293</v>
      </c>
      <c r="F276" s="517"/>
      <c r="G276" s="522"/>
      <c r="H276" s="862"/>
      <c r="I276" s="647"/>
      <c r="J276" s="862"/>
      <c r="K276" s="578"/>
      <c r="L276" s="578"/>
      <c r="M276" s="592"/>
      <c r="N276" s="592"/>
    </row>
    <row r="277" spans="1:14" s="47" customFormat="1">
      <c r="A277" s="519">
        <v>43770</v>
      </c>
      <c r="B277" s="514">
        <f t="shared" si="16"/>
        <v>12490</v>
      </c>
      <c r="C277" s="520">
        <v>200</v>
      </c>
      <c r="D277" s="514">
        <v>62.45</v>
      </c>
      <c r="E277" s="515" t="s">
        <v>294</v>
      </c>
      <c r="F277" s="517"/>
      <c r="G277" s="522"/>
      <c r="H277" s="862"/>
      <c r="I277" s="647"/>
      <c r="J277" s="862"/>
      <c r="K277" s="578"/>
      <c r="L277" s="578"/>
      <c r="M277" s="600" t="s">
        <v>296</v>
      </c>
      <c r="N277" s="592"/>
    </row>
    <row r="278" spans="1:14" s="47" customFormat="1">
      <c r="A278" s="519">
        <v>43783</v>
      </c>
      <c r="B278" s="514">
        <f t="shared" si="16"/>
        <v>12590</v>
      </c>
      <c r="C278" s="520">
        <v>200</v>
      </c>
      <c r="D278" s="514">
        <v>62.95</v>
      </c>
      <c r="E278" s="515" t="s">
        <v>295</v>
      </c>
      <c r="F278" s="517"/>
      <c r="G278" s="522"/>
      <c r="H278" s="862"/>
      <c r="I278" s="647"/>
      <c r="J278" s="862"/>
      <c r="K278" s="578"/>
      <c r="L278" s="578"/>
      <c r="M278" s="600"/>
      <c r="N278" s="592"/>
    </row>
    <row r="279" spans="1:14" s="47" customFormat="1">
      <c r="A279" s="519">
        <v>43798</v>
      </c>
      <c r="B279" s="514">
        <f t="shared" si="16"/>
        <v>6300</v>
      </c>
      <c r="C279" s="520">
        <v>100</v>
      </c>
      <c r="D279" s="514">
        <v>63</v>
      </c>
      <c r="E279" s="515" t="s">
        <v>297</v>
      </c>
      <c r="F279" s="517"/>
      <c r="G279" s="522"/>
      <c r="H279" s="862"/>
      <c r="I279" s="647"/>
      <c r="J279" s="862"/>
      <c r="K279" s="578"/>
      <c r="L279" s="578"/>
      <c r="M279" s="592"/>
      <c r="N279" s="592"/>
    </row>
    <row r="280" spans="1:14" s="47" customFormat="1">
      <c r="A280" s="519">
        <v>43798</v>
      </c>
      <c r="B280" s="514">
        <f t="shared" si="16"/>
        <v>6300</v>
      </c>
      <c r="C280" s="520">
        <v>100</v>
      </c>
      <c r="D280" s="514">
        <v>63</v>
      </c>
      <c r="E280" s="515" t="s">
        <v>298</v>
      </c>
      <c r="F280" s="517"/>
      <c r="G280" s="522"/>
      <c r="H280" s="862"/>
      <c r="I280" s="647"/>
      <c r="J280" s="862"/>
      <c r="K280" s="578"/>
      <c r="L280" s="578"/>
      <c r="M280" s="592"/>
      <c r="N280" s="592"/>
    </row>
    <row r="281" spans="1:14" s="47" customFormat="1">
      <c r="A281" s="519">
        <v>43798</v>
      </c>
      <c r="B281" s="514">
        <f t="shared" si="16"/>
        <v>12598</v>
      </c>
      <c r="C281" s="520">
        <v>200</v>
      </c>
      <c r="D281" s="514">
        <v>62.99</v>
      </c>
      <c r="E281" s="515" t="s">
        <v>299</v>
      </c>
      <c r="F281" s="517"/>
      <c r="G281" s="522"/>
      <c r="H281" s="862"/>
      <c r="I281" s="647"/>
      <c r="J281" s="862"/>
      <c r="K281" s="578"/>
      <c r="L281" s="578"/>
      <c r="M281" s="592"/>
      <c r="N281" s="592"/>
    </row>
    <row r="282" spans="1:14" s="47" customFormat="1">
      <c r="A282" s="519">
        <v>43801</v>
      </c>
      <c r="B282" s="514">
        <f t="shared" si="16"/>
        <v>12500</v>
      </c>
      <c r="C282" s="520">
        <v>200</v>
      </c>
      <c r="D282" s="514">
        <v>62.5</v>
      </c>
      <c r="E282" s="515" t="s">
        <v>293</v>
      </c>
      <c r="F282" s="517"/>
      <c r="G282" s="522"/>
      <c r="H282" s="862"/>
      <c r="I282" s="647"/>
      <c r="J282" s="862"/>
      <c r="K282" s="578"/>
      <c r="L282" s="578"/>
      <c r="M282" s="592"/>
      <c r="N282" s="592"/>
    </row>
    <row r="283" spans="1:14" s="47" customFormat="1">
      <c r="A283" s="519">
        <v>43802</v>
      </c>
      <c r="B283" s="514">
        <f t="shared" si="16"/>
        <v>12550.039999999999</v>
      </c>
      <c r="C283" s="520">
        <v>200</v>
      </c>
      <c r="D283" s="514">
        <v>62.7502</v>
      </c>
      <c r="E283" s="515" t="s">
        <v>300</v>
      </c>
      <c r="F283" s="517"/>
      <c r="G283" s="522"/>
      <c r="H283" s="862"/>
      <c r="I283" s="236"/>
      <c r="J283" s="862"/>
      <c r="K283" s="578"/>
      <c r="L283" s="578"/>
      <c r="M283" s="592"/>
      <c r="N283" s="592"/>
    </row>
    <row r="284" spans="1:14" s="47" customFormat="1">
      <c r="A284" s="519">
        <v>43803</v>
      </c>
      <c r="B284" s="514">
        <f t="shared" si="16"/>
        <v>12590</v>
      </c>
      <c r="C284" s="520">
        <v>200</v>
      </c>
      <c r="D284" s="514">
        <v>62.95</v>
      </c>
      <c r="E284" s="515" t="s">
        <v>295</v>
      </c>
      <c r="F284" s="517"/>
      <c r="G284" s="522"/>
      <c r="H284" s="862"/>
      <c r="I284" s="581">
        <v>282240.93</v>
      </c>
      <c r="J284" s="862"/>
      <c r="K284" s="578"/>
      <c r="L284" s="578"/>
      <c r="M284" s="592"/>
      <c r="N284" s="592"/>
    </row>
    <row r="285" spans="1:14" s="47" customFormat="1">
      <c r="A285" s="519">
        <v>43803</v>
      </c>
      <c r="B285" s="514">
        <f t="shared" si="16"/>
        <v>12096</v>
      </c>
      <c r="C285" s="520">
        <v>200</v>
      </c>
      <c r="D285" s="514">
        <v>60.48</v>
      </c>
      <c r="E285" s="515" t="s">
        <v>301</v>
      </c>
      <c r="F285" s="517"/>
      <c r="G285" s="522"/>
      <c r="H285" s="862"/>
      <c r="I285" s="581"/>
      <c r="J285" s="862"/>
      <c r="K285" s="578"/>
      <c r="L285" s="578"/>
      <c r="M285" s="592"/>
      <c r="N285" s="592"/>
    </row>
    <row r="286" spans="1:14" s="47" customFormat="1">
      <c r="A286" s="519">
        <v>43818</v>
      </c>
      <c r="B286" s="514">
        <f t="shared" si="16"/>
        <v>12600</v>
      </c>
      <c r="C286" s="520">
        <v>200</v>
      </c>
      <c r="D286" s="514">
        <v>63</v>
      </c>
      <c r="E286" s="515" t="s">
        <v>302</v>
      </c>
      <c r="F286" s="517"/>
      <c r="G286" s="522"/>
      <c r="H286" s="863"/>
      <c r="I286" s="647"/>
      <c r="J286" s="862"/>
      <c r="K286" s="578"/>
      <c r="L286" s="578"/>
      <c r="M286" s="592"/>
      <c r="N286" s="592"/>
    </row>
    <row r="287" spans="1:14" s="47" customFormat="1">
      <c r="A287" s="519">
        <v>43818</v>
      </c>
      <c r="B287" s="514">
        <f t="shared" si="16"/>
        <v>6500</v>
      </c>
      <c r="C287" s="520">
        <v>100</v>
      </c>
      <c r="D287" s="514">
        <v>65</v>
      </c>
      <c r="E287" s="515" t="s">
        <v>297</v>
      </c>
      <c r="F287" s="517"/>
      <c r="G287" s="522"/>
      <c r="H287" s="862"/>
      <c r="I287" s="647"/>
      <c r="J287" s="862"/>
      <c r="K287" s="578"/>
      <c r="L287" s="578"/>
      <c r="M287" s="600"/>
      <c r="N287" s="592"/>
    </row>
    <row r="288" spans="1:14" s="47" customFormat="1">
      <c r="A288" s="516"/>
      <c r="B288" s="514"/>
      <c r="C288" s="520"/>
      <c r="D288" s="514"/>
      <c r="E288" s="515"/>
      <c r="F288" s="517"/>
      <c r="G288" s="522"/>
      <c r="H288" s="862"/>
      <c r="I288" s="647"/>
      <c r="J288" s="862"/>
      <c r="K288" s="578"/>
      <c r="L288" s="578"/>
      <c r="M288" s="600"/>
      <c r="N288" s="592"/>
    </row>
    <row r="289" spans="1:14" s="47" customFormat="1" ht="15.5">
      <c r="A289" s="516"/>
      <c r="B289" s="617">
        <f>SUM(B255:B287)</f>
        <v>2469240.7583500003</v>
      </c>
      <c r="C289" s="618">
        <f>SUM(C255:C287)</f>
        <v>47099.420665163467</v>
      </c>
      <c r="D289" s="514"/>
      <c r="E289" s="515"/>
      <c r="F289" s="517"/>
      <c r="G289" s="522"/>
      <c r="H289" s="862"/>
      <c r="I289" s="647"/>
      <c r="J289" s="862">
        <f>5200-I258</f>
        <v>1677</v>
      </c>
      <c r="K289" s="578"/>
      <c r="L289" s="578"/>
      <c r="M289" s="600"/>
      <c r="N289" s="592"/>
    </row>
    <row r="290" spans="1:14" s="47" customFormat="1" ht="18">
      <c r="A290" s="616" t="s">
        <v>303</v>
      </c>
      <c r="B290" s="533"/>
      <c r="C290" s="533"/>
      <c r="D290" s="534"/>
      <c r="E290" s="532"/>
      <c r="F290" s="601"/>
      <c r="G290" s="536"/>
      <c r="H290" s="862"/>
      <c r="I290" s="647"/>
      <c r="J290" s="862"/>
      <c r="K290" s="578"/>
      <c r="L290" s="578"/>
      <c r="M290" s="600"/>
      <c r="N290" s="592"/>
    </row>
    <row r="291" spans="1:14" s="47" customFormat="1">
      <c r="A291" s="519">
        <v>43935</v>
      </c>
      <c r="B291" s="514">
        <f t="shared" ref="B291:B321" si="17">+C291*D291</f>
        <v>8807.5</v>
      </c>
      <c r="C291" s="520">
        <v>100</v>
      </c>
      <c r="D291" s="514">
        <f>67.75*(1+30%)</f>
        <v>88.075000000000003</v>
      </c>
      <c r="E291" s="515" t="s">
        <v>304</v>
      </c>
      <c r="F291" s="517"/>
      <c r="G291" s="522"/>
      <c r="H291" s="862"/>
      <c r="I291" s="647"/>
      <c r="J291" s="862"/>
      <c r="K291" s="578"/>
      <c r="L291" s="578"/>
      <c r="M291" s="600"/>
      <c r="N291" s="592"/>
    </row>
    <row r="292" spans="1:14" s="47" customFormat="1">
      <c r="A292" s="519">
        <v>43935</v>
      </c>
      <c r="B292" s="514">
        <f t="shared" si="17"/>
        <v>17615</v>
      </c>
      <c r="C292" s="520">
        <v>200</v>
      </c>
      <c r="D292" s="514">
        <f>67.75*(1+30%)</f>
        <v>88.075000000000003</v>
      </c>
      <c r="E292" s="515" t="s">
        <v>305</v>
      </c>
      <c r="F292" s="517"/>
      <c r="G292" s="522"/>
      <c r="H292" s="862"/>
      <c r="I292" s="647">
        <f>4208.39+1262.51</f>
        <v>5470.9000000000005</v>
      </c>
      <c r="J292" s="862"/>
      <c r="K292" s="578"/>
      <c r="L292" s="578"/>
      <c r="M292" s="600"/>
      <c r="N292" s="592"/>
    </row>
    <row r="293" spans="1:14" s="47" customFormat="1">
      <c r="A293" s="519">
        <v>43936</v>
      </c>
      <c r="B293" s="514">
        <f t="shared" si="17"/>
        <v>8807.5260000000017</v>
      </c>
      <c r="C293" s="520">
        <v>100</v>
      </c>
      <c r="D293" s="514">
        <f>67.7502*(1+30%)</f>
        <v>88.075260000000014</v>
      </c>
      <c r="E293" s="515" t="s">
        <v>304</v>
      </c>
      <c r="F293" s="517"/>
      <c r="G293" s="522"/>
      <c r="H293" s="862"/>
      <c r="I293" s="647">
        <f>4208.39+1262.51</f>
        <v>5470.9000000000005</v>
      </c>
      <c r="J293" s="862"/>
      <c r="K293" s="578"/>
      <c r="L293" s="578"/>
      <c r="M293" s="600"/>
      <c r="N293" s="592"/>
    </row>
    <row r="294" spans="1:14" s="47" customFormat="1">
      <c r="A294" s="519">
        <v>43936</v>
      </c>
      <c r="B294" s="514">
        <f t="shared" si="17"/>
        <v>17823</v>
      </c>
      <c r="C294" s="520">
        <v>200</v>
      </c>
      <c r="D294" s="514">
        <f>68.55*(1+30%)</f>
        <v>89.114999999999995</v>
      </c>
      <c r="E294" s="515" t="s">
        <v>306</v>
      </c>
      <c r="F294" s="517"/>
      <c r="G294" s="522"/>
      <c r="H294" s="862"/>
      <c r="I294" s="647">
        <f>4208.39+1262.51</f>
        <v>5470.9000000000005</v>
      </c>
      <c r="J294" s="862"/>
      <c r="K294" s="578"/>
      <c r="L294" s="578"/>
      <c r="M294" s="600"/>
      <c r="N294" s="592"/>
    </row>
    <row r="295" spans="1:14" s="47" customFormat="1">
      <c r="A295" s="519">
        <v>43936</v>
      </c>
      <c r="B295" s="514">
        <f t="shared" si="17"/>
        <v>17412.915000000001</v>
      </c>
      <c r="C295" s="520">
        <v>195</v>
      </c>
      <c r="D295" s="514">
        <f>68.69*(1+30%)</f>
        <v>89.296999999999997</v>
      </c>
      <c r="E295" s="515" t="s">
        <v>307</v>
      </c>
      <c r="F295" s="517"/>
      <c r="G295" s="522"/>
      <c r="H295" s="862"/>
      <c r="I295" s="647"/>
      <c r="J295" s="862"/>
      <c r="K295" s="578"/>
      <c r="L295" s="578"/>
      <c r="M295" s="600"/>
      <c r="N295" s="592"/>
    </row>
    <row r="296" spans="1:14" s="47" customFormat="1">
      <c r="A296" s="519">
        <v>43936</v>
      </c>
      <c r="B296" s="514">
        <f t="shared" si="17"/>
        <v>12412.282999999999</v>
      </c>
      <c r="C296" s="520">
        <v>139</v>
      </c>
      <c r="D296" s="514">
        <f>68.69*(1+30%)</f>
        <v>89.296999999999997</v>
      </c>
      <c r="E296" s="515" t="s">
        <v>308</v>
      </c>
      <c r="F296" s="517"/>
      <c r="G296" s="522"/>
      <c r="H296" s="862"/>
      <c r="I296" s="647"/>
      <c r="J296" s="862"/>
      <c r="K296" s="578"/>
      <c r="L296" s="578"/>
      <c r="M296" s="600"/>
      <c r="N296" s="592"/>
    </row>
    <row r="297" spans="1:14" s="47" customFormat="1">
      <c r="A297" s="519">
        <v>43942</v>
      </c>
      <c r="B297" s="514">
        <f t="shared" si="17"/>
        <v>5471.7</v>
      </c>
      <c r="C297" s="520">
        <v>61</v>
      </c>
      <c r="D297" s="514">
        <f>69*(1+30%)</f>
        <v>89.7</v>
      </c>
      <c r="E297" s="515" t="s">
        <v>308</v>
      </c>
      <c r="F297" s="517"/>
      <c r="G297" s="522"/>
      <c r="H297" s="862"/>
      <c r="I297" s="647"/>
      <c r="J297" s="862"/>
      <c r="K297" s="578"/>
      <c r="L297" s="578"/>
      <c r="M297" s="600"/>
      <c r="N297" s="592"/>
    </row>
    <row r="298" spans="1:14" s="47" customFormat="1">
      <c r="A298" s="519">
        <v>43942</v>
      </c>
      <c r="B298" s="514">
        <f t="shared" si="17"/>
        <v>448.5</v>
      </c>
      <c r="C298" s="520">
        <v>5</v>
      </c>
      <c r="D298" s="514">
        <f>69*(1+30%)</f>
        <v>89.7</v>
      </c>
      <c r="E298" s="515" t="s">
        <v>307</v>
      </c>
      <c r="F298" s="517"/>
      <c r="G298" s="522"/>
      <c r="H298" s="862"/>
      <c r="I298" s="647"/>
      <c r="J298" s="862"/>
      <c r="K298" s="578"/>
      <c r="L298" s="578"/>
      <c r="M298" s="600"/>
      <c r="N298" s="592"/>
    </row>
    <row r="299" spans="1:14" s="47" customFormat="1">
      <c r="A299" s="519">
        <v>43955</v>
      </c>
      <c r="B299" s="514">
        <f t="shared" si="17"/>
        <v>18002.556</v>
      </c>
      <c r="C299" s="520">
        <v>198</v>
      </c>
      <c r="D299" s="514">
        <f>69.94*(1+30%)</f>
        <v>90.921999999999997</v>
      </c>
      <c r="E299" s="515" t="s">
        <v>308</v>
      </c>
      <c r="F299" s="517"/>
      <c r="G299" s="522"/>
      <c r="H299" s="862"/>
      <c r="I299" s="647">
        <f>4208.39+1262.51</f>
        <v>5470.9000000000005</v>
      </c>
      <c r="J299" s="862"/>
      <c r="K299" s="578"/>
      <c r="L299" s="578"/>
      <c r="M299" s="600"/>
      <c r="N299" s="592"/>
    </row>
    <row r="300" spans="1:14" s="47" customFormat="1">
      <c r="A300" s="519">
        <v>43955</v>
      </c>
      <c r="B300" s="514">
        <f t="shared" si="17"/>
        <v>18184.399999999998</v>
      </c>
      <c r="C300" s="520">
        <v>200</v>
      </c>
      <c r="D300" s="514">
        <f>69.94*(1+30%)</f>
        <v>90.921999999999997</v>
      </c>
      <c r="E300" s="515" t="s">
        <v>307</v>
      </c>
      <c r="F300" s="517"/>
      <c r="G300" s="522"/>
      <c r="H300" s="862"/>
      <c r="I300" s="647"/>
      <c r="J300" s="862"/>
      <c r="K300" s="578"/>
      <c r="L300" s="578"/>
      <c r="M300" s="600"/>
      <c r="N300" s="592"/>
    </row>
    <row r="301" spans="1:14" s="47" customFormat="1">
      <c r="A301" s="519">
        <v>43955</v>
      </c>
      <c r="B301" s="514">
        <f t="shared" si="17"/>
        <v>18179.2</v>
      </c>
      <c r="C301" s="520">
        <v>200</v>
      </c>
      <c r="D301" s="514">
        <f>69.92*(1+30%)</f>
        <v>90.896000000000001</v>
      </c>
      <c r="E301" s="515" t="s">
        <v>309</v>
      </c>
      <c r="F301" s="517"/>
      <c r="G301" s="522"/>
      <c r="H301" s="862"/>
      <c r="I301" s="647"/>
      <c r="J301" s="862"/>
      <c r="K301" s="578"/>
      <c r="L301" s="578"/>
      <c r="M301" s="600"/>
      <c r="N301" s="592"/>
    </row>
    <row r="302" spans="1:14" s="47" customFormat="1">
      <c r="A302" s="519">
        <v>43955</v>
      </c>
      <c r="B302" s="514">
        <f t="shared" si="17"/>
        <v>18005</v>
      </c>
      <c r="C302" s="520">
        <v>200</v>
      </c>
      <c r="D302" s="514">
        <f>69.25*(1+30%)</f>
        <v>90.025000000000006</v>
      </c>
      <c r="E302" s="515" t="s">
        <v>304</v>
      </c>
      <c r="F302" s="517"/>
      <c r="G302" s="522"/>
      <c r="H302" s="862"/>
      <c r="I302" s="647"/>
      <c r="J302" s="862"/>
      <c r="K302" s="578"/>
      <c r="L302" s="578"/>
      <c r="M302" s="600"/>
      <c r="N302" s="592"/>
    </row>
    <row r="303" spans="1:14" s="47" customFormat="1">
      <c r="A303" s="519">
        <v>43955</v>
      </c>
      <c r="B303" s="514">
        <f t="shared" si="17"/>
        <v>18005</v>
      </c>
      <c r="C303" s="520">
        <v>200</v>
      </c>
      <c r="D303" s="514">
        <f>69.25*(1+30%)</f>
        <v>90.025000000000006</v>
      </c>
      <c r="E303" s="515" t="s">
        <v>310</v>
      </c>
      <c r="F303" s="517"/>
      <c r="G303" s="522"/>
      <c r="H303" s="862"/>
      <c r="I303" s="647"/>
      <c r="J303" s="862"/>
      <c r="K303" s="578"/>
      <c r="L303" s="578"/>
      <c r="M303" s="600"/>
      <c r="N303" s="592"/>
    </row>
    <row r="304" spans="1:14" s="47" customFormat="1">
      <c r="A304" s="519">
        <v>43956</v>
      </c>
      <c r="B304" s="514">
        <f t="shared" si="17"/>
        <v>181.84399999999999</v>
      </c>
      <c r="C304" s="520">
        <v>2</v>
      </c>
      <c r="D304" s="514">
        <f>69.94*(1+30%)</f>
        <v>90.921999999999997</v>
      </c>
      <c r="E304" s="515" t="s">
        <v>308</v>
      </c>
      <c r="F304" s="517"/>
      <c r="G304" s="522"/>
      <c r="H304" s="862"/>
      <c r="I304" s="647"/>
      <c r="J304" s="862"/>
      <c r="K304" s="578"/>
      <c r="L304" s="578"/>
      <c r="M304" s="600"/>
      <c r="N304" s="592"/>
    </row>
    <row r="305" spans="1:16" s="47" customFormat="1">
      <c r="A305" s="519">
        <v>43983</v>
      </c>
      <c r="B305" s="514">
        <f t="shared" si="17"/>
        <v>18460</v>
      </c>
      <c r="C305" s="520">
        <v>200</v>
      </c>
      <c r="D305" s="514">
        <f>71*(1+30%)</f>
        <v>92.3</v>
      </c>
      <c r="E305" s="515" t="s">
        <v>304</v>
      </c>
      <c r="F305" s="517"/>
      <c r="G305" s="522"/>
      <c r="H305" s="862"/>
      <c r="I305" s="647"/>
      <c r="J305" s="862"/>
      <c r="K305" s="578"/>
      <c r="L305" s="578"/>
      <c r="M305" s="600"/>
      <c r="N305" s="592"/>
    </row>
    <row r="306" spans="1:16" s="47" customFormat="1">
      <c r="A306" s="519">
        <v>43983</v>
      </c>
      <c r="B306" s="514">
        <f t="shared" si="17"/>
        <v>9230</v>
      </c>
      <c r="C306" s="520">
        <v>100</v>
      </c>
      <c r="D306" s="514">
        <f>71*(1+30%)</f>
        <v>92.3</v>
      </c>
      <c r="E306" s="515" t="s">
        <v>310</v>
      </c>
      <c r="F306" s="517"/>
      <c r="G306" s="522"/>
      <c r="H306" s="862"/>
      <c r="I306" s="647"/>
      <c r="J306" s="862"/>
      <c r="K306" s="578"/>
      <c r="L306" s="578"/>
      <c r="M306" s="600"/>
      <c r="N306" s="592"/>
      <c r="O306" s="592"/>
      <c r="P306" s="593"/>
    </row>
    <row r="307" spans="1:16" ht="13">
      <c r="A307" s="519">
        <v>43983</v>
      </c>
      <c r="B307" s="514">
        <f t="shared" si="17"/>
        <v>18460</v>
      </c>
      <c r="C307" s="520">
        <v>200</v>
      </c>
      <c r="D307" s="514">
        <f>71*(1+30%)</f>
        <v>92.3</v>
      </c>
      <c r="E307" s="515" t="s">
        <v>305</v>
      </c>
      <c r="F307" s="517"/>
      <c r="G307" s="522"/>
      <c r="H307" s="862"/>
      <c r="I307" s="647"/>
      <c r="J307" s="862"/>
      <c r="K307" s="578"/>
      <c r="L307" s="578"/>
      <c r="M307" s="600"/>
      <c r="N307" s="592"/>
      <c r="O307" s="592"/>
      <c r="P307" s="594">
        <f>SUM(P249:P299)</f>
        <v>0</v>
      </c>
    </row>
    <row r="308" spans="1:16" s="539" customFormat="1">
      <c r="A308" s="519">
        <v>43984</v>
      </c>
      <c r="B308" s="514">
        <f t="shared" si="17"/>
        <v>9230</v>
      </c>
      <c r="C308" s="520">
        <v>100</v>
      </c>
      <c r="D308" s="514">
        <f>71*(1+30%)</f>
        <v>92.3</v>
      </c>
      <c r="E308" s="515" t="s">
        <v>310</v>
      </c>
      <c r="F308" s="517"/>
      <c r="G308" s="522"/>
      <c r="H308" s="862"/>
      <c r="I308" s="647"/>
      <c r="J308" s="862"/>
      <c r="K308" s="578"/>
      <c r="L308" s="578"/>
      <c r="M308" s="600"/>
      <c r="N308"/>
      <c r="O308" s="32"/>
      <c r="P308">
        <v>178497</v>
      </c>
    </row>
    <row r="309" spans="1:16" s="539" customFormat="1">
      <c r="A309" s="519">
        <v>44013</v>
      </c>
      <c r="B309" s="514">
        <f t="shared" si="17"/>
        <v>19240</v>
      </c>
      <c r="C309" s="520">
        <v>200</v>
      </c>
      <c r="D309" s="514">
        <f>74*(1+30%)</f>
        <v>96.2</v>
      </c>
      <c r="E309" s="515" t="s">
        <v>304</v>
      </c>
      <c r="F309" s="517"/>
      <c r="G309" s="522"/>
      <c r="H309" s="862"/>
      <c r="I309" s="647"/>
      <c r="J309" s="862"/>
      <c r="K309" s="578"/>
      <c r="L309" s="578"/>
      <c r="M309" s="600"/>
      <c r="N309"/>
    </row>
    <row r="310" spans="1:16" s="47" customFormat="1">
      <c r="A310" s="519">
        <v>44013</v>
      </c>
      <c r="B310" s="514">
        <f t="shared" si="17"/>
        <v>19240</v>
      </c>
      <c r="C310" s="520">
        <v>200</v>
      </c>
      <c r="D310" s="514">
        <f>74*(1+30%)</f>
        <v>96.2</v>
      </c>
      <c r="E310" s="515" t="s">
        <v>305</v>
      </c>
      <c r="F310" s="517"/>
      <c r="G310" s="522"/>
      <c r="H310" s="862"/>
      <c r="I310" s="647"/>
      <c r="J310" s="862"/>
      <c r="K310" s="578"/>
      <c r="L310" s="578"/>
      <c r="M310" s="600"/>
      <c r="N310" s="592"/>
    </row>
    <row r="311" spans="1:16" s="47" customFormat="1">
      <c r="A311" s="519">
        <v>44014</v>
      </c>
      <c r="B311" s="514">
        <f t="shared" si="17"/>
        <v>19240</v>
      </c>
      <c r="C311" s="520">
        <v>200</v>
      </c>
      <c r="D311" s="514">
        <f>74*(1+30%)</f>
        <v>96.2</v>
      </c>
      <c r="E311" s="515" t="s">
        <v>310</v>
      </c>
      <c r="F311" s="517"/>
      <c r="G311" s="522"/>
      <c r="H311" s="862"/>
      <c r="I311" s="647"/>
      <c r="J311" s="862"/>
      <c r="K311" s="578"/>
      <c r="L311" s="578"/>
      <c r="M311" s="600"/>
      <c r="N311" s="592"/>
    </row>
    <row r="312" spans="1:16" s="47" customFormat="1">
      <c r="A312" s="519">
        <v>44046</v>
      </c>
      <c r="B312" s="514">
        <f t="shared" si="17"/>
        <v>19890</v>
      </c>
      <c r="C312" s="520">
        <v>200</v>
      </c>
      <c r="D312" s="514">
        <f>76.5*(1+30%)</f>
        <v>99.45</v>
      </c>
      <c r="E312" s="515" t="s">
        <v>304</v>
      </c>
      <c r="F312" s="517"/>
      <c r="G312" s="522"/>
      <c r="H312" s="862"/>
      <c r="I312" s="647"/>
      <c r="J312" s="862"/>
      <c r="K312" s="578"/>
      <c r="L312" s="578"/>
      <c r="M312" s="600"/>
      <c r="N312" s="592"/>
    </row>
    <row r="313" spans="1:16" s="47" customFormat="1">
      <c r="A313" s="519">
        <v>44046</v>
      </c>
      <c r="B313" s="514">
        <f t="shared" si="17"/>
        <v>19890</v>
      </c>
      <c r="C313" s="520">
        <v>200</v>
      </c>
      <c r="D313" s="514">
        <f>76.5*(1+30%)</f>
        <v>99.45</v>
      </c>
      <c r="E313" s="515" t="s">
        <v>310</v>
      </c>
      <c r="F313" s="517"/>
      <c r="G313" s="522"/>
      <c r="H313" s="862"/>
      <c r="I313" s="647"/>
      <c r="J313" s="862"/>
      <c r="K313" s="578"/>
      <c r="L313" s="578"/>
      <c r="M313" s="600"/>
      <c r="N313" s="592"/>
    </row>
    <row r="314" spans="1:16" s="47" customFormat="1">
      <c r="A314" s="519">
        <v>44046</v>
      </c>
      <c r="B314" s="514">
        <f t="shared" si="17"/>
        <v>4972.5</v>
      </c>
      <c r="C314" s="520">
        <v>50</v>
      </c>
      <c r="D314" s="514">
        <f>76.5*(1+30%)</f>
        <v>99.45</v>
      </c>
      <c r="E314" s="515" t="s">
        <v>305</v>
      </c>
      <c r="F314" s="517"/>
      <c r="G314" s="522"/>
      <c r="H314" s="862"/>
      <c r="I314" s="647"/>
      <c r="J314" s="236"/>
      <c r="K314" s="578"/>
      <c r="L314" s="578"/>
      <c r="M314" s="592"/>
      <c r="N314" s="592"/>
    </row>
    <row r="315" spans="1:16" s="47" customFormat="1">
      <c r="A315" s="519">
        <v>44049</v>
      </c>
      <c r="B315" s="514">
        <f t="shared" si="17"/>
        <v>14985.75</v>
      </c>
      <c r="C315" s="520">
        <v>150</v>
      </c>
      <c r="D315" s="514">
        <f>76.85*(1+30%)</f>
        <v>99.905000000000001</v>
      </c>
      <c r="E315" s="515" t="s">
        <v>305</v>
      </c>
      <c r="F315" s="517"/>
      <c r="G315" s="522"/>
      <c r="H315" s="864">
        <v>82.6</v>
      </c>
      <c r="I315" s="647"/>
      <c r="J315" s="865">
        <v>0.26900000000000002</v>
      </c>
      <c r="K315"/>
      <c r="L315"/>
      <c r="M315"/>
      <c r="N315" s="592"/>
    </row>
    <row r="316" spans="1:16" s="47" customFormat="1">
      <c r="A316" s="519">
        <v>44075</v>
      </c>
      <c r="B316" s="514">
        <f t="shared" si="17"/>
        <v>20316.400000000001</v>
      </c>
      <c r="C316" s="520">
        <v>200</v>
      </c>
      <c r="D316" s="514">
        <f>78.14*(1+30%)</f>
        <v>101.58200000000001</v>
      </c>
      <c r="E316" s="515" t="s">
        <v>309</v>
      </c>
      <c r="F316" s="517"/>
      <c r="G316" s="522"/>
      <c r="H316" s="864">
        <v>82.6</v>
      </c>
      <c r="I316" s="647"/>
      <c r="J316" s="863"/>
      <c r="K316"/>
      <c r="L316"/>
      <c r="M316"/>
      <c r="N316" s="592"/>
    </row>
    <row r="317" spans="1:16" s="47" customFormat="1">
      <c r="A317" s="519">
        <v>44075</v>
      </c>
      <c r="B317" s="514">
        <f t="shared" si="17"/>
        <v>20436</v>
      </c>
      <c r="C317" s="520">
        <v>200</v>
      </c>
      <c r="D317" s="514">
        <f>78.6*(1+30%)</f>
        <v>102.17999999999999</v>
      </c>
      <c r="E317" s="515" t="s">
        <v>304</v>
      </c>
      <c r="F317" s="517"/>
      <c r="G317" s="522"/>
      <c r="H317" s="864">
        <v>82.6</v>
      </c>
      <c r="I317" s="647"/>
      <c r="J317" s="862"/>
      <c r="K317" s="578"/>
      <c r="L317" s="578"/>
      <c r="M317" s="600"/>
      <c r="N317" s="592"/>
    </row>
    <row r="318" spans="1:16" s="47" customFormat="1">
      <c r="A318" s="519">
        <v>44075</v>
      </c>
      <c r="B318" s="514">
        <f t="shared" si="17"/>
        <v>20436</v>
      </c>
      <c r="C318" s="520">
        <v>200</v>
      </c>
      <c r="D318" s="514">
        <f>78.6*(1+30%)</f>
        <v>102.17999999999999</v>
      </c>
      <c r="E318" s="515" t="s">
        <v>311</v>
      </c>
      <c r="F318" s="517"/>
      <c r="G318" s="522"/>
      <c r="H318" s="864">
        <v>82.6</v>
      </c>
      <c r="I318" s="647"/>
      <c r="J318" s="862"/>
      <c r="K318" s="578"/>
      <c r="L318" s="578"/>
      <c r="M318" s="600"/>
      <c r="N318" s="592"/>
    </row>
    <row r="319" spans="1:16" s="47" customFormat="1">
      <c r="A319" s="519">
        <v>44109</v>
      </c>
      <c r="B319" s="514">
        <f t="shared" si="17"/>
        <v>5369</v>
      </c>
      <c r="C319" s="520">
        <v>50</v>
      </c>
      <c r="D319" s="514">
        <f>82.6*(1+30%)</f>
        <v>107.38</v>
      </c>
      <c r="E319" s="515" t="s">
        <v>304</v>
      </c>
      <c r="F319" s="517"/>
      <c r="G319" s="522"/>
      <c r="H319" s="864">
        <v>82.6</v>
      </c>
      <c r="I319" s="647"/>
      <c r="J319" s="862"/>
      <c r="K319" s="578"/>
      <c r="L319" s="578"/>
      <c r="M319" s="600"/>
      <c r="N319" s="592"/>
    </row>
    <row r="320" spans="1:16" s="47" customFormat="1">
      <c r="A320" s="519">
        <v>44109</v>
      </c>
      <c r="B320" s="514">
        <f t="shared" si="17"/>
        <v>0</v>
      </c>
      <c r="C320" s="520">
        <v>0</v>
      </c>
      <c r="D320" s="514">
        <f>82.6*35%</f>
        <v>28.909999999999997</v>
      </c>
      <c r="E320" s="515" t="s">
        <v>312</v>
      </c>
      <c r="F320" s="517"/>
      <c r="G320" s="522"/>
      <c r="H320" s="864">
        <v>82.6</v>
      </c>
      <c r="I320" s="647"/>
      <c r="J320" s="862"/>
      <c r="K320" s="578"/>
      <c r="L320" s="578"/>
      <c r="M320" s="600"/>
      <c r="N320" s="592"/>
    </row>
    <row r="321" spans="1:14" s="47" customFormat="1">
      <c r="A321" s="519">
        <v>44110</v>
      </c>
      <c r="B321" s="514">
        <f t="shared" si="17"/>
        <v>16107</v>
      </c>
      <c r="C321" s="520">
        <v>150</v>
      </c>
      <c r="D321" s="514">
        <f>82.6*(1+30%)</f>
        <v>107.38</v>
      </c>
      <c r="E321" s="515" t="s">
        <v>304</v>
      </c>
      <c r="F321" s="517"/>
      <c r="G321" s="522"/>
      <c r="H321" s="864">
        <v>82.6</v>
      </c>
      <c r="I321" s="647"/>
      <c r="J321" s="862"/>
      <c r="K321" s="578"/>
      <c r="L321" s="578"/>
      <c r="M321" s="600"/>
      <c r="N321" s="592"/>
    </row>
    <row r="322" spans="1:14" s="47" customFormat="1">
      <c r="A322" s="519">
        <v>44110</v>
      </c>
      <c r="B322" s="514">
        <f>+C321*D322</f>
        <v>4336.4999999999991</v>
      </c>
      <c r="C322" s="520">
        <v>0</v>
      </c>
      <c r="D322" s="514">
        <f>82.6*35%</f>
        <v>28.909999999999997</v>
      </c>
      <c r="E322" s="515" t="s">
        <v>312</v>
      </c>
      <c r="F322" s="517"/>
      <c r="G322" s="522"/>
      <c r="H322" s="864">
        <v>82.6</v>
      </c>
      <c r="I322" s="647"/>
      <c r="J322" s="862"/>
      <c r="K322" s="578"/>
      <c r="L322" s="578"/>
      <c r="M322" s="600"/>
      <c r="N322" s="592"/>
    </row>
    <row r="323" spans="1:14" s="47" customFormat="1">
      <c r="A323" s="519">
        <v>44137</v>
      </c>
      <c r="B323" s="514">
        <f>+C323*D323</f>
        <v>21905</v>
      </c>
      <c r="C323" s="520">
        <v>200</v>
      </c>
      <c r="D323" s="514">
        <f>84.25*(1+30%)</f>
        <v>109.52500000000001</v>
      </c>
      <c r="E323" s="515" t="s">
        <v>304</v>
      </c>
      <c r="F323" s="517"/>
      <c r="G323" s="522"/>
      <c r="H323" s="864"/>
      <c r="I323" s="581">
        <v>282240.93</v>
      </c>
      <c r="J323" s="862"/>
      <c r="K323" s="578"/>
      <c r="L323" s="578"/>
      <c r="M323" s="600"/>
      <c r="N323" s="592"/>
    </row>
    <row r="324" spans="1:14" s="47" customFormat="1">
      <c r="A324" s="519">
        <v>44137</v>
      </c>
      <c r="B324" s="514">
        <f>+C323*D324</f>
        <v>5897.4999999999991</v>
      </c>
      <c r="C324" s="520">
        <v>0</v>
      </c>
      <c r="D324" s="514">
        <f>84.25*35%</f>
        <v>29.487499999999997</v>
      </c>
      <c r="E324" s="515" t="s">
        <v>312</v>
      </c>
      <c r="F324" s="517"/>
      <c r="G324" s="522"/>
      <c r="H324" s="862"/>
      <c r="I324" s="581"/>
      <c r="J324" s="862"/>
      <c r="K324" s="578"/>
      <c r="L324" s="578"/>
      <c r="M324" s="600"/>
      <c r="N324" s="592"/>
    </row>
    <row r="325" spans="1:14" s="47" customFormat="1">
      <c r="A325" s="519">
        <v>44167</v>
      </c>
      <c r="B325" s="514">
        <f>+C325*D325</f>
        <v>22633</v>
      </c>
      <c r="C325" s="520">
        <v>200</v>
      </c>
      <c r="D325" s="514">
        <f>87.05*(1+30%)</f>
        <v>113.16500000000001</v>
      </c>
      <c r="E325" s="515" t="s">
        <v>304</v>
      </c>
      <c r="F325" s="517"/>
      <c r="G325" s="522"/>
      <c r="H325" s="863"/>
      <c r="I325" s="647"/>
      <c r="J325" s="862"/>
      <c r="K325" s="578"/>
      <c r="L325" s="578"/>
      <c r="M325" s="600"/>
      <c r="N325" s="592"/>
    </row>
    <row r="326" spans="1:14" s="47" customFormat="1">
      <c r="A326" s="519">
        <v>44167</v>
      </c>
      <c r="B326" s="514">
        <f>+C325*D326</f>
        <v>6093.4999999999991</v>
      </c>
      <c r="C326" s="520">
        <v>0</v>
      </c>
      <c r="D326" s="514">
        <f>87.05*35%</f>
        <v>30.467499999999998</v>
      </c>
      <c r="E326" s="515" t="s">
        <v>312</v>
      </c>
      <c r="F326" s="517"/>
      <c r="G326" s="522"/>
      <c r="H326" s="864">
        <v>82.6</v>
      </c>
      <c r="I326" s="647"/>
      <c r="J326" s="862"/>
      <c r="K326" s="578"/>
      <c r="L326" s="578"/>
      <c r="M326" s="600"/>
      <c r="N326" s="592"/>
    </row>
    <row r="327" spans="1:14" s="47" customFormat="1">
      <c r="A327" s="516"/>
      <c r="B327" s="514"/>
      <c r="C327" s="520"/>
      <c r="D327" s="514"/>
      <c r="E327" s="515"/>
      <c r="F327" s="517"/>
      <c r="G327" s="522"/>
      <c r="H327" s="864">
        <v>82.6</v>
      </c>
      <c r="I327" s="647"/>
      <c r="J327" s="862"/>
      <c r="K327" s="578"/>
      <c r="L327" s="578"/>
      <c r="M327" s="600"/>
      <c r="N327" s="592"/>
    </row>
    <row r="328" spans="1:14" s="47" customFormat="1" ht="15.5">
      <c r="A328" s="516"/>
      <c r="B328" s="617">
        <f>SUM(B291:B326)</f>
        <v>495724.57400000002</v>
      </c>
      <c r="C328" s="617">
        <f>SUM(C291:C326)</f>
        <v>5000</v>
      </c>
      <c r="D328" s="514"/>
      <c r="E328" s="515"/>
      <c r="F328" s="517"/>
      <c r="G328" s="522"/>
      <c r="H328" s="864">
        <v>82.6</v>
      </c>
      <c r="I328" s="647"/>
      <c r="J328" s="862"/>
      <c r="K328" s="578"/>
      <c r="L328" s="578"/>
      <c r="M328" s="600"/>
      <c r="N328" s="592"/>
    </row>
    <row r="329" spans="1:14" s="47" customFormat="1" ht="18">
      <c r="A329" s="616" t="s">
        <v>313</v>
      </c>
      <c r="B329" s="533"/>
      <c r="C329" s="533"/>
      <c r="D329" s="534"/>
      <c r="E329" s="532"/>
      <c r="F329" s="601"/>
      <c r="G329" s="536"/>
      <c r="H329" s="864">
        <v>82.6</v>
      </c>
      <c r="I329" s="647"/>
      <c r="J329" s="862"/>
      <c r="K329" s="578"/>
      <c r="L329" s="578"/>
      <c r="M329" s="600"/>
      <c r="N329" s="592"/>
    </row>
    <row r="330" spans="1:14" s="47" customFormat="1">
      <c r="A330" s="519">
        <v>44201</v>
      </c>
      <c r="B330" s="514">
        <f>+C330*D330</f>
        <v>23387</v>
      </c>
      <c r="C330" s="520">
        <v>200</v>
      </c>
      <c r="D330" s="514">
        <f>89.95*(1+30%)</f>
        <v>116.935</v>
      </c>
      <c r="E330" s="515" t="s">
        <v>304</v>
      </c>
      <c r="F330" s="517"/>
      <c r="G330" s="522"/>
      <c r="H330" s="864">
        <v>82.6</v>
      </c>
      <c r="I330" s="647"/>
      <c r="J330" s="862"/>
      <c r="K330" s="578"/>
      <c r="L330" s="578"/>
      <c r="M330" s="600"/>
      <c r="N330" s="592"/>
    </row>
    <row r="331" spans="1:14" s="47" customFormat="1">
      <c r="A331" s="519">
        <v>44201</v>
      </c>
      <c r="B331" s="514">
        <f>+C330*D331</f>
        <v>6296.5</v>
      </c>
      <c r="C331" s="520">
        <v>0</v>
      </c>
      <c r="D331" s="514">
        <f>89.95*35%</f>
        <v>31.482499999999998</v>
      </c>
      <c r="E331" s="515" t="s">
        <v>312</v>
      </c>
      <c r="F331" s="517"/>
      <c r="G331" s="522"/>
      <c r="H331" s="864">
        <v>82.6</v>
      </c>
      <c r="I331" s="647"/>
      <c r="J331" s="862"/>
      <c r="K331" s="578"/>
      <c r="L331" s="578"/>
      <c r="M331" s="600"/>
      <c r="N331" s="592"/>
    </row>
    <row r="332" spans="1:14" s="47" customFormat="1">
      <c r="A332" s="519">
        <v>44228</v>
      </c>
      <c r="B332" s="514">
        <f>+C332*D332</f>
        <v>24115</v>
      </c>
      <c r="C332" s="520">
        <v>200</v>
      </c>
      <c r="D332" s="514">
        <f>92.75*(1+30%)</f>
        <v>120.575</v>
      </c>
      <c r="E332" s="515" t="s">
        <v>304</v>
      </c>
      <c r="F332" s="517"/>
      <c r="G332" s="522"/>
      <c r="H332" s="864">
        <v>82.6</v>
      </c>
      <c r="I332" s="647"/>
      <c r="J332" s="862"/>
      <c r="K332" s="578"/>
      <c r="L332" s="578"/>
      <c r="M332" s="600"/>
      <c r="N332" s="592"/>
    </row>
    <row r="333" spans="1:14" s="47" customFormat="1">
      <c r="A333" s="519">
        <v>44228</v>
      </c>
      <c r="B333" s="514">
        <f>+C332*D333</f>
        <v>6492.5</v>
      </c>
      <c r="C333" s="520">
        <v>0</v>
      </c>
      <c r="D333" s="514">
        <f>92.75*35%</f>
        <v>32.462499999999999</v>
      </c>
      <c r="E333" s="515" t="s">
        <v>312</v>
      </c>
      <c r="F333" s="517"/>
      <c r="G333" s="522"/>
      <c r="H333" s="864">
        <v>82.6</v>
      </c>
      <c r="I333" s="647"/>
      <c r="J333" s="862"/>
      <c r="K333" s="578"/>
      <c r="L333" s="578"/>
      <c r="M333" s="600"/>
      <c r="N333" s="592"/>
    </row>
    <row r="334" spans="1:14" s="47" customFormat="1">
      <c r="A334" s="519">
        <v>44228</v>
      </c>
      <c r="B334" s="514">
        <f>+C334*D334</f>
        <v>24336</v>
      </c>
      <c r="C334" s="520">
        <v>200</v>
      </c>
      <c r="D334" s="514">
        <f>93.6*(1+30%)</f>
        <v>121.67999999999999</v>
      </c>
      <c r="E334" s="515" t="s">
        <v>309</v>
      </c>
      <c r="F334" s="517"/>
      <c r="G334" s="522"/>
      <c r="H334" s="864">
        <v>82.6</v>
      </c>
      <c r="I334" s="647"/>
      <c r="J334" s="862"/>
      <c r="K334" s="578"/>
      <c r="L334" s="578"/>
      <c r="M334" s="600"/>
      <c r="N334" s="592"/>
    </row>
    <row r="335" spans="1:14" s="47" customFormat="1">
      <c r="A335" s="519">
        <v>44228</v>
      </c>
      <c r="B335" s="514">
        <f>+C334*D335</f>
        <v>6552</v>
      </c>
      <c r="C335" s="520">
        <v>0</v>
      </c>
      <c r="D335" s="514">
        <f>93.6*35%</f>
        <v>32.76</v>
      </c>
      <c r="E335" s="515" t="s">
        <v>314</v>
      </c>
      <c r="F335" s="517"/>
      <c r="G335" s="522"/>
      <c r="H335" s="864">
        <v>82.6</v>
      </c>
      <c r="I335" s="647"/>
      <c r="J335" s="862"/>
      <c r="K335" s="578"/>
      <c r="L335" s="578"/>
      <c r="M335" s="600"/>
      <c r="N335" s="592"/>
    </row>
    <row r="336" spans="1:14" s="47" customFormat="1">
      <c r="A336" s="519">
        <v>44314</v>
      </c>
      <c r="B336" s="514">
        <f>+C336*D336</f>
        <v>25636</v>
      </c>
      <c r="C336" s="520">
        <v>200</v>
      </c>
      <c r="D336" s="514">
        <f>98.6*(1+30%)</f>
        <v>128.18</v>
      </c>
      <c r="E336" s="515" t="s">
        <v>304</v>
      </c>
      <c r="F336" s="517"/>
      <c r="G336" s="522"/>
      <c r="H336" s="864">
        <v>82.6</v>
      </c>
      <c r="I336" s="647"/>
      <c r="J336" s="862"/>
      <c r="K336" s="578"/>
      <c r="L336" s="578"/>
      <c r="M336" s="600"/>
      <c r="N336" s="592"/>
    </row>
    <row r="337" spans="1:16" s="47" customFormat="1">
      <c r="A337" s="519">
        <v>44314</v>
      </c>
      <c r="B337" s="514">
        <f>+C336*D337</f>
        <v>6902</v>
      </c>
      <c r="C337" s="520">
        <v>0</v>
      </c>
      <c r="D337" s="514">
        <f>98.6*35%</f>
        <v>34.51</v>
      </c>
      <c r="E337" s="515" t="s">
        <v>312</v>
      </c>
      <c r="F337" s="517"/>
      <c r="G337" s="522"/>
      <c r="H337" s="864">
        <v>82.6</v>
      </c>
      <c r="I337" s="647"/>
      <c r="J337" s="862"/>
      <c r="K337" s="578"/>
      <c r="L337" s="578"/>
      <c r="M337" s="600"/>
      <c r="N337" s="592"/>
    </row>
    <row r="338" spans="1:16" s="47" customFormat="1">
      <c r="A338" s="519">
        <v>44319</v>
      </c>
      <c r="B338" s="514">
        <f>+C338*D338</f>
        <v>25727.000000000004</v>
      </c>
      <c r="C338" s="520">
        <v>200</v>
      </c>
      <c r="D338" s="514">
        <f>98.95*(1+30%)</f>
        <v>128.63500000000002</v>
      </c>
      <c r="E338" s="515" t="s">
        <v>304</v>
      </c>
      <c r="F338" s="517"/>
      <c r="G338" s="522"/>
      <c r="H338" s="864">
        <v>82.6</v>
      </c>
      <c r="I338" s="647"/>
      <c r="J338" s="862"/>
      <c r="K338" s="578"/>
      <c r="L338" s="578"/>
      <c r="M338" s="600"/>
      <c r="N338" s="592"/>
    </row>
    <row r="339" spans="1:16" s="47" customFormat="1">
      <c r="A339" s="519">
        <v>44319</v>
      </c>
      <c r="B339" s="514">
        <f>+C338*D339</f>
        <v>6926.5</v>
      </c>
      <c r="C339" s="520">
        <v>0</v>
      </c>
      <c r="D339" s="514">
        <f>98.95*35%</f>
        <v>34.6325</v>
      </c>
      <c r="E339" s="515" t="s">
        <v>312</v>
      </c>
      <c r="F339" s="517"/>
      <c r="G339" s="522"/>
      <c r="H339" s="864">
        <v>82.6</v>
      </c>
      <c r="I339" s="647"/>
      <c r="J339" s="862"/>
      <c r="K339" s="578"/>
      <c r="L339" s="578"/>
      <c r="M339" s="600"/>
      <c r="N339" s="592"/>
    </row>
    <row r="340" spans="1:16" s="47" customFormat="1">
      <c r="A340" s="519">
        <v>44348</v>
      </c>
      <c r="B340" s="514">
        <f>+C340*D340</f>
        <v>25974</v>
      </c>
      <c r="C340" s="520">
        <v>200</v>
      </c>
      <c r="D340" s="514">
        <f>99.9*(1+30%)</f>
        <v>129.87</v>
      </c>
      <c r="E340" s="515" t="s">
        <v>304</v>
      </c>
      <c r="F340" s="517"/>
      <c r="G340" s="522"/>
      <c r="H340" s="864">
        <v>82.6</v>
      </c>
      <c r="I340" s="647"/>
      <c r="J340" s="862"/>
      <c r="K340" s="578"/>
      <c r="L340" s="578"/>
      <c r="M340" s="600"/>
      <c r="N340" s="592"/>
    </row>
    <row r="341" spans="1:16" s="47" customFormat="1">
      <c r="A341" s="519">
        <v>44348</v>
      </c>
      <c r="B341" s="514">
        <f>+C340*D341</f>
        <v>6992.9999999999991</v>
      </c>
      <c r="C341" s="520">
        <v>0</v>
      </c>
      <c r="D341" s="514">
        <f>99.9*35%</f>
        <v>34.964999999999996</v>
      </c>
      <c r="E341" s="515" t="s">
        <v>312</v>
      </c>
      <c r="F341" s="517"/>
      <c r="G341" s="522"/>
      <c r="H341" s="864">
        <v>82.6</v>
      </c>
      <c r="I341" s="647"/>
      <c r="J341" s="862"/>
      <c r="K341" s="578"/>
      <c r="L341" s="578"/>
      <c r="M341" s="600"/>
      <c r="N341" s="592"/>
    </row>
    <row r="342" spans="1:16" s="47" customFormat="1">
      <c r="A342" s="519">
        <v>44378</v>
      </c>
      <c r="B342" s="514">
        <f>+C342*D342</f>
        <v>26234.000000000004</v>
      </c>
      <c r="C342" s="520">
        <v>200</v>
      </c>
      <c r="D342" s="514">
        <f>100.9*(1+30%)</f>
        <v>131.17000000000002</v>
      </c>
      <c r="E342" s="515" t="s">
        <v>304</v>
      </c>
      <c r="F342" s="517"/>
      <c r="G342" s="522"/>
      <c r="H342" s="864">
        <v>82.6</v>
      </c>
      <c r="I342" s="647"/>
      <c r="J342" s="862"/>
      <c r="K342" s="578"/>
      <c r="L342" s="578"/>
      <c r="M342" s="600"/>
      <c r="N342" s="592"/>
    </row>
    <row r="343" spans="1:16" s="47" customFormat="1">
      <c r="A343" s="519">
        <v>44378</v>
      </c>
      <c r="B343" s="514">
        <f>+C342*D343</f>
        <v>7063</v>
      </c>
      <c r="C343" s="520">
        <v>0</v>
      </c>
      <c r="D343" s="514">
        <f>100.9*35%</f>
        <v>35.314999999999998</v>
      </c>
      <c r="E343" s="515" t="s">
        <v>312</v>
      </c>
      <c r="F343" s="517"/>
      <c r="G343" s="522"/>
      <c r="H343" s="864">
        <v>82.6</v>
      </c>
      <c r="I343" s="647"/>
      <c r="J343" s="862"/>
      <c r="K343" s="578"/>
      <c r="L343" s="578"/>
      <c r="M343" s="600"/>
      <c r="N343" s="592"/>
    </row>
    <row r="344" spans="1:16" s="47" customFormat="1">
      <c r="A344" s="519">
        <v>44413</v>
      </c>
      <c r="B344" s="514">
        <f>+C344*D344</f>
        <v>26559.000000000004</v>
      </c>
      <c r="C344" s="520">
        <v>200</v>
      </c>
      <c r="D344" s="514">
        <f>102.15*(1+30%)</f>
        <v>132.79500000000002</v>
      </c>
      <c r="E344" s="515" t="s">
        <v>304</v>
      </c>
      <c r="F344" s="517"/>
      <c r="G344" s="522"/>
      <c r="H344" s="864">
        <v>82.6</v>
      </c>
      <c r="I344" s="647"/>
      <c r="J344" s="862"/>
      <c r="K344" s="578"/>
      <c r="L344" s="578"/>
      <c r="M344" s="600"/>
      <c r="N344" s="592"/>
    </row>
    <row r="345" spans="1:16" s="47" customFormat="1">
      <c r="A345" s="519">
        <v>44413</v>
      </c>
      <c r="B345" s="514">
        <f>+C344*D345</f>
        <v>7150.5</v>
      </c>
      <c r="C345" s="520">
        <v>0</v>
      </c>
      <c r="D345" s="514">
        <f>102.15*35%</f>
        <v>35.752499999999998</v>
      </c>
      <c r="E345" s="515" t="s">
        <v>312</v>
      </c>
      <c r="F345" s="517"/>
      <c r="G345" s="522"/>
      <c r="H345" s="864">
        <v>82.6</v>
      </c>
      <c r="I345" s="647"/>
      <c r="J345" s="862"/>
      <c r="K345" s="578"/>
      <c r="L345" s="578"/>
      <c r="M345" s="600"/>
      <c r="N345" s="592"/>
    </row>
    <row r="346" spans="1:16" s="47" customFormat="1">
      <c r="A346" s="519">
        <v>44441</v>
      </c>
      <c r="B346" s="514">
        <f>+C346*D346</f>
        <v>26845</v>
      </c>
      <c r="C346" s="520">
        <v>200</v>
      </c>
      <c r="D346" s="514">
        <f>103.25*(1+30%)</f>
        <v>134.22499999999999</v>
      </c>
      <c r="E346" s="515" t="s">
        <v>304</v>
      </c>
      <c r="F346" s="517"/>
      <c r="G346" s="522"/>
      <c r="H346" s="864">
        <v>82.6</v>
      </c>
      <c r="I346" s="647"/>
      <c r="J346" s="862"/>
      <c r="K346" s="578"/>
      <c r="L346" s="578"/>
      <c r="M346" s="600"/>
      <c r="N346" s="592"/>
      <c r="O346" s="592"/>
      <c r="P346" s="593"/>
    </row>
    <row r="347" spans="1:16" s="539" customFormat="1">
      <c r="A347" s="519">
        <v>44441</v>
      </c>
      <c r="B347" s="514">
        <f>+C346*D347</f>
        <v>7227.4999999999991</v>
      </c>
      <c r="C347" s="520">
        <v>0</v>
      </c>
      <c r="D347" s="514">
        <f>103.25*35%</f>
        <v>36.137499999999996</v>
      </c>
      <c r="E347" s="515" t="s">
        <v>312</v>
      </c>
      <c r="F347" s="517"/>
      <c r="G347" s="522"/>
      <c r="H347" s="864">
        <v>82.6</v>
      </c>
      <c r="I347" s="647"/>
      <c r="J347" s="862"/>
      <c r="K347" s="578"/>
      <c r="L347" s="578"/>
      <c r="M347" s="600"/>
      <c r="N347"/>
      <c r="O347" s="32"/>
      <c r="P347">
        <v>178497</v>
      </c>
    </row>
    <row r="348" spans="1:16" s="539" customFormat="1">
      <c r="A348" s="519">
        <v>44441</v>
      </c>
      <c r="B348" s="514">
        <f>+C348*D348</f>
        <v>26977.600000000002</v>
      </c>
      <c r="C348" s="520">
        <v>200</v>
      </c>
      <c r="D348" s="514">
        <f>103.76*(1+30%)</f>
        <v>134.88800000000001</v>
      </c>
      <c r="E348" s="515" t="s">
        <v>309</v>
      </c>
      <c r="F348" s="517"/>
      <c r="G348" s="522"/>
      <c r="H348" s="864">
        <v>82.6</v>
      </c>
      <c r="I348" s="647"/>
      <c r="J348" s="862"/>
      <c r="K348" s="578"/>
      <c r="L348" s="578"/>
      <c r="M348" s="600"/>
      <c r="N348"/>
      <c r="O348" s="218"/>
      <c r="P348"/>
    </row>
    <row r="349" spans="1:16" s="47" customFormat="1">
      <c r="A349" s="519">
        <v>44441</v>
      </c>
      <c r="B349" s="514">
        <f>+C348*D349</f>
        <v>7263.2000000000007</v>
      </c>
      <c r="C349" s="520">
        <v>0</v>
      </c>
      <c r="D349" s="514">
        <f>103.76*35%</f>
        <v>36.316000000000003</v>
      </c>
      <c r="E349" s="515" t="s">
        <v>314</v>
      </c>
      <c r="F349" s="517"/>
      <c r="G349" s="522"/>
      <c r="H349" s="864">
        <v>82.6</v>
      </c>
      <c r="I349" s="647"/>
      <c r="J349" s="862"/>
      <c r="K349" s="578"/>
      <c r="L349" s="578"/>
      <c r="M349" s="600"/>
      <c r="N349" s="592"/>
      <c r="O349" s="592"/>
      <c r="P349" s="593"/>
    </row>
    <row r="350" spans="1:16" s="47" customFormat="1">
      <c r="A350" s="519">
        <v>44470</v>
      </c>
      <c r="B350" s="514">
        <f>+C350*D350</f>
        <v>27209.000000000004</v>
      </c>
      <c r="C350" s="520">
        <v>200</v>
      </c>
      <c r="D350" s="514">
        <f>104.65*(1+30%)</f>
        <v>136.04500000000002</v>
      </c>
      <c r="E350" s="515" t="s">
        <v>304</v>
      </c>
      <c r="F350" s="517"/>
      <c r="G350" s="522"/>
      <c r="H350" s="864">
        <v>82.6</v>
      </c>
      <c r="I350" s="647"/>
      <c r="J350" s="862"/>
      <c r="K350" s="578"/>
      <c r="L350" s="578"/>
      <c r="M350" s="600"/>
      <c r="N350" s="592"/>
      <c r="O350" s="592"/>
      <c r="P350" s="593"/>
    </row>
    <row r="351" spans="1:16" s="47" customFormat="1">
      <c r="A351" s="519">
        <v>44470</v>
      </c>
      <c r="B351" s="514">
        <f>+C350*D351</f>
        <v>7325.5</v>
      </c>
      <c r="C351" s="520">
        <v>0</v>
      </c>
      <c r="D351" s="514">
        <f>104.65*35%</f>
        <v>36.627499999999998</v>
      </c>
      <c r="E351" s="515" t="s">
        <v>312</v>
      </c>
      <c r="F351" s="517"/>
      <c r="G351" s="522"/>
      <c r="H351" s="864">
        <v>82.6</v>
      </c>
      <c r="I351" s="647"/>
      <c r="J351" s="862"/>
      <c r="K351" s="578"/>
      <c r="L351" s="578"/>
      <c r="M351" s="600"/>
      <c r="N351" s="592"/>
      <c r="O351" s="592"/>
      <c r="P351" s="593"/>
    </row>
    <row r="352" spans="1:16" s="47" customFormat="1">
      <c r="A352" s="519">
        <v>44501</v>
      </c>
      <c r="B352" s="514">
        <f>+C352*D352</f>
        <v>27378.000000000004</v>
      </c>
      <c r="C352" s="520">
        <v>200</v>
      </c>
      <c r="D352" s="514">
        <f>105.3*(1+30%)</f>
        <v>136.89000000000001</v>
      </c>
      <c r="E352" s="515" t="s">
        <v>304</v>
      </c>
      <c r="F352" s="517"/>
      <c r="G352" s="522"/>
      <c r="H352" s="864">
        <v>82.6</v>
      </c>
      <c r="I352" s="647"/>
      <c r="J352" s="862"/>
      <c r="K352" s="578"/>
      <c r="L352" s="578"/>
      <c r="M352" s="600"/>
      <c r="N352" s="592"/>
    </row>
    <row r="353" spans="1:14" s="47" customFormat="1">
      <c r="A353" s="519">
        <v>44501</v>
      </c>
      <c r="B353" s="514">
        <f>+C352*D353</f>
        <v>7370.9999999999991</v>
      </c>
      <c r="C353" s="520">
        <v>0</v>
      </c>
      <c r="D353" s="514">
        <f>105.3*35%</f>
        <v>36.854999999999997</v>
      </c>
      <c r="E353" s="515" t="s">
        <v>312</v>
      </c>
      <c r="F353" s="517"/>
      <c r="G353" s="522"/>
      <c r="H353" s="864">
        <v>82.6</v>
      </c>
      <c r="I353" s="647"/>
      <c r="J353" s="862"/>
      <c r="K353" s="578"/>
      <c r="L353" s="578"/>
      <c r="M353" s="600"/>
      <c r="N353" s="592"/>
    </row>
    <row r="354" spans="1:14" s="47" customFormat="1">
      <c r="A354" s="519">
        <v>44533</v>
      </c>
      <c r="B354" s="514">
        <f>+C354*D354</f>
        <v>27715.999999999996</v>
      </c>
      <c r="C354" s="520">
        <v>200</v>
      </c>
      <c r="D354" s="514">
        <f>106.6*(1+30%)</f>
        <v>138.57999999999998</v>
      </c>
      <c r="E354" s="515" t="s">
        <v>304</v>
      </c>
      <c r="F354" s="517"/>
      <c r="G354" s="522"/>
      <c r="H354" s="864"/>
      <c r="I354" s="647"/>
      <c r="J354" s="865">
        <v>0.26900000000000002</v>
      </c>
      <c r="K354"/>
      <c r="L354"/>
      <c r="M354"/>
      <c r="N354" s="592"/>
    </row>
    <row r="355" spans="1:14" s="47" customFormat="1">
      <c r="A355" s="519">
        <v>44533</v>
      </c>
      <c r="B355" s="514">
        <f>+C354*D355</f>
        <v>7461.9999999999991</v>
      </c>
      <c r="C355" s="520">
        <v>0</v>
      </c>
      <c r="D355" s="514">
        <f>106.6*35%</f>
        <v>37.309999999999995</v>
      </c>
      <c r="E355" s="515" t="s">
        <v>312</v>
      </c>
      <c r="F355" s="517"/>
      <c r="G355" s="522"/>
      <c r="H355" s="863"/>
      <c r="I355" s="647"/>
      <c r="J355" s="863"/>
      <c r="K355"/>
      <c r="L355"/>
      <c r="M355"/>
      <c r="N355" s="592"/>
    </row>
    <row r="356" spans="1:14" s="47" customFormat="1">
      <c r="A356" s="519">
        <v>44536</v>
      </c>
      <c r="B356" s="514">
        <f>+C356*D356</f>
        <v>27609.399999999998</v>
      </c>
      <c r="C356" s="520">
        <v>200</v>
      </c>
      <c r="D356" s="514">
        <f>106.19*(1+30%)</f>
        <v>138.047</v>
      </c>
      <c r="E356" s="515" t="s">
        <v>309</v>
      </c>
      <c r="F356" s="517"/>
      <c r="G356" s="522"/>
      <c r="H356" s="864"/>
      <c r="I356" s="581"/>
      <c r="J356" s="862"/>
      <c r="K356" s="578"/>
      <c r="L356" s="578"/>
      <c r="M356" s="600"/>
      <c r="N356" s="592"/>
    </row>
    <row r="357" spans="1:14" s="47" customFormat="1" ht="18">
      <c r="A357" s="519">
        <v>44536</v>
      </c>
      <c r="B357" s="514">
        <f>+C356*D357</f>
        <v>7433.3</v>
      </c>
      <c r="C357" s="520">
        <v>0</v>
      </c>
      <c r="D357" s="514">
        <f>106.19*35%</f>
        <v>37.166499999999999</v>
      </c>
      <c r="E357" s="515" t="s">
        <v>314</v>
      </c>
      <c r="F357" s="517"/>
      <c r="G357" s="522"/>
      <c r="H357" s="616" t="s">
        <v>315</v>
      </c>
      <c r="I357" s="647"/>
      <c r="J357" s="862"/>
      <c r="K357" s="578"/>
      <c r="L357" s="578"/>
      <c r="M357" s="600"/>
      <c r="N357" s="592"/>
    </row>
    <row r="358" spans="1:14" s="47" customFormat="1">
      <c r="A358" s="519"/>
      <c r="B358" s="514"/>
      <c r="C358" s="520"/>
      <c r="D358" s="514"/>
      <c r="E358" s="515"/>
      <c r="F358" s="517"/>
      <c r="G358" s="522"/>
      <c r="H358" s="864">
        <v>82.6</v>
      </c>
      <c r="I358" s="647"/>
      <c r="J358" s="862"/>
      <c r="K358" s="578"/>
      <c r="L358" s="578"/>
      <c r="M358" s="600"/>
      <c r="N358" s="592"/>
    </row>
    <row r="359" spans="1:14" s="47" customFormat="1" ht="15.5">
      <c r="A359" s="532"/>
      <c r="B359" s="619">
        <f>SUM(B330:B358)</f>
        <v>464161.5</v>
      </c>
      <c r="C359" s="631">
        <f>SUM(C330:C358)</f>
        <v>2800</v>
      </c>
      <c r="D359" s="534"/>
      <c r="E359" s="532"/>
      <c r="F359" s="535"/>
      <c r="G359" s="536"/>
      <c r="H359" s="864">
        <v>82.6</v>
      </c>
      <c r="I359" s="647"/>
      <c r="J359" s="862"/>
      <c r="K359" s="578"/>
      <c r="L359" s="578"/>
      <c r="M359" s="600"/>
      <c r="N359" s="592"/>
    </row>
    <row r="360" spans="1:14" s="47" customFormat="1">
      <c r="A360" s="519"/>
      <c r="B360" s="514"/>
      <c r="C360" s="520"/>
      <c r="D360" s="514"/>
      <c r="E360" s="515"/>
      <c r="F360" s="517"/>
      <c r="G360" s="522"/>
      <c r="H360" s="864">
        <v>82.6</v>
      </c>
      <c r="I360" s="647"/>
      <c r="J360" s="862"/>
      <c r="K360" s="578"/>
      <c r="L360" s="578"/>
      <c r="M360" s="600"/>
      <c r="N360" s="592"/>
    </row>
    <row r="361" spans="1:14" s="47" customFormat="1" ht="13">
      <c r="A361" s="643" t="s">
        <v>316</v>
      </c>
      <c r="B361" s="644" t="s">
        <v>317</v>
      </c>
      <c r="C361" s="644" t="s">
        <v>318</v>
      </c>
      <c r="D361" s="645" t="s">
        <v>319</v>
      </c>
      <c r="E361" s="646" t="s">
        <v>320</v>
      </c>
      <c r="F361" s="601"/>
      <c r="G361" s="645"/>
      <c r="H361" s="864">
        <v>82.6</v>
      </c>
      <c r="I361" s="647"/>
      <c r="J361" s="862"/>
      <c r="K361" s="578"/>
      <c r="L361" s="578"/>
      <c r="M361" s="600"/>
      <c r="N361" s="592"/>
    </row>
    <row r="362" spans="1:14" s="47" customFormat="1">
      <c r="A362" s="519">
        <v>44564</v>
      </c>
      <c r="B362" s="514">
        <f>+C362*D362</f>
        <v>28223</v>
      </c>
      <c r="C362" s="520">
        <v>200</v>
      </c>
      <c r="D362" s="514">
        <f>108.55*(1+30%)</f>
        <v>141.11500000000001</v>
      </c>
      <c r="E362" s="515" t="s">
        <v>304</v>
      </c>
      <c r="F362" s="517"/>
      <c r="G362" s="522"/>
      <c r="H362" s="864">
        <v>82.6</v>
      </c>
      <c r="I362" s="647"/>
      <c r="J362" s="862"/>
      <c r="K362" s="578"/>
      <c r="L362" s="578"/>
      <c r="M362" s="600"/>
      <c r="N362" s="592"/>
    </row>
    <row r="363" spans="1:14" s="47" customFormat="1">
      <c r="A363" s="519">
        <v>44564</v>
      </c>
      <c r="B363" s="514">
        <f>+C362*D363</f>
        <v>7598.5</v>
      </c>
      <c r="C363" s="520">
        <v>0</v>
      </c>
      <c r="D363" s="514">
        <f>108.55*35%</f>
        <v>37.9925</v>
      </c>
      <c r="E363" s="515" t="s">
        <v>312</v>
      </c>
      <c r="F363" s="517"/>
      <c r="G363" s="522"/>
      <c r="H363" s="864">
        <v>110.5</v>
      </c>
      <c r="I363" s="647"/>
      <c r="J363" s="862"/>
      <c r="K363" s="578"/>
      <c r="L363" s="578"/>
      <c r="M363" s="600"/>
      <c r="N363" s="592"/>
    </row>
    <row r="364" spans="1:14" s="47" customFormat="1">
      <c r="A364" s="519">
        <v>44567</v>
      </c>
      <c r="B364" s="514">
        <f>+C364*D364</f>
        <v>28272.399999999998</v>
      </c>
      <c r="C364" s="520">
        <v>200</v>
      </c>
      <c r="D364" s="514">
        <f>108.74*(1+30%)</f>
        <v>141.36199999999999</v>
      </c>
      <c r="E364" s="515" t="s">
        <v>309</v>
      </c>
      <c r="F364" s="517"/>
      <c r="G364" s="522"/>
      <c r="H364" s="864">
        <v>110.94</v>
      </c>
      <c r="I364" s="647"/>
      <c r="J364" s="862"/>
      <c r="K364" s="578"/>
      <c r="L364" s="578"/>
      <c r="M364" s="600"/>
      <c r="N364" s="592"/>
    </row>
    <row r="365" spans="1:14" s="47" customFormat="1">
      <c r="A365" s="519">
        <v>44567</v>
      </c>
      <c r="B365" s="514">
        <f>+C364*D365</f>
        <v>7611.7999999999993</v>
      </c>
      <c r="C365" s="520">
        <v>0</v>
      </c>
      <c r="D365" s="514">
        <f>108.74*35%</f>
        <v>38.058999999999997</v>
      </c>
      <c r="E365" s="515" t="s">
        <v>314</v>
      </c>
      <c r="F365" s="517"/>
      <c r="G365" s="522"/>
      <c r="H365" s="864">
        <v>82.6</v>
      </c>
      <c r="I365" s="647"/>
      <c r="J365" s="862"/>
      <c r="K365" s="578"/>
      <c r="L365" s="578"/>
      <c r="M365" s="600"/>
      <c r="N365" s="592"/>
    </row>
    <row r="366" spans="1:14" s="47" customFormat="1">
      <c r="A366" s="519">
        <v>44593</v>
      </c>
      <c r="B366" s="514">
        <f>+C366*D366</f>
        <v>28730</v>
      </c>
      <c r="C366" s="520">
        <v>200</v>
      </c>
      <c r="D366" s="514">
        <f>110.5*(1+30%)</f>
        <v>143.65</v>
      </c>
      <c r="E366" s="515" t="s">
        <v>304</v>
      </c>
      <c r="F366" s="517"/>
      <c r="G366" s="522"/>
      <c r="H366" s="864">
        <v>82.6</v>
      </c>
      <c r="I366" s="647"/>
      <c r="J366" s="862"/>
      <c r="K366" s="578"/>
      <c r="L366" s="578"/>
      <c r="M366" s="600"/>
      <c r="N366" s="592"/>
    </row>
    <row r="367" spans="1:14" s="47" customFormat="1">
      <c r="A367" s="519">
        <v>44593</v>
      </c>
      <c r="B367" s="514">
        <f>+C366*D367</f>
        <v>7734.9999999999991</v>
      </c>
      <c r="C367" s="520">
        <v>0</v>
      </c>
      <c r="D367" s="514">
        <f>110.5*35%</f>
        <v>38.674999999999997</v>
      </c>
      <c r="E367" s="515" t="s">
        <v>312</v>
      </c>
      <c r="F367" s="517"/>
      <c r="G367" s="522"/>
      <c r="H367" s="864">
        <v>110.5</v>
      </c>
      <c r="I367" s="647"/>
      <c r="J367" s="862"/>
      <c r="K367" s="578"/>
      <c r="L367" s="578"/>
      <c r="M367" s="600"/>
      <c r="N367" s="592"/>
    </row>
    <row r="368" spans="1:14" s="47" customFormat="1">
      <c r="A368" s="519">
        <v>44593</v>
      </c>
      <c r="B368" s="514">
        <f>+C368*D368</f>
        <v>28844.400000000001</v>
      </c>
      <c r="C368" s="520">
        <v>200</v>
      </c>
      <c r="D368" s="514">
        <f>110.94*(1+30%)</f>
        <v>144.22200000000001</v>
      </c>
      <c r="E368" s="515" t="s">
        <v>309</v>
      </c>
      <c r="F368" s="517"/>
      <c r="G368" s="522"/>
      <c r="H368" s="864">
        <v>110.94</v>
      </c>
      <c r="I368" s="647"/>
      <c r="J368" s="862"/>
      <c r="K368" s="578"/>
      <c r="L368" s="578"/>
      <c r="M368" s="600"/>
      <c r="N368" s="592"/>
    </row>
    <row r="369" spans="1:14" s="47" customFormat="1">
      <c r="A369" s="519">
        <v>44593</v>
      </c>
      <c r="B369" s="514">
        <f>+C368*D369</f>
        <v>7765.7999999999984</v>
      </c>
      <c r="C369" s="520">
        <v>0</v>
      </c>
      <c r="D369" s="514">
        <f>110.94*35%</f>
        <v>38.828999999999994</v>
      </c>
      <c r="E369" s="515" t="s">
        <v>314</v>
      </c>
      <c r="F369" s="517"/>
      <c r="G369" s="522"/>
      <c r="H369" s="864">
        <v>82.6</v>
      </c>
      <c r="I369" s="647"/>
      <c r="J369" s="862"/>
      <c r="K369" s="578"/>
      <c r="L369" s="578"/>
      <c r="M369" s="600"/>
      <c r="N369" s="592"/>
    </row>
    <row r="370" spans="1:14" s="47" customFormat="1">
      <c r="A370" s="519">
        <v>44622</v>
      </c>
      <c r="B370" s="514">
        <f>+C370*D370</f>
        <v>29484.000000000004</v>
      </c>
      <c r="C370" s="520">
        <v>200</v>
      </c>
      <c r="D370" s="514">
        <f>113.4*(1+30%)</f>
        <v>147.42000000000002</v>
      </c>
      <c r="E370" s="515" t="s">
        <v>304</v>
      </c>
      <c r="F370" s="517"/>
      <c r="G370" s="522"/>
      <c r="H370" s="864">
        <v>82.6</v>
      </c>
      <c r="I370" s="647"/>
      <c r="J370" s="862"/>
      <c r="K370" s="578"/>
      <c r="L370" s="578"/>
      <c r="M370" s="600"/>
      <c r="N370" s="592"/>
    </row>
    <row r="371" spans="1:14" s="47" customFormat="1">
      <c r="A371" s="519">
        <v>44622</v>
      </c>
      <c r="B371" s="514">
        <f>+C370*D371</f>
        <v>7938</v>
      </c>
      <c r="C371" s="520">
        <v>0</v>
      </c>
      <c r="D371" s="514">
        <f>113.4*35%</f>
        <v>39.69</v>
      </c>
      <c r="E371" s="515" t="s">
        <v>312</v>
      </c>
      <c r="F371" s="517"/>
      <c r="G371" s="522"/>
      <c r="H371" s="864">
        <v>110.5</v>
      </c>
      <c r="I371" s="647"/>
      <c r="J371" s="862"/>
      <c r="K371" s="578"/>
      <c r="L371" s="578"/>
      <c r="M371" s="600"/>
      <c r="N371" s="592"/>
    </row>
    <row r="372" spans="1:14" s="47" customFormat="1">
      <c r="A372" s="519">
        <v>44622</v>
      </c>
      <c r="B372" s="514">
        <f>+C372*D372</f>
        <v>22189.050000000003</v>
      </c>
      <c r="C372" s="520">
        <v>150</v>
      </c>
      <c r="D372" s="514">
        <f>113.79*(1+30%)</f>
        <v>147.92700000000002</v>
      </c>
      <c r="E372" s="515" t="s">
        <v>309</v>
      </c>
      <c r="F372" s="517"/>
      <c r="G372" s="522"/>
      <c r="H372" s="864">
        <v>110.94</v>
      </c>
      <c r="I372" s="647"/>
      <c r="J372" s="862"/>
      <c r="K372" s="578"/>
      <c r="L372" s="578"/>
      <c r="M372" s="600"/>
      <c r="N372" s="592"/>
    </row>
    <row r="373" spans="1:14" s="47" customFormat="1">
      <c r="A373" s="519">
        <v>44622</v>
      </c>
      <c r="B373" s="514">
        <f>+C372*D373</f>
        <v>5973.9750000000004</v>
      </c>
      <c r="C373" s="520">
        <v>0</v>
      </c>
      <c r="D373" s="514">
        <f>113.79*35%</f>
        <v>39.826500000000003</v>
      </c>
      <c r="E373" s="515" t="s">
        <v>314</v>
      </c>
      <c r="F373" s="517"/>
      <c r="G373" s="522"/>
      <c r="H373" s="864">
        <v>82.6</v>
      </c>
      <c r="I373" s="647"/>
      <c r="J373" s="862"/>
      <c r="K373" s="578"/>
      <c r="L373" s="578"/>
      <c r="M373" s="600"/>
      <c r="N373" s="592"/>
    </row>
    <row r="374" spans="1:14" s="47" customFormat="1">
      <c r="A374" s="519">
        <v>44652</v>
      </c>
      <c r="B374" s="514">
        <f>+C374*D374</f>
        <v>30329.000000000004</v>
      </c>
      <c r="C374" s="520">
        <v>200</v>
      </c>
      <c r="D374" s="514">
        <f>116.65*(1+30%)</f>
        <v>151.64500000000001</v>
      </c>
      <c r="E374" s="515" t="s">
        <v>304</v>
      </c>
      <c r="F374" s="517"/>
      <c r="G374" s="522"/>
      <c r="H374" s="864">
        <v>110.94</v>
      </c>
      <c r="I374" s="647"/>
      <c r="J374" s="862"/>
      <c r="K374" s="578"/>
      <c r="L374" s="578"/>
      <c r="M374" s="600"/>
      <c r="N374" s="592"/>
    </row>
    <row r="375" spans="1:14" s="47" customFormat="1">
      <c r="A375" s="519">
        <v>44652</v>
      </c>
      <c r="B375" s="514">
        <f>+C374*D375</f>
        <v>8165.5</v>
      </c>
      <c r="C375" s="520">
        <v>0</v>
      </c>
      <c r="D375" s="514">
        <f>116.65*35%</f>
        <v>40.827500000000001</v>
      </c>
      <c r="E375" s="515" t="s">
        <v>312</v>
      </c>
      <c r="F375" s="517"/>
      <c r="G375" s="522"/>
      <c r="H375" s="864">
        <v>82.6</v>
      </c>
      <c r="I375" s="647"/>
      <c r="J375" s="862"/>
      <c r="K375" s="578"/>
      <c r="L375" s="578"/>
      <c r="M375" s="600"/>
      <c r="N375" s="592"/>
    </row>
    <row r="376" spans="1:14" s="47" customFormat="1">
      <c r="A376" s="519">
        <v>44652</v>
      </c>
      <c r="B376" s="514">
        <f>+C376*D376</f>
        <v>22805.25</v>
      </c>
      <c r="C376" s="520">
        <v>150</v>
      </c>
      <c r="D376" s="514">
        <f>116.95*(1+30%)</f>
        <v>152.035</v>
      </c>
      <c r="E376" s="515" t="s">
        <v>309</v>
      </c>
      <c r="F376" s="517"/>
      <c r="G376" s="522"/>
      <c r="H376" s="864">
        <v>110.94</v>
      </c>
      <c r="I376" s="647"/>
      <c r="J376" s="862"/>
      <c r="K376" s="578"/>
      <c r="L376" s="578"/>
      <c r="M376" s="600"/>
      <c r="N376" s="592"/>
    </row>
    <row r="377" spans="1:14" s="47" customFormat="1">
      <c r="A377" s="519">
        <v>44652</v>
      </c>
      <c r="B377" s="514">
        <f>+C376*D377</f>
        <v>6139.875</v>
      </c>
      <c r="C377" s="520">
        <v>0</v>
      </c>
      <c r="D377" s="514">
        <f>116.95*35%</f>
        <v>40.932499999999997</v>
      </c>
      <c r="E377" s="515" t="s">
        <v>314</v>
      </c>
      <c r="F377" s="517"/>
      <c r="G377" s="522"/>
      <c r="H377" s="864">
        <v>82.6</v>
      </c>
      <c r="I377" s="647"/>
      <c r="J377" s="862"/>
      <c r="K377" s="578"/>
      <c r="L377" s="578"/>
      <c r="M377" s="600"/>
      <c r="N377" s="592"/>
    </row>
    <row r="378" spans="1:14" s="47" customFormat="1">
      <c r="A378" s="519">
        <v>44652</v>
      </c>
      <c r="B378" s="514">
        <f>+C378*D378</f>
        <v>4561.05</v>
      </c>
      <c r="C378" s="520">
        <v>30</v>
      </c>
      <c r="D378" s="514">
        <f>116.95*(1+30%)</f>
        <v>152.035</v>
      </c>
      <c r="E378" s="515" t="s">
        <v>309</v>
      </c>
      <c r="F378" s="517"/>
      <c r="G378" s="522"/>
      <c r="H378" s="864">
        <v>82.6</v>
      </c>
      <c r="I378" s="647"/>
      <c r="J378" s="862"/>
      <c r="K378" s="578"/>
      <c r="L378" s="578"/>
      <c r="M378" s="600"/>
      <c r="N378"/>
    </row>
    <row r="379" spans="1:14" s="47" customFormat="1">
      <c r="A379" s="519">
        <v>44652</v>
      </c>
      <c r="B379" s="514">
        <f>+C378*D379</f>
        <v>1227.9749999999999</v>
      </c>
      <c r="C379" s="520">
        <v>0</v>
      </c>
      <c r="D379" s="514">
        <f>116.95*35%</f>
        <v>40.932499999999997</v>
      </c>
      <c r="E379" s="515" t="s">
        <v>314</v>
      </c>
      <c r="F379" s="517"/>
      <c r="G379" s="522"/>
      <c r="H379" s="864">
        <v>110.5</v>
      </c>
      <c r="I379" s="647"/>
      <c r="J379" s="862"/>
      <c r="K379" s="578"/>
      <c r="L379" s="578"/>
      <c r="M379" s="600"/>
      <c r="N379" s="592"/>
    </row>
    <row r="380" spans="1:14" s="539" customFormat="1">
      <c r="A380" s="632">
        <v>44683</v>
      </c>
      <c r="B380" s="633">
        <f>+C380*D380</f>
        <v>28210.650000000005</v>
      </c>
      <c r="C380" s="859">
        <v>170</v>
      </c>
      <c r="D380" s="633">
        <f>127.65*(1+30%)</f>
        <v>165.94500000000002</v>
      </c>
      <c r="E380" s="634" t="s">
        <v>309</v>
      </c>
      <c r="F380" s="635"/>
      <c r="G380" s="522"/>
      <c r="H380" s="864">
        <v>82.6</v>
      </c>
      <c r="I380" s="647"/>
      <c r="J380" s="862"/>
      <c r="K380" s="578"/>
      <c r="L380" s="578"/>
      <c r="M380" s="600"/>
      <c r="N380"/>
    </row>
    <row r="381" spans="1:14" s="47" customFormat="1">
      <c r="A381" s="632">
        <v>44683</v>
      </c>
      <c r="B381" s="633">
        <f>+C380*D381</f>
        <v>7595.1750000000002</v>
      </c>
      <c r="C381" s="859">
        <v>0</v>
      </c>
      <c r="D381" s="633">
        <f>127.65*35%</f>
        <v>44.677500000000002</v>
      </c>
      <c r="E381" s="634" t="s">
        <v>314</v>
      </c>
      <c r="F381" s="635"/>
      <c r="G381" s="522"/>
      <c r="H381" s="864">
        <v>110.5</v>
      </c>
      <c r="I381" s="647"/>
      <c r="J381" s="862"/>
      <c r="K381" s="578"/>
      <c r="L381" s="578"/>
      <c r="M381" s="600"/>
      <c r="N381" s="592"/>
    </row>
    <row r="382" spans="1:14" s="47" customFormat="1">
      <c r="A382" s="519">
        <v>44683</v>
      </c>
      <c r="B382" s="514">
        <f>+C382*D382</f>
        <v>31499</v>
      </c>
      <c r="C382" s="520">
        <v>200</v>
      </c>
      <c r="D382" s="514">
        <f>121.15*(1+30%)</f>
        <v>157.495</v>
      </c>
      <c r="E382" s="515" t="s">
        <v>304</v>
      </c>
      <c r="F382" s="517"/>
      <c r="G382" s="522"/>
      <c r="H382" s="864">
        <v>110.94</v>
      </c>
      <c r="I382" s="647"/>
      <c r="J382" s="862"/>
      <c r="K382" s="578"/>
      <c r="L382" s="578"/>
      <c r="M382" s="600"/>
      <c r="N382" s="592"/>
    </row>
    <row r="383" spans="1:14" s="47" customFormat="1">
      <c r="A383" s="519">
        <v>44683</v>
      </c>
      <c r="B383" s="514">
        <f>+C382*D383</f>
        <v>8480.5</v>
      </c>
      <c r="C383" s="520">
        <v>0</v>
      </c>
      <c r="D383" s="514">
        <f>121.15*35%</f>
        <v>42.402499999999996</v>
      </c>
      <c r="E383" s="515" t="s">
        <v>312</v>
      </c>
      <c r="F383" s="517"/>
      <c r="G383" s="522"/>
      <c r="H383" s="864">
        <v>82.6</v>
      </c>
      <c r="I383" s="647"/>
      <c r="J383" s="862"/>
      <c r="K383" s="578"/>
      <c r="L383" s="578"/>
      <c r="M383" s="600"/>
      <c r="N383" s="592"/>
    </row>
    <row r="384" spans="1:14" s="47" customFormat="1">
      <c r="A384" s="519">
        <v>44713</v>
      </c>
      <c r="B384" s="514">
        <f>+C384*D384</f>
        <v>32590.999999999996</v>
      </c>
      <c r="C384" s="520">
        <v>200</v>
      </c>
      <c r="D384" s="514">
        <f>125.35*(1+30%)</f>
        <v>162.95499999999998</v>
      </c>
      <c r="E384" s="515" t="s">
        <v>304</v>
      </c>
      <c r="F384" s="517"/>
      <c r="G384" s="522"/>
      <c r="H384" s="864">
        <v>110.94</v>
      </c>
      <c r="I384" s="647"/>
      <c r="J384" s="862"/>
      <c r="K384" s="578"/>
      <c r="L384" s="578"/>
      <c r="M384" s="600"/>
      <c r="N384" s="592"/>
    </row>
    <row r="385" spans="1:14" s="47" customFormat="1">
      <c r="A385" s="519">
        <v>44713</v>
      </c>
      <c r="B385" s="514">
        <f>+C384*D385</f>
        <v>8774.4999999999982</v>
      </c>
      <c r="C385" s="520">
        <v>0</v>
      </c>
      <c r="D385" s="514">
        <f>125.35*35%</f>
        <v>43.872499999999995</v>
      </c>
      <c r="E385" s="515" t="s">
        <v>312</v>
      </c>
      <c r="F385" s="517"/>
      <c r="G385" s="522"/>
      <c r="H385" s="864">
        <v>82.6</v>
      </c>
      <c r="I385" s="647"/>
      <c r="J385" s="862"/>
      <c r="K385"/>
      <c r="L385"/>
      <c r="M385"/>
      <c r="N385" s="592"/>
    </row>
    <row r="386" spans="1:14" s="47" customFormat="1">
      <c r="A386" s="519">
        <v>44725</v>
      </c>
      <c r="B386" s="514">
        <f>+C386*D386</f>
        <v>29973.059999999998</v>
      </c>
      <c r="C386" s="520">
        <v>180</v>
      </c>
      <c r="D386" s="514">
        <f>128.09*(1+30%)</f>
        <v>166.517</v>
      </c>
      <c r="E386" s="515" t="s">
        <v>309</v>
      </c>
      <c r="F386" s="517"/>
      <c r="G386" s="522"/>
      <c r="H386" s="864">
        <v>110.5</v>
      </c>
      <c r="I386" s="647"/>
      <c r="J386" s="862"/>
      <c r="K386" s="578"/>
      <c r="L386" s="578"/>
      <c r="M386" s="600"/>
      <c r="N386" s="592"/>
    </row>
    <row r="387" spans="1:14" s="47" customFormat="1">
      <c r="A387" s="519">
        <v>44725</v>
      </c>
      <c r="B387" s="514">
        <f>+C386*D387</f>
        <v>8069.67</v>
      </c>
      <c r="C387" s="520">
        <v>0</v>
      </c>
      <c r="D387" s="514">
        <f>128.09*35%</f>
        <v>44.831499999999998</v>
      </c>
      <c r="E387" s="515" t="s">
        <v>314</v>
      </c>
      <c r="F387" s="517"/>
      <c r="G387" s="522"/>
      <c r="H387" s="864">
        <v>110.94</v>
      </c>
      <c r="I387" s="647"/>
      <c r="J387" s="863"/>
      <c r="K387"/>
      <c r="L387"/>
      <c r="M387"/>
      <c r="N387" s="592"/>
    </row>
    <row r="388" spans="1:14" s="47" customFormat="1">
      <c r="A388" s="519">
        <v>44726</v>
      </c>
      <c r="B388" s="514">
        <f>+C388*D388</f>
        <v>146520</v>
      </c>
      <c r="C388" s="520">
        <v>660</v>
      </c>
      <c r="D388" s="514">
        <v>222</v>
      </c>
      <c r="E388" s="515" t="s">
        <v>321</v>
      </c>
      <c r="F388" s="517"/>
      <c r="G388" s="522"/>
      <c r="H388" s="864">
        <v>82.6</v>
      </c>
      <c r="I388" s="647"/>
      <c r="J388" s="862"/>
      <c r="K388" s="578"/>
      <c r="L388" s="578"/>
      <c r="M388" s="600"/>
      <c r="N388" s="592"/>
    </row>
    <row r="389" spans="1:14" s="47" customFormat="1">
      <c r="A389" s="519">
        <v>44743</v>
      </c>
      <c r="B389" s="514">
        <f>+C389*D389</f>
        <v>33891</v>
      </c>
      <c r="C389" s="520">
        <v>200</v>
      </c>
      <c r="D389" s="514">
        <f>130.35*(1+30%)</f>
        <v>169.45500000000001</v>
      </c>
      <c r="E389" s="515" t="s">
        <v>304</v>
      </c>
      <c r="F389" s="517"/>
      <c r="G389" s="522"/>
      <c r="H389" s="864">
        <v>82.6</v>
      </c>
      <c r="I389" s="647"/>
      <c r="J389" s="862"/>
      <c r="K389" s="578"/>
      <c r="L389" s="578"/>
      <c r="M389" s="600"/>
      <c r="N389" s="592"/>
    </row>
    <row r="390" spans="1:14" s="47" customFormat="1">
      <c r="A390" s="519">
        <v>44743</v>
      </c>
      <c r="B390" s="514">
        <f>+C389*D390</f>
        <v>9124.4999999999982</v>
      </c>
      <c r="C390" s="520">
        <v>0</v>
      </c>
      <c r="D390" s="514">
        <f>130.35*35%</f>
        <v>45.622499999999995</v>
      </c>
      <c r="E390" s="515" t="s">
        <v>312</v>
      </c>
      <c r="F390" s="517"/>
      <c r="G390" s="522"/>
      <c r="H390" s="864">
        <v>110.5</v>
      </c>
      <c r="I390" s="647"/>
      <c r="J390" s="862"/>
      <c r="K390" s="578"/>
      <c r="L390" s="578"/>
      <c r="M390" s="600"/>
      <c r="N390" s="592"/>
    </row>
    <row r="391" spans="1:14" s="47" customFormat="1">
      <c r="A391" s="632">
        <v>44746</v>
      </c>
      <c r="B391" s="633">
        <f>+C391*D391</f>
        <v>31031.000000000004</v>
      </c>
      <c r="C391" s="859">
        <v>175</v>
      </c>
      <c r="D391" s="633">
        <f>136.4*(1+30%)</f>
        <v>177.32000000000002</v>
      </c>
      <c r="E391" s="634" t="s">
        <v>309</v>
      </c>
      <c r="F391" s="635"/>
      <c r="G391" s="522"/>
      <c r="H391" s="864">
        <v>110.94</v>
      </c>
      <c r="I391" s="647"/>
      <c r="J391" s="862"/>
      <c r="K391" s="578"/>
      <c r="L391" s="578"/>
      <c r="M391" s="600"/>
      <c r="N391" s="592"/>
    </row>
    <row r="392" spans="1:14" s="47" customFormat="1">
      <c r="A392" s="632">
        <v>44746</v>
      </c>
      <c r="B392" s="633">
        <f>+C391*D392</f>
        <v>8354.5</v>
      </c>
      <c r="C392" s="859">
        <v>0</v>
      </c>
      <c r="D392" s="633">
        <f>136.4*35%</f>
        <v>47.74</v>
      </c>
      <c r="E392" s="634" t="s">
        <v>314</v>
      </c>
      <c r="F392" s="635"/>
      <c r="G392" s="522"/>
      <c r="H392" s="864">
        <v>82.6</v>
      </c>
      <c r="I392" s="647"/>
      <c r="J392" s="862"/>
      <c r="K392" s="578"/>
      <c r="L392" s="578"/>
      <c r="M392" s="600"/>
      <c r="N392" s="592"/>
    </row>
    <row r="393" spans="1:14" s="47" customFormat="1">
      <c r="A393" s="519">
        <v>44775</v>
      </c>
      <c r="B393" s="514">
        <f>+C393*D393</f>
        <v>36166</v>
      </c>
      <c r="C393" s="520">
        <v>200</v>
      </c>
      <c r="D393" s="514">
        <f>139.1*(1+30%)</f>
        <v>180.83</v>
      </c>
      <c r="E393" s="515" t="s">
        <v>304</v>
      </c>
      <c r="F393" s="517"/>
      <c r="G393" s="522"/>
      <c r="H393" s="864">
        <v>82.6</v>
      </c>
      <c r="I393" s="647"/>
      <c r="J393" s="862"/>
      <c r="K393" s="578"/>
      <c r="L393" s="578"/>
      <c r="M393" s="600"/>
      <c r="N393" s="592"/>
    </row>
    <row r="394" spans="1:14" s="47" customFormat="1">
      <c r="A394" s="519">
        <v>44775</v>
      </c>
      <c r="B394" s="514">
        <f>+C393*D394</f>
        <v>9736.9999999999982</v>
      </c>
      <c r="C394" s="520">
        <v>0</v>
      </c>
      <c r="D394" s="514">
        <f>139.1*35%</f>
        <v>48.684999999999995</v>
      </c>
      <c r="E394" s="515" t="s">
        <v>312</v>
      </c>
      <c r="F394" s="517"/>
      <c r="G394" s="522"/>
      <c r="H394" s="864">
        <v>110.5</v>
      </c>
      <c r="I394" s="647"/>
      <c r="J394" s="862"/>
      <c r="K394" s="578"/>
      <c r="L394" s="578"/>
      <c r="M394" s="600"/>
      <c r="N394" s="592"/>
    </row>
    <row r="395" spans="1:14" s="47" customFormat="1">
      <c r="A395" s="632">
        <v>44775</v>
      </c>
      <c r="B395" s="633">
        <f>+C395*D395</f>
        <v>32252.675000000003</v>
      </c>
      <c r="C395" s="859">
        <v>175</v>
      </c>
      <c r="D395" s="633">
        <f>141.77*(1+30%)</f>
        <v>184.30100000000002</v>
      </c>
      <c r="E395" s="634" t="s">
        <v>309</v>
      </c>
      <c r="F395" s="635"/>
      <c r="G395" s="522"/>
      <c r="H395" s="864">
        <v>110.94</v>
      </c>
      <c r="I395" s="647"/>
      <c r="J395" s="862"/>
      <c r="K395" s="578"/>
      <c r="L395" s="578"/>
      <c r="M395" s="600"/>
      <c r="N395" s="592"/>
    </row>
    <row r="396" spans="1:14" s="47" customFormat="1">
      <c r="A396" s="632">
        <v>44775</v>
      </c>
      <c r="B396" s="633">
        <f>+C395*D396</f>
        <v>8683.4125000000004</v>
      </c>
      <c r="C396" s="859">
        <v>0</v>
      </c>
      <c r="D396" s="633">
        <f>141.77*35%</f>
        <v>49.619500000000002</v>
      </c>
      <c r="E396" s="634" t="s">
        <v>314</v>
      </c>
      <c r="F396" s="635"/>
      <c r="G396" s="522"/>
      <c r="H396" s="864">
        <v>82.6</v>
      </c>
      <c r="I396" s="647"/>
      <c r="J396" s="862"/>
      <c r="K396" s="578"/>
      <c r="L396" s="578"/>
      <c r="M396" s="600"/>
      <c r="N396" s="592"/>
    </row>
    <row r="397" spans="1:14" s="47" customFormat="1">
      <c r="A397" s="519">
        <v>44805</v>
      </c>
      <c r="B397" s="514">
        <f>+C397*D397</f>
        <v>37934</v>
      </c>
      <c r="C397" s="520">
        <v>200</v>
      </c>
      <c r="D397" s="514">
        <f>145.9*(1+30%)</f>
        <v>189.67000000000002</v>
      </c>
      <c r="E397" s="515" t="s">
        <v>304</v>
      </c>
      <c r="F397" s="517"/>
      <c r="G397" s="522"/>
      <c r="H397" s="864">
        <v>82.6</v>
      </c>
      <c r="I397" s="647"/>
      <c r="J397" s="862"/>
      <c r="K397" s="578"/>
      <c r="L397" s="578"/>
      <c r="M397" s="600"/>
      <c r="N397" s="592"/>
    </row>
    <row r="398" spans="1:14" s="47" customFormat="1">
      <c r="A398" s="519">
        <v>44805</v>
      </c>
      <c r="B398" s="514">
        <f>+C397*D398</f>
        <v>10213</v>
      </c>
      <c r="C398" s="520">
        <v>0</v>
      </c>
      <c r="D398" s="514">
        <f>145.9*35%</f>
        <v>51.064999999999998</v>
      </c>
      <c r="E398" s="515" t="s">
        <v>312</v>
      </c>
      <c r="F398" s="517"/>
      <c r="G398" s="522"/>
      <c r="H398" s="864">
        <v>110.5</v>
      </c>
      <c r="I398" s="647"/>
      <c r="J398" s="862"/>
      <c r="K398" s="578"/>
      <c r="L398" s="578"/>
      <c r="M398" s="600"/>
      <c r="N398" s="592"/>
    </row>
    <row r="399" spans="1:14" s="47" customFormat="1">
      <c r="A399" s="519">
        <v>44805</v>
      </c>
      <c r="B399" s="514">
        <f>+C399*D399</f>
        <v>35315.020000000004</v>
      </c>
      <c r="C399" s="520">
        <v>185</v>
      </c>
      <c r="D399" s="514">
        <f>146.84*(1+30%)</f>
        <v>190.89200000000002</v>
      </c>
      <c r="E399" s="515" t="s">
        <v>309</v>
      </c>
      <c r="F399" s="517"/>
      <c r="G399" s="522"/>
      <c r="H399" s="864">
        <v>110.94</v>
      </c>
      <c r="I399" s="647"/>
      <c r="J399" s="862"/>
      <c r="K399" s="578"/>
      <c r="L399" s="578"/>
      <c r="M399" s="600"/>
      <c r="N399" s="592"/>
    </row>
    <row r="400" spans="1:14" s="47" customFormat="1">
      <c r="A400" s="519">
        <v>44805</v>
      </c>
      <c r="B400" s="514">
        <f>+C399*D400</f>
        <v>9507.89</v>
      </c>
      <c r="C400" s="520">
        <v>0</v>
      </c>
      <c r="D400" s="514">
        <f>146.84*35%</f>
        <v>51.393999999999998</v>
      </c>
      <c r="E400" s="515" t="s">
        <v>314</v>
      </c>
      <c r="F400" s="517"/>
      <c r="G400" s="522"/>
      <c r="H400" s="864">
        <v>82.6</v>
      </c>
      <c r="I400" s="647"/>
      <c r="J400" s="862"/>
      <c r="K400" s="578"/>
      <c r="L400" s="578"/>
      <c r="M400" s="600"/>
      <c r="N400" s="592"/>
    </row>
    <row r="401" spans="1:14" s="47" customFormat="1">
      <c r="A401" s="519">
        <v>44838</v>
      </c>
      <c r="B401" s="514">
        <f>+C401*D401</f>
        <v>40378</v>
      </c>
      <c r="C401" s="520">
        <v>200</v>
      </c>
      <c r="D401" s="514">
        <f>155.3*(1+30%)</f>
        <v>201.89000000000001</v>
      </c>
      <c r="E401" s="515" t="s">
        <v>304</v>
      </c>
      <c r="F401" s="517"/>
      <c r="G401" s="522"/>
      <c r="H401" s="864">
        <v>110.94</v>
      </c>
      <c r="I401" s="647"/>
      <c r="J401" s="862"/>
      <c r="K401" s="578"/>
      <c r="L401" s="578"/>
      <c r="M401" s="600"/>
      <c r="N401" s="592"/>
    </row>
    <row r="402" spans="1:14" s="47" customFormat="1">
      <c r="A402" s="519">
        <v>44838</v>
      </c>
      <c r="B402" s="514">
        <f>+C401*D402</f>
        <v>10871</v>
      </c>
      <c r="C402" s="520">
        <v>0</v>
      </c>
      <c r="D402" s="514">
        <f>155.3*35%</f>
        <v>54.355000000000004</v>
      </c>
      <c r="E402" s="515" t="s">
        <v>312</v>
      </c>
      <c r="F402" s="517"/>
      <c r="G402" s="522"/>
      <c r="H402" s="864">
        <v>82.6</v>
      </c>
      <c r="I402" s="647"/>
      <c r="J402" s="862"/>
      <c r="K402" s="578"/>
      <c r="L402" s="578"/>
      <c r="M402" s="600"/>
      <c r="N402" s="592"/>
    </row>
    <row r="403" spans="1:14" s="47" customFormat="1">
      <c r="A403" s="632">
        <v>44838</v>
      </c>
      <c r="B403" s="633">
        <f>+C403*D403</f>
        <v>37320.79</v>
      </c>
      <c r="C403" s="859">
        <v>185</v>
      </c>
      <c r="D403" s="633">
        <f>155.18*(1+30%)</f>
        <v>201.73400000000001</v>
      </c>
      <c r="E403" s="634" t="s">
        <v>309</v>
      </c>
      <c r="F403" s="635"/>
      <c r="G403" s="522"/>
      <c r="H403" s="864">
        <v>110.5</v>
      </c>
      <c r="I403" s="647"/>
      <c r="J403" s="862"/>
      <c r="K403" s="578"/>
      <c r="L403" s="578"/>
      <c r="M403" s="600"/>
      <c r="N403" s="592"/>
    </row>
    <row r="404" spans="1:14" s="47" customFormat="1">
      <c r="A404" s="632">
        <v>44838</v>
      </c>
      <c r="B404" s="633">
        <f>+C403*D404</f>
        <v>10047.905000000001</v>
      </c>
      <c r="C404" s="859">
        <v>0</v>
      </c>
      <c r="D404" s="633">
        <f>155.18*35%</f>
        <v>54.313000000000002</v>
      </c>
      <c r="E404" s="634" t="s">
        <v>314</v>
      </c>
      <c r="F404" s="635"/>
      <c r="G404" s="522"/>
      <c r="H404" s="864">
        <v>110.94</v>
      </c>
      <c r="I404" s="647"/>
      <c r="J404" s="862"/>
      <c r="K404" s="578"/>
      <c r="L404" s="578"/>
      <c r="M404" s="600"/>
      <c r="N404" s="592"/>
    </row>
    <row r="405" spans="1:14" s="47" customFormat="1">
      <c r="A405" s="519">
        <v>44847</v>
      </c>
      <c r="B405" s="514">
        <f>+C405*D405</f>
        <v>116800</v>
      </c>
      <c r="C405" s="520">
        <v>400</v>
      </c>
      <c r="D405" s="514">
        <v>292</v>
      </c>
      <c r="E405" s="515" t="s">
        <v>321</v>
      </c>
      <c r="F405" s="517"/>
      <c r="G405" s="522"/>
      <c r="H405" s="864">
        <v>82.6</v>
      </c>
      <c r="I405" s="647"/>
      <c r="J405" s="862"/>
      <c r="K405" s="578"/>
      <c r="L405" s="578"/>
      <c r="M405" s="600"/>
      <c r="N405" s="592"/>
    </row>
    <row r="406" spans="1:14" s="47" customFormat="1">
      <c r="A406" s="519">
        <v>44866</v>
      </c>
      <c r="B406" s="514">
        <f>+C406*D406</f>
        <v>42691.999999999993</v>
      </c>
      <c r="C406" s="520">
        <v>200</v>
      </c>
      <c r="D406" s="514">
        <f>164.2*(1+30%)</f>
        <v>213.45999999999998</v>
      </c>
      <c r="E406" s="515" t="s">
        <v>304</v>
      </c>
      <c r="F406" s="517"/>
      <c r="G406" s="522"/>
      <c r="H406" s="864">
        <v>110.94</v>
      </c>
      <c r="I406" s="647"/>
      <c r="J406" s="862"/>
      <c r="K406" s="578"/>
      <c r="L406" s="578"/>
      <c r="M406" s="600"/>
      <c r="N406" s="592"/>
    </row>
    <row r="407" spans="1:14" s="47" customFormat="1">
      <c r="A407" s="519">
        <v>44866</v>
      </c>
      <c r="B407" s="514">
        <f>+C406*D407</f>
        <v>11493.999999999998</v>
      </c>
      <c r="C407" s="520">
        <v>0</v>
      </c>
      <c r="D407" s="514">
        <f>164.2*35%</f>
        <v>57.469999999999992</v>
      </c>
      <c r="E407" s="515" t="s">
        <v>312</v>
      </c>
      <c r="F407" s="517"/>
      <c r="G407" s="522"/>
      <c r="H407" s="864">
        <v>110.94</v>
      </c>
      <c r="I407" s="647"/>
      <c r="J407" s="862"/>
      <c r="K407" s="578"/>
      <c r="L407" s="578"/>
      <c r="M407" s="600"/>
      <c r="N407" s="592"/>
    </row>
    <row r="408" spans="1:14" s="47" customFormat="1">
      <c r="A408" s="519">
        <v>44866</v>
      </c>
      <c r="B408" s="514">
        <f>+C408*D408</f>
        <v>39704.145000000004</v>
      </c>
      <c r="C408" s="520">
        <v>185</v>
      </c>
      <c r="D408" s="514">
        <f>165.09*(1+30%)</f>
        <v>214.61700000000002</v>
      </c>
      <c r="E408" s="515" t="s">
        <v>309</v>
      </c>
      <c r="F408" s="517"/>
      <c r="G408" s="522"/>
      <c r="H408" s="864">
        <v>110.94</v>
      </c>
      <c r="I408" s="647"/>
      <c r="J408" s="862"/>
      <c r="K408" s="578"/>
      <c r="L408" s="578"/>
      <c r="M408" s="600"/>
      <c r="N408" s="592"/>
    </row>
    <row r="409" spans="1:14" s="47" customFormat="1">
      <c r="A409" s="519">
        <v>44866</v>
      </c>
      <c r="B409" s="514">
        <f>+C408*D409</f>
        <v>10689.577499999999</v>
      </c>
      <c r="C409" s="520">
        <v>0</v>
      </c>
      <c r="D409" s="514">
        <f>165.09*35%</f>
        <v>57.781499999999994</v>
      </c>
      <c r="E409" s="515" t="s">
        <v>314</v>
      </c>
      <c r="F409" s="517"/>
      <c r="G409" s="522"/>
      <c r="H409" s="864">
        <v>110.94</v>
      </c>
      <c r="I409" s="647"/>
      <c r="J409" s="862"/>
      <c r="K409" s="578"/>
      <c r="L409" s="578"/>
      <c r="M409" s="600"/>
      <c r="N409" s="592"/>
    </row>
    <row r="410" spans="1:14" s="47" customFormat="1">
      <c r="A410" s="519">
        <v>44876</v>
      </c>
      <c r="B410" s="514">
        <f>+C410*D410</f>
        <v>64460</v>
      </c>
      <c r="C410" s="520">
        <v>220</v>
      </c>
      <c r="D410" s="514">
        <v>293</v>
      </c>
      <c r="E410" s="515" t="s">
        <v>321</v>
      </c>
      <c r="F410" s="517"/>
      <c r="G410" s="522"/>
      <c r="H410" s="864">
        <v>82.6</v>
      </c>
      <c r="I410" s="647">
        <f>12215*35%</f>
        <v>4275.25</v>
      </c>
      <c r="J410" s="862"/>
      <c r="K410" s="578"/>
      <c r="L410" s="578"/>
      <c r="M410" s="600"/>
      <c r="N410" s="592"/>
    </row>
    <row r="411" spans="1:14" s="47" customFormat="1">
      <c r="A411" s="519">
        <v>44879</v>
      </c>
      <c r="B411" s="514">
        <f>+C411*D411</f>
        <v>88200</v>
      </c>
      <c r="C411" s="520">
        <v>300</v>
      </c>
      <c r="D411" s="514">
        <v>294</v>
      </c>
      <c r="E411" s="515" t="s">
        <v>321</v>
      </c>
      <c r="F411" s="517"/>
      <c r="G411" s="522"/>
      <c r="H411" s="864">
        <v>82.6</v>
      </c>
      <c r="I411" s="866">
        <f>34900/200</f>
        <v>174.5</v>
      </c>
      <c r="J411" s="862"/>
      <c r="K411" s="578"/>
      <c r="L411" s="578"/>
      <c r="M411" s="600"/>
      <c r="N411" s="592"/>
    </row>
    <row r="412" spans="1:14" s="47" customFormat="1">
      <c r="A412" s="519">
        <v>44880</v>
      </c>
      <c r="B412" s="514">
        <f>+C412*D412</f>
        <v>14850</v>
      </c>
      <c r="C412" s="520">
        <v>50</v>
      </c>
      <c r="D412" s="514">
        <v>297</v>
      </c>
      <c r="E412" s="515" t="s">
        <v>322</v>
      </c>
      <c r="F412" s="517"/>
      <c r="G412" s="522"/>
      <c r="H412" s="864">
        <v>110.5</v>
      </c>
      <c r="I412" s="647"/>
      <c r="J412" s="862"/>
      <c r="K412" s="578"/>
      <c r="L412" s="578"/>
      <c r="M412" s="600"/>
      <c r="N412" s="592"/>
    </row>
    <row r="413" spans="1:14" s="47" customFormat="1">
      <c r="A413" s="519">
        <v>44896</v>
      </c>
      <c r="B413" s="514">
        <f>+C413*D413</f>
        <v>43333.68</v>
      </c>
      <c r="C413" s="520">
        <v>190</v>
      </c>
      <c r="D413" s="514">
        <f>175.44*(1+30%)</f>
        <v>228.072</v>
      </c>
      <c r="E413" s="515" t="s">
        <v>309</v>
      </c>
      <c r="F413" s="517"/>
      <c r="G413" s="522"/>
      <c r="H413" s="864">
        <v>110.94</v>
      </c>
      <c r="I413" s="647"/>
      <c r="J413" s="862"/>
      <c r="K413" s="578"/>
      <c r="L413" s="578"/>
      <c r="M413" s="600"/>
      <c r="N413" s="592"/>
    </row>
    <row r="414" spans="1:14" s="47" customFormat="1">
      <c r="A414" s="519">
        <v>44896</v>
      </c>
      <c r="B414" s="514">
        <f>+C413*D414</f>
        <v>11666.759999999998</v>
      </c>
      <c r="C414" s="520">
        <v>0</v>
      </c>
      <c r="D414" s="514">
        <f>175.44*35%</f>
        <v>61.403999999999996</v>
      </c>
      <c r="E414" s="515" t="s">
        <v>314</v>
      </c>
      <c r="F414" s="517"/>
      <c r="G414" s="522"/>
      <c r="H414" s="864"/>
      <c r="I414" s="647"/>
      <c r="J414" s="862"/>
      <c r="K414" s="578"/>
      <c r="L414" s="578"/>
      <c r="M414" s="600"/>
      <c r="N414" s="592"/>
    </row>
    <row r="415" spans="1:14" s="47" customFormat="1">
      <c r="A415" s="519">
        <v>44896</v>
      </c>
      <c r="B415" s="514">
        <f>+C415*D415</f>
        <v>45370</v>
      </c>
      <c r="C415" s="520">
        <v>200</v>
      </c>
      <c r="D415" s="514">
        <f>174.5*(1+30%)</f>
        <v>226.85</v>
      </c>
      <c r="E415" s="515" t="s">
        <v>304</v>
      </c>
      <c r="F415" s="517"/>
      <c r="G415" s="522"/>
      <c r="H415" s="863"/>
      <c r="I415" s="581"/>
      <c r="J415" s="862"/>
      <c r="K415" s="578"/>
      <c r="L415" s="578"/>
      <c r="M415" s="600"/>
      <c r="N415" s="592"/>
    </row>
    <row r="416" spans="1:14" s="47" customFormat="1" ht="18">
      <c r="A416" s="519">
        <v>44896</v>
      </c>
      <c r="B416" s="514">
        <f>+C415*D416</f>
        <v>12215</v>
      </c>
      <c r="C416" s="520">
        <v>0</v>
      </c>
      <c r="D416" s="514">
        <f>174.5*35%</f>
        <v>61.074999999999996</v>
      </c>
      <c r="E416" s="515" t="s">
        <v>312</v>
      </c>
      <c r="F416" s="517"/>
      <c r="G416" s="522"/>
      <c r="H416" s="616" t="s">
        <v>315</v>
      </c>
      <c r="I416" s="647"/>
      <c r="J416" s="862"/>
      <c r="K416" s="578"/>
      <c r="L416" s="578"/>
      <c r="M416" s="600"/>
      <c r="N416" s="592"/>
    </row>
    <row r="417" spans="1:14" s="47" customFormat="1">
      <c r="A417" s="519">
        <v>44908</v>
      </c>
      <c r="B417" s="514">
        <f>+C417*D417</f>
        <v>127200</v>
      </c>
      <c r="C417" s="520">
        <v>400</v>
      </c>
      <c r="D417" s="514">
        <v>318</v>
      </c>
      <c r="E417" s="515" t="s">
        <v>321</v>
      </c>
      <c r="F417" s="517"/>
      <c r="G417" s="522"/>
      <c r="H417" s="864">
        <v>82.6</v>
      </c>
      <c r="I417" s="647"/>
      <c r="J417" s="862"/>
      <c r="K417" s="578"/>
      <c r="L417" s="578"/>
      <c r="M417" s="600"/>
      <c r="N417" s="592"/>
    </row>
    <row r="418" spans="1:14" s="47" customFormat="1">
      <c r="A418" s="516"/>
      <c r="B418" s="514"/>
      <c r="C418" s="520"/>
      <c r="D418" s="514"/>
      <c r="E418" s="515"/>
      <c r="F418" s="517"/>
      <c r="G418" s="522"/>
      <c r="H418" s="864">
        <v>110.94</v>
      </c>
      <c r="I418" s="866">
        <f>34900/200</f>
        <v>174.5</v>
      </c>
      <c r="J418" s="862"/>
      <c r="K418" s="578"/>
      <c r="L418" s="578"/>
      <c r="M418" s="600"/>
      <c r="N418" s="592"/>
    </row>
    <row r="419" spans="1:14" s="47" customFormat="1" ht="15.5">
      <c r="A419" s="532"/>
      <c r="B419" s="619">
        <f>SUM(B362:B418)</f>
        <v>1574810.9850000001</v>
      </c>
      <c r="C419" s="631">
        <f>SUM(C362:C418)</f>
        <v>6605</v>
      </c>
      <c r="D419" s="534"/>
      <c r="E419" s="532"/>
      <c r="F419" s="535"/>
      <c r="G419" s="536"/>
      <c r="H419" s="864">
        <v>110.5</v>
      </c>
      <c r="I419" s="647"/>
      <c r="J419" s="862"/>
      <c r="K419" s="578"/>
      <c r="L419" s="578"/>
      <c r="M419" s="600"/>
      <c r="N419" s="592"/>
    </row>
    <row r="420" spans="1:14" s="47" customFormat="1" ht="13">
      <c r="A420" s="643" t="s">
        <v>316</v>
      </c>
      <c r="B420" s="644" t="s">
        <v>317</v>
      </c>
      <c r="C420" s="644" t="s">
        <v>318</v>
      </c>
      <c r="D420" s="645" t="s">
        <v>319</v>
      </c>
      <c r="E420" s="646" t="s">
        <v>320</v>
      </c>
      <c r="F420" s="601"/>
      <c r="G420" s="645"/>
      <c r="H420" s="864">
        <v>110.94</v>
      </c>
      <c r="I420" s="647"/>
      <c r="J420" s="862"/>
      <c r="K420" s="578"/>
      <c r="L420" s="578"/>
      <c r="M420" s="600"/>
      <c r="N420" s="592"/>
    </row>
    <row r="421" spans="1:14" s="47" customFormat="1">
      <c r="A421" s="519">
        <v>44928</v>
      </c>
      <c r="B421" s="514">
        <f>+C421*D421</f>
        <v>37000</v>
      </c>
      <c r="C421" s="520">
        <v>200</v>
      </c>
      <c r="D421" s="514">
        <f>185</f>
        <v>185</v>
      </c>
      <c r="E421" s="515" t="s">
        <v>304</v>
      </c>
      <c r="F421" s="517"/>
      <c r="G421" s="522"/>
      <c r="H421" s="864">
        <v>110.94</v>
      </c>
      <c r="I421" s="647"/>
      <c r="J421" s="862"/>
      <c r="K421" s="578"/>
      <c r="L421" s="578"/>
      <c r="M421" s="600"/>
      <c r="N421" s="592"/>
    </row>
    <row r="422" spans="1:14" s="47" customFormat="1">
      <c r="A422" s="519">
        <v>44928</v>
      </c>
      <c r="B422" s="514">
        <f>+C422*D422</f>
        <v>10545</v>
      </c>
      <c r="C422" s="520">
        <v>190</v>
      </c>
      <c r="D422" s="514">
        <f>185*(30%)</f>
        <v>55.5</v>
      </c>
      <c r="E422" s="515" t="s">
        <v>323</v>
      </c>
      <c r="F422" s="517"/>
      <c r="G422" s="522"/>
      <c r="H422" s="864">
        <v>82.6</v>
      </c>
      <c r="I422" s="647"/>
      <c r="J422" s="862"/>
      <c r="K422" s="578"/>
      <c r="L422" s="578"/>
      <c r="M422" s="600"/>
      <c r="N422" s="592"/>
    </row>
    <row r="423" spans="1:14" s="47" customFormat="1">
      <c r="A423" s="519">
        <v>44928</v>
      </c>
      <c r="B423" s="514">
        <f>+C421*D423</f>
        <v>12950</v>
      </c>
      <c r="C423" s="520">
        <v>0</v>
      </c>
      <c r="D423" s="514">
        <f>185*35%</f>
        <v>64.75</v>
      </c>
      <c r="E423" s="515" t="s">
        <v>312</v>
      </c>
      <c r="F423" s="517"/>
      <c r="G423" s="522"/>
      <c r="H423" s="864"/>
      <c r="I423" s="647"/>
      <c r="J423" s="862"/>
      <c r="K423" s="578"/>
      <c r="L423" s="578"/>
      <c r="M423" s="600"/>
      <c r="N423" s="592"/>
    </row>
    <row r="424" spans="1:14" s="47" customFormat="1">
      <c r="A424" s="519">
        <v>44928</v>
      </c>
      <c r="B424" s="514">
        <f>+C424*D424</f>
        <v>35330.5</v>
      </c>
      <c r="C424" s="520">
        <v>190</v>
      </c>
      <c r="D424" s="514">
        <f>185.95</f>
        <v>185.95</v>
      </c>
      <c r="E424" s="515" t="s">
        <v>309</v>
      </c>
      <c r="F424" s="517"/>
      <c r="G424" s="522"/>
      <c r="H424" s="864"/>
      <c r="I424" s="647"/>
      <c r="J424" s="862"/>
      <c r="K424" s="578"/>
      <c r="L424" s="578"/>
      <c r="M424" s="600"/>
      <c r="N424" s="592"/>
    </row>
    <row r="425" spans="1:14" s="47" customFormat="1">
      <c r="A425" s="519">
        <v>44928</v>
      </c>
      <c r="B425" s="514">
        <f>+C425*D425</f>
        <v>10599.15</v>
      </c>
      <c r="C425" s="520">
        <v>190</v>
      </c>
      <c r="D425" s="514">
        <f>185.95*(30%)</f>
        <v>55.784999999999997</v>
      </c>
      <c r="E425" s="515" t="s">
        <v>323</v>
      </c>
      <c r="F425" s="517"/>
      <c r="G425" s="522"/>
      <c r="H425" s="864">
        <v>82.6</v>
      </c>
      <c r="I425" s="647"/>
      <c r="J425" s="862"/>
      <c r="K425" s="578"/>
      <c r="L425" s="578"/>
      <c r="M425" s="600"/>
      <c r="N425" s="592"/>
    </row>
    <row r="426" spans="1:14" s="47" customFormat="1">
      <c r="A426" s="519">
        <v>44928</v>
      </c>
      <c r="B426" s="514">
        <f>+C424*D426</f>
        <v>12365.674999999999</v>
      </c>
      <c r="C426" s="520">
        <v>0</v>
      </c>
      <c r="D426" s="514">
        <f>185.95*35%</f>
        <v>65.082499999999996</v>
      </c>
      <c r="E426" s="515" t="s">
        <v>314</v>
      </c>
      <c r="F426" s="517"/>
      <c r="G426" s="522"/>
      <c r="H426" s="864">
        <v>110.94</v>
      </c>
      <c r="I426" s="866">
        <f>34900/200</f>
        <v>174.5</v>
      </c>
      <c r="J426" s="862"/>
      <c r="K426" s="578"/>
      <c r="L426" s="578"/>
      <c r="M426" s="600"/>
      <c r="N426" s="592"/>
    </row>
    <row r="427" spans="1:14" s="47" customFormat="1">
      <c r="A427" s="519"/>
      <c r="B427" s="514"/>
      <c r="C427" s="520"/>
      <c r="D427" s="514"/>
      <c r="E427" s="515"/>
      <c r="F427" s="517"/>
      <c r="G427" s="522"/>
      <c r="H427" s="864">
        <v>110.5</v>
      </c>
      <c r="I427" s="647"/>
      <c r="J427" s="862"/>
      <c r="K427" s="578"/>
      <c r="L427" s="578"/>
      <c r="M427" s="600"/>
      <c r="N427" s="592"/>
    </row>
    <row r="428" spans="1:14" s="47" customFormat="1">
      <c r="A428" s="519"/>
      <c r="B428" s="514"/>
      <c r="C428" s="520"/>
      <c r="D428" s="514"/>
      <c r="E428" s="515"/>
      <c r="F428" s="517"/>
      <c r="G428" s="522"/>
      <c r="H428" s="864">
        <v>110.94</v>
      </c>
      <c r="I428" s="647"/>
      <c r="J428" s="862"/>
      <c r="K428" s="578"/>
      <c r="L428" s="578"/>
      <c r="M428" s="600"/>
      <c r="N428" s="592"/>
    </row>
    <row r="429" spans="1:14" s="47" customFormat="1">
      <c r="A429" s="519">
        <v>44958</v>
      </c>
      <c r="B429" s="514">
        <f>+C429*D429</f>
        <v>38820</v>
      </c>
      <c r="C429" s="520">
        <v>200</v>
      </c>
      <c r="D429" s="514">
        <f>194.1</f>
        <v>194.1</v>
      </c>
      <c r="E429" s="515" t="s">
        <v>304</v>
      </c>
      <c r="F429" s="517"/>
      <c r="G429" s="522"/>
      <c r="H429" s="864">
        <v>110.94</v>
      </c>
      <c r="I429" s="647"/>
      <c r="J429" s="862"/>
      <c r="K429" s="578"/>
      <c r="L429" s="578"/>
      <c r="M429" s="600"/>
      <c r="N429" s="592"/>
    </row>
    <row r="430" spans="1:14" s="47" customFormat="1">
      <c r="A430" s="519">
        <v>44958</v>
      </c>
      <c r="B430" s="514">
        <f>+C430*D430</f>
        <v>11063.699999999999</v>
      </c>
      <c r="C430" s="520">
        <v>190</v>
      </c>
      <c r="D430" s="514">
        <f>194.1*(30%)</f>
        <v>58.23</v>
      </c>
      <c r="E430" s="515" t="s">
        <v>323</v>
      </c>
      <c r="F430" s="517"/>
      <c r="G430" s="522"/>
      <c r="H430" s="864">
        <v>82.6</v>
      </c>
      <c r="I430" s="647"/>
      <c r="J430" s="862"/>
      <c r="K430" s="578"/>
      <c r="L430" s="578"/>
      <c r="M430" s="600"/>
      <c r="N430" s="592"/>
    </row>
    <row r="431" spans="1:14" s="47" customFormat="1">
      <c r="A431" s="519">
        <v>44958</v>
      </c>
      <c r="B431" s="514">
        <f>+C429*D431</f>
        <v>13586.999999999998</v>
      </c>
      <c r="C431" s="520">
        <v>0</v>
      </c>
      <c r="D431" s="514">
        <f>194.1*35%</f>
        <v>67.934999999999988</v>
      </c>
      <c r="E431" s="515" t="s">
        <v>312</v>
      </c>
      <c r="F431" s="517"/>
      <c r="G431" s="522"/>
      <c r="H431" s="864"/>
      <c r="I431" s="647"/>
      <c r="J431" s="862"/>
      <c r="K431" s="578"/>
      <c r="L431" s="578"/>
      <c r="M431" s="600"/>
      <c r="N431" s="592"/>
    </row>
    <row r="432" spans="1:14" s="47" customFormat="1">
      <c r="A432" s="519">
        <v>44958</v>
      </c>
      <c r="B432" s="514">
        <f>+C432*D432</f>
        <v>37070.9</v>
      </c>
      <c r="C432" s="520">
        <v>190</v>
      </c>
      <c r="D432" s="514">
        <f>195.11</f>
        <v>195.11</v>
      </c>
      <c r="E432" s="515" t="s">
        <v>309</v>
      </c>
      <c r="F432" s="517"/>
      <c r="G432" s="522"/>
      <c r="H432" s="864">
        <v>110.94</v>
      </c>
      <c r="I432" s="647"/>
      <c r="J432" s="862"/>
      <c r="K432" s="578"/>
      <c r="L432" s="578"/>
      <c r="M432" s="600"/>
      <c r="N432" s="592"/>
    </row>
    <row r="433" spans="1:14" s="47" customFormat="1">
      <c r="A433" s="519">
        <v>44958</v>
      </c>
      <c r="B433" s="514">
        <f>+C433*D433</f>
        <v>11121.27</v>
      </c>
      <c r="C433" s="520">
        <v>190</v>
      </c>
      <c r="D433" s="514">
        <f>195.11*(30%)</f>
        <v>58.533000000000001</v>
      </c>
      <c r="E433" s="515" t="s">
        <v>323</v>
      </c>
      <c r="F433" s="517"/>
      <c r="G433" s="522"/>
      <c r="H433" s="864">
        <v>110.94</v>
      </c>
      <c r="I433" s="647"/>
      <c r="J433" s="862"/>
      <c r="K433" s="578"/>
      <c r="L433" s="578"/>
      <c r="M433" s="600"/>
      <c r="N433" s="592"/>
    </row>
    <row r="434" spans="1:14" s="47" customFormat="1">
      <c r="A434" s="519">
        <v>44958</v>
      </c>
      <c r="B434" s="514">
        <f>+C432*D434</f>
        <v>12974.815000000001</v>
      </c>
      <c r="C434" s="520">
        <v>0</v>
      </c>
      <c r="D434" s="514">
        <f>195.11*35%</f>
        <v>68.288499999999999</v>
      </c>
      <c r="E434" s="515" t="s">
        <v>314</v>
      </c>
      <c r="F434" s="517"/>
      <c r="G434" s="522"/>
      <c r="H434" s="864"/>
      <c r="I434" s="647"/>
      <c r="J434" s="862"/>
      <c r="K434" s="578"/>
      <c r="L434" s="578"/>
      <c r="M434" s="600"/>
      <c r="N434" s="592"/>
    </row>
    <row r="435" spans="1:14" s="47" customFormat="1">
      <c r="A435" s="519"/>
      <c r="B435" s="514"/>
      <c r="C435" s="520"/>
      <c r="D435" s="514"/>
      <c r="E435" s="515"/>
      <c r="F435" s="517"/>
      <c r="G435" s="522"/>
      <c r="H435" s="864">
        <v>82.6</v>
      </c>
      <c r="I435" s="647"/>
      <c r="J435" s="862"/>
      <c r="K435" s="578"/>
      <c r="L435" s="578"/>
      <c r="M435" s="600"/>
      <c r="N435" s="592"/>
    </row>
    <row r="436" spans="1:14" s="47" customFormat="1">
      <c r="A436" s="519">
        <v>44964</v>
      </c>
      <c r="B436" s="514">
        <f>+C436*D436</f>
        <v>75600</v>
      </c>
      <c r="C436" s="520">
        <v>200</v>
      </c>
      <c r="D436" s="514">
        <v>378</v>
      </c>
      <c r="E436" s="515" t="s">
        <v>321</v>
      </c>
      <c r="F436" s="517"/>
      <c r="G436" s="522"/>
      <c r="H436" s="864">
        <v>110.94</v>
      </c>
      <c r="I436" s="866">
        <f>34900/200</f>
        <v>174.5</v>
      </c>
      <c r="J436" s="862"/>
      <c r="K436" s="578"/>
      <c r="L436" s="578"/>
      <c r="M436" s="600"/>
      <c r="N436" s="592"/>
    </row>
    <row r="437" spans="1:14" s="47" customFormat="1">
      <c r="A437" s="519">
        <v>44971</v>
      </c>
      <c r="B437" s="514">
        <f>+C437*D437</f>
        <v>248300</v>
      </c>
      <c r="C437" s="520">
        <v>650</v>
      </c>
      <c r="D437" s="514">
        <v>382</v>
      </c>
      <c r="E437" s="515" t="s">
        <v>321</v>
      </c>
      <c r="F437" s="517"/>
      <c r="G437" s="522"/>
      <c r="H437" s="864">
        <v>110.5</v>
      </c>
      <c r="I437" s="647"/>
      <c r="J437" s="862"/>
      <c r="K437" s="578"/>
      <c r="L437" s="578"/>
      <c r="M437" s="600"/>
      <c r="N437" s="592"/>
    </row>
    <row r="438" spans="1:14" s="47" customFormat="1">
      <c r="A438" s="519"/>
      <c r="B438" s="514"/>
      <c r="C438" s="520"/>
      <c r="D438" s="514"/>
      <c r="E438" s="515"/>
      <c r="F438" s="517"/>
      <c r="G438" s="522"/>
      <c r="H438" s="864">
        <v>110.94</v>
      </c>
      <c r="I438" s="647"/>
      <c r="J438" s="862"/>
      <c r="K438" s="578"/>
      <c r="L438" s="578"/>
      <c r="M438" s="600"/>
      <c r="N438"/>
    </row>
    <row r="439" spans="1:14" s="539" customFormat="1">
      <c r="A439" s="519">
        <v>44986</v>
      </c>
      <c r="B439" s="514">
        <f>+C439*D439</f>
        <v>40840</v>
      </c>
      <c r="C439" s="520">
        <v>200</v>
      </c>
      <c r="D439" s="514">
        <f>204.2</f>
        <v>204.2</v>
      </c>
      <c r="E439" s="515" t="s">
        <v>304</v>
      </c>
      <c r="F439" s="517"/>
      <c r="G439" s="522"/>
      <c r="H439" s="864">
        <v>110.94</v>
      </c>
      <c r="I439" s="647"/>
      <c r="J439" s="862"/>
      <c r="K439" s="578"/>
      <c r="L439" s="578"/>
      <c r="M439" s="600"/>
      <c r="N439"/>
    </row>
    <row r="440" spans="1:14" s="47" customFormat="1">
      <c r="A440" s="519">
        <v>44986</v>
      </c>
      <c r="B440" s="514">
        <f>+C440*D440</f>
        <v>12323.399999999998</v>
      </c>
      <c r="C440" s="520">
        <v>200</v>
      </c>
      <c r="D440" s="514">
        <f>205.39*(30%)</f>
        <v>61.61699999999999</v>
      </c>
      <c r="E440" s="515" t="s">
        <v>323</v>
      </c>
      <c r="F440" s="517"/>
      <c r="G440" s="522"/>
      <c r="H440" s="864">
        <v>82.6</v>
      </c>
      <c r="I440" s="647"/>
      <c r="J440" s="862"/>
      <c r="K440" s="578"/>
      <c r="L440" s="578"/>
      <c r="M440" s="600"/>
      <c r="N440" s="592"/>
    </row>
    <row r="441" spans="1:14" s="47" customFormat="1">
      <c r="A441" s="519">
        <v>44986</v>
      </c>
      <c r="B441" s="514">
        <f>+C439*D441</f>
        <v>14293.999999999996</v>
      </c>
      <c r="C441" s="520">
        <v>0</v>
      </c>
      <c r="D441" s="514">
        <f>204.2*35%</f>
        <v>71.469999999999985</v>
      </c>
      <c r="E441" s="515" t="s">
        <v>312</v>
      </c>
      <c r="F441" s="517"/>
      <c r="G441" s="522"/>
      <c r="H441" s="864">
        <v>110.94</v>
      </c>
      <c r="I441" s="647"/>
      <c r="J441" s="862"/>
      <c r="K441" s="578"/>
      <c r="L441" s="578"/>
      <c r="M441" s="600"/>
      <c r="N441" s="592"/>
    </row>
    <row r="442" spans="1:14" s="47" customFormat="1">
      <c r="A442" s="519">
        <v>44986</v>
      </c>
      <c r="B442" s="514">
        <f>+C442*D442</f>
        <v>39024.1</v>
      </c>
      <c r="C442" s="520">
        <v>190</v>
      </c>
      <c r="D442" s="514">
        <f>205.39</f>
        <v>205.39</v>
      </c>
      <c r="E442" s="515" t="s">
        <v>309</v>
      </c>
      <c r="F442" s="517"/>
      <c r="G442" s="522"/>
      <c r="H442" s="864">
        <v>110.94</v>
      </c>
      <c r="I442" s="647"/>
      <c r="J442" s="862"/>
      <c r="K442" s="578"/>
      <c r="L442" s="578"/>
      <c r="M442" s="600"/>
      <c r="N442" s="592"/>
    </row>
    <row r="443" spans="1:14" s="47" customFormat="1">
      <c r="A443" s="519">
        <v>44986</v>
      </c>
      <c r="B443" s="514">
        <f>+C443*D443</f>
        <v>11707.229999999998</v>
      </c>
      <c r="C443" s="520">
        <v>190</v>
      </c>
      <c r="D443" s="514">
        <f>205.39*(30%)</f>
        <v>61.61699999999999</v>
      </c>
      <c r="E443" s="515" t="s">
        <v>323</v>
      </c>
      <c r="F443" s="517"/>
      <c r="G443" s="522"/>
      <c r="H443" s="864"/>
      <c r="I443" s="647"/>
      <c r="J443" s="862"/>
      <c r="K443" s="578"/>
      <c r="L443" s="578"/>
      <c r="M443" s="600"/>
      <c r="N443" s="592"/>
    </row>
    <row r="444" spans="1:14" s="539" customFormat="1">
      <c r="A444" s="519">
        <v>44986</v>
      </c>
      <c r="B444" s="514">
        <f>+C442*D444</f>
        <v>13658.434999999998</v>
      </c>
      <c r="C444" s="520">
        <v>0</v>
      </c>
      <c r="D444" s="514">
        <f>205.39*35%</f>
        <v>71.886499999999984</v>
      </c>
      <c r="E444" s="515" t="s">
        <v>314</v>
      </c>
      <c r="F444" s="517"/>
      <c r="G444" s="522"/>
      <c r="H444" s="864">
        <v>110.94</v>
      </c>
      <c r="I444" s="647"/>
      <c r="J444" s="862"/>
      <c r="K444" s="578"/>
      <c r="L444" s="578"/>
      <c r="M444" s="600"/>
      <c r="N444"/>
    </row>
    <row r="445" spans="1:14" s="47" customFormat="1">
      <c r="A445" s="519">
        <v>44992</v>
      </c>
      <c r="B445" s="514">
        <f>+C445*D445</f>
        <v>149200</v>
      </c>
      <c r="C445" s="520">
        <v>400</v>
      </c>
      <c r="D445" s="514">
        <v>373</v>
      </c>
      <c r="E445" s="515" t="s">
        <v>321</v>
      </c>
      <c r="F445" s="517"/>
      <c r="G445" s="522"/>
      <c r="H445" s="864">
        <v>110.94</v>
      </c>
      <c r="I445" s="647"/>
      <c r="J445" s="862"/>
      <c r="K445"/>
      <c r="L445"/>
      <c r="M445"/>
      <c r="N445" s="592"/>
    </row>
    <row r="446" spans="1:14" s="47" customFormat="1">
      <c r="A446" s="519">
        <v>44999</v>
      </c>
      <c r="B446" s="514">
        <f>+C446*D446</f>
        <v>112800</v>
      </c>
      <c r="C446" s="520">
        <v>300</v>
      </c>
      <c r="D446" s="514">
        <v>376</v>
      </c>
      <c r="E446" s="515" t="s">
        <v>321</v>
      </c>
      <c r="F446" s="517"/>
      <c r="G446" s="522"/>
      <c r="H446" s="864">
        <v>82.6</v>
      </c>
      <c r="I446" s="647"/>
      <c r="J446" s="863"/>
      <c r="K446"/>
      <c r="L446"/>
      <c r="M446"/>
      <c r="N446" s="592"/>
    </row>
    <row r="447" spans="1:14" s="47" customFormat="1">
      <c r="A447" s="519"/>
      <c r="B447" s="514"/>
      <c r="C447" s="520"/>
      <c r="D447" s="514"/>
      <c r="E447" s="515"/>
      <c r="F447" s="517"/>
      <c r="G447" s="522"/>
      <c r="H447" s="864">
        <v>82.6</v>
      </c>
      <c r="I447" s="647"/>
      <c r="J447" s="862"/>
      <c r="K447" s="578"/>
      <c r="L447" s="578"/>
      <c r="M447" s="600"/>
      <c r="N447" s="592"/>
    </row>
    <row r="448" spans="1:14" s="47" customFormat="1">
      <c r="A448" s="519">
        <v>45019</v>
      </c>
      <c r="B448" s="514">
        <f>+C448*D448</f>
        <v>41446.6</v>
      </c>
      <c r="C448" s="520">
        <v>190</v>
      </c>
      <c r="D448" s="514">
        <v>218.14</v>
      </c>
      <c r="E448" s="515" t="s">
        <v>309</v>
      </c>
      <c r="F448" s="517"/>
      <c r="G448" s="522"/>
      <c r="H448" s="864">
        <v>110.94</v>
      </c>
      <c r="I448" s="866">
        <f>34900/200</f>
        <v>174.5</v>
      </c>
      <c r="J448" s="862"/>
      <c r="K448" s="578"/>
      <c r="L448" s="578"/>
      <c r="M448" s="600"/>
      <c r="N448" s="592"/>
    </row>
    <row r="449" spans="1:14" s="47" customFormat="1">
      <c r="A449" s="519">
        <v>45019</v>
      </c>
      <c r="B449" s="514">
        <f>+C449*D449</f>
        <v>12433.98</v>
      </c>
      <c r="C449" s="520">
        <v>190</v>
      </c>
      <c r="D449" s="514">
        <f>218.14*(30%)</f>
        <v>65.441999999999993</v>
      </c>
      <c r="E449" s="515" t="s">
        <v>323</v>
      </c>
      <c r="F449" s="517"/>
      <c r="G449" s="522"/>
      <c r="H449" s="864">
        <v>110.5</v>
      </c>
      <c r="I449" s="647"/>
      <c r="J449" s="862"/>
      <c r="K449" s="578"/>
      <c r="L449" s="578"/>
      <c r="M449" s="600"/>
      <c r="N449"/>
    </row>
    <row r="450" spans="1:14" s="47" customFormat="1">
      <c r="A450" s="519">
        <v>45019</v>
      </c>
      <c r="B450" s="514">
        <f>+C448*D450</f>
        <v>14506.309999999998</v>
      </c>
      <c r="C450" s="520">
        <v>0</v>
      </c>
      <c r="D450" s="514">
        <f>218.14*35%</f>
        <v>76.34899999999999</v>
      </c>
      <c r="E450" s="515" t="s">
        <v>314</v>
      </c>
      <c r="F450" s="517"/>
      <c r="G450" s="522"/>
      <c r="H450" s="864">
        <v>110.94</v>
      </c>
      <c r="I450" s="647"/>
      <c r="J450" s="862"/>
      <c r="K450" s="578"/>
      <c r="L450" s="578"/>
      <c r="M450" s="600"/>
      <c r="N450" s="592"/>
    </row>
    <row r="451" spans="1:14" s="539" customFormat="1">
      <c r="A451" s="519">
        <v>45019</v>
      </c>
      <c r="B451" s="514">
        <f>+C451*D451</f>
        <v>43340</v>
      </c>
      <c r="C451" s="520">
        <v>200</v>
      </c>
      <c r="D451" s="514">
        <v>216.7</v>
      </c>
      <c r="E451" s="515" t="s">
        <v>304</v>
      </c>
      <c r="F451" s="517"/>
      <c r="G451" s="522"/>
      <c r="H451" s="864"/>
      <c r="I451" s="647"/>
      <c r="J451" s="863"/>
      <c r="K451"/>
      <c r="L451"/>
      <c r="M451"/>
      <c r="N451"/>
    </row>
    <row r="452" spans="1:14" s="47" customFormat="1">
      <c r="A452" s="519">
        <v>45019</v>
      </c>
      <c r="B452" s="514">
        <f>+C452*D452</f>
        <v>13001.999999999998</v>
      </c>
      <c r="C452" s="520">
        <v>200</v>
      </c>
      <c r="D452" s="514">
        <f>216.7*(30%)</f>
        <v>65.009999999999991</v>
      </c>
      <c r="E452" s="515" t="s">
        <v>323</v>
      </c>
      <c r="F452" s="517"/>
      <c r="G452" s="522"/>
      <c r="H452" s="864">
        <v>82.6</v>
      </c>
      <c r="I452" s="647"/>
      <c r="J452" s="862"/>
      <c r="K452" s="578"/>
      <c r="L452" s="578"/>
      <c r="M452" s="600"/>
      <c r="N452" s="592"/>
    </row>
    <row r="453" spans="1:14" s="47" customFormat="1">
      <c r="A453" s="519">
        <v>45019</v>
      </c>
      <c r="B453" s="514">
        <f>+C451*D453</f>
        <v>15168.999999999996</v>
      </c>
      <c r="C453" s="520">
        <v>0</v>
      </c>
      <c r="D453" s="514">
        <f>216.7*35%</f>
        <v>75.844999999999985</v>
      </c>
      <c r="E453" s="515" t="s">
        <v>312</v>
      </c>
      <c r="F453" s="517"/>
      <c r="G453" s="522"/>
      <c r="H453" s="864">
        <v>110.94</v>
      </c>
      <c r="I453" s="866">
        <f>34900/200</f>
        <v>174.5</v>
      </c>
      <c r="J453" s="862"/>
      <c r="K453" s="578"/>
      <c r="L453" s="578"/>
      <c r="M453" s="600"/>
      <c r="N453" s="592"/>
    </row>
    <row r="454" spans="1:14" s="47" customFormat="1">
      <c r="A454" s="519">
        <v>45028</v>
      </c>
      <c r="B454" s="514">
        <f>+C454*D454</f>
        <v>409940</v>
      </c>
      <c r="C454" s="520">
        <v>1030</v>
      </c>
      <c r="D454" s="514">
        <v>398</v>
      </c>
      <c r="E454" s="515" t="s">
        <v>321</v>
      </c>
      <c r="F454" s="517"/>
      <c r="G454" s="522"/>
      <c r="H454" s="864">
        <v>110.5</v>
      </c>
      <c r="I454" s="647"/>
      <c r="J454" s="862"/>
      <c r="K454" s="578"/>
      <c r="L454" s="578"/>
      <c r="M454" s="600"/>
      <c r="N454" s="592"/>
    </row>
    <row r="455" spans="1:14" s="47" customFormat="1">
      <c r="A455" s="519"/>
      <c r="B455" s="514"/>
      <c r="C455" s="520"/>
      <c r="D455" s="514"/>
      <c r="E455" s="515"/>
      <c r="F455" s="517"/>
      <c r="G455" s="522"/>
      <c r="H455" s="864">
        <v>110.94</v>
      </c>
      <c r="I455" s="647"/>
      <c r="J455" s="862"/>
      <c r="K455" s="578"/>
      <c r="L455" s="578"/>
      <c r="M455" s="600"/>
      <c r="N455" s="592"/>
    </row>
    <row r="456" spans="1:14" s="47" customFormat="1">
      <c r="A456" s="519">
        <v>45048</v>
      </c>
      <c r="B456" s="514">
        <f>+C456*D456</f>
        <v>46200</v>
      </c>
      <c r="C456" s="520">
        <v>200</v>
      </c>
      <c r="D456" s="514">
        <v>231</v>
      </c>
      <c r="E456" s="515" t="s">
        <v>304</v>
      </c>
      <c r="F456" s="517"/>
      <c r="G456" s="522"/>
      <c r="H456" s="864">
        <v>110.94</v>
      </c>
      <c r="I456" s="647"/>
      <c r="J456" s="862"/>
      <c r="K456"/>
      <c r="L456"/>
      <c r="M456"/>
      <c r="N456"/>
    </row>
    <row r="457" spans="1:14" s="47" customFormat="1">
      <c r="A457" s="519">
        <v>45048</v>
      </c>
      <c r="B457" s="514">
        <f>+C457*D457</f>
        <v>13860</v>
      </c>
      <c r="C457" s="520">
        <v>200</v>
      </c>
      <c r="D457" s="514">
        <f>231*(30%)</f>
        <v>69.3</v>
      </c>
      <c r="E457" s="515" t="s">
        <v>323</v>
      </c>
      <c r="F457" s="517"/>
      <c r="G457" s="522"/>
      <c r="H457" s="864">
        <v>82.6</v>
      </c>
      <c r="I457" s="647"/>
      <c r="J457" s="862"/>
      <c r="K457" s="578"/>
      <c r="L457" s="578"/>
      <c r="M457" s="600"/>
      <c r="N457" s="592"/>
    </row>
    <row r="458" spans="1:14" s="47" customFormat="1">
      <c r="A458" s="519">
        <v>45048</v>
      </c>
      <c r="B458" s="514">
        <f>+C456*D458</f>
        <v>16169.999999999998</v>
      </c>
      <c r="C458" s="520">
        <v>0</v>
      </c>
      <c r="D458" s="514">
        <f>231*35%</f>
        <v>80.849999999999994</v>
      </c>
      <c r="E458" s="515" t="s">
        <v>312</v>
      </c>
      <c r="F458" s="517"/>
      <c r="G458" s="522"/>
      <c r="H458" s="864">
        <v>110.94</v>
      </c>
      <c r="I458" s="647"/>
      <c r="J458" s="863"/>
      <c r="K458"/>
      <c r="L458"/>
      <c r="M458"/>
      <c r="N458" s="592"/>
    </row>
    <row r="459" spans="1:14" s="47" customFormat="1">
      <c r="A459" s="519">
        <v>45048</v>
      </c>
      <c r="B459" s="514">
        <f>+C459*D459</f>
        <v>44695.68</v>
      </c>
      <c r="C459" s="520">
        <v>192</v>
      </c>
      <c r="D459" s="514">
        <v>232.79</v>
      </c>
      <c r="E459" s="515" t="s">
        <v>309</v>
      </c>
      <c r="F459" s="517"/>
      <c r="G459" s="522"/>
      <c r="H459" s="864">
        <v>82.6</v>
      </c>
      <c r="I459" s="647"/>
      <c r="J459" s="862"/>
      <c r="K459" s="578"/>
      <c r="L459" s="578"/>
      <c r="M459" s="600"/>
      <c r="N459"/>
    </row>
    <row r="460" spans="1:14" s="47" customFormat="1">
      <c r="A460" s="519">
        <v>45048</v>
      </c>
      <c r="B460" s="514">
        <f>+C460*D460</f>
        <v>13408.703999999998</v>
      </c>
      <c r="C460" s="520">
        <v>192</v>
      </c>
      <c r="D460" s="514">
        <f>232.79*(30%)</f>
        <v>69.836999999999989</v>
      </c>
      <c r="E460" s="515" t="s">
        <v>323</v>
      </c>
      <c r="F460" s="517"/>
      <c r="G460" s="522"/>
      <c r="H460" s="864">
        <v>110.94</v>
      </c>
      <c r="I460" s="866">
        <f>34900/200</f>
        <v>174.5</v>
      </c>
      <c r="J460" s="862"/>
      <c r="K460" s="578"/>
      <c r="L460" s="578"/>
      <c r="M460" s="600"/>
      <c r="N460" s="592"/>
    </row>
    <row r="461" spans="1:14" s="47" customFormat="1">
      <c r="A461" s="519">
        <v>45048</v>
      </c>
      <c r="B461" s="514">
        <f>+C459*D461</f>
        <v>15643.487999999998</v>
      </c>
      <c r="C461" s="520">
        <v>0</v>
      </c>
      <c r="D461" s="514">
        <f>232.79*35%</f>
        <v>81.476499999999987</v>
      </c>
      <c r="E461" s="515" t="s">
        <v>314</v>
      </c>
      <c r="F461" s="517"/>
      <c r="G461" s="522"/>
      <c r="H461" s="864">
        <v>110.5</v>
      </c>
      <c r="I461" s="647"/>
      <c r="J461" s="862"/>
      <c r="K461" s="578"/>
      <c r="L461" s="578"/>
      <c r="M461" s="600"/>
      <c r="N461" s="592"/>
    </row>
    <row r="462" spans="1:14" s="539" customFormat="1">
      <c r="A462" s="519">
        <v>45056</v>
      </c>
      <c r="B462" s="514">
        <f>+C462*D462</f>
        <v>142200</v>
      </c>
      <c r="C462" s="520">
        <v>300</v>
      </c>
      <c r="D462" s="514">
        <v>474</v>
      </c>
      <c r="E462" s="515" t="s">
        <v>321</v>
      </c>
      <c r="F462" s="517"/>
      <c r="G462" s="522"/>
      <c r="H462" s="864">
        <v>110.94</v>
      </c>
      <c r="I462" s="647"/>
      <c r="J462" s="862"/>
      <c r="K462" s="578"/>
      <c r="L462" s="578"/>
      <c r="M462" s="600"/>
      <c r="N462"/>
    </row>
    <row r="463" spans="1:14" s="47" customFormat="1">
      <c r="A463" s="519">
        <v>45078</v>
      </c>
      <c r="B463" s="514">
        <f>+C463*D463</f>
        <v>49160</v>
      </c>
      <c r="C463" s="520">
        <v>200</v>
      </c>
      <c r="D463" s="514">
        <v>245.8</v>
      </c>
      <c r="E463" s="515" t="s">
        <v>304</v>
      </c>
      <c r="F463" s="517"/>
      <c r="G463" s="522"/>
      <c r="H463" s="864">
        <v>110.94</v>
      </c>
      <c r="I463" s="647"/>
      <c r="J463" s="862"/>
      <c r="K463"/>
      <c r="L463"/>
      <c r="M463"/>
      <c r="N463" s="592"/>
    </row>
    <row r="464" spans="1:14" s="47" customFormat="1">
      <c r="A464" s="519">
        <v>45078</v>
      </c>
      <c r="B464" s="514">
        <f>+C464*D464</f>
        <v>14747.999999999998</v>
      </c>
      <c r="C464" s="520">
        <v>200</v>
      </c>
      <c r="D464" s="514">
        <f>245.8*(30%)</f>
        <v>73.739999999999995</v>
      </c>
      <c r="E464" s="515" t="s">
        <v>323</v>
      </c>
      <c r="F464" s="517"/>
      <c r="G464" s="522"/>
      <c r="H464" s="864">
        <v>82.6</v>
      </c>
      <c r="I464" s="866">
        <f>+H465/C469</f>
        <v>251.59</v>
      </c>
      <c r="J464" s="862"/>
      <c r="K464" s="578"/>
      <c r="L464" s="578"/>
      <c r="M464" s="600"/>
      <c r="N464" s="592"/>
    </row>
    <row r="465" spans="1:14" s="47" customFormat="1">
      <c r="A465" s="519">
        <v>45078</v>
      </c>
      <c r="B465" s="514">
        <f>+C463*D465</f>
        <v>17206</v>
      </c>
      <c r="C465" s="520">
        <v>0</v>
      </c>
      <c r="D465" s="514">
        <f>245.8*35%</f>
        <v>86.03</v>
      </c>
      <c r="E465" s="515" t="s">
        <v>312</v>
      </c>
      <c r="F465" s="517"/>
      <c r="G465" s="522"/>
      <c r="H465" s="864">
        <v>10566.78</v>
      </c>
      <c r="I465" s="647"/>
      <c r="J465" s="862"/>
      <c r="K465" s="578"/>
      <c r="L465" s="578"/>
      <c r="M465" s="600"/>
      <c r="N465" s="592"/>
    </row>
    <row r="466" spans="1:14" s="47" customFormat="1">
      <c r="A466" s="519">
        <v>45079</v>
      </c>
      <c r="B466" s="514">
        <f>+C466*D466</f>
        <v>37605</v>
      </c>
      <c r="C466" s="520">
        <v>150</v>
      </c>
      <c r="D466" s="514">
        <v>250.7</v>
      </c>
      <c r="E466" s="515" t="s">
        <v>324</v>
      </c>
      <c r="F466" s="517"/>
      <c r="G466" s="522"/>
      <c r="H466" s="864">
        <v>110.94</v>
      </c>
      <c r="I466" s="647"/>
      <c r="J466" s="862"/>
      <c r="K466"/>
      <c r="L466"/>
      <c r="M466"/>
      <c r="N466" s="592"/>
    </row>
    <row r="467" spans="1:14" s="47" customFormat="1">
      <c r="A467" s="519">
        <v>45079</v>
      </c>
      <c r="B467" s="514">
        <f>+C467*D467</f>
        <v>11281.499999999998</v>
      </c>
      <c r="C467" s="520">
        <v>150</v>
      </c>
      <c r="D467" s="514">
        <f>250.7*(30%)</f>
        <v>75.209999999999994</v>
      </c>
      <c r="E467" s="515" t="s">
        <v>323</v>
      </c>
      <c r="F467" s="517"/>
      <c r="G467" s="522"/>
      <c r="H467" s="864">
        <v>82.6</v>
      </c>
      <c r="I467" s="647"/>
      <c r="J467" s="862"/>
      <c r="K467" s="578"/>
      <c r="L467" s="578"/>
      <c r="M467" s="600"/>
      <c r="N467"/>
    </row>
    <row r="468" spans="1:14" s="47" customFormat="1">
      <c r="A468" s="519">
        <v>45079</v>
      </c>
      <c r="B468" s="514">
        <f>+C466*D468</f>
        <v>13161.749999999998</v>
      </c>
      <c r="C468" s="520">
        <v>0</v>
      </c>
      <c r="D468" s="514">
        <f>250.7*35%</f>
        <v>87.74499999999999</v>
      </c>
      <c r="E468" s="515" t="s">
        <v>314</v>
      </c>
      <c r="F468" s="517"/>
      <c r="G468" s="522"/>
      <c r="H468" s="864">
        <v>110.94</v>
      </c>
      <c r="I468" s="647"/>
      <c r="J468" s="862"/>
      <c r="K468" s="578"/>
      <c r="L468" s="578"/>
      <c r="M468" s="600"/>
      <c r="N468" s="592"/>
    </row>
    <row r="469" spans="1:14" s="47" customFormat="1">
      <c r="A469" s="519">
        <v>45079</v>
      </c>
      <c r="B469" s="514">
        <f>+C469*D469</f>
        <v>10566.78</v>
      </c>
      <c r="C469" s="520">
        <v>42</v>
      </c>
      <c r="D469" s="514">
        <v>251.59</v>
      </c>
      <c r="E469" s="515" t="s">
        <v>309</v>
      </c>
      <c r="F469" s="517"/>
      <c r="G469" s="522"/>
      <c r="H469" s="864">
        <v>110.94</v>
      </c>
      <c r="I469" s="647"/>
      <c r="J469" s="863"/>
      <c r="K469"/>
      <c r="L469"/>
      <c r="M469"/>
      <c r="N469" s="592"/>
    </row>
    <row r="470" spans="1:14" s="47" customFormat="1">
      <c r="A470" s="519">
        <v>45079</v>
      </c>
      <c r="B470" s="514">
        <f>+C470*D470</f>
        <v>3170.0340000000001</v>
      </c>
      <c r="C470" s="520">
        <v>42</v>
      </c>
      <c r="D470" s="514">
        <f>251.59*(30%)</f>
        <v>75.477000000000004</v>
      </c>
      <c r="E470" s="515" t="s">
        <v>323</v>
      </c>
      <c r="F470" s="517"/>
      <c r="G470" s="522"/>
      <c r="H470" s="864">
        <v>82.6</v>
      </c>
      <c r="I470" s="647"/>
      <c r="J470" s="862"/>
      <c r="K470" s="578"/>
      <c r="L470" s="578"/>
      <c r="M470" s="600"/>
      <c r="N470" s="592"/>
    </row>
    <row r="471" spans="1:14" s="47" customFormat="1">
      <c r="A471" s="519">
        <v>45079</v>
      </c>
      <c r="B471" s="514">
        <f>+C469*D471</f>
        <v>3698.373</v>
      </c>
      <c r="C471" s="520">
        <v>0</v>
      </c>
      <c r="D471" s="514">
        <f>251.59*35%</f>
        <v>88.0565</v>
      </c>
      <c r="E471" s="515" t="s">
        <v>314</v>
      </c>
      <c r="F471" s="517"/>
      <c r="G471" s="522"/>
      <c r="H471" s="864">
        <v>110.94</v>
      </c>
      <c r="I471" s="866">
        <f>34900/200</f>
        <v>174.5</v>
      </c>
      <c r="J471" s="862"/>
      <c r="K471" s="578"/>
      <c r="L471" s="578"/>
      <c r="M471" s="600"/>
      <c r="N471" s="592"/>
    </row>
    <row r="472" spans="1:14" s="47" customFormat="1">
      <c r="A472" s="519">
        <v>45083</v>
      </c>
      <c r="B472" s="514">
        <f>+C472*D472</f>
        <v>195200</v>
      </c>
      <c r="C472" s="520">
        <v>400</v>
      </c>
      <c r="D472" s="514">
        <v>488</v>
      </c>
      <c r="E472" s="515" t="s">
        <v>321</v>
      </c>
      <c r="F472" s="517"/>
      <c r="G472" s="522"/>
      <c r="H472" s="864">
        <v>110.5</v>
      </c>
      <c r="I472" s="866">
        <f>+H473/C477</f>
        <v>55.614631578947375</v>
      </c>
      <c r="J472" s="862"/>
      <c r="K472" s="578"/>
      <c r="L472" s="578"/>
      <c r="M472" s="600"/>
      <c r="N472"/>
    </row>
    <row r="473" spans="1:14" s="47" customFormat="1">
      <c r="A473" s="519">
        <v>45089</v>
      </c>
      <c r="B473" s="514">
        <f>+C473*D473</f>
        <v>194000</v>
      </c>
      <c r="C473" s="520">
        <v>400</v>
      </c>
      <c r="D473" s="514">
        <v>485</v>
      </c>
      <c r="E473" s="515" t="s">
        <v>321</v>
      </c>
      <c r="F473" s="517"/>
      <c r="G473" s="522"/>
      <c r="H473" s="864">
        <v>10566.78</v>
      </c>
      <c r="I473" s="647"/>
      <c r="J473" s="862"/>
      <c r="K473" s="578"/>
      <c r="L473" s="578"/>
      <c r="M473" s="600"/>
      <c r="N473" s="592"/>
    </row>
    <row r="474" spans="1:14" s="47" customFormat="1">
      <c r="A474" s="519">
        <v>45110</v>
      </c>
      <c r="B474" s="514">
        <f>+C474*D474</f>
        <v>53879.999999999993</v>
      </c>
      <c r="C474" s="520">
        <v>200</v>
      </c>
      <c r="D474" s="514">
        <v>269.39999999999998</v>
      </c>
      <c r="E474" s="515" t="s">
        <v>304</v>
      </c>
      <c r="F474" s="517"/>
      <c r="G474" s="522"/>
      <c r="H474" s="864">
        <v>110.94</v>
      </c>
      <c r="I474" s="647"/>
      <c r="J474" s="862"/>
      <c r="K474"/>
      <c r="L474"/>
      <c r="M474"/>
      <c r="N474" s="592"/>
    </row>
    <row r="475" spans="1:14" s="47" customFormat="1">
      <c r="A475" s="519">
        <v>45110</v>
      </c>
      <c r="B475" s="514">
        <f>+C475*D475</f>
        <v>16163.999999999998</v>
      </c>
      <c r="C475" s="520">
        <v>200</v>
      </c>
      <c r="D475" s="514">
        <f>269.4*(30%)</f>
        <v>80.819999999999993</v>
      </c>
      <c r="E475" s="515" t="s">
        <v>323</v>
      </c>
      <c r="F475" s="517"/>
      <c r="G475" s="522"/>
      <c r="H475" s="864">
        <v>82.6</v>
      </c>
      <c r="I475" s="647"/>
      <c r="J475" s="862"/>
      <c r="K475" s="578"/>
      <c r="L475" s="578"/>
      <c r="M475" s="600"/>
      <c r="N475"/>
    </row>
    <row r="476" spans="1:14" s="47" customFormat="1">
      <c r="A476" s="519">
        <v>45110</v>
      </c>
      <c r="B476" s="514">
        <f>+C474*D476</f>
        <v>18858</v>
      </c>
      <c r="C476" s="520">
        <v>0</v>
      </c>
      <c r="D476" s="514">
        <f>269.4*35%</f>
        <v>94.289999999999992</v>
      </c>
      <c r="E476" s="515" t="s">
        <v>312</v>
      </c>
      <c r="F476" s="517"/>
      <c r="G476" s="522"/>
      <c r="H476" s="864">
        <v>110.94</v>
      </c>
      <c r="I476" s="647"/>
      <c r="J476" s="862"/>
      <c r="K476" s="578"/>
      <c r="L476" s="578"/>
      <c r="M476" s="600"/>
      <c r="N476" s="592"/>
    </row>
    <row r="477" spans="1:14" s="47" customFormat="1">
      <c r="A477" s="519">
        <v>45110</v>
      </c>
      <c r="B477" s="514">
        <f>+C477*D477</f>
        <v>51716.1</v>
      </c>
      <c r="C477" s="520">
        <v>190</v>
      </c>
      <c r="D477" s="514">
        <v>272.19</v>
      </c>
      <c r="E477" s="515" t="s">
        <v>309</v>
      </c>
      <c r="F477" s="517"/>
      <c r="G477" s="522"/>
      <c r="H477" s="864">
        <v>110.94</v>
      </c>
      <c r="I477" s="866">
        <f>+H478/C482</f>
        <v>57.117729729729732</v>
      </c>
      <c r="J477" s="862"/>
      <c r="K477" s="578"/>
      <c r="L477" s="578"/>
      <c r="M477" s="600"/>
      <c r="N477" s="592"/>
    </row>
    <row r="478" spans="1:14" s="47" customFormat="1">
      <c r="A478" s="519">
        <v>45110</v>
      </c>
      <c r="B478" s="514">
        <f>+C478*D478</f>
        <v>15514.83</v>
      </c>
      <c r="C478" s="520">
        <v>190</v>
      </c>
      <c r="D478" s="514">
        <f>272.19*(30%)</f>
        <v>81.656999999999996</v>
      </c>
      <c r="E478" s="515" t="s">
        <v>323</v>
      </c>
      <c r="F478" s="517"/>
      <c r="G478" s="522"/>
      <c r="H478" s="864">
        <v>10566.78</v>
      </c>
      <c r="I478" s="647"/>
      <c r="J478" s="862"/>
      <c r="K478" s="578"/>
      <c r="L478" s="578"/>
      <c r="M478" s="600"/>
      <c r="N478"/>
    </row>
    <row r="479" spans="1:14" s="47" customFormat="1">
      <c r="A479" s="519">
        <v>45110</v>
      </c>
      <c r="B479" s="514">
        <f>+C477*D479</f>
        <v>18100.634999999998</v>
      </c>
      <c r="C479" s="520">
        <v>0</v>
      </c>
      <c r="D479" s="514">
        <f>272.19*35%</f>
        <v>95.266499999999994</v>
      </c>
      <c r="E479" s="515" t="s">
        <v>314</v>
      </c>
      <c r="F479" s="517"/>
      <c r="G479" s="522"/>
      <c r="H479" s="864">
        <v>110.94</v>
      </c>
      <c r="I479" s="647"/>
      <c r="J479" s="862"/>
      <c r="K479"/>
      <c r="L479"/>
      <c r="M479"/>
      <c r="N479" s="592"/>
    </row>
    <row r="480" spans="1:14" s="47" customFormat="1">
      <c r="A480" s="519">
        <v>45110</v>
      </c>
      <c r="B480" s="514">
        <f>+C480*D480</f>
        <v>99200</v>
      </c>
      <c r="C480" s="520">
        <v>200</v>
      </c>
      <c r="D480" s="514">
        <v>496</v>
      </c>
      <c r="E480" s="515" t="s">
        <v>321</v>
      </c>
      <c r="F480" s="517"/>
      <c r="G480" s="522"/>
      <c r="H480" s="864">
        <v>82.6</v>
      </c>
      <c r="I480" s="866">
        <f>+H481/C485</f>
        <v>66.042375000000007</v>
      </c>
      <c r="J480" s="862"/>
      <c r="K480" s="578"/>
      <c r="L480" s="578"/>
      <c r="M480" s="600"/>
      <c r="N480" s="592"/>
    </row>
    <row r="481" spans="1:14" s="47" customFormat="1">
      <c r="A481" s="519">
        <v>45117</v>
      </c>
      <c r="B481" s="514">
        <f>+C481*D481</f>
        <v>149100</v>
      </c>
      <c r="C481" s="520">
        <v>300</v>
      </c>
      <c r="D481" s="514">
        <v>497</v>
      </c>
      <c r="E481" s="515" t="s">
        <v>321</v>
      </c>
      <c r="F481" s="517"/>
      <c r="G481" s="522"/>
      <c r="H481" s="864">
        <v>10566.78</v>
      </c>
      <c r="I481" s="647"/>
      <c r="J481" s="862"/>
      <c r="K481" s="578"/>
      <c r="L481" s="578"/>
      <c r="M481" s="600"/>
      <c r="N481"/>
    </row>
    <row r="482" spans="1:14" s="539" customFormat="1">
      <c r="A482" s="519">
        <v>45139</v>
      </c>
      <c r="B482" s="514">
        <f>+C482*D482</f>
        <v>53703.65</v>
      </c>
      <c r="C482" s="520">
        <v>185</v>
      </c>
      <c r="D482" s="514">
        <v>290.29000000000002</v>
      </c>
      <c r="E482" s="515" t="s">
        <v>309</v>
      </c>
      <c r="F482" s="517"/>
      <c r="G482" s="522"/>
      <c r="H482" s="864">
        <v>110.94</v>
      </c>
      <c r="I482" s="647"/>
      <c r="J482" s="862"/>
      <c r="K482"/>
      <c r="L482"/>
      <c r="M482"/>
      <c r="N482"/>
    </row>
    <row r="483" spans="1:14" s="47" customFormat="1">
      <c r="A483" s="519">
        <v>45139</v>
      </c>
      <c r="B483" s="514">
        <f>+C483*D483</f>
        <v>16111.095000000001</v>
      </c>
      <c r="C483" s="520">
        <v>185</v>
      </c>
      <c r="D483" s="514">
        <f>290.29*(30%)</f>
        <v>87.087000000000003</v>
      </c>
      <c r="E483" s="515" t="s">
        <v>323</v>
      </c>
      <c r="F483" s="517"/>
      <c r="G483" s="522"/>
      <c r="H483" s="864">
        <v>82.6</v>
      </c>
      <c r="I483" s="866">
        <f>+H484/C488</f>
        <v>1056.6780000000001</v>
      </c>
      <c r="J483" s="862"/>
      <c r="K483" s="578"/>
      <c r="L483" s="578"/>
      <c r="M483" s="600"/>
      <c r="N483" s="592"/>
    </row>
    <row r="484" spans="1:14" s="47" customFormat="1">
      <c r="A484" s="519">
        <v>45139</v>
      </c>
      <c r="B484" s="514">
        <f>+C482*D484</f>
        <v>24166.642500000002</v>
      </c>
      <c r="C484" s="520">
        <v>0</v>
      </c>
      <c r="D484" s="514">
        <f>290.29*45%</f>
        <v>130.63050000000001</v>
      </c>
      <c r="E484" s="515" t="s">
        <v>314</v>
      </c>
      <c r="F484" s="517"/>
      <c r="G484" s="522"/>
      <c r="H484" s="864">
        <v>10566.78</v>
      </c>
      <c r="I484" s="647"/>
      <c r="J484" s="862"/>
      <c r="K484" s="578"/>
      <c r="L484" s="578"/>
      <c r="M484" s="600"/>
      <c r="N484" s="592"/>
    </row>
    <row r="485" spans="1:14" s="539" customFormat="1">
      <c r="A485" s="519">
        <v>45170</v>
      </c>
      <c r="B485" s="514">
        <f>+C485*D485</f>
        <v>59070.400000000001</v>
      </c>
      <c r="C485" s="520">
        <v>160</v>
      </c>
      <c r="D485" s="514">
        <v>369.19</v>
      </c>
      <c r="E485" s="515" t="s">
        <v>309</v>
      </c>
      <c r="F485" s="517"/>
      <c r="G485" s="522"/>
      <c r="H485" s="864">
        <v>110.94</v>
      </c>
      <c r="I485" s="647"/>
      <c r="J485" s="862"/>
      <c r="K485"/>
      <c r="L485"/>
      <c r="M485"/>
      <c r="N485"/>
    </row>
    <row r="486" spans="1:14" s="47" customFormat="1">
      <c r="A486" s="519">
        <v>45170</v>
      </c>
      <c r="B486" s="514">
        <f>+C486*D486</f>
        <v>17721.12</v>
      </c>
      <c r="C486" s="520">
        <v>160</v>
      </c>
      <c r="D486" s="514">
        <f>369.19*(30%)</f>
        <v>110.75699999999999</v>
      </c>
      <c r="E486" s="515" t="s">
        <v>323</v>
      </c>
      <c r="F486" s="517"/>
      <c r="G486" s="522"/>
      <c r="H486" s="864">
        <v>82.6</v>
      </c>
      <c r="I486" s="866">
        <f>+H487/C491</f>
        <v>52.8339</v>
      </c>
      <c r="J486" s="862"/>
      <c r="K486" s="578"/>
      <c r="L486" s="578"/>
      <c r="M486" s="600"/>
      <c r="N486" s="592"/>
    </row>
    <row r="487" spans="1:14" s="47" customFormat="1">
      <c r="A487" s="519">
        <v>45170</v>
      </c>
      <c r="B487" s="514">
        <f>+C485*D487</f>
        <v>26581.68</v>
      </c>
      <c r="C487" s="520">
        <v>0</v>
      </c>
      <c r="D487" s="514">
        <f>369.19*45%</f>
        <v>166.13550000000001</v>
      </c>
      <c r="E487" s="515" t="s">
        <v>314</v>
      </c>
      <c r="F487" s="517"/>
      <c r="G487" s="522"/>
      <c r="H487" s="864">
        <v>10566.78</v>
      </c>
      <c r="I487" s="647"/>
      <c r="J487" s="862"/>
      <c r="K487" s="578"/>
      <c r="L487" s="578"/>
      <c r="M487" s="600"/>
      <c r="N487" s="592"/>
    </row>
    <row r="488" spans="1:14" s="47" customFormat="1">
      <c r="A488" s="519">
        <v>45170</v>
      </c>
      <c r="B488" s="514">
        <f>+C488*D488</f>
        <v>3691.9</v>
      </c>
      <c r="C488" s="520">
        <v>10</v>
      </c>
      <c r="D488" s="514">
        <v>369.19</v>
      </c>
      <c r="E488" s="515" t="s">
        <v>309</v>
      </c>
      <c r="F488" s="517"/>
      <c r="G488" s="522"/>
      <c r="H488" s="864">
        <v>110.94</v>
      </c>
      <c r="I488" s="647"/>
      <c r="J488" s="862"/>
      <c r="K488"/>
      <c r="L488"/>
      <c r="M488"/>
      <c r="N488" s="592"/>
    </row>
    <row r="489" spans="1:14" s="47" customFormat="1">
      <c r="A489" s="519">
        <v>45170</v>
      </c>
      <c r="B489" s="514">
        <f>+C489*D489</f>
        <v>1107.57</v>
      </c>
      <c r="C489" s="520">
        <v>10</v>
      </c>
      <c r="D489" s="514">
        <f>369.19*(30%)</f>
        <v>110.75699999999999</v>
      </c>
      <c r="E489" s="515" t="s">
        <v>323</v>
      </c>
      <c r="F489" s="517"/>
      <c r="G489" s="522"/>
      <c r="H489" s="864">
        <v>82.6</v>
      </c>
      <c r="I489" s="647"/>
      <c r="J489" s="863"/>
      <c r="K489"/>
      <c r="L489"/>
      <c r="M489"/>
      <c r="N489" s="592"/>
    </row>
    <row r="490" spans="1:14" s="47" customFormat="1">
      <c r="A490" s="519">
        <v>45170</v>
      </c>
      <c r="B490" s="514">
        <f>+C488*D490</f>
        <v>1661.355</v>
      </c>
      <c r="C490" s="520">
        <v>0</v>
      </c>
      <c r="D490" s="514">
        <f>369.19*45%</f>
        <v>166.13550000000001</v>
      </c>
      <c r="E490" s="515" t="s">
        <v>314</v>
      </c>
      <c r="F490" s="517"/>
      <c r="G490" s="522"/>
      <c r="H490" s="864">
        <v>82.6</v>
      </c>
      <c r="I490" s="647"/>
      <c r="J490" s="862"/>
      <c r="K490" s="578"/>
      <c r="L490" s="578"/>
      <c r="M490" s="600"/>
      <c r="N490" s="592"/>
    </row>
    <row r="491" spans="1:14" s="47" customFormat="1">
      <c r="A491" s="519">
        <v>45170</v>
      </c>
      <c r="B491" s="514">
        <f>+C491*D491</f>
        <v>73000</v>
      </c>
      <c r="C491" s="520">
        <v>200</v>
      </c>
      <c r="D491" s="514">
        <v>365</v>
      </c>
      <c r="E491" s="515" t="s">
        <v>325</v>
      </c>
      <c r="F491" s="517"/>
      <c r="G491" s="522"/>
      <c r="H491" s="864">
        <v>110.94</v>
      </c>
      <c r="I491" s="866">
        <f>34900/200</f>
        <v>174.5</v>
      </c>
      <c r="J491" s="862"/>
      <c r="K491" s="578"/>
      <c r="L491" s="578"/>
      <c r="M491" s="600"/>
      <c r="N491" s="592"/>
    </row>
    <row r="492" spans="1:14" s="47" customFormat="1">
      <c r="A492" s="519">
        <v>45170</v>
      </c>
      <c r="B492" s="514">
        <f>+C492*D492</f>
        <v>21900</v>
      </c>
      <c r="C492" s="520">
        <v>200</v>
      </c>
      <c r="D492" s="514">
        <f>365*(30%)</f>
        <v>109.5</v>
      </c>
      <c r="E492" s="515" t="s">
        <v>323</v>
      </c>
      <c r="F492" s="517"/>
      <c r="G492" s="522"/>
      <c r="H492" s="864">
        <v>110.5</v>
      </c>
      <c r="I492" s="647"/>
      <c r="J492" s="863"/>
      <c r="K492"/>
      <c r="L492"/>
      <c r="M492"/>
      <c r="N492" s="592"/>
    </row>
    <row r="493" spans="1:14" s="47" customFormat="1">
      <c r="A493" s="519">
        <v>45170</v>
      </c>
      <c r="B493" s="514">
        <f>+C491*D493</f>
        <v>32850</v>
      </c>
      <c r="C493" s="520">
        <v>0</v>
      </c>
      <c r="D493" s="514">
        <f>365*45%</f>
        <v>164.25</v>
      </c>
      <c r="E493" s="515" t="s">
        <v>326</v>
      </c>
      <c r="F493" s="517"/>
      <c r="G493" s="522"/>
      <c r="H493" s="864">
        <v>82.6</v>
      </c>
      <c r="I493" s="647"/>
      <c r="J493" s="862"/>
      <c r="K493" s="578"/>
      <c r="L493" s="578"/>
      <c r="M493" s="600"/>
      <c r="N493" s="592"/>
    </row>
    <row r="494" spans="1:14" s="47" customFormat="1">
      <c r="A494" s="519">
        <v>45204</v>
      </c>
      <c r="B494" s="514">
        <f>+C494*D494</f>
        <v>73000</v>
      </c>
      <c r="C494" s="520">
        <v>200</v>
      </c>
      <c r="D494" s="514">
        <v>365</v>
      </c>
      <c r="E494" s="515" t="s">
        <v>304</v>
      </c>
      <c r="F494" s="517"/>
      <c r="G494" s="522"/>
      <c r="H494" s="864">
        <v>110.94</v>
      </c>
      <c r="I494" s="866">
        <f>34900/200</f>
        <v>174.5</v>
      </c>
      <c r="J494" s="862"/>
      <c r="K494" s="578"/>
      <c r="L494" s="578"/>
      <c r="M494" s="600"/>
      <c r="N494" s="592"/>
    </row>
    <row r="495" spans="1:14" s="47" customFormat="1">
      <c r="A495" s="519">
        <v>45204</v>
      </c>
      <c r="B495" s="514">
        <f>+C495*D495</f>
        <v>21900</v>
      </c>
      <c r="C495" s="520">
        <v>200</v>
      </c>
      <c r="D495" s="514">
        <f>365*(30%)</f>
        <v>109.5</v>
      </c>
      <c r="E495" s="515" t="s">
        <v>323</v>
      </c>
      <c r="F495" s="517"/>
      <c r="G495" s="522"/>
      <c r="H495" s="864">
        <v>110.5</v>
      </c>
      <c r="I495" s="647"/>
      <c r="J495" s="862"/>
      <c r="K495" s="578"/>
      <c r="L495" s="578"/>
      <c r="M495" s="600"/>
      <c r="N495" s="592"/>
    </row>
    <row r="496" spans="1:14" s="47" customFormat="1">
      <c r="A496" s="519">
        <v>45204</v>
      </c>
      <c r="B496" s="514">
        <f>+C494*D496</f>
        <v>25549.999999999996</v>
      </c>
      <c r="C496" s="520">
        <v>0</v>
      </c>
      <c r="D496" s="514">
        <f>365*35%</f>
        <v>127.74999999999999</v>
      </c>
      <c r="E496" s="515" t="s">
        <v>312</v>
      </c>
      <c r="F496" s="517"/>
      <c r="G496" s="522"/>
      <c r="H496" s="864"/>
      <c r="I496" s="647"/>
      <c r="J496" s="862"/>
      <c r="K496" s="578"/>
      <c r="L496" s="578"/>
      <c r="M496" s="600"/>
      <c r="N496" s="592"/>
    </row>
    <row r="497" spans="1:14" s="47" customFormat="1">
      <c r="A497" s="519">
        <v>45261</v>
      </c>
      <c r="B497" s="514">
        <f>+C497*D497</f>
        <v>75100</v>
      </c>
      <c r="C497" s="520">
        <v>200</v>
      </c>
      <c r="D497" s="514">
        <v>375.5</v>
      </c>
      <c r="E497" s="515" t="s">
        <v>304</v>
      </c>
      <c r="F497" s="517"/>
      <c r="G497" s="522"/>
      <c r="H497" s="862"/>
      <c r="I497" s="647"/>
      <c r="J497" s="862"/>
      <c r="K497" s="578"/>
      <c r="L497" s="578"/>
      <c r="M497" s="600"/>
      <c r="N497" s="592"/>
    </row>
    <row r="498" spans="1:14" s="47" customFormat="1">
      <c r="A498" s="519">
        <v>45261</v>
      </c>
      <c r="B498" s="514">
        <f>+C498*D498</f>
        <v>22530</v>
      </c>
      <c r="C498" s="520">
        <v>200</v>
      </c>
      <c r="D498" s="514">
        <f>375.5*(30%)</f>
        <v>112.64999999999999</v>
      </c>
      <c r="E498" s="515" t="s">
        <v>323</v>
      </c>
      <c r="F498" s="517"/>
      <c r="G498" s="522"/>
      <c r="H498" s="863"/>
      <c r="I498" s="647"/>
      <c r="J498" s="862"/>
      <c r="K498" s="578"/>
      <c r="L498" s="578"/>
      <c r="M498" s="600"/>
      <c r="N498" s="592"/>
    </row>
    <row r="499" spans="1:14" s="47" customFormat="1">
      <c r="A499" s="519">
        <v>45261</v>
      </c>
      <c r="B499" s="514">
        <f>+C497*D499</f>
        <v>93875</v>
      </c>
      <c r="C499" s="520">
        <v>0</v>
      </c>
      <c r="D499" s="514">
        <f>375.5*(100%+25%)</f>
        <v>469.375</v>
      </c>
      <c r="E499" s="515" t="s">
        <v>312</v>
      </c>
      <c r="F499" s="517"/>
      <c r="G499" s="522"/>
      <c r="H499" s="863"/>
      <c r="I499" s="647"/>
      <c r="J499" s="862"/>
      <c r="K499" s="578"/>
      <c r="L499" s="578"/>
      <c r="M499" s="600"/>
      <c r="N499" s="592"/>
    </row>
    <row r="500" spans="1:14" s="47" customFormat="1">
      <c r="A500" s="519">
        <v>45307</v>
      </c>
      <c r="B500" s="514">
        <f>+C500*D500</f>
        <v>354000</v>
      </c>
      <c r="C500" s="520">
        <v>300</v>
      </c>
      <c r="D500" s="514">
        <v>1180</v>
      </c>
      <c r="E500" s="515" t="s">
        <v>321</v>
      </c>
      <c r="F500" s="517"/>
      <c r="G500" s="522"/>
      <c r="H500" s="863"/>
      <c r="I500" s="647"/>
      <c r="J500" s="862"/>
      <c r="K500" s="578"/>
      <c r="L500" s="578"/>
      <c r="M500" s="600"/>
      <c r="N500" s="592"/>
    </row>
    <row r="501" spans="1:14" s="47" customFormat="1">
      <c r="A501" s="519">
        <v>45316</v>
      </c>
      <c r="B501" s="514">
        <f>+C501*D501</f>
        <v>130650</v>
      </c>
      <c r="C501" s="520">
        <v>150</v>
      </c>
      <c r="D501" s="514">
        <v>871</v>
      </c>
      <c r="E501" s="515" t="s">
        <v>304</v>
      </c>
      <c r="F501" s="517"/>
      <c r="G501" s="522"/>
      <c r="H501" s="864">
        <v>110.94</v>
      </c>
      <c r="I501" s="866">
        <f>34900/200</f>
        <v>174.5</v>
      </c>
      <c r="J501" s="862"/>
      <c r="K501" s="578"/>
      <c r="L501" s="578"/>
      <c r="M501" s="600"/>
      <c r="N501" s="592"/>
    </row>
    <row r="502" spans="1:14" s="47" customFormat="1">
      <c r="A502" s="519">
        <v>45316</v>
      </c>
      <c r="B502" s="514">
        <f>+C502*D502</f>
        <v>39195</v>
      </c>
      <c r="C502" s="520">
        <v>150</v>
      </c>
      <c r="D502" s="514">
        <f>871*(30%)</f>
        <v>261.3</v>
      </c>
      <c r="E502" s="515" t="s">
        <v>323</v>
      </c>
      <c r="F502" s="517"/>
      <c r="G502" s="522"/>
      <c r="H502" s="864">
        <v>110.5</v>
      </c>
      <c r="I502" s="647"/>
      <c r="J502" s="862"/>
      <c r="K502" s="578"/>
      <c r="L502" s="578"/>
      <c r="M502" s="600"/>
      <c r="N502" s="592"/>
    </row>
    <row r="503" spans="1:14" s="47" customFormat="1">
      <c r="A503" s="519">
        <v>45316</v>
      </c>
      <c r="B503" s="514">
        <f>+C501*D503</f>
        <v>39195</v>
      </c>
      <c r="C503" s="520">
        <v>0</v>
      </c>
      <c r="D503" s="514">
        <f>871*30%</f>
        <v>261.3</v>
      </c>
      <c r="E503" s="515" t="s">
        <v>312</v>
      </c>
      <c r="F503" s="517"/>
      <c r="G503" s="522"/>
      <c r="H503" s="864"/>
      <c r="I503" s="647"/>
      <c r="J503" s="862"/>
      <c r="K503" s="578"/>
      <c r="L503" s="578"/>
      <c r="M503" s="600"/>
      <c r="N503" s="592"/>
    </row>
    <row r="504" spans="1:14" s="47" customFormat="1">
      <c r="A504" s="519">
        <v>45316</v>
      </c>
      <c r="B504" s="514">
        <f>+C504*D504</f>
        <v>43550</v>
      </c>
      <c r="C504" s="520">
        <v>50</v>
      </c>
      <c r="D504" s="514">
        <v>871</v>
      </c>
      <c r="E504" s="515" t="s">
        <v>327</v>
      </c>
      <c r="F504" s="517"/>
      <c r="G504" s="522"/>
      <c r="H504" s="864">
        <v>110.94</v>
      </c>
      <c r="I504" s="866">
        <f>34900/200</f>
        <v>174.5</v>
      </c>
      <c r="J504" s="862"/>
      <c r="K504" s="578"/>
      <c r="L504" s="578"/>
      <c r="M504" s="600"/>
      <c r="N504" s="592"/>
    </row>
    <row r="505" spans="1:14" s="47" customFormat="1">
      <c r="A505" s="519">
        <v>45316</v>
      </c>
      <c r="B505" s="514">
        <f>+C505*D505</f>
        <v>13065</v>
      </c>
      <c r="C505" s="520">
        <v>50</v>
      </c>
      <c r="D505" s="514">
        <f>871*(30%)</f>
        <v>261.3</v>
      </c>
      <c r="E505" s="515" t="s">
        <v>323</v>
      </c>
      <c r="F505" s="517"/>
      <c r="G505" s="522"/>
      <c r="H505" s="864">
        <v>110.5</v>
      </c>
      <c r="I505" s="647"/>
      <c r="J505" s="862"/>
      <c r="K505" s="578"/>
      <c r="L505" s="578"/>
      <c r="M505" s="600"/>
      <c r="N505" s="592"/>
    </row>
    <row r="506" spans="1:14" s="47" customFormat="1">
      <c r="A506" s="519">
        <v>45316</v>
      </c>
      <c r="B506" s="514">
        <f>+C504*D506</f>
        <v>13065</v>
      </c>
      <c r="C506" s="520">
        <v>0</v>
      </c>
      <c r="D506" s="514">
        <f>871*30%</f>
        <v>261.3</v>
      </c>
      <c r="E506" s="515" t="s">
        <v>312</v>
      </c>
      <c r="F506" s="517"/>
      <c r="G506" s="522"/>
      <c r="H506" s="864"/>
      <c r="I506" s="647"/>
      <c r="J506" s="862"/>
      <c r="K506" s="578"/>
      <c r="L506" s="578"/>
      <c r="M506" s="600"/>
      <c r="N506" s="592"/>
    </row>
    <row r="507" spans="1:14" s="47" customFormat="1">
      <c r="A507" s="519">
        <v>45336</v>
      </c>
      <c r="B507" s="514">
        <f t="shared" ref="B507:B513" si="18">+C507*D507</f>
        <v>56750</v>
      </c>
      <c r="C507" s="520">
        <v>50</v>
      </c>
      <c r="D507" s="514">
        <v>1135</v>
      </c>
      <c r="E507" s="515" t="s">
        <v>271</v>
      </c>
      <c r="F507" s="517"/>
      <c r="G507" s="522"/>
      <c r="H507" s="863"/>
      <c r="I507" s="647"/>
      <c r="J507" s="862"/>
      <c r="K507" s="578"/>
      <c r="L507" s="578"/>
      <c r="M507" s="600"/>
      <c r="N507" s="592"/>
    </row>
    <row r="508" spans="1:14" s="47" customFormat="1">
      <c r="A508" s="519">
        <v>45336</v>
      </c>
      <c r="B508" s="514">
        <f t="shared" si="18"/>
        <v>450000</v>
      </c>
      <c r="C508" s="520">
        <v>400</v>
      </c>
      <c r="D508" s="514">
        <v>1125</v>
      </c>
      <c r="E508" s="515" t="s">
        <v>321</v>
      </c>
      <c r="F508" s="517"/>
      <c r="G508" s="522"/>
      <c r="H508" s="863"/>
      <c r="I508" s="647"/>
      <c r="J508" s="862"/>
      <c r="K508" s="578"/>
      <c r="L508" s="578"/>
      <c r="M508" s="600"/>
      <c r="N508" s="592"/>
    </row>
    <row r="509" spans="1:14" s="47" customFormat="1">
      <c r="A509" s="519">
        <v>45341</v>
      </c>
      <c r="B509" s="514">
        <f t="shared" si="18"/>
        <v>273750</v>
      </c>
      <c r="C509" s="520">
        <v>250</v>
      </c>
      <c r="D509" s="514">
        <v>1095</v>
      </c>
      <c r="E509" s="515" t="s">
        <v>321</v>
      </c>
      <c r="F509" s="517"/>
      <c r="G509" s="522"/>
      <c r="H509" s="863"/>
      <c r="I509" s="647"/>
      <c r="J509" s="862"/>
      <c r="K509" s="578"/>
      <c r="L509" s="578"/>
      <c r="M509" s="600"/>
      <c r="N509" s="592"/>
    </row>
    <row r="510" spans="1:14" s="47" customFormat="1">
      <c r="A510" s="519">
        <v>45369</v>
      </c>
      <c r="B510" s="514">
        <f t="shared" si="18"/>
        <v>875500</v>
      </c>
      <c r="C510" s="520">
        <v>850</v>
      </c>
      <c r="D510" s="514">
        <v>1030</v>
      </c>
      <c r="E510" s="515" t="s">
        <v>321</v>
      </c>
      <c r="F510" s="517"/>
      <c r="G510" s="522"/>
      <c r="H510" s="863"/>
      <c r="I510" s="647"/>
      <c r="J510" s="862"/>
      <c r="K510" s="578"/>
      <c r="L510" s="578"/>
      <c r="M510" s="600"/>
      <c r="N510" s="592"/>
    </row>
    <row r="511" spans="1:14" s="47" customFormat="1">
      <c r="A511" s="519">
        <v>45414</v>
      </c>
      <c r="B511" s="514">
        <f t="shared" si="18"/>
        <v>1035000</v>
      </c>
      <c r="C511" s="520">
        <v>1000</v>
      </c>
      <c r="D511" s="514">
        <v>1035</v>
      </c>
      <c r="E511" s="515" t="s">
        <v>321</v>
      </c>
      <c r="F511" s="517"/>
      <c r="G511" s="522"/>
      <c r="H511" s="863"/>
      <c r="I511" s="647"/>
      <c r="J511" s="862"/>
      <c r="K511" s="578"/>
      <c r="L511" s="578"/>
      <c r="M511" s="600"/>
      <c r="N511" s="592"/>
    </row>
    <row r="512" spans="1:14" s="47" customFormat="1">
      <c r="A512" s="519">
        <v>45429</v>
      </c>
      <c r="B512" s="514">
        <f t="shared" si="18"/>
        <v>1449500</v>
      </c>
      <c r="C512" s="520">
        <v>1300</v>
      </c>
      <c r="D512" s="514">
        <v>1115</v>
      </c>
      <c r="E512" s="515" t="s">
        <v>321</v>
      </c>
      <c r="F512" s="517"/>
      <c r="G512" s="522"/>
      <c r="H512" s="863"/>
      <c r="I512" s="647"/>
      <c r="J512" s="862"/>
      <c r="K512" s="578"/>
      <c r="L512" s="578"/>
      <c r="M512" s="600"/>
      <c r="N512" s="592"/>
    </row>
    <row r="513" spans="1:14" s="47" customFormat="1">
      <c r="A513" s="519">
        <v>45490</v>
      </c>
      <c r="B513" s="514">
        <f t="shared" si="18"/>
        <v>1971000</v>
      </c>
      <c r="C513" s="520">
        <v>1350</v>
      </c>
      <c r="D513" s="514">
        <v>1460</v>
      </c>
      <c r="E513" s="515" t="s">
        <v>321</v>
      </c>
      <c r="F513" s="517"/>
      <c r="G513" s="522"/>
      <c r="H513" s="863"/>
      <c r="I513" s="647"/>
      <c r="J513" s="862"/>
      <c r="K513" s="578"/>
      <c r="L513" s="578"/>
      <c r="M513" s="600"/>
      <c r="N513" s="592"/>
    </row>
    <row r="514" spans="1:14" s="47" customFormat="1" ht="13">
      <c r="A514" s="643" t="s">
        <v>316</v>
      </c>
      <c r="B514" s="644" t="s">
        <v>317</v>
      </c>
      <c r="C514" s="644" t="s">
        <v>318</v>
      </c>
      <c r="D514" s="645" t="s">
        <v>319</v>
      </c>
      <c r="E514" s="646" t="s">
        <v>320</v>
      </c>
      <c r="F514" s="517"/>
      <c r="G514" s="522"/>
      <c r="H514" s="863"/>
      <c r="I514" s="647"/>
      <c r="J514" s="862"/>
      <c r="K514" s="578"/>
      <c r="L514" s="578"/>
      <c r="M514" s="600"/>
      <c r="N514" s="592"/>
    </row>
    <row r="515" spans="1:14" s="47" customFormat="1">
      <c r="A515" s="519">
        <v>45761</v>
      </c>
      <c r="B515" s="514">
        <f t="shared" ref="B515" si="19">+C515*D515</f>
        <v>1000000</v>
      </c>
      <c r="C515" s="520">
        <v>800</v>
      </c>
      <c r="D515" s="514">
        <v>1250</v>
      </c>
      <c r="E515" s="515" t="s">
        <v>553</v>
      </c>
      <c r="F515" s="517"/>
      <c r="G515" s="522"/>
      <c r="H515" s="863"/>
      <c r="I515" s="647"/>
      <c r="J515" s="862"/>
      <c r="K515" s="578"/>
      <c r="L515" s="578"/>
      <c r="M515" s="600"/>
      <c r="N515" s="592"/>
    </row>
    <row r="516" spans="1:14" s="47" customFormat="1">
      <c r="A516" s="519">
        <v>45838</v>
      </c>
      <c r="B516" s="514">
        <f>+C516*D516</f>
        <v>1815000</v>
      </c>
      <c r="C516" s="520">
        <v>1500</v>
      </c>
      <c r="D516" s="514">
        <v>1210</v>
      </c>
      <c r="E516" s="515" t="s">
        <v>831</v>
      </c>
      <c r="F516" s="517"/>
      <c r="G516" s="522"/>
      <c r="H516" s="863"/>
      <c r="I516" s="647"/>
      <c r="J516" s="862"/>
      <c r="K516" s="578"/>
      <c r="L516" s="578"/>
      <c r="M516" s="600"/>
      <c r="N516" s="592"/>
    </row>
    <row r="517" spans="1:14" s="47" customFormat="1">
      <c r="A517" s="519">
        <v>45839</v>
      </c>
      <c r="B517" s="514">
        <f t="shared" ref="B517" si="20">+C517*D517</f>
        <v>604750</v>
      </c>
      <c r="C517" s="520">
        <v>500</v>
      </c>
      <c r="D517" s="514">
        <v>1209.5</v>
      </c>
      <c r="E517" s="515" t="s">
        <v>120</v>
      </c>
      <c r="F517" s="517"/>
      <c r="G517" s="522"/>
      <c r="H517" s="863"/>
      <c r="I517" s="647"/>
      <c r="J517" s="862"/>
      <c r="K517" s="578"/>
      <c r="L517" s="578"/>
      <c r="M517" s="600"/>
      <c r="N517" s="592"/>
    </row>
    <row r="518" spans="1:14" s="47" customFormat="1">
      <c r="A518" s="519">
        <v>45839</v>
      </c>
      <c r="B518" s="514">
        <f t="shared" ref="B518" si="21">+C518*D518</f>
        <v>1220000</v>
      </c>
      <c r="C518" s="520">
        <v>1000</v>
      </c>
      <c r="D518" s="514">
        <v>1220</v>
      </c>
      <c r="E518" s="515" t="s">
        <v>832</v>
      </c>
      <c r="F518" s="517"/>
      <c r="G518" s="522"/>
      <c r="H518" s="863"/>
      <c r="I518" s="647"/>
      <c r="J518" s="862"/>
      <c r="K518" s="578"/>
      <c r="L518" s="578"/>
      <c r="M518" s="600"/>
      <c r="N518" s="592"/>
    </row>
    <row r="519" spans="1:14" s="47" customFormat="1">
      <c r="A519" s="519">
        <v>45840</v>
      </c>
      <c r="B519" s="514">
        <f t="shared" ref="B519:B520" si="22">+C519*D519</f>
        <v>1866750</v>
      </c>
      <c r="C519" s="520">
        <v>1500</v>
      </c>
      <c r="D519" s="514">
        <v>1244.5</v>
      </c>
      <c r="E519" s="515" t="s">
        <v>120</v>
      </c>
      <c r="F519" s="517"/>
      <c r="G519" s="522"/>
      <c r="H519" s="863"/>
      <c r="I519" s="647"/>
      <c r="J519" s="862"/>
      <c r="K519" s="578"/>
      <c r="L519" s="578"/>
      <c r="M519" s="600"/>
      <c r="N519" s="592"/>
    </row>
    <row r="520" spans="1:14" s="47" customFormat="1">
      <c r="A520" s="519">
        <v>45848</v>
      </c>
      <c r="B520" s="514">
        <f t="shared" si="22"/>
        <v>1280000</v>
      </c>
      <c r="C520" s="520">
        <v>1000</v>
      </c>
      <c r="D520" s="514">
        <v>1280</v>
      </c>
      <c r="E520" s="515" t="s">
        <v>276</v>
      </c>
      <c r="F520" s="517"/>
      <c r="G520" s="522"/>
      <c r="H520" s="863"/>
      <c r="I520" s="647"/>
      <c r="J520" s="862"/>
      <c r="K520" s="578"/>
      <c r="L520" s="578"/>
      <c r="M520" s="600"/>
      <c r="N520" s="592"/>
    </row>
    <row r="521" spans="1:14" s="47" customFormat="1">
      <c r="A521" s="519">
        <v>45852</v>
      </c>
      <c r="B521" s="514">
        <f t="shared" ref="B521" si="23">+C521*D521</f>
        <v>515800</v>
      </c>
      <c r="C521" s="520">
        <v>400</v>
      </c>
      <c r="D521" s="514">
        <v>1289.5</v>
      </c>
      <c r="E521" s="515" t="s">
        <v>120</v>
      </c>
      <c r="F521" s="517"/>
      <c r="G521" s="522"/>
      <c r="H521" s="863"/>
      <c r="I521" s="647"/>
      <c r="J521" s="862"/>
      <c r="K521" s="578"/>
      <c r="L521" s="578"/>
      <c r="M521" s="600"/>
      <c r="N521" s="592"/>
    </row>
    <row r="522" spans="1:14" s="47" customFormat="1">
      <c r="A522" s="519">
        <v>45852</v>
      </c>
      <c r="B522" s="514">
        <f t="shared" ref="B522:B525" si="24">+C522*D522</f>
        <v>1541403.825</v>
      </c>
      <c r="C522" s="520">
        <v>1195.3499999999999</v>
      </c>
      <c r="D522" s="514">
        <v>1289.5</v>
      </c>
      <c r="E522" s="515" t="s">
        <v>120</v>
      </c>
      <c r="F522" s="517"/>
      <c r="G522" s="522"/>
      <c r="H522" s="863"/>
      <c r="I522" s="647"/>
      <c r="J522" s="862"/>
      <c r="K522" s="578"/>
      <c r="L522" s="578"/>
      <c r="M522" s="600"/>
      <c r="N522" s="592"/>
    </row>
    <row r="523" spans="1:14" s="47" customFormat="1">
      <c r="A523" s="519">
        <v>45852</v>
      </c>
      <c r="B523" s="514">
        <f t="shared" si="24"/>
        <v>1027600</v>
      </c>
      <c r="C523" s="520">
        <v>800</v>
      </c>
      <c r="D523" s="514">
        <v>1284.5</v>
      </c>
      <c r="E523" s="515" t="s">
        <v>120</v>
      </c>
      <c r="F523" s="517"/>
      <c r="G523" s="522"/>
      <c r="H523" s="863"/>
      <c r="I523" s="647"/>
      <c r="J523" s="862"/>
      <c r="K523" s="578"/>
      <c r="L523" s="578"/>
      <c r="M523" s="600"/>
      <c r="N523" s="592"/>
    </row>
    <row r="524" spans="1:14" s="47" customFormat="1">
      <c r="A524" s="519">
        <v>45852</v>
      </c>
      <c r="B524" s="514">
        <f t="shared" ref="B524" si="25">+C524*D524</f>
        <v>713350</v>
      </c>
      <c r="C524" s="520">
        <v>550</v>
      </c>
      <c r="D524" s="514">
        <v>1297</v>
      </c>
      <c r="E524" s="515" t="s">
        <v>553</v>
      </c>
      <c r="F524" s="517"/>
      <c r="G524" s="522"/>
      <c r="H524" s="863"/>
      <c r="I524" s="647"/>
      <c r="J524" s="862"/>
      <c r="K524" s="578"/>
      <c r="L524" s="578"/>
      <c r="M524" s="600"/>
      <c r="N524" s="592"/>
    </row>
    <row r="525" spans="1:14" s="47" customFormat="1">
      <c r="A525" s="519">
        <v>45853</v>
      </c>
      <c r="B525" s="514">
        <f t="shared" si="24"/>
        <v>1305000</v>
      </c>
      <c r="C525" s="520">
        <v>1000</v>
      </c>
      <c r="D525" s="514">
        <v>1305</v>
      </c>
      <c r="E525" s="515" t="s">
        <v>553</v>
      </c>
      <c r="F525" s="517"/>
      <c r="G525" s="522"/>
      <c r="H525" s="863"/>
      <c r="I525" s="647"/>
      <c r="J525" s="862"/>
      <c r="K525" s="578"/>
      <c r="L525" s="578"/>
      <c r="M525" s="600"/>
      <c r="N525" s="592"/>
    </row>
    <row r="526" spans="1:14" s="47" customFormat="1">
      <c r="A526" s="519">
        <v>45854</v>
      </c>
      <c r="B526" s="514">
        <f t="shared" ref="B526:B527" si="26">+C526*D526</f>
        <v>1274500</v>
      </c>
      <c r="C526" s="520">
        <v>1000</v>
      </c>
      <c r="D526" s="514">
        <v>1274.5</v>
      </c>
      <c r="E526" s="515" t="s">
        <v>540</v>
      </c>
      <c r="F526" s="517"/>
      <c r="G526" s="522"/>
      <c r="H526" s="863"/>
      <c r="I526" s="647"/>
      <c r="J526" s="862"/>
      <c r="K526" s="578"/>
      <c r="L526" s="578"/>
      <c r="M526" s="600"/>
      <c r="N526" s="592"/>
    </row>
    <row r="527" spans="1:14" s="47" customFormat="1">
      <c r="A527" s="519">
        <v>45854</v>
      </c>
      <c r="B527" s="514">
        <f t="shared" si="26"/>
        <v>44975</v>
      </c>
      <c r="C527" s="520">
        <v>35</v>
      </c>
      <c r="D527" s="514">
        <v>1285</v>
      </c>
      <c r="E527" s="515" t="s">
        <v>553</v>
      </c>
      <c r="F527" s="517"/>
      <c r="G527" s="522"/>
      <c r="H527" s="863"/>
      <c r="I527" s="647"/>
      <c r="J527" s="862"/>
      <c r="K527" s="578"/>
      <c r="L527" s="578"/>
      <c r="M527" s="600"/>
      <c r="N527" s="592"/>
    </row>
    <row r="528" spans="1:14" s="47" customFormat="1">
      <c r="A528" s="519">
        <v>45855</v>
      </c>
      <c r="B528" s="514">
        <f t="shared" ref="B528:B531" si="27">+C528*D528</f>
        <v>1284500</v>
      </c>
      <c r="C528" s="520">
        <v>1000</v>
      </c>
      <c r="D528" s="514">
        <v>1284.5</v>
      </c>
      <c r="E528" s="515" t="s">
        <v>540</v>
      </c>
      <c r="F528" s="517"/>
      <c r="G528" s="522"/>
      <c r="H528" s="863"/>
      <c r="I528" s="647"/>
      <c r="J528" s="862"/>
      <c r="K528" s="578"/>
      <c r="L528" s="578"/>
      <c r="M528" s="600"/>
      <c r="N528" s="592"/>
    </row>
    <row r="529" spans="1:14" s="47" customFormat="1">
      <c r="A529" s="519">
        <v>45855</v>
      </c>
      <c r="B529" s="514">
        <f t="shared" si="27"/>
        <v>644750</v>
      </c>
      <c r="C529" s="520">
        <v>500</v>
      </c>
      <c r="D529" s="514">
        <v>1289.5</v>
      </c>
      <c r="E529" s="515" t="s">
        <v>120</v>
      </c>
      <c r="F529" s="517"/>
      <c r="G529" s="522"/>
      <c r="H529" s="863"/>
      <c r="I529" s="647"/>
      <c r="J529" s="862"/>
      <c r="K529" s="578"/>
      <c r="L529" s="578"/>
      <c r="M529" s="600"/>
      <c r="N529" s="592"/>
    </row>
    <row r="530" spans="1:14" s="47" customFormat="1">
      <c r="A530" s="519">
        <v>45855</v>
      </c>
      <c r="B530" s="514">
        <f t="shared" si="27"/>
        <v>220150</v>
      </c>
      <c r="C530" s="520">
        <v>170</v>
      </c>
      <c r="D530" s="514">
        <v>1295</v>
      </c>
      <c r="E530" s="515" t="s">
        <v>276</v>
      </c>
      <c r="F530" s="517"/>
      <c r="G530" s="522"/>
      <c r="H530" s="863"/>
      <c r="I530" s="647"/>
      <c r="J530" s="862"/>
      <c r="K530" s="578"/>
      <c r="L530" s="578"/>
      <c r="M530" s="600"/>
      <c r="N530" s="592"/>
    </row>
    <row r="531" spans="1:14" s="47" customFormat="1">
      <c r="A531" s="519">
        <v>45856</v>
      </c>
      <c r="B531" s="514">
        <f t="shared" si="27"/>
        <v>1304500</v>
      </c>
      <c r="C531" s="520">
        <v>1000</v>
      </c>
      <c r="D531" s="514">
        <v>1304.5</v>
      </c>
      <c r="E531" s="515" t="s">
        <v>540</v>
      </c>
      <c r="F531" s="517"/>
      <c r="G531" s="522"/>
      <c r="H531" s="863"/>
      <c r="I531" s="647"/>
      <c r="J531" s="862"/>
      <c r="K531" s="578"/>
      <c r="L531" s="578"/>
      <c r="M531" s="600"/>
      <c r="N531" s="592"/>
    </row>
    <row r="532" spans="1:14" s="47" customFormat="1">
      <c r="A532" s="519">
        <v>45856</v>
      </c>
      <c r="B532" s="514">
        <f t="shared" ref="B532:B534" si="28">+C532*D532</f>
        <v>2630000</v>
      </c>
      <c r="C532" s="520">
        <v>2000</v>
      </c>
      <c r="D532" s="514">
        <v>1315</v>
      </c>
      <c r="E532" s="515"/>
      <c r="F532" s="517"/>
      <c r="G532" s="522"/>
      <c r="H532" s="863"/>
      <c r="I532" s="647"/>
      <c r="J532" s="862"/>
      <c r="K532" s="578"/>
      <c r="L532" s="578"/>
      <c r="M532" s="600"/>
      <c r="N532" s="592"/>
    </row>
    <row r="533" spans="1:14" s="47" customFormat="1">
      <c r="A533" s="519">
        <v>45859</v>
      </c>
      <c r="B533" s="514">
        <f t="shared" si="28"/>
        <v>647250</v>
      </c>
      <c r="C533" s="520">
        <v>500</v>
      </c>
      <c r="D533" s="514">
        <v>1294.5</v>
      </c>
      <c r="E533" s="515" t="s">
        <v>120</v>
      </c>
      <c r="F533" s="517"/>
      <c r="G533" s="522"/>
      <c r="H533" s="863"/>
      <c r="I533" s="647"/>
      <c r="J533" s="862"/>
      <c r="K533" s="578"/>
      <c r="L533" s="578"/>
      <c r="M533" s="600"/>
      <c r="N533" s="592"/>
    </row>
    <row r="534" spans="1:14" s="47" customFormat="1">
      <c r="A534" s="519">
        <v>45862</v>
      </c>
      <c r="B534" s="514">
        <f t="shared" si="28"/>
        <v>642500</v>
      </c>
      <c r="C534" s="520">
        <v>500</v>
      </c>
      <c r="D534" s="514">
        <v>1285</v>
      </c>
      <c r="E534" s="515" t="s">
        <v>553</v>
      </c>
      <c r="F534" s="517"/>
      <c r="G534" s="522"/>
      <c r="H534" s="863"/>
      <c r="I534" s="647"/>
      <c r="J534" s="862"/>
      <c r="K534" s="578"/>
      <c r="L534" s="578"/>
      <c r="M534" s="600"/>
      <c r="N534" s="592"/>
    </row>
    <row r="535" spans="1:14" s="47" customFormat="1">
      <c r="A535" s="519">
        <v>45862</v>
      </c>
      <c r="B535" s="514">
        <f t="shared" ref="B535:B536" si="29">+C535*D535</f>
        <v>382500</v>
      </c>
      <c r="C535" s="520">
        <v>300</v>
      </c>
      <c r="D535" s="514">
        <v>1275</v>
      </c>
      <c r="E535" s="515" t="s">
        <v>120</v>
      </c>
      <c r="F535" s="517"/>
      <c r="G535" s="522"/>
      <c r="H535" s="863"/>
      <c r="I535" s="647"/>
      <c r="J535" s="862"/>
      <c r="K535" s="578"/>
      <c r="L535" s="578"/>
      <c r="M535" s="600"/>
      <c r="N535" s="592"/>
    </row>
    <row r="536" spans="1:14" s="47" customFormat="1">
      <c r="A536" s="519">
        <v>45863</v>
      </c>
      <c r="B536" s="514">
        <f t="shared" si="29"/>
        <v>647500</v>
      </c>
      <c r="C536" s="520">
        <v>500</v>
      </c>
      <c r="D536" s="514">
        <v>1295</v>
      </c>
      <c r="E536" s="515" t="s">
        <v>120</v>
      </c>
      <c r="F536" s="517"/>
      <c r="G536" s="522"/>
      <c r="H536" s="863"/>
      <c r="I536" s="647"/>
      <c r="J536" s="862"/>
      <c r="K536" s="578"/>
      <c r="L536" s="578"/>
      <c r="M536" s="600"/>
      <c r="N536" s="592"/>
    </row>
    <row r="537" spans="1:14" s="47" customFormat="1">
      <c r="A537" s="519">
        <v>45866</v>
      </c>
      <c r="B537" s="514">
        <f>+C537*D537</f>
        <v>655000</v>
      </c>
      <c r="C537" s="520">
        <v>500</v>
      </c>
      <c r="D537" s="514">
        <v>1310</v>
      </c>
      <c r="E537" s="515" t="s">
        <v>831</v>
      </c>
      <c r="F537" s="517"/>
      <c r="G537" s="522"/>
      <c r="H537" s="863"/>
      <c r="I537" s="647"/>
      <c r="J537" s="862"/>
      <c r="K537" s="578"/>
      <c r="L537" s="578"/>
      <c r="M537" s="600"/>
      <c r="N537" s="592"/>
    </row>
    <row r="538" spans="1:14" s="47" customFormat="1">
      <c r="A538" s="519">
        <v>45868</v>
      </c>
      <c r="B538" s="514">
        <f>+C538*D538</f>
        <v>644350</v>
      </c>
      <c r="C538" s="520">
        <v>490</v>
      </c>
      <c r="D538" s="514">
        <v>1315</v>
      </c>
      <c r="E538" s="515" t="s">
        <v>695</v>
      </c>
      <c r="F538" s="517"/>
      <c r="G538" s="522"/>
      <c r="H538" s="863"/>
      <c r="I538" s="647"/>
      <c r="J538" s="862"/>
      <c r="K538" s="578"/>
      <c r="L538" s="578"/>
      <c r="M538" s="600"/>
      <c r="N538" s="592"/>
    </row>
    <row r="539" spans="1:14" s="47" customFormat="1">
      <c r="A539" s="519">
        <v>45869</v>
      </c>
      <c r="B539" s="514">
        <f t="shared" ref="B539:B540" si="30">+C539*D539</f>
        <v>2010000</v>
      </c>
      <c r="C539" s="520">
        <v>1500</v>
      </c>
      <c r="D539" s="514">
        <v>1340</v>
      </c>
      <c r="E539" s="515"/>
      <c r="F539" s="517"/>
      <c r="G539" s="522"/>
      <c r="H539" s="863"/>
      <c r="I539" s="647"/>
      <c r="J539" s="862"/>
      <c r="K539" s="578"/>
      <c r="L539" s="578"/>
      <c r="M539" s="600"/>
      <c r="N539" s="592"/>
    </row>
    <row r="540" spans="1:14" s="47" customFormat="1">
      <c r="A540" s="519">
        <v>45869</v>
      </c>
      <c r="B540" s="514">
        <f t="shared" si="30"/>
        <v>712400</v>
      </c>
      <c r="C540" s="520">
        <v>520</v>
      </c>
      <c r="D540" s="514">
        <v>1370</v>
      </c>
      <c r="E540" s="515" t="s">
        <v>120</v>
      </c>
      <c r="F540" s="517"/>
      <c r="G540" s="522"/>
      <c r="H540" s="863"/>
      <c r="I540" s="647"/>
      <c r="J540" s="862"/>
      <c r="K540" s="578"/>
      <c r="L540" s="578"/>
      <c r="M540" s="600"/>
      <c r="N540" s="592"/>
    </row>
    <row r="541" spans="1:14" s="47" customFormat="1">
      <c r="A541" s="519">
        <v>45870</v>
      </c>
      <c r="B541" s="514">
        <f t="shared" ref="B541" si="31">+C541*D541</f>
        <v>2062500</v>
      </c>
      <c r="C541" s="520">
        <v>1500</v>
      </c>
      <c r="D541" s="514">
        <v>1375</v>
      </c>
      <c r="E541" s="515" t="s">
        <v>120</v>
      </c>
      <c r="F541" s="517"/>
      <c r="G541" s="522"/>
      <c r="H541" s="863"/>
      <c r="I541" s="647"/>
      <c r="J541" s="862"/>
      <c r="K541" s="578"/>
      <c r="L541" s="578"/>
      <c r="M541" s="600"/>
      <c r="N541" s="592"/>
    </row>
    <row r="542" spans="1:14" s="47" customFormat="1">
      <c r="A542" s="519">
        <v>45874</v>
      </c>
      <c r="B542" s="514">
        <f t="shared" ref="B542:B543" si="32">+C542*D542</f>
        <v>941500</v>
      </c>
      <c r="C542" s="520">
        <v>700</v>
      </c>
      <c r="D542" s="514">
        <v>1345</v>
      </c>
      <c r="E542" s="515" t="s">
        <v>120</v>
      </c>
      <c r="F542" s="517"/>
      <c r="G542" s="522"/>
      <c r="H542" s="863"/>
      <c r="I542" s="647"/>
      <c r="J542" s="862"/>
      <c r="K542" s="578"/>
      <c r="L542" s="578"/>
      <c r="M542" s="600"/>
      <c r="N542" s="592"/>
    </row>
    <row r="543" spans="1:14" s="47" customFormat="1">
      <c r="A543" s="519">
        <v>45880</v>
      </c>
      <c r="B543" s="514">
        <f t="shared" si="32"/>
        <v>667500</v>
      </c>
      <c r="C543" s="520">
        <v>500</v>
      </c>
      <c r="D543" s="514">
        <v>1335</v>
      </c>
      <c r="E543" s="515" t="s">
        <v>276</v>
      </c>
      <c r="F543" s="517"/>
      <c r="G543" s="522"/>
      <c r="H543" s="863"/>
      <c r="I543" s="647"/>
      <c r="J543" s="862"/>
      <c r="K543" s="578"/>
      <c r="L543" s="578"/>
      <c r="M543" s="600"/>
      <c r="N543" s="592"/>
    </row>
    <row r="544" spans="1:14" s="47" customFormat="1">
      <c r="A544" s="519">
        <v>45883</v>
      </c>
      <c r="B544" s="514">
        <f>+C544*D544</f>
        <v>524000</v>
      </c>
      <c r="C544" s="520">
        <v>400</v>
      </c>
      <c r="D544" s="514">
        <v>1310</v>
      </c>
      <c r="E544" s="515" t="s">
        <v>695</v>
      </c>
      <c r="F544" s="517"/>
      <c r="G544" s="522"/>
      <c r="H544" s="863"/>
      <c r="I544" s="647"/>
      <c r="J544" s="862"/>
      <c r="K544" s="578"/>
      <c r="L544" s="578"/>
      <c r="M544" s="600"/>
      <c r="N544" s="592"/>
    </row>
    <row r="545" spans="1:14" s="47" customFormat="1">
      <c r="A545" s="519">
        <v>45888</v>
      </c>
      <c r="B545" s="514">
        <f>+C545*D545</f>
        <v>528000</v>
      </c>
      <c r="C545" s="520">
        <v>400</v>
      </c>
      <c r="D545" s="514">
        <v>1320</v>
      </c>
      <c r="E545" s="515" t="s">
        <v>695</v>
      </c>
      <c r="F545" s="517"/>
      <c r="G545" s="522"/>
      <c r="H545" s="863"/>
      <c r="I545" s="647"/>
      <c r="J545" s="862"/>
      <c r="K545" s="578"/>
      <c r="L545" s="578"/>
      <c r="M545" s="600"/>
      <c r="N545" s="592"/>
    </row>
    <row r="546" spans="1:14" s="47" customFormat="1">
      <c r="A546" s="519">
        <v>45888</v>
      </c>
      <c r="B546" s="514">
        <f>+C546*D546</f>
        <v>277200</v>
      </c>
      <c r="C546" s="520">
        <v>210</v>
      </c>
      <c r="D546" s="514">
        <v>1320</v>
      </c>
      <c r="E546" s="515" t="s">
        <v>695</v>
      </c>
      <c r="F546" s="517"/>
      <c r="G546" s="522"/>
      <c r="H546" s="863"/>
      <c r="I546" s="647"/>
      <c r="J546" s="862"/>
      <c r="K546" s="578"/>
      <c r="L546" s="578"/>
      <c r="M546" s="600"/>
      <c r="N546" s="592"/>
    </row>
    <row r="547" spans="1:14" s="47" customFormat="1">
      <c r="A547" s="519">
        <v>45889</v>
      </c>
      <c r="B547" s="514">
        <f>+C547*D547</f>
        <v>660000</v>
      </c>
      <c r="C547" s="520">
        <v>500</v>
      </c>
      <c r="D547" s="514">
        <v>1320</v>
      </c>
      <c r="E547" s="515" t="s">
        <v>695</v>
      </c>
      <c r="F547" s="517"/>
      <c r="G547" s="522"/>
      <c r="H547" s="863"/>
      <c r="I547" s="647"/>
      <c r="J547" s="862"/>
      <c r="K547" s="578"/>
      <c r="L547" s="578"/>
      <c r="M547" s="600"/>
      <c r="N547" s="592"/>
    </row>
    <row r="548" spans="1:14" s="47" customFormat="1">
      <c r="A548" s="519">
        <v>45890</v>
      </c>
      <c r="B548" s="514">
        <f t="shared" ref="B548" si="33">+C548*D548</f>
        <v>660000</v>
      </c>
      <c r="C548" s="520">
        <v>500</v>
      </c>
      <c r="D548" s="514">
        <v>1320</v>
      </c>
      <c r="E548" s="515" t="s">
        <v>276</v>
      </c>
      <c r="F548" s="517"/>
      <c r="G548" s="522"/>
      <c r="H548" s="863"/>
      <c r="I548" s="647"/>
      <c r="J548" s="862"/>
      <c r="K548" s="578"/>
      <c r="L548" s="578"/>
      <c r="M548" s="600"/>
      <c r="N548" s="592"/>
    </row>
    <row r="549" spans="1:14" s="47" customFormat="1">
      <c r="A549" s="519">
        <v>45891</v>
      </c>
      <c r="B549" s="514">
        <f t="shared" ref="B549:B555" si="34">+C549*D549</f>
        <v>667500</v>
      </c>
      <c r="C549" s="520">
        <v>500</v>
      </c>
      <c r="D549" s="514">
        <v>1335</v>
      </c>
      <c r="E549" s="515" t="s">
        <v>695</v>
      </c>
      <c r="F549" s="517"/>
      <c r="G549" s="522"/>
      <c r="H549" s="863"/>
      <c r="I549" s="647"/>
      <c r="J549" s="862"/>
      <c r="K549" s="578"/>
      <c r="L549" s="578"/>
      <c r="M549" s="600"/>
      <c r="N549" s="592"/>
    </row>
    <row r="550" spans="1:14" s="47" customFormat="1">
      <c r="A550" s="519">
        <v>45896</v>
      </c>
      <c r="B550" s="514">
        <f t="shared" si="34"/>
        <v>852500</v>
      </c>
      <c r="C550" s="520">
        <v>620</v>
      </c>
      <c r="D550" s="514">
        <v>1375</v>
      </c>
      <c r="E550" s="515" t="s">
        <v>695</v>
      </c>
      <c r="F550" s="517"/>
      <c r="G550" s="522"/>
      <c r="H550" s="863"/>
      <c r="I550" s="647"/>
      <c r="J550" s="862"/>
      <c r="K550" s="578"/>
      <c r="L550" s="578"/>
      <c r="M550" s="600"/>
      <c r="N550" s="592"/>
    </row>
    <row r="551" spans="1:14" s="47" customFormat="1">
      <c r="A551" s="519">
        <v>45897</v>
      </c>
      <c r="B551" s="514">
        <f t="shared" si="34"/>
        <v>677500</v>
      </c>
      <c r="C551" s="520">
        <v>500</v>
      </c>
      <c r="D551" s="514">
        <v>1355</v>
      </c>
      <c r="E551" s="515" t="s">
        <v>695</v>
      </c>
      <c r="F551" s="517"/>
      <c r="G551" s="522"/>
      <c r="H551" s="863"/>
      <c r="I551" s="647"/>
      <c r="J551" s="862"/>
      <c r="K551" s="578"/>
      <c r="L551" s="578"/>
      <c r="M551" s="600"/>
      <c r="N551" s="592"/>
    </row>
    <row r="552" spans="1:14" s="47" customFormat="1">
      <c r="A552" s="519">
        <v>45897</v>
      </c>
      <c r="B552" s="514">
        <f t="shared" si="34"/>
        <v>647500.5</v>
      </c>
      <c r="C552" s="520">
        <v>479.63</v>
      </c>
      <c r="D552" s="514">
        <v>1350</v>
      </c>
      <c r="E552" s="515" t="s">
        <v>695</v>
      </c>
      <c r="F552" s="517"/>
      <c r="G552" s="522"/>
      <c r="H552" s="863"/>
      <c r="I552" s="647"/>
      <c r="J552" s="862"/>
      <c r="K552" s="578"/>
      <c r="L552" s="578"/>
      <c r="M552" s="600"/>
      <c r="N552" s="592"/>
    </row>
    <row r="553" spans="1:14" s="47" customFormat="1">
      <c r="A553" s="519">
        <v>45897</v>
      </c>
      <c r="B553" s="514">
        <f t="shared" si="34"/>
        <v>27499.5</v>
      </c>
      <c r="C553" s="520">
        <v>20.37</v>
      </c>
      <c r="D553" s="514">
        <v>1350</v>
      </c>
      <c r="E553" s="515" t="s">
        <v>695</v>
      </c>
      <c r="F553" s="517"/>
      <c r="G553" s="522"/>
      <c r="H553" s="863"/>
      <c r="I553" s="647"/>
      <c r="J553" s="862"/>
      <c r="K553" s="578"/>
      <c r="L553" s="578"/>
      <c r="M553" s="600"/>
      <c r="N553" s="592"/>
    </row>
    <row r="554" spans="1:14" s="47" customFormat="1">
      <c r="A554" s="519">
        <v>45899</v>
      </c>
      <c r="B554" s="514">
        <f t="shared" si="34"/>
        <v>561460</v>
      </c>
      <c r="C554" s="520">
        <v>419</v>
      </c>
      <c r="D554" s="514">
        <v>1340</v>
      </c>
      <c r="E554" s="515" t="s">
        <v>831</v>
      </c>
      <c r="F554" s="517"/>
      <c r="G554" s="522"/>
      <c r="H554" s="863"/>
      <c r="I554" s="647"/>
      <c r="J554" s="862"/>
      <c r="K554" s="578"/>
      <c r="L554" s="578"/>
      <c r="M554" s="600"/>
      <c r="N554" s="592"/>
    </row>
    <row r="555" spans="1:14" s="47" customFormat="1">
      <c r="A555" s="519">
        <v>45901</v>
      </c>
      <c r="B555" s="514">
        <f t="shared" si="34"/>
        <v>1390000</v>
      </c>
      <c r="C555" s="520">
        <v>1000</v>
      </c>
      <c r="D555" s="514">
        <v>1390</v>
      </c>
      <c r="E555" s="515" t="s">
        <v>832</v>
      </c>
      <c r="F555" s="517"/>
      <c r="G555" s="522"/>
      <c r="H555" s="863"/>
      <c r="I555" s="647"/>
      <c r="J555" s="862"/>
      <c r="K555" s="578"/>
      <c r="L555" s="578"/>
      <c r="M555" s="600"/>
      <c r="N555" s="592"/>
    </row>
    <row r="556" spans="1:14" s="47" customFormat="1">
      <c r="A556" s="519">
        <v>45902</v>
      </c>
      <c r="B556" s="514">
        <f t="shared" ref="B556" si="35">+C556*D556</f>
        <v>414000</v>
      </c>
      <c r="C556" s="520">
        <v>300</v>
      </c>
      <c r="D556" s="514">
        <v>1380</v>
      </c>
      <c r="E556" s="515" t="s">
        <v>695</v>
      </c>
      <c r="F556" s="517"/>
      <c r="G556" s="522"/>
      <c r="H556" s="863"/>
      <c r="I556" s="647"/>
      <c r="J556" s="862"/>
      <c r="K556" s="578"/>
      <c r="L556" s="578"/>
      <c r="M556" s="600"/>
      <c r="N556" s="592"/>
    </row>
    <row r="557" spans="1:14" s="47" customFormat="1">
      <c r="A557" s="519">
        <v>45903</v>
      </c>
      <c r="B557" s="514">
        <f t="shared" ref="B557" si="36">+C557*D557</f>
        <v>687500</v>
      </c>
      <c r="C557" s="520">
        <v>500</v>
      </c>
      <c r="D557" s="514">
        <v>1375</v>
      </c>
      <c r="E557" s="515" t="s">
        <v>540</v>
      </c>
      <c r="F557" s="517"/>
      <c r="G557" s="522"/>
      <c r="H557" s="863"/>
      <c r="I557" s="647"/>
      <c r="J557" s="862"/>
      <c r="K557" s="578"/>
      <c r="L557" s="578"/>
      <c r="M557" s="600"/>
      <c r="N557" s="592"/>
    </row>
    <row r="558" spans="1:14" s="47" customFormat="1">
      <c r="A558" s="519">
        <v>45903</v>
      </c>
      <c r="B558" s="514">
        <f>+C558*D558</f>
        <v>275000</v>
      </c>
      <c r="C558" s="520">
        <v>200</v>
      </c>
      <c r="D558" s="514">
        <v>1375</v>
      </c>
      <c r="E558" s="515" t="s">
        <v>120</v>
      </c>
      <c r="F558" s="517"/>
      <c r="G558" s="522"/>
      <c r="H558" s="1145"/>
      <c r="I558" s="1146"/>
      <c r="J558" s="1147"/>
      <c r="K558" s="578"/>
      <c r="L558" s="578"/>
      <c r="M558" s="592"/>
      <c r="N558" s="592"/>
    </row>
    <row r="559" spans="1:14" s="47" customFormat="1">
      <c r="A559" s="519">
        <v>45904</v>
      </c>
      <c r="B559" s="514">
        <f t="shared" ref="B559:B560" si="37">+C559*D559</f>
        <v>800400</v>
      </c>
      <c r="C559" s="520">
        <v>580</v>
      </c>
      <c r="D559" s="514">
        <v>1380</v>
      </c>
      <c r="E559" s="515" t="s">
        <v>695</v>
      </c>
      <c r="F559" s="517"/>
      <c r="G559" s="522"/>
      <c r="H559" s="863"/>
      <c r="I559" s="647"/>
      <c r="J559" s="862"/>
      <c r="K559" s="578"/>
      <c r="L559" s="578"/>
      <c r="M559" s="600"/>
      <c r="N559" s="592"/>
    </row>
    <row r="560" spans="1:14" s="47" customFormat="1">
      <c r="A560" s="519">
        <v>45910</v>
      </c>
      <c r="B560" s="514">
        <f t="shared" si="37"/>
        <v>1674000</v>
      </c>
      <c r="C560" s="520">
        <v>1200</v>
      </c>
      <c r="D560" s="514">
        <v>1395</v>
      </c>
      <c r="E560" s="515"/>
      <c r="F560" s="517"/>
      <c r="G560" s="522"/>
      <c r="H560" s="863"/>
      <c r="I560" s="647"/>
      <c r="J560" s="862"/>
      <c r="K560" s="578"/>
      <c r="L560" s="578"/>
      <c r="M560" s="600"/>
      <c r="N560" s="592"/>
    </row>
    <row r="561" spans="1:14" s="47" customFormat="1">
      <c r="A561" s="519">
        <v>45915</v>
      </c>
      <c r="B561" s="514">
        <f>+C561*D561</f>
        <v>661500</v>
      </c>
      <c r="C561" s="520">
        <v>450</v>
      </c>
      <c r="D561" s="514">
        <v>1470</v>
      </c>
      <c r="E561" s="515" t="s">
        <v>120</v>
      </c>
      <c r="F561" s="517"/>
      <c r="G561" s="522"/>
      <c r="H561" s="1145"/>
      <c r="I561" s="1146"/>
      <c r="J561" s="1147"/>
      <c r="K561" s="578"/>
      <c r="L561" s="578"/>
      <c r="M561" s="592"/>
      <c r="N561" s="592"/>
    </row>
    <row r="562" spans="1:14" s="47" customFormat="1">
      <c r="A562" s="519">
        <v>45915</v>
      </c>
      <c r="B562" s="514">
        <f t="shared" ref="B562:B564" si="38">+C562*D562</f>
        <v>740000</v>
      </c>
      <c r="C562" s="520">
        <v>500</v>
      </c>
      <c r="D562" s="514">
        <v>1480</v>
      </c>
      <c r="E562" s="515" t="s">
        <v>695</v>
      </c>
      <c r="F562" s="517"/>
      <c r="G562" s="522"/>
      <c r="H562" s="863"/>
      <c r="I562" s="647"/>
      <c r="J562" s="862"/>
      <c r="K562" s="578"/>
      <c r="L562" s="578"/>
      <c r="M562" s="600"/>
      <c r="N562" s="592"/>
    </row>
    <row r="563" spans="1:14" s="47" customFormat="1">
      <c r="A563" s="519">
        <v>45916</v>
      </c>
      <c r="B563" s="514">
        <f t="shared" si="38"/>
        <v>742500</v>
      </c>
      <c r="C563" s="520">
        <v>500</v>
      </c>
      <c r="D563" s="514">
        <v>1485</v>
      </c>
      <c r="E563" s="515" t="s">
        <v>276</v>
      </c>
      <c r="F563" s="517"/>
      <c r="G563" s="522"/>
      <c r="H563" s="863"/>
      <c r="I563" s="647"/>
      <c r="J563" s="862"/>
      <c r="K563" s="578"/>
      <c r="L563" s="578"/>
      <c r="M563" s="600"/>
      <c r="N563" s="592"/>
    </row>
    <row r="564" spans="1:14" s="47" customFormat="1">
      <c r="A564" s="519">
        <v>45917</v>
      </c>
      <c r="B564" s="514">
        <f t="shared" si="38"/>
        <v>296000</v>
      </c>
      <c r="C564" s="520">
        <v>200</v>
      </c>
      <c r="D564" s="514">
        <v>1480</v>
      </c>
      <c r="E564" s="515" t="s">
        <v>832</v>
      </c>
      <c r="F564" s="517"/>
      <c r="G564" s="522"/>
      <c r="H564" s="863"/>
      <c r="I564" s="647"/>
      <c r="J564" s="862"/>
      <c r="K564" s="578"/>
      <c r="L564" s="578"/>
      <c r="M564" s="600"/>
      <c r="N564" s="592"/>
    </row>
    <row r="565" spans="1:14" s="47" customFormat="1">
      <c r="A565" s="519">
        <v>45917</v>
      </c>
      <c r="B565" s="514">
        <f t="shared" ref="B565:B566" si="39">+C565*D565</f>
        <v>476800</v>
      </c>
      <c r="C565" s="520">
        <v>320</v>
      </c>
      <c r="D565" s="514">
        <v>1490</v>
      </c>
      <c r="E565" s="515" t="s">
        <v>695</v>
      </c>
      <c r="F565" s="517"/>
      <c r="G565" s="522"/>
      <c r="H565" s="863"/>
      <c r="I565" s="647"/>
      <c r="J565" s="862"/>
      <c r="K565" s="578"/>
      <c r="L565" s="578"/>
      <c r="M565" s="600"/>
      <c r="N565" s="592"/>
    </row>
    <row r="566" spans="1:14" s="47" customFormat="1">
      <c r="A566" s="519">
        <v>45917</v>
      </c>
      <c r="B566" s="514">
        <f t="shared" si="39"/>
        <v>298000</v>
      </c>
      <c r="C566" s="520">
        <v>200</v>
      </c>
      <c r="D566" s="514">
        <v>1490</v>
      </c>
      <c r="E566" s="515" t="s">
        <v>276</v>
      </c>
      <c r="F566" s="517"/>
      <c r="G566" s="522"/>
      <c r="H566" s="863"/>
      <c r="I566" s="647"/>
      <c r="J566" s="862"/>
      <c r="K566" s="578"/>
      <c r="L566" s="578"/>
      <c r="M566" s="600"/>
      <c r="N566" s="592"/>
    </row>
    <row r="567" spans="1:14" s="47" customFormat="1">
      <c r="A567" s="519">
        <v>45918</v>
      </c>
      <c r="B567" s="514">
        <f t="shared" ref="B567:B568" si="40">+C567*D567</f>
        <v>551300</v>
      </c>
      <c r="C567" s="520">
        <v>370</v>
      </c>
      <c r="D567" s="514">
        <v>1490</v>
      </c>
      <c r="E567" s="515" t="s">
        <v>695</v>
      </c>
      <c r="F567" s="517"/>
      <c r="G567" s="522"/>
      <c r="H567" s="863"/>
      <c r="I567" s="647"/>
      <c r="J567" s="862"/>
      <c r="K567" s="578"/>
      <c r="L567" s="578"/>
      <c r="M567" s="600"/>
      <c r="N567" s="592"/>
    </row>
    <row r="568" spans="1:14" s="47" customFormat="1">
      <c r="A568" s="519">
        <v>45918</v>
      </c>
      <c r="B568" s="514">
        <f t="shared" si="40"/>
        <v>745000</v>
      </c>
      <c r="C568" s="520">
        <v>500</v>
      </c>
      <c r="D568" s="514">
        <v>1490</v>
      </c>
      <c r="E568" s="515" t="s">
        <v>276</v>
      </c>
      <c r="F568" s="517"/>
      <c r="G568" s="522"/>
      <c r="H568" s="863"/>
      <c r="I568" s="647"/>
      <c r="J568" s="862"/>
      <c r="K568" s="578"/>
      <c r="L568" s="578"/>
      <c r="M568" s="600"/>
      <c r="N568" s="592"/>
    </row>
    <row r="569" spans="1:14" s="47" customFormat="1">
      <c r="A569" s="519">
        <v>45918</v>
      </c>
      <c r="B569" s="514">
        <f>+C569*D569</f>
        <v>900000</v>
      </c>
      <c r="C569" s="520">
        <v>600</v>
      </c>
      <c r="D569" s="514">
        <v>1500</v>
      </c>
      <c r="E569" s="515" t="s">
        <v>120</v>
      </c>
      <c r="F569" s="517"/>
      <c r="G569" s="522"/>
      <c r="H569" s="1145"/>
      <c r="I569" s="1146"/>
      <c r="J569" s="1147"/>
      <c r="K569" s="578"/>
      <c r="L569" s="578"/>
      <c r="M569" s="592"/>
      <c r="N569" s="592"/>
    </row>
    <row r="570" spans="1:14" s="47" customFormat="1">
      <c r="A570" s="519">
        <v>45918</v>
      </c>
      <c r="B570" s="514">
        <f t="shared" ref="B570" si="41">+C570*D570</f>
        <v>903000</v>
      </c>
      <c r="C570" s="520">
        <v>600</v>
      </c>
      <c r="D570" s="514">
        <v>1505</v>
      </c>
      <c r="E570" s="515" t="s">
        <v>540</v>
      </c>
      <c r="F570" s="517"/>
      <c r="G570" s="522"/>
      <c r="H570" s="863"/>
      <c r="I570" s="647"/>
      <c r="J570" s="862"/>
      <c r="K570" s="578"/>
      <c r="L570" s="578"/>
      <c r="M570" s="600"/>
      <c r="N570" s="592"/>
    </row>
    <row r="571" spans="1:14" s="47" customFormat="1">
      <c r="A571" s="519">
        <v>45919</v>
      </c>
      <c r="B571" s="514">
        <f>+C571*D571</f>
        <v>1525000</v>
      </c>
      <c r="C571" s="520">
        <v>1000</v>
      </c>
      <c r="D571" s="514">
        <v>1525</v>
      </c>
      <c r="E571" s="515" t="s">
        <v>120</v>
      </c>
      <c r="F571" s="517"/>
      <c r="G571" s="522"/>
      <c r="H571" s="1145"/>
      <c r="I571" s="1146"/>
      <c r="J571" s="1147"/>
      <c r="K571" s="578"/>
      <c r="L571" s="578"/>
      <c r="M571" s="592"/>
      <c r="N571" s="592"/>
    </row>
    <row r="572" spans="1:14" s="47" customFormat="1">
      <c r="A572" s="519">
        <v>45919</v>
      </c>
      <c r="B572" s="514">
        <f t="shared" ref="B572:B573" si="42">+C572*D572</f>
        <v>836000</v>
      </c>
      <c r="C572" s="520">
        <v>550</v>
      </c>
      <c r="D572" s="514">
        <v>1520</v>
      </c>
      <c r="E572" s="515" t="s">
        <v>831</v>
      </c>
      <c r="F572" s="517"/>
      <c r="G572" s="522"/>
      <c r="H572" s="863"/>
      <c r="I572" s="647"/>
      <c r="J572" s="862"/>
      <c r="K572" s="578"/>
      <c r="L572" s="578"/>
      <c r="M572" s="600"/>
      <c r="N572" s="592"/>
    </row>
    <row r="573" spans="1:14" s="47" customFormat="1">
      <c r="A573" s="519">
        <v>45918</v>
      </c>
      <c r="B573" s="514">
        <f t="shared" si="42"/>
        <v>915000</v>
      </c>
      <c r="C573" s="520">
        <v>600</v>
      </c>
      <c r="D573" s="514">
        <v>1525</v>
      </c>
      <c r="E573" s="515" t="s">
        <v>276</v>
      </c>
      <c r="F573" s="517"/>
      <c r="G573" s="522"/>
      <c r="H573" s="863"/>
      <c r="I573" s="647"/>
      <c r="J573" s="862"/>
      <c r="K573" s="578"/>
      <c r="L573" s="578"/>
      <c r="M573" s="600"/>
      <c r="N573" s="592"/>
    </row>
    <row r="574" spans="1:14" s="47" customFormat="1">
      <c r="A574" s="519">
        <v>45926</v>
      </c>
      <c r="B574" s="514">
        <f>+C574*D574</f>
        <v>274000</v>
      </c>
      <c r="C574" s="520">
        <v>200</v>
      </c>
      <c r="D574" s="514">
        <v>1370</v>
      </c>
      <c r="E574" s="515" t="s">
        <v>120</v>
      </c>
      <c r="F574" s="517"/>
      <c r="G574" s="522"/>
      <c r="H574" s="1145"/>
      <c r="I574" s="1146"/>
      <c r="J574" s="1147"/>
      <c r="K574" s="578"/>
      <c r="L574" s="578"/>
      <c r="M574" s="592"/>
      <c r="N574" s="592"/>
    </row>
    <row r="575" spans="1:14" s="47" customFormat="1">
      <c r="A575" s="519">
        <v>45929</v>
      </c>
      <c r="B575" s="514">
        <f t="shared" ref="B575:B576" si="43">+C575*D575</f>
        <v>1370000</v>
      </c>
      <c r="C575" s="520">
        <v>1000</v>
      </c>
      <c r="D575" s="514">
        <v>1370</v>
      </c>
      <c r="E575" s="515" t="s">
        <v>540</v>
      </c>
      <c r="F575" s="517"/>
      <c r="G575" s="522"/>
      <c r="H575" s="863"/>
      <c r="I575" s="647"/>
      <c r="J575" s="862"/>
      <c r="K575" s="578"/>
      <c r="L575" s="578"/>
      <c r="M575" s="600"/>
      <c r="N575" s="592"/>
    </row>
    <row r="576" spans="1:14" s="47" customFormat="1">
      <c r="A576" s="519">
        <v>45930</v>
      </c>
      <c r="B576" s="514">
        <f t="shared" si="43"/>
        <v>282000</v>
      </c>
      <c r="C576" s="520">
        <v>200</v>
      </c>
      <c r="D576" s="514">
        <v>1410</v>
      </c>
      <c r="E576" s="515" t="s">
        <v>695</v>
      </c>
      <c r="F576" s="517"/>
      <c r="G576" s="522"/>
      <c r="H576" s="863"/>
      <c r="I576" s="647"/>
      <c r="J576" s="862"/>
      <c r="K576" s="578"/>
      <c r="L576" s="578"/>
      <c r="M576" s="600"/>
      <c r="N576" s="592"/>
    </row>
    <row r="577" spans="1:14" s="47" customFormat="1">
      <c r="A577" s="519">
        <v>45930</v>
      </c>
      <c r="B577" s="514">
        <f>+C577*D577</f>
        <v>700000</v>
      </c>
      <c r="C577" s="520">
        <v>500</v>
      </c>
      <c r="D577" s="514">
        <v>1400</v>
      </c>
      <c r="E577" s="515" t="s">
        <v>120</v>
      </c>
      <c r="F577" s="517"/>
      <c r="G577" s="522"/>
      <c r="H577" s="1145"/>
      <c r="I577" s="1146"/>
      <c r="J577" s="1147"/>
      <c r="K577" s="578"/>
      <c r="L577" s="578"/>
      <c r="M577" s="592"/>
      <c r="N577" s="592"/>
    </row>
    <row r="578" spans="1:14" s="47" customFormat="1">
      <c r="A578" s="519">
        <v>45930</v>
      </c>
      <c r="B578" s="514">
        <f t="shared" ref="B578:B579" si="44">+C578*D578</f>
        <v>352500</v>
      </c>
      <c r="C578" s="520">
        <v>250</v>
      </c>
      <c r="D578" s="514">
        <v>1410</v>
      </c>
      <c r="E578" s="515" t="s">
        <v>276</v>
      </c>
      <c r="F578" s="517"/>
      <c r="G578" s="522"/>
      <c r="H578" s="863"/>
      <c r="I578" s="647"/>
      <c r="J578" s="862"/>
      <c r="K578" s="578"/>
      <c r="L578" s="578"/>
      <c r="M578" s="600"/>
      <c r="N578" s="592"/>
    </row>
    <row r="579" spans="1:14" s="47" customFormat="1">
      <c r="A579" s="519">
        <v>45930</v>
      </c>
      <c r="B579" s="514">
        <f t="shared" si="44"/>
        <v>910000</v>
      </c>
      <c r="C579" s="520">
        <v>650</v>
      </c>
      <c r="D579" s="514">
        <v>1400</v>
      </c>
      <c r="E579" s="515" t="s">
        <v>540</v>
      </c>
      <c r="F579" s="517"/>
      <c r="G579" s="522"/>
      <c r="H579" s="863"/>
      <c r="I579" s="647"/>
      <c r="J579" s="862"/>
      <c r="K579" s="578"/>
      <c r="L579" s="578"/>
      <c r="M579" s="600"/>
      <c r="N579" s="592"/>
    </row>
    <row r="580" spans="1:14" s="47" customFormat="1">
      <c r="A580" s="519">
        <v>45930</v>
      </c>
      <c r="B580" s="514">
        <f>+C580*D580</f>
        <v>994000</v>
      </c>
      <c r="C580" s="520">
        <v>700</v>
      </c>
      <c r="D580" s="514">
        <v>1420</v>
      </c>
      <c r="E580" s="515" t="s">
        <v>120</v>
      </c>
      <c r="F580" s="517"/>
      <c r="G580" s="522"/>
      <c r="H580" s="1145"/>
      <c r="I580" s="1146"/>
      <c r="J580" s="1147"/>
      <c r="K580" s="578"/>
      <c r="L580" s="578"/>
      <c r="M580" s="592"/>
      <c r="N580"/>
    </row>
    <row r="581" spans="1:14" s="47" customFormat="1">
      <c r="A581" s="519">
        <v>45931</v>
      </c>
      <c r="B581" s="514">
        <f>+C581*D581</f>
        <v>2175000</v>
      </c>
      <c r="C581" s="520">
        <v>1500</v>
      </c>
      <c r="D581" s="514">
        <v>1450</v>
      </c>
      <c r="E581" s="515" t="s">
        <v>120</v>
      </c>
      <c r="F581" s="517"/>
      <c r="G581" s="522"/>
      <c r="H581" s="1145"/>
      <c r="I581" s="1146"/>
      <c r="J581" s="1147"/>
      <c r="K581" s="578"/>
      <c r="L581" s="578"/>
      <c r="M581" s="592"/>
      <c r="N581" s="592"/>
    </row>
    <row r="582" spans="1:14" s="47" customFormat="1">
      <c r="A582" s="519">
        <v>45931</v>
      </c>
      <c r="B582" s="514">
        <f t="shared" ref="B582" si="45">+C582*D582</f>
        <v>582000</v>
      </c>
      <c r="C582" s="520">
        <v>400</v>
      </c>
      <c r="D582" s="514">
        <v>1455</v>
      </c>
      <c r="E582" s="515" t="s">
        <v>695</v>
      </c>
      <c r="F582" s="517"/>
      <c r="G582" s="522"/>
      <c r="H582" s="863"/>
      <c r="I582" s="647"/>
      <c r="J582" s="862"/>
      <c r="K582" s="578"/>
      <c r="L582" s="578"/>
      <c r="M582" s="600"/>
      <c r="N582" s="592"/>
    </row>
    <row r="583" spans="1:14" s="47" customFormat="1">
      <c r="A583" s="519">
        <v>45931</v>
      </c>
      <c r="B583" s="514">
        <f t="shared" ref="B583:B585" si="46">+C583*D583</f>
        <v>174600</v>
      </c>
      <c r="C583" s="520">
        <v>120</v>
      </c>
      <c r="D583" s="514">
        <v>1455</v>
      </c>
      <c r="E583" s="515" t="s">
        <v>695</v>
      </c>
      <c r="F583" s="517"/>
      <c r="G583" s="522"/>
      <c r="H583" s="863"/>
      <c r="I583" s="647"/>
      <c r="J583" s="862"/>
      <c r="K583" s="578"/>
      <c r="L583" s="578"/>
      <c r="M583" s="600"/>
      <c r="N583"/>
    </row>
    <row r="584" spans="1:14" s="47" customFormat="1">
      <c r="A584" s="519">
        <v>45931</v>
      </c>
      <c r="B584" s="514">
        <f t="shared" si="46"/>
        <v>805750</v>
      </c>
      <c r="C584" s="520">
        <v>550</v>
      </c>
      <c r="D584" s="514">
        <v>1465</v>
      </c>
      <c r="E584" s="515" t="s">
        <v>540</v>
      </c>
      <c r="F584" s="517"/>
      <c r="G584" s="522"/>
      <c r="H584" s="863"/>
      <c r="I584" s="647"/>
      <c r="J584" s="862"/>
      <c r="K584" s="578"/>
      <c r="L584" s="578"/>
      <c r="M584" s="600"/>
      <c r="N584"/>
    </row>
    <row r="585" spans="1:14" s="47" customFormat="1">
      <c r="A585" s="519">
        <v>45932</v>
      </c>
      <c r="B585" s="514">
        <f t="shared" si="46"/>
        <v>1450000</v>
      </c>
      <c r="C585" s="520">
        <v>1000</v>
      </c>
      <c r="D585" s="514">
        <v>1450</v>
      </c>
      <c r="E585" s="515" t="s">
        <v>832</v>
      </c>
      <c r="F585" s="517"/>
      <c r="G585" s="522"/>
      <c r="H585" s="863"/>
      <c r="I585" s="647"/>
      <c r="J585" s="862"/>
      <c r="K585" s="578"/>
      <c r="L585" s="578"/>
      <c r="M585" s="600"/>
      <c r="N585" s="592"/>
    </row>
    <row r="586" spans="1:14" s="47" customFormat="1">
      <c r="A586" s="519">
        <v>45932</v>
      </c>
      <c r="B586" s="514">
        <f t="shared" ref="B586" si="47">+C586*D586</f>
        <v>1044000</v>
      </c>
      <c r="C586" s="520">
        <v>720</v>
      </c>
      <c r="D586" s="514">
        <v>1450</v>
      </c>
      <c r="E586" s="515" t="s">
        <v>832</v>
      </c>
      <c r="F586" s="517"/>
      <c r="G586" s="522"/>
      <c r="H586" s="863"/>
      <c r="I586" s="647"/>
      <c r="J586" s="862"/>
      <c r="K586" s="578"/>
      <c r="L586" s="578"/>
      <c r="M586" s="600"/>
      <c r="N586"/>
    </row>
    <row r="587" spans="1:14" s="47" customFormat="1">
      <c r="A587" s="519">
        <v>45932</v>
      </c>
      <c r="B587" s="514">
        <f>+C587*D587</f>
        <v>1455000</v>
      </c>
      <c r="C587" s="520">
        <v>1000</v>
      </c>
      <c r="D587" s="514">
        <v>1455</v>
      </c>
      <c r="E587" s="515" t="s">
        <v>120</v>
      </c>
      <c r="F587" s="517"/>
      <c r="G587" s="522"/>
      <c r="H587" s="1145"/>
      <c r="I587" s="1146"/>
      <c r="J587" s="1147"/>
      <c r="K587" s="578"/>
      <c r="L587" s="578"/>
      <c r="M587" s="592"/>
      <c r="N587"/>
    </row>
    <row r="588" spans="1:14" s="47" customFormat="1">
      <c r="A588" s="519">
        <v>45933</v>
      </c>
      <c r="B588" s="514">
        <f t="shared" ref="B588" si="48">+C588*D588</f>
        <v>683850</v>
      </c>
      <c r="C588" s="520">
        <v>470</v>
      </c>
      <c r="D588" s="514">
        <v>1455</v>
      </c>
      <c r="E588" s="515" t="s">
        <v>540</v>
      </c>
      <c r="F588" s="517"/>
      <c r="G588" s="522"/>
      <c r="H588" s="863"/>
      <c r="I588" s="647"/>
      <c r="J588" s="862"/>
      <c r="K588" s="578"/>
      <c r="L588" s="578"/>
      <c r="M588" s="600"/>
      <c r="N588"/>
    </row>
    <row r="589" spans="1:14" s="47" customFormat="1">
      <c r="A589" s="519">
        <v>45933</v>
      </c>
      <c r="B589" s="514">
        <f>+C589*D589</f>
        <v>1455000</v>
      </c>
      <c r="C589" s="520">
        <v>1000</v>
      </c>
      <c r="D589" s="514">
        <v>1455</v>
      </c>
      <c r="E589" s="515" t="s">
        <v>120</v>
      </c>
      <c r="F589" s="517"/>
      <c r="G589" s="522"/>
      <c r="H589" s="1145"/>
      <c r="I589" s="1146"/>
      <c r="J589" s="1147"/>
      <c r="K589" s="578"/>
      <c r="L589" s="578"/>
      <c r="M589" s="592"/>
      <c r="N589"/>
    </row>
    <row r="590" spans="1:14" s="47" customFormat="1">
      <c r="A590" s="519">
        <v>45936</v>
      </c>
      <c r="B590" s="514">
        <f>+C590*D590</f>
        <v>1022000</v>
      </c>
      <c r="C590" s="520">
        <v>700</v>
      </c>
      <c r="D590" s="514">
        <v>1460</v>
      </c>
      <c r="E590" s="515" t="s">
        <v>120</v>
      </c>
      <c r="F590" s="517"/>
      <c r="G590" s="522"/>
      <c r="H590" s="1145"/>
      <c r="I590" s="1146"/>
      <c r="J590" s="1147"/>
      <c r="K590" s="578"/>
      <c r="L590" s="578"/>
      <c r="M590" s="592"/>
      <c r="N590" s="592"/>
    </row>
    <row r="591" spans="1:14" s="47" customFormat="1">
      <c r="A591" s="519">
        <v>45938</v>
      </c>
      <c r="B591" s="514">
        <f>+C591*D591</f>
        <v>1465000</v>
      </c>
      <c r="C591" s="520">
        <v>1000</v>
      </c>
      <c r="D591" s="514">
        <v>1465</v>
      </c>
      <c r="E591" s="515" t="s">
        <v>120</v>
      </c>
      <c r="F591" s="517"/>
      <c r="G591" s="522"/>
      <c r="H591" s="1145"/>
      <c r="I591" s="1146"/>
      <c r="J591" s="1147"/>
      <c r="K591" s="578"/>
      <c r="L591" s="578"/>
      <c r="M591" s="592"/>
      <c r="N591" s="592"/>
    </row>
    <row r="592" spans="1:14" s="47" customFormat="1">
      <c r="A592" s="519">
        <v>45938</v>
      </c>
      <c r="B592" s="514">
        <f>+C592*D592</f>
        <v>1025500</v>
      </c>
      <c r="C592" s="520">
        <v>700</v>
      </c>
      <c r="D592" s="514">
        <v>1465</v>
      </c>
      <c r="E592" s="515" t="s">
        <v>120</v>
      </c>
      <c r="F592" s="517"/>
      <c r="G592" s="522"/>
      <c r="H592" s="1145"/>
      <c r="I592" s="1146"/>
      <c r="J592" s="1147"/>
      <c r="K592" s="578"/>
      <c r="L592" s="578"/>
      <c r="M592" s="592"/>
      <c r="N592" s="592"/>
    </row>
    <row r="593" spans="1:14" s="47" customFormat="1">
      <c r="A593" s="519">
        <v>45939</v>
      </c>
      <c r="B593" s="514">
        <f>+C593*D593</f>
        <v>722500</v>
      </c>
      <c r="C593" s="520">
        <v>500</v>
      </c>
      <c r="D593" s="514">
        <v>1445</v>
      </c>
      <c r="E593" s="515" t="s">
        <v>120</v>
      </c>
      <c r="F593" s="517"/>
      <c r="G593" s="522"/>
      <c r="H593" s="1145"/>
      <c r="I593" s="1146"/>
      <c r="J593" s="1147"/>
      <c r="K593" s="578"/>
      <c r="L593" s="578"/>
      <c r="M593" s="592"/>
      <c r="N593" s="592"/>
    </row>
    <row r="594" spans="1:14" s="47" customFormat="1">
      <c r="A594" s="519">
        <v>45939</v>
      </c>
      <c r="B594" s="514">
        <f t="shared" ref="B594" si="49">+C594*D594</f>
        <v>433500</v>
      </c>
      <c r="C594" s="520">
        <v>300</v>
      </c>
      <c r="D594" s="514">
        <v>1445</v>
      </c>
      <c r="E594" s="515" t="s">
        <v>540</v>
      </c>
      <c r="F594" s="517"/>
      <c r="G594" s="522"/>
      <c r="H594" s="863"/>
      <c r="I594" s="647"/>
      <c r="J594" s="862"/>
      <c r="K594" s="578"/>
      <c r="L594" s="578"/>
      <c r="M594" s="600"/>
      <c r="N594" s="592"/>
    </row>
    <row r="595" spans="1:14" s="47" customFormat="1">
      <c r="A595" s="519">
        <v>45946</v>
      </c>
      <c r="B595" s="514">
        <f t="shared" ref="B595:B598" si="50">+C595*D595</f>
        <v>695000</v>
      </c>
      <c r="C595" s="520">
        <v>500</v>
      </c>
      <c r="D595" s="514">
        <v>1390</v>
      </c>
      <c r="E595" s="515" t="s">
        <v>540</v>
      </c>
      <c r="F595" s="517"/>
      <c r="G595" s="522"/>
      <c r="H595" s="863"/>
      <c r="I595" s="647"/>
      <c r="J595" s="862"/>
      <c r="K595" s="578"/>
      <c r="L595" s="578"/>
      <c r="M595" s="600"/>
      <c r="N595" s="592"/>
    </row>
    <row r="596" spans="1:14" s="47" customFormat="1">
      <c r="A596" s="519">
        <v>45946</v>
      </c>
      <c r="B596" s="514">
        <f t="shared" ref="B596" si="51">+C596*D596</f>
        <v>283000</v>
      </c>
      <c r="C596" s="520">
        <v>200</v>
      </c>
      <c r="D596" s="514">
        <v>1415</v>
      </c>
      <c r="E596" s="515" t="s">
        <v>695</v>
      </c>
      <c r="F596" s="517"/>
      <c r="G596" s="522"/>
      <c r="H596" s="863"/>
      <c r="I596" s="647"/>
      <c r="J596" s="862"/>
      <c r="K596" s="578"/>
      <c r="L596" s="578"/>
      <c r="M596" s="600"/>
      <c r="N596"/>
    </row>
    <row r="597" spans="1:14" s="47" customFormat="1">
      <c r="A597" s="519">
        <v>45951</v>
      </c>
      <c r="B597" s="514">
        <f t="shared" si="50"/>
        <v>303000</v>
      </c>
      <c r="C597" s="520">
        <v>200</v>
      </c>
      <c r="D597" s="514">
        <v>1515</v>
      </c>
      <c r="E597" s="515" t="s">
        <v>695</v>
      </c>
      <c r="F597" s="517"/>
      <c r="G597" s="522"/>
      <c r="H597" s="863"/>
      <c r="I597" s="647"/>
      <c r="J597" s="862"/>
      <c r="K597" s="578"/>
      <c r="L597" s="578"/>
      <c r="M597" s="600"/>
      <c r="N597" s="592"/>
    </row>
    <row r="598" spans="1:14" s="47" customFormat="1">
      <c r="A598" s="519">
        <v>45952</v>
      </c>
      <c r="B598" s="514">
        <f t="shared" si="50"/>
        <v>760000</v>
      </c>
      <c r="C598" s="520">
        <v>500</v>
      </c>
      <c r="D598" s="514">
        <v>1520</v>
      </c>
      <c r="E598" s="515" t="s">
        <v>540</v>
      </c>
      <c r="F598" s="517"/>
      <c r="G598" s="522"/>
      <c r="H598" s="863"/>
      <c r="I598" s="647"/>
      <c r="J598" s="862"/>
      <c r="K598" s="578"/>
      <c r="L598" s="578"/>
      <c r="M598" s="600"/>
      <c r="N598" s="592"/>
    </row>
    <row r="599" spans="1:14" s="47" customFormat="1">
      <c r="A599" s="519">
        <v>45952</v>
      </c>
      <c r="B599" s="514">
        <f t="shared" ref="B599:B600" si="52">+C599*D599</f>
        <v>459000</v>
      </c>
      <c r="C599" s="520">
        <v>300</v>
      </c>
      <c r="D599" s="514">
        <v>1530</v>
      </c>
      <c r="E599" s="515" t="s">
        <v>540</v>
      </c>
      <c r="F599" s="517"/>
      <c r="G599" s="522"/>
      <c r="H599" s="863"/>
      <c r="I599" s="647"/>
      <c r="J599" s="862"/>
      <c r="K599" s="578"/>
      <c r="L599" s="578"/>
      <c r="M599" s="600"/>
      <c r="N599" s="592"/>
    </row>
    <row r="600" spans="1:14" s="47" customFormat="1">
      <c r="A600" s="519">
        <v>45954</v>
      </c>
      <c r="B600" s="514">
        <f t="shared" si="52"/>
        <v>530250</v>
      </c>
      <c r="C600" s="520">
        <v>350</v>
      </c>
      <c r="D600" s="514">
        <v>1515</v>
      </c>
      <c r="E600" s="515" t="s">
        <v>695</v>
      </c>
      <c r="F600" s="517"/>
      <c r="G600" s="522"/>
      <c r="H600" s="863"/>
      <c r="I600" s="647"/>
      <c r="J600" s="862"/>
      <c r="K600" s="578"/>
      <c r="L600" s="578"/>
      <c r="M600" s="600"/>
      <c r="N600" s="592"/>
    </row>
    <row r="601" spans="1:14" s="47" customFormat="1" ht="13">
      <c r="A601" s="420"/>
      <c r="B601" s="430">
        <f>SUM(B515:B600)</f>
        <v>73626638.825000003</v>
      </c>
      <c r="C601" s="430">
        <f>SUM(C515:C600)</f>
        <v>53689.35</v>
      </c>
      <c r="D601" s="430">
        <f>+B601/C601</f>
        <v>1371.3453194162344</v>
      </c>
      <c r="E601" s="422" t="s">
        <v>833</v>
      </c>
      <c r="F601" s="1154">
        <f>(1510-D601)/D601</f>
        <v>0.10110850900981623</v>
      </c>
      <c r="G601" s="430">
        <f>+C601*1500</f>
        <v>80534025</v>
      </c>
      <c r="H601" s="862"/>
      <c r="I601" s="647"/>
      <c r="J601" s="862"/>
      <c r="K601" s="578"/>
      <c r="L601" s="578"/>
      <c r="M601" s="600"/>
      <c r="N601"/>
    </row>
    <row r="602" spans="1:14" s="47" customFormat="1" ht="13">
      <c r="A602" s="422"/>
      <c r="B602" s="430"/>
      <c r="C602" s="430"/>
      <c r="D602" s="430"/>
      <c r="E602" s="422"/>
      <c r="F602" s="1153"/>
      <c r="G602" s="469"/>
      <c r="H602" s="862"/>
      <c r="I602" s="647"/>
      <c r="J602" s="862"/>
      <c r="K602" s="578"/>
      <c r="L602" s="578"/>
      <c r="M602" s="600"/>
      <c r="N602" s="592"/>
    </row>
    <row r="603" spans="1:14" s="47" customFormat="1" ht="15.5">
      <c r="B603" s="619">
        <f>SUM(B421:B601)</f>
        <v>157416540.00150001</v>
      </c>
      <c r="C603" s="619"/>
      <c r="D603" s="534"/>
      <c r="E603" s="532"/>
      <c r="F603" s="535"/>
      <c r="G603" s="536"/>
      <c r="H603" s="862">
        <v>23387</v>
      </c>
      <c r="I603" s="647"/>
      <c r="J603" s="862"/>
      <c r="K603" s="578"/>
      <c r="L603" s="578"/>
      <c r="M603" s="600"/>
      <c r="N603"/>
    </row>
    <row r="604" spans="1:14" s="47" customFormat="1" ht="15.5">
      <c r="A604" s="532" t="s">
        <v>318</v>
      </c>
      <c r="B604" s="619"/>
      <c r="C604" s="619"/>
      <c r="D604" s="534"/>
      <c r="E604" s="532"/>
      <c r="F604" s="535"/>
      <c r="G604" s="536"/>
      <c r="H604" s="862">
        <v>6.8848000000000003</v>
      </c>
      <c r="I604" s="647"/>
      <c r="J604" s="862"/>
      <c r="K604" s="578"/>
      <c r="L604" s="578"/>
      <c r="M604" s="600"/>
      <c r="N604" s="592"/>
    </row>
    <row r="605" spans="1:14" s="47" customFormat="1" ht="15.5">
      <c r="A605" s="532"/>
      <c r="B605" s="619">
        <f>+B463+B464+B465</f>
        <v>81114</v>
      </c>
      <c r="C605" s="619"/>
      <c r="D605" s="534"/>
      <c r="E605" s="532"/>
      <c r="F605" s="535"/>
      <c r="G605" s="536"/>
      <c r="H605" s="862">
        <f>+H603*H604</f>
        <v>161014.81760000001</v>
      </c>
      <c r="I605" s="647"/>
      <c r="J605" s="862"/>
      <c r="K605" s="578"/>
      <c r="L605" s="578"/>
      <c r="M605" s="600"/>
      <c r="N605"/>
    </row>
    <row r="606" spans="1:14" s="47" customFormat="1" ht="13">
      <c r="A606" s="420"/>
      <c r="B606" s="430"/>
      <c r="C606" s="430"/>
      <c r="D606" s="421"/>
      <c r="E606" s="422"/>
      <c r="F606" s="423"/>
      <c r="G606" s="424"/>
      <c r="H606" s="862"/>
      <c r="I606" s="647"/>
      <c r="J606" s="862"/>
      <c r="K606" s="578"/>
      <c r="L606" s="578"/>
      <c r="M606" s="600"/>
      <c r="N606" s="592"/>
    </row>
    <row r="607" spans="1:14" s="47" customFormat="1">
      <c r="A607" s="420"/>
      <c r="B607" s="454">
        <f>+B419/C419</f>
        <v>238.42709841029526</v>
      </c>
      <c r="C607" s="454"/>
      <c r="D607" s="421"/>
      <c r="E607" s="422"/>
      <c r="F607" s="423"/>
      <c r="G607" s="424"/>
      <c r="H607" s="862"/>
      <c r="I607" s="647"/>
      <c r="J607" s="862"/>
      <c r="K607" s="578"/>
      <c r="L607" s="578"/>
      <c r="M607" s="600"/>
      <c r="N607" s="592"/>
    </row>
    <row r="608" spans="1:14" s="47" customFormat="1" ht="13">
      <c r="A608" s="420"/>
      <c r="B608" s="425" t="s">
        <v>328</v>
      </c>
      <c r="C608" s="430"/>
      <c r="D608" s="430"/>
      <c r="E608" s="422"/>
      <c r="F608" s="423"/>
      <c r="G608" s="424"/>
      <c r="H608" s="862"/>
      <c r="I608"/>
      <c r="J608" s="862"/>
      <c r="K608" s="578"/>
      <c r="L608" s="578"/>
      <c r="M608" s="600"/>
      <c r="N608"/>
    </row>
    <row r="609" spans="1:14" s="47" customFormat="1" ht="13">
      <c r="A609" s="420"/>
      <c r="B609" s="430">
        <f>+B439+B441</f>
        <v>55134</v>
      </c>
      <c r="C609" s="430"/>
      <c r="D609" s="421"/>
      <c r="E609" s="422"/>
      <c r="F609" s="423"/>
      <c r="G609" s="424"/>
      <c r="H609" s="862">
        <v>150000</v>
      </c>
      <c r="I609"/>
      <c r="J609" s="862"/>
      <c r="K609" s="578"/>
      <c r="L609" s="578"/>
      <c r="M609" s="600"/>
      <c r="N609"/>
    </row>
    <row r="610" spans="1:14" s="47" customFormat="1" ht="13">
      <c r="A610" s="420"/>
      <c r="B610" s="430">
        <f>SUM(B451:B453)</f>
        <v>71511</v>
      </c>
      <c r="C610" s="430"/>
      <c r="D610" s="421"/>
      <c r="E610" s="422"/>
      <c r="F610" s="423"/>
      <c r="G610" s="424"/>
      <c r="H610" s="862">
        <f>+H609/H604</f>
        <v>21787.125261445501</v>
      </c>
      <c r="I610"/>
      <c r="J610" s="862"/>
      <c r="K610" s="578"/>
      <c r="L610" s="578"/>
      <c r="M610" s="600"/>
      <c r="N610"/>
    </row>
    <row r="611" spans="1:14" s="47" customFormat="1" ht="13">
      <c r="A611" s="420"/>
      <c r="B611" s="430"/>
      <c r="C611" s="430"/>
      <c r="D611" s="421"/>
      <c r="E611" s="422"/>
      <c r="F611" s="423"/>
      <c r="G611" s="424"/>
      <c r="H611">
        <f>21000*H604</f>
        <v>144580.80000000002</v>
      </c>
      <c r="I611"/>
      <c r="J611" s="862"/>
      <c r="K611" s="578"/>
      <c r="L611" s="578"/>
      <c r="M611" s="600"/>
      <c r="N611" s="592"/>
    </row>
    <row r="612" spans="1:14" s="47" customFormat="1" ht="13">
      <c r="A612" s="420" t="s">
        <v>329</v>
      </c>
      <c r="B612" s="430"/>
      <c r="C612" s="430">
        <v>0</v>
      </c>
      <c r="D612" s="422">
        <v>43677</v>
      </c>
      <c r="E612" s="422"/>
      <c r="F612" s="423"/>
      <c r="G612" s="424"/>
      <c r="H612"/>
      <c r="I612" s="235"/>
      <c r="J612" s="862"/>
      <c r="K612" s="578"/>
      <c r="L612" s="578"/>
      <c r="M612" s="600"/>
      <c r="N612"/>
    </row>
    <row r="613" spans="1:14" s="47" customFormat="1">
      <c r="A613" s="420" t="s">
        <v>330</v>
      </c>
      <c r="B613" s="429"/>
      <c r="C613" s="429">
        <f>+B193</f>
        <v>87107000</v>
      </c>
      <c r="D613" s="421"/>
      <c r="E613" s="422"/>
      <c r="F613" s="423"/>
      <c r="G613" s="424"/>
      <c r="H613"/>
      <c r="I613" s="235"/>
      <c r="J613" s="862"/>
      <c r="K613" s="578"/>
      <c r="L613" s="578"/>
      <c r="M613" s="600"/>
      <c r="N613" s="592"/>
    </row>
    <row r="614" spans="1:14" s="47" customFormat="1">
      <c r="A614" s="420" t="s">
        <v>331</v>
      </c>
      <c r="B614" s="429"/>
      <c r="C614" s="429">
        <f>+B197</f>
        <v>2340393.71</v>
      </c>
      <c r="D614" s="422">
        <v>43677</v>
      </c>
      <c r="E614" s="429">
        <v>147000</v>
      </c>
      <c r="F614" s="422">
        <v>43524</v>
      </c>
      <c r="G614" s="429">
        <v>374325.25</v>
      </c>
      <c r="H614"/>
      <c r="I614" s="235"/>
      <c r="J614" s="862"/>
      <c r="K614" s="578"/>
      <c r="L614" s="578"/>
      <c r="M614" s="600"/>
      <c r="N614"/>
    </row>
    <row r="615" spans="1:14" s="47" customFormat="1" ht="13">
      <c r="A615" s="426" t="s">
        <v>332</v>
      </c>
      <c r="B615" s="429">
        <v>0</v>
      </c>
      <c r="C615" s="430">
        <v>0</v>
      </c>
      <c r="D615" s="422">
        <v>43677</v>
      </c>
      <c r="E615" s="429">
        <v>1069550.1200000001</v>
      </c>
      <c r="F615" s="422">
        <v>43524</v>
      </c>
      <c r="G615" s="429">
        <v>979704.97</v>
      </c>
      <c r="H615" s="235"/>
      <c r="I615" s="235"/>
      <c r="J615" s="862"/>
      <c r="K615" s="578"/>
      <c r="L615" s="578"/>
      <c r="M615" s="600"/>
      <c r="N615"/>
    </row>
    <row r="616" spans="1:14" s="47" customFormat="1">
      <c r="A616" s="426" t="s">
        <v>333</v>
      </c>
      <c r="B616" s="429"/>
      <c r="C616" s="429">
        <v>0</v>
      </c>
      <c r="D616" s="422">
        <v>43646</v>
      </c>
      <c r="E616" s="429">
        <v>0</v>
      </c>
      <c r="F616" s="422">
        <v>43524</v>
      </c>
      <c r="G616" s="429">
        <v>135326.17000000001</v>
      </c>
      <c r="H616" s="235"/>
      <c r="I616" s="867"/>
      <c r="J616" s="862"/>
      <c r="K616" s="578"/>
      <c r="L616" s="578"/>
      <c r="M616" s="600"/>
      <c r="N616"/>
    </row>
    <row r="617" spans="1:14" s="47" customFormat="1">
      <c r="A617" s="426" t="s">
        <v>334</v>
      </c>
      <c r="B617" s="454">
        <v>0</v>
      </c>
      <c r="C617" s="429">
        <f>SUM(C612:C616)</f>
        <v>89447393.709999993</v>
      </c>
      <c r="D617" s="422"/>
      <c r="E617" s="427"/>
      <c r="F617" s="428"/>
      <c r="G617" s="427"/>
      <c r="H617" s="235"/>
      <c r="I617" s="867"/>
      <c r="J617" s="862"/>
      <c r="K617" s="578"/>
      <c r="L617" s="578"/>
      <c r="M617" s="600"/>
      <c r="N617"/>
    </row>
    <row r="618" spans="1:14" s="47" customFormat="1">
      <c r="A618" s="426"/>
      <c r="B618" s="429"/>
      <c r="C618" s="429"/>
      <c r="D618" s="422"/>
      <c r="E618" s="427"/>
      <c r="F618" s="428"/>
      <c r="G618" s="427"/>
      <c r="H618" s="235"/>
      <c r="I618" s="867"/>
      <c r="J618" s="862"/>
      <c r="K618" s="578"/>
      <c r="L618" s="578"/>
      <c r="M618" s="600"/>
      <c r="N618"/>
    </row>
    <row r="619" spans="1:14" s="47" customFormat="1" ht="13">
      <c r="A619" s="420"/>
      <c r="B619" s="430"/>
      <c r="C619" s="430">
        <f>+C617</f>
        <v>89447393.709999993</v>
      </c>
      <c r="D619" s="421"/>
      <c r="E619" s="430">
        <f>SUM(E614:E618)</f>
        <v>1216550.1200000001</v>
      </c>
      <c r="F619" s="423"/>
      <c r="G619" s="430">
        <f>SUM(G614:G618)</f>
        <v>1489356.39</v>
      </c>
      <c r="H619" s="50"/>
      <c r="I619" s="867"/>
      <c r="J619" s="862"/>
      <c r="K619" s="578"/>
      <c r="L619" s="578"/>
      <c r="M619" s="600"/>
      <c r="N619" s="592"/>
    </row>
    <row r="620" spans="1:14" s="47" customFormat="1" ht="13">
      <c r="A620" s="420"/>
      <c r="B620" s="431" t="s">
        <v>328</v>
      </c>
      <c r="C620" s="429"/>
      <c r="D620" s="421"/>
      <c r="E620" s="422"/>
      <c r="F620" s="423"/>
      <c r="G620" s="424"/>
      <c r="H620" s="50"/>
      <c r="I620" s="647"/>
      <c r="J620" s="862"/>
      <c r="K620" s="578"/>
      <c r="L620" s="578"/>
      <c r="M620" s="600"/>
      <c r="N620"/>
    </row>
    <row r="621" spans="1:14" s="47" customFormat="1" ht="13">
      <c r="A621" s="420"/>
      <c r="B621" s="431"/>
      <c r="C621" s="429"/>
      <c r="D621" s="421"/>
      <c r="E621" s="422"/>
      <c r="F621" s="423"/>
      <c r="G621" s="424"/>
      <c r="H621" s="50"/>
      <c r="I621" s="647"/>
      <c r="J621" s="862"/>
      <c r="K621" s="578"/>
      <c r="L621" s="578"/>
      <c r="M621" s="600"/>
      <c r="N621" s="592"/>
    </row>
    <row r="622" spans="1:14" s="47" customFormat="1" ht="13">
      <c r="A622" s="420"/>
      <c r="B622" s="431"/>
      <c r="C622" s="429"/>
      <c r="D622" s="421"/>
      <c r="E622" s="422"/>
      <c r="F622" s="423"/>
      <c r="G622" s="424"/>
      <c r="H622" s="50"/>
      <c r="I622" s="867"/>
      <c r="J622" s="862"/>
      <c r="K622" s="578"/>
      <c r="L622" s="578"/>
      <c r="M622" s="600"/>
      <c r="N622"/>
    </row>
    <row r="623" spans="1:14" s="47" customFormat="1" ht="13.5" thickBot="1">
      <c r="A623" s="432" t="s">
        <v>335</v>
      </c>
      <c r="B623" s="433"/>
      <c r="C623" s="433">
        <f>+C619-C620</f>
        <v>89447393.709999993</v>
      </c>
      <c r="D623" s="434"/>
      <c r="E623" s="433"/>
      <c r="F623" s="435"/>
      <c r="G623" s="436"/>
      <c r="H623" s="862"/>
      <c r="I623" s="867"/>
      <c r="J623" s="862"/>
      <c r="K623" s="578"/>
      <c r="L623" s="578"/>
      <c r="M623" s="600"/>
      <c r="N623"/>
    </row>
    <row r="624" spans="1:14" s="47" customFormat="1" ht="13">
      <c r="A624" s="488"/>
      <c r="B624" s="489"/>
      <c r="C624" s="489">
        <f>+C623</f>
        <v>89447393.709999993</v>
      </c>
      <c r="D624" s="490"/>
      <c r="E624" s="489"/>
      <c r="F624" s="491"/>
      <c r="G624" s="492"/>
      <c r="H624" s="862"/>
      <c r="I624" s="867"/>
      <c r="J624" s="862"/>
      <c r="K624" s="578"/>
      <c r="L624" s="578"/>
      <c r="M624" s="600"/>
      <c r="N624" s="592"/>
    </row>
    <row r="625" spans="1:14" s="47" customFormat="1" ht="13">
      <c r="A625" s="488"/>
      <c r="B625" s="489"/>
      <c r="C625" s="489"/>
      <c r="D625" s="490"/>
      <c r="E625" s="489"/>
      <c r="F625" s="491"/>
      <c r="G625" s="492"/>
      <c r="H625" s="50"/>
      <c r="I625" s="867"/>
      <c r="J625" s="862"/>
      <c r="K625" s="578"/>
      <c r="L625" s="578"/>
      <c r="M625" s="600"/>
      <c r="N625"/>
    </row>
    <row r="626" spans="1:14" s="47" customFormat="1" ht="15.5">
      <c r="A626" s="481" t="s">
        <v>336</v>
      </c>
      <c r="B626" s="471"/>
      <c r="C626" s="471"/>
      <c r="D626" s="472"/>
      <c r="E626" s="471"/>
      <c r="F626" s="473"/>
      <c r="G626" s="474"/>
      <c r="H626" s="50"/>
      <c r="I626" s="235"/>
      <c r="J626" s="862"/>
      <c r="K626" s="578"/>
      <c r="L626" s="578"/>
      <c r="M626" s="600"/>
      <c r="N626"/>
    </row>
    <row r="627" spans="1:14" s="47" customFormat="1" ht="13">
      <c r="A627" s="470">
        <v>42521</v>
      </c>
      <c r="B627" s="475">
        <v>53312.689282191779</v>
      </c>
      <c r="C627" s="475">
        <f>B627+(B627*F627/365*D627)*1</f>
        <v>57589.389397760475</v>
      </c>
      <c r="D627" s="476">
        <v>122</v>
      </c>
      <c r="E627" s="477">
        <f>A627+D627</f>
        <v>42643</v>
      </c>
      <c r="F627" s="478">
        <v>0.24</v>
      </c>
      <c r="G627" s="479" t="s">
        <v>337</v>
      </c>
      <c r="H627" s="50"/>
      <c r="I627" s="869"/>
      <c r="J627" s="862"/>
      <c r="K627" s="578"/>
      <c r="L627" s="578"/>
      <c r="M627" s="600"/>
      <c r="N627" s="442"/>
    </row>
    <row r="628" spans="1:14" s="47" customFormat="1" ht="13.5" thickBot="1">
      <c r="A628" s="470">
        <v>42499</v>
      </c>
      <c r="B628" s="482">
        <v>219685.95928671231</v>
      </c>
      <c r="C628" s="482">
        <f>B628+(B628*F628/365*D628)*1</f>
        <v>240486.90929479117</v>
      </c>
      <c r="D628" s="476">
        <v>144</v>
      </c>
      <c r="E628" s="477">
        <f>A628+D628</f>
        <v>42643</v>
      </c>
      <c r="F628" s="478">
        <f>+F627</f>
        <v>0.24</v>
      </c>
      <c r="G628" s="479" t="s">
        <v>337</v>
      </c>
      <c r="H628" s="50"/>
      <c r="I628" s="869"/>
      <c r="J628" s="862"/>
      <c r="K628" s="870"/>
      <c r="L628" s="870"/>
      <c r="M628" s="442"/>
      <c r="N628" s="151"/>
    </row>
    <row r="629" spans="1:14" s="47" customFormat="1" ht="13">
      <c r="A629" s="480"/>
      <c r="B629" s="471">
        <f>SUM(B627:B628)</f>
        <v>272998.64856890409</v>
      </c>
      <c r="C629" s="471">
        <f>SUM(C627:C628)</f>
        <v>298076.29869255167</v>
      </c>
      <c r="D629" s="472"/>
      <c r="E629" s="471"/>
      <c r="F629" s="473"/>
      <c r="G629" s="474"/>
      <c r="H629" s="235"/>
      <c r="I629" s="189"/>
      <c r="J629" s="862"/>
      <c r="K629"/>
      <c r="L629"/>
      <c r="M629"/>
      <c r="N629" s="151"/>
    </row>
    <row r="630" spans="1:14" s="47" customFormat="1" ht="13">
      <c r="A630" s="480"/>
      <c r="B630" s="471"/>
      <c r="C630" s="471">
        <f>+C629-B629</f>
        <v>25077.650123647589</v>
      </c>
      <c r="D630" s="472"/>
      <c r="E630" s="471"/>
      <c r="F630" s="473"/>
      <c r="G630" s="474"/>
      <c r="H630" s="216"/>
      <c r="I630" s="21"/>
      <c r="J630" s="862"/>
      <c r="K630"/>
      <c r="L630"/>
      <c r="M630"/>
      <c r="N630" s="151"/>
    </row>
    <row r="631" spans="1:14" s="47" customFormat="1" ht="13">
      <c r="A631" s="480">
        <v>42732</v>
      </c>
      <c r="B631" s="471" t="s">
        <v>338</v>
      </c>
      <c r="C631" s="471">
        <v>109373.85</v>
      </c>
      <c r="D631" s="472"/>
      <c r="E631" s="471"/>
      <c r="F631" s="473"/>
      <c r="G631" s="474"/>
      <c r="H631" s="216"/>
      <c r="I631" s="21"/>
      <c r="J631" s="862"/>
      <c r="K631"/>
      <c r="L631"/>
      <c r="M631"/>
      <c r="N631" s="151"/>
    </row>
    <row r="632" spans="1:14" s="47" customFormat="1" ht="13">
      <c r="A632" s="480"/>
      <c r="B632" s="471" t="s">
        <v>339</v>
      </c>
      <c r="C632" s="471">
        <f>+C629+C631</f>
        <v>407450.14869255165</v>
      </c>
      <c r="D632" s="480">
        <v>42730</v>
      </c>
      <c r="E632" s="471" t="s">
        <v>340</v>
      </c>
      <c r="F632" s="473"/>
      <c r="G632" s="474"/>
      <c r="H632" s="189"/>
      <c r="I632" s="21"/>
      <c r="J632" s="862"/>
      <c r="K632" s="870"/>
      <c r="L632"/>
      <c r="M632"/>
      <c r="N632" s="151"/>
    </row>
    <row r="633" spans="1:14" s="47" customFormat="1" ht="13">
      <c r="A633" s="493"/>
      <c r="B633" s="184"/>
      <c r="C633" s="494"/>
      <c r="D633" s="495"/>
      <c r="E633" s="496"/>
      <c r="F633" s="497"/>
      <c r="G633" s="498"/>
      <c r="H633" s="21"/>
      <c r="I633" s="21"/>
      <c r="J633" s="862"/>
      <c r="K633" s="580">
        <v>-20</v>
      </c>
      <c r="L633"/>
      <c r="M633"/>
      <c r="N633" s="151"/>
    </row>
    <row r="634" spans="1:14" s="47" customFormat="1" ht="13">
      <c r="A634" s="867"/>
      <c r="B634" s="867"/>
      <c r="C634" s="867"/>
      <c r="D634" s="867"/>
      <c r="E634" s="867"/>
      <c r="F634" s="867"/>
      <c r="G634" s="867"/>
      <c r="H634" s="21"/>
      <c r="I634" s="21"/>
      <c r="J634" s="862"/>
      <c r="K634" s="580">
        <v>-4</v>
      </c>
      <c r="L634"/>
      <c r="M634"/>
      <c r="N634" s="151"/>
    </row>
    <row r="635" spans="1:14" s="47" customFormat="1" ht="13">
      <c r="A635" s="867"/>
      <c r="B635" s="867"/>
      <c r="C635" s="867"/>
      <c r="D635" s="867"/>
      <c r="E635" s="867"/>
      <c r="F635" s="867"/>
      <c r="G635" s="867"/>
      <c r="H635" s="21"/>
      <c r="I635" s="21"/>
      <c r="J635" s="862"/>
      <c r="K635" s="580">
        <v>0</v>
      </c>
      <c r="L635"/>
      <c r="M635"/>
      <c r="N635" s="151"/>
    </row>
    <row r="636" spans="1:14">
      <c r="A636" s="188"/>
      <c r="B636" s="871" t="s">
        <v>341</v>
      </c>
      <c r="C636" s="871" t="s">
        <v>22</v>
      </c>
      <c r="D636" s="871" t="s">
        <v>222</v>
      </c>
      <c r="E636" s="871" t="s">
        <v>328</v>
      </c>
      <c r="F636" s="871" t="s">
        <v>342</v>
      </c>
      <c r="G636" s="871" t="s">
        <v>117</v>
      </c>
      <c r="J636" s="862"/>
      <c r="K636" s="580"/>
    </row>
    <row r="637" spans="1:14">
      <c r="A637" s="873" t="s">
        <v>343</v>
      </c>
      <c r="B637" s="188"/>
      <c r="C637" s="21">
        <f>+resumen!B3</f>
        <v>1450</v>
      </c>
      <c r="D637" s="871"/>
      <c r="E637" s="871"/>
      <c r="F637" s="871"/>
      <c r="G637" s="871"/>
      <c r="J637" s="862"/>
      <c r="K637" s="580"/>
      <c r="L637" s="40"/>
      <c r="M637" s="40"/>
    </row>
    <row r="638" spans="1:14">
      <c r="A638" s="29">
        <v>48</v>
      </c>
      <c r="B638" s="29" t="s">
        <v>344</v>
      </c>
      <c r="C638" s="29">
        <v>550000</v>
      </c>
      <c r="D638" s="194"/>
      <c r="E638" s="28"/>
      <c r="F638" s="28"/>
      <c r="G638" s="28"/>
      <c r="J638" s="862"/>
      <c r="K638" s="580"/>
      <c r="L638" s="40"/>
      <c r="M638" s="40"/>
    </row>
    <row r="639" spans="1:14">
      <c r="A639" s="29">
        <v>48</v>
      </c>
      <c r="B639" s="29" t="s">
        <v>345</v>
      </c>
      <c r="C639" s="29">
        <v>32000</v>
      </c>
      <c r="D639" s="194"/>
      <c r="E639" s="28"/>
      <c r="F639" s="28"/>
      <c r="G639" s="28"/>
      <c r="I639" s="40"/>
      <c r="K639" s="580"/>
      <c r="L639" s="40"/>
      <c r="M639" s="40"/>
    </row>
    <row r="640" spans="1:14">
      <c r="A640" s="29">
        <v>48</v>
      </c>
      <c r="B640" s="29" t="s">
        <v>346</v>
      </c>
      <c r="C640" s="29">
        <v>25000</v>
      </c>
      <c r="D640" s="194"/>
      <c r="E640" s="28"/>
      <c r="F640" s="28"/>
      <c r="G640" s="28"/>
      <c r="I640" s="40"/>
      <c r="K640" s="870"/>
      <c r="L640" s="40"/>
      <c r="M640" s="40"/>
    </row>
    <row r="641" spans="1:14">
      <c r="A641" s="29">
        <v>138</v>
      </c>
      <c r="B641" s="29" t="s">
        <v>344</v>
      </c>
      <c r="C641" s="29"/>
      <c r="D641" s="194"/>
      <c r="E641" s="28"/>
      <c r="F641" s="28"/>
      <c r="G641" s="28"/>
      <c r="I641" s="40"/>
      <c r="K641" s="870"/>
      <c r="L641" s="40"/>
      <c r="M641" s="40"/>
    </row>
    <row r="642" spans="1:14">
      <c r="A642" s="29">
        <v>138</v>
      </c>
      <c r="B642" s="29" t="s">
        <v>345</v>
      </c>
      <c r="C642" s="29"/>
      <c r="D642" s="194"/>
      <c r="E642" s="28"/>
      <c r="F642" s="28"/>
      <c r="G642" s="28"/>
      <c r="H642" s="40"/>
      <c r="I642" s="40"/>
      <c r="K642" s="870"/>
      <c r="L642" s="189"/>
      <c r="M642" s="189"/>
    </row>
    <row r="643" spans="1:14">
      <c r="A643" s="29">
        <v>145</v>
      </c>
      <c r="B643" s="29" t="s">
        <v>344</v>
      </c>
      <c r="C643" s="29">
        <v>0</v>
      </c>
      <c r="D643" s="194"/>
      <c r="E643" s="28"/>
      <c r="F643" s="28"/>
      <c r="G643" s="28"/>
      <c r="H643" s="40"/>
      <c r="I643" s="40"/>
      <c r="J643" s="298"/>
      <c r="L643" s="189"/>
      <c r="M643" s="189"/>
    </row>
    <row r="644" spans="1:14" s="47" customFormat="1" ht="13" thickBot="1">
      <c r="A644" s="29">
        <v>145</v>
      </c>
      <c r="B644" s="874" t="s">
        <v>347</v>
      </c>
      <c r="C644" s="303">
        <v>0</v>
      </c>
      <c r="D644" s="194"/>
      <c r="E644" s="28"/>
      <c r="F644" s="28"/>
      <c r="G644" s="28"/>
      <c r="H644" s="40"/>
      <c r="I644" s="189"/>
      <c r="J644" s="298"/>
      <c r="K644"/>
      <c r="L644" s="189"/>
      <c r="M644" s="189"/>
      <c r="N644" s="442"/>
    </row>
    <row r="645" spans="1:14" s="47" customFormat="1">
      <c r="A645" s="29">
        <v>24</v>
      </c>
      <c r="B645" s="301" t="s">
        <v>348</v>
      </c>
      <c r="C645" s="304">
        <v>0</v>
      </c>
      <c r="D645" s="302"/>
      <c r="E645" s="28"/>
      <c r="F645" s="28"/>
      <c r="G645" s="28"/>
      <c r="H645" s="40"/>
      <c r="I645" s="189"/>
      <c r="J645" s="298"/>
      <c r="K645"/>
      <c r="L645" s="189"/>
      <c r="M645" s="189"/>
      <c r="N645" s="442"/>
    </row>
    <row r="646" spans="1:14" ht="13" thickBot="1">
      <c r="A646" s="29">
        <v>42</v>
      </c>
      <c r="B646" s="301" t="s">
        <v>349</v>
      </c>
      <c r="C646" s="305">
        <v>200000</v>
      </c>
      <c r="D646" s="302"/>
      <c r="E646" s="28"/>
      <c r="F646" s="28"/>
      <c r="G646" s="28"/>
      <c r="L646" s="189"/>
      <c r="M646" s="189"/>
    </row>
    <row r="647" spans="1:14">
      <c r="A647" s="29">
        <v>125</v>
      </c>
      <c r="B647" s="29" t="s">
        <v>350</v>
      </c>
      <c r="C647" s="304">
        <v>0</v>
      </c>
      <c r="D647" s="194"/>
      <c r="E647" s="28"/>
      <c r="F647" s="28"/>
      <c r="G647" s="28"/>
      <c r="H647" s="399"/>
      <c r="I647" s="399"/>
      <c r="J647" s="399"/>
      <c r="K647" s="399"/>
      <c r="L647" s="399"/>
      <c r="M647" s="399"/>
    </row>
    <row r="648" spans="1:14" ht="13" thickBot="1">
      <c r="A648" s="29">
        <v>125</v>
      </c>
      <c r="B648" s="29" t="s">
        <v>351</v>
      </c>
      <c r="C648" s="305">
        <v>0</v>
      </c>
      <c r="D648" s="194"/>
      <c r="E648" s="28"/>
      <c r="F648" s="28"/>
      <c r="G648" s="28"/>
      <c r="H648" s="399"/>
      <c r="I648" s="399"/>
      <c r="J648" s="399"/>
      <c r="K648" s="399"/>
      <c r="L648" s="399"/>
      <c r="M648" s="399"/>
    </row>
    <row r="649" spans="1:14">
      <c r="A649" s="29">
        <v>5</v>
      </c>
      <c r="B649" s="182" t="s">
        <v>352</v>
      </c>
      <c r="C649" s="182">
        <v>150000</v>
      </c>
      <c r="D649" s="194"/>
      <c r="E649" s="28"/>
      <c r="F649" s="28"/>
      <c r="G649" s="28"/>
      <c r="H649" s="399"/>
      <c r="I649" s="399"/>
      <c r="J649" s="399"/>
      <c r="K649" s="399"/>
      <c r="L649" s="399"/>
      <c r="M649" s="399"/>
    </row>
    <row r="650" spans="1:14">
      <c r="A650" s="29"/>
      <c r="B650" s="876" t="s">
        <v>353</v>
      </c>
      <c r="C650" s="29">
        <v>0</v>
      </c>
      <c r="D650" s="194"/>
      <c r="E650" s="28"/>
      <c r="F650" s="28"/>
      <c r="G650" s="28"/>
      <c r="H650" s="399"/>
      <c r="I650" s="399"/>
      <c r="J650" s="399"/>
      <c r="K650" s="399"/>
      <c r="L650" s="399"/>
      <c r="M650" s="399"/>
    </row>
    <row r="651" spans="1:14" s="47" customFormat="1" ht="13">
      <c r="A651" s="182"/>
      <c r="B651" s="188"/>
      <c r="C651" s="40"/>
      <c r="D651" s="307"/>
      <c r="E651" s="181"/>
      <c r="F651" s="181"/>
      <c r="G651" s="181"/>
      <c r="H651" s="399"/>
      <c r="I651" s="399"/>
      <c r="J651" s="399"/>
      <c r="K651" s="399"/>
      <c r="L651" s="399"/>
      <c r="M651" s="399"/>
      <c r="N651" s="216"/>
    </row>
    <row r="652" spans="1:14" s="47" customFormat="1" ht="15.5">
      <c r="A652" s="188"/>
      <c r="B652" s="871"/>
      <c r="C652" s="195">
        <f>SUM(C638:C650)</f>
        <v>957000</v>
      </c>
      <c r="D652" s="444">
        <f>+C652/C637</f>
        <v>660</v>
      </c>
      <c r="E652" s="188"/>
      <c r="F652" s="188"/>
      <c r="G652" s="188"/>
      <c r="H652" s="399"/>
      <c r="I652" s="399"/>
      <c r="J652" s="399"/>
      <c r="K652" s="399"/>
      <c r="L652" s="399"/>
      <c r="M652" s="399"/>
    </row>
    <row r="653" spans="1:14" s="47" customFormat="1" ht="15.5">
      <c r="A653" s="873" t="s">
        <v>354</v>
      </c>
      <c r="B653" s="189"/>
      <c r="C653" s="444">
        <v>134338</v>
      </c>
      <c r="D653" s="188"/>
      <c r="E653" s="188"/>
      <c r="F653" s="188"/>
      <c r="G653" s="188"/>
      <c r="H653" s="399"/>
      <c r="I653" s="399"/>
      <c r="J653" s="399"/>
      <c r="K653" s="399"/>
      <c r="L653" s="399"/>
      <c r="M653" s="399"/>
    </row>
    <row r="654" spans="1:14" s="189" customFormat="1">
      <c r="B654" s="188"/>
      <c r="D654" s="188"/>
      <c r="E654" s="188"/>
      <c r="F654" s="188"/>
      <c r="G654" s="188"/>
      <c r="H654" s="399"/>
      <c r="I654" s="399"/>
      <c r="J654" s="399"/>
      <c r="K654" s="399"/>
      <c r="L654" s="399"/>
      <c r="M654" s="399"/>
    </row>
    <row r="655" spans="1:14">
      <c r="A655" s="188"/>
      <c r="B655" s="188"/>
      <c r="D655" s="188"/>
      <c r="E655" s="188"/>
      <c r="F655" s="188"/>
      <c r="G655" s="188"/>
      <c r="H655" s="399"/>
      <c r="I655" s="399"/>
      <c r="J655" s="399"/>
      <c r="K655" s="399"/>
      <c r="L655" s="399"/>
      <c r="M655" s="399"/>
    </row>
    <row r="656" spans="1:14" ht="13" thickBot="1">
      <c r="A656" s="188"/>
      <c r="B656" s="188"/>
      <c r="D656" s="188"/>
      <c r="E656" s="188"/>
      <c r="F656" s="188"/>
      <c r="G656" s="188"/>
      <c r="H656" s="399"/>
      <c r="I656" s="399"/>
      <c r="J656" s="399"/>
      <c r="K656" s="399"/>
      <c r="L656" s="399"/>
      <c r="M656" s="399"/>
    </row>
    <row r="657" spans="1:13" ht="34.5">
      <c r="A657" s="562" t="s">
        <v>355</v>
      </c>
      <c r="B657" s="525"/>
      <c r="C657" s="531"/>
      <c r="D657" s="526"/>
      <c r="E657" s="526"/>
      <c r="F657" s="529"/>
      <c r="G657" s="555"/>
      <c r="H657" s="399"/>
      <c r="I657" s="399"/>
      <c r="J657" s="399"/>
      <c r="K657" s="399"/>
      <c r="L657" s="399"/>
      <c r="M657" s="399"/>
    </row>
    <row r="658" spans="1:13" ht="13">
      <c r="A658" s="541">
        <v>42766</v>
      </c>
      <c r="B658" s="549">
        <v>3076</v>
      </c>
      <c r="C658" s="550">
        <f t="shared" ref="C658:C671" si="53">B658+(B658*F658/365*D658)*1</f>
        <v>3171.3493993354891</v>
      </c>
      <c r="D658" s="551">
        <f t="shared" ref="D658:D671" si="54">+E658-A658</f>
        <v>365</v>
      </c>
      <c r="E658" s="552">
        <f t="shared" ref="E658:E671" si="55">+$A$675</f>
        <v>43131</v>
      </c>
      <c r="F658" s="553">
        <f t="shared" ref="F658:F671" si="56">+$A$679</f>
        <v>3.0997854140276115E-2</v>
      </c>
      <c r="G658" s="555"/>
      <c r="H658" s="399"/>
      <c r="I658" s="399"/>
      <c r="J658" s="399"/>
      <c r="K658" s="399"/>
      <c r="L658" s="399"/>
      <c r="M658" s="399"/>
    </row>
    <row r="659" spans="1:13" ht="13">
      <c r="A659" s="541">
        <v>42766</v>
      </c>
      <c r="B659" s="549">
        <v>674</v>
      </c>
      <c r="C659" s="550">
        <f t="shared" si="53"/>
        <v>694.89255369054615</v>
      </c>
      <c r="D659" s="551">
        <f t="shared" si="54"/>
        <v>365</v>
      </c>
      <c r="E659" s="552">
        <f t="shared" si="55"/>
        <v>43131</v>
      </c>
      <c r="F659" s="553">
        <f t="shared" si="56"/>
        <v>3.0997854140276115E-2</v>
      </c>
      <c r="G659" s="555"/>
      <c r="H659" s="399"/>
      <c r="I659" s="399"/>
      <c r="J659" s="399"/>
      <c r="K659" s="399"/>
      <c r="L659" s="399"/>
      <c r="M659" s="399"/>
    </row>
    <row r="660" spans="1:13" ht="13">
      <c r="A660" s="541">
        <v>42787</v>
      </c>
      <c r="B660" s="549">
        <v>48640</v>
      </c>
      <c r="C660" s="550">
        <f t="shared" si="53"/>
        <v>50060.989192141817</v>
      </c>
      <c r="D660" s="551">
        <f t="shared" si="54"/>
        <v>344</v>
      </c>
      <c r="E660" s="552">
        <f t="shared" si="55"/>
        <v>43131</v>
      </c>
      <c r="F660" s="553">
        <f t="shared" si="56"/>
        <v>3.0997854140276115E-2</v>
      </c>
      <c r="G660" s="555"/>
      <c r="H660" s="399"/>
      <c r="I660" s="399"/>
      <c r="J660" s="399"/>
      <c r="K660" s="399"/>
      <c r="L660" s="399"/>
      <c r="M660" s="399"/>
    </row>
    <row r="661" spans="1:13" ht="13">
      <c r="A661" s="541">
        <v>42801</v>
      </c>
      <c r="B661" s="549">
        <v>6000.8</v>
      </c>
      <c r="C661" s="550">
        <f t="shared" si="53"/>
        <v>6168.9751633732594</v>
      </c>
      <c r="D661" s="551">
        <f t="shared" si="54"/>
        <v>330</v>
      </c>
      <c r="E661" s="552">
        <f t="shared" si="55"/>
        <v>43131</v>
      </c>
      <c r="F661" s="553">
        <f t="shared" si="56"/>
        <v>3.0997854140276115E-2</v>
      </c>
      <c r="G661" s="555"/>
      <c r="H661" s="399"/>
      <c r="I661" s="399"/>
      <c r="J661" s="399"/>
      <c r="K661" s="399"/>
      <c r="L661" s="399"/>
      <c r="M661" s="399"/>
    </row>
    <row r="662" spans="1:13" ht="13">
      <c r="A662" s="541">
        <v>42814</v>
      </c>
      <c r="B662" s="549">
        <v>42360</v>
      </c>
      <c r="C662" s="550">
        <f t="shared" si="53"/>
        <v>43500.391520926365</v>
      </c>
      <c r="D662" s="551">
        <f t="shared" si="54"/>
        <v>317</v>
      </c>
      <c r="E662" s="552">
        <f t="shared" si="55"/>
        <v>43131</v>
      </c>
      <c r="F662" s="553">
        <f t="shared" si="56"/>
        <v>3.0997854140276115E-2</v>
      </c>
      <c r="G662" s="555"/>
      <c r="H662" s="399"/>
      <c r="I662" s="399"/>
      <c r="J662" s="399"/>
      <c r="K662" s="399"/>
      <c r="L662" s="399"/>
      <c r="M662" s="399"/>
    </row>
    <row r="663" spans="1:13" ht="13">
      <c r="A663" s="541">
        <v>42837</v>
      </c>
      <c r="B663" s="549">
        <v>17600</v>
      </c>
      <c r="C663" s="550">
        <f t="shared" si="53"/>
        <v>18039.439168393001</v>
      </c>
      <c r="D663" s="551">
        <f t="shared" si="54"/>
        <v>294</v>
      </c>
      <c r="E663" s="552">
        <f t="shared" si="55"/>
        <v>43131</v>
      </c>
      <c r="F663" s="553">
        <f t="shared" si="56"/>
        <v>3.0997854140276115E-2</v>
      </c>
      <c r="G663" s="555"/>
      <c r="H663" s="399"/>
      <c r="I663" s="399"/>
      <c r="J663" s="399"/>
      <c r="K663" s="399"/>
      <c r="L663" s="399"/>
      <c r="M663" s="399"/>
    </row>
    <row r="664" spans="1:13" s="40" customFormat="1" ht="13">
      <c r="A664" s="541">
        <v>42845</v>
      </c>
      <c r="B664" s="549">
        <v>3000</v>
      </c>
      <c r="C664" s="550">
        <f t="shared" si="53"/>
        <v>3072.8661886365944</v>
      </c>
      <c r="D664" s="551">
        <f t="shared" si="54"/>
        <v>286</v>
      </c>
      <c r="E664" s="552">
        <f t="shared" si="55"/>
        <v>43131</v>
      </c>
      <c r="F664" s="553">
        <f t="shared" si="56"/>
        <v>3.0997854140276115E-2</v>
      </c>
      <c r="G664" s="555"/>
      <c r="H664" s="399"/>
      <c r="I664" s="399"/>
      <c r="J664" s="399"/>
      <c r="K664" s="399"/>
      <c r="L664" s="399"/>
      <c r="M664" s="399"/>
    </row>
    <row r="665" spans="1:13" s="40" customFormat="1" ht="13">
      <c r="A665" s="541">
        <v>42860</v>
      </c>
      <c r="B665" s="549">
        <v>1800</v>
      </c>
      <c r="C665" s="550">
        <f t="shared" si="53"/>
        <v>1841.4267212318539</v>
      </c>
      <c r="D665" s="551">
        <f t="shared" si="54"/>
        <v>271</v>
      </c>
      <c r="E665" s="552">
        <f t="shared" si="55"/>
        <v>43131</v>
      </c>
      <c r="F665" s="553">
        <f t="shared" si="56"/>
        <v>3.0997854140276115E-2</v>
      </c>
      <c r="G665" s="555"/>
      <c r="H665" s="399"/>
      <c r="I665" s="399"/>
      <c r="J665" s="399"/>
      <c r="K665" s="399"/>
      <c r="L665" s="399"/>
      <c r="M665" s="399"/>
    </row>
    <row r="666" spans="1:13" s="40" customFormat="1" ht="13">
      <c r="A666" s="541">
        <v>42865</v>
      </c>
      <c r="B666" s="549">
        <v>1000</v>
      </c>
      <c r="C666" s="550">
        <f t="shared" si="53"/>
        <v>1022.5902169898999</v>
      </c>
      <c r="D666" s="551">
        <f t="shared" si="54"/>
        <v>266</v>
      </c>
      <c r="E666" s="552">
        <f t="shared" si="55"/>
        <v>43131</v>
      </c>
      <c r="F666" s="553">
        <f t="shared" si="56"/>
        <v>3.0997854140276115E-2</v>
      </c>
      <c r="G666" s="555"/>
      <c r="H666" s="399"/>
      <c r="I666" s="399"/>
      <c r="J666" s="399"/>
      <c r="K666" s="399"/>
      <c r="L666" s="399"/>
      <c r="M666" s="399"/>
    </row>
    <row r="667" spans="1:13" s="40" customFormat="1" ht="13">
      <c r="A667" s="541">
        <v>42899</v>
      </c>
      <c r="B667" s="549">
        <v>2632</v>
      </c>
      <c r="C667" s="550">
        <f t="shared" si="53"/>
        <v>2683.8576265384986</v>
      </c>
      <c r="D667" s="551">
        <f t="shared" si="54"/>
        <v>232</v>
      </c>
      <c r="E667" s="552">
        <f t="shared" si="55"/>
        <v>43131</v>
      </c>
      <c r="F667" s="553">
        <f t="shared" si="56"/>
        <v>3.0997854140276115E-2</v>
      </c>
      <c r="G667" s="555" t="s">
        <v>356</v>
      </c>
      <c r="H667" s="399"/>
      <c r="I667" s="399"/>
      <c r="J667" s="399"/>
      <c r="K667" s="399"/>
      <c r="L667" s="399"/>
      <c r="M667" s="399"/>
    </row>
    <row r="668" spans="1:13" s="40" customFormat="1" ht="13">
      <c r="A668" s="541">
        <v>43047</v>
      </c>
      <c r="B668" s="549">
        <v>432</v>
      </c>
      <c r="C668" s="550">
        <f t="shared" si="53"/>
        <v>435.08178118093792</v>
      </c>
      <c r="D668" s="551">
        <f t="shared" si="54"/>
        <v>84</v>
      </c>
      <c r="E668" s="552">
        <f t="shared" si="55"/>
        <v>43131</v>
      </c>
      <c r="F668" s="553">
        <f t="shared" si="56"/>
        <v>3.0997854140276115E-2</v>
      </c>
      <c r="G668" s="555" t="s">
        <v>357</v>
      </c>
      <c r="H668" s="399"/>
      <c r="I668" s="399"/>
      <c r="J668" s="399"/>
      <c r="K668" s="399"/>
      <c r="L668" s="399"/>
      <c r="M668" s="399"/>
    </row>
    <row r="669" spans="1:13" s="189" customFormat="1" ht="13">
      <c r="A669" s="541">
        <v>43131</v>
      </c>
      <c r="B669" s="549">
        <v>6200</v>
      </c>
      <c r="C669" s="550">
        <f t="shared" si="53"/>
        <v>6200</v>
      </c>
      <c r="D669" s="551">
        <f t="shared" si="54"/>
        <v>0</v>
      </c>
      <c r="E669" s="552">
        <f t="shared" si="55"/>
        <v>43131</v>
      </c>
      <c r="F669" s="553">
        <f t="shared" si="56"/>
        <v>3.0997854140276115E-2</v>
      </c>
      <c r="G669" s="555" t="s">
        <v>358</v>
      </c>
      <c r="H669" s="399"/>
      <c r="I669" s="399"/>
      <c r="J669" s="399"/>
      <c r="K669" s="399"/>
      <c r="L669" s="399"/>
      <c r="M669" s="399"/>
    </row>
    <row r="670" spans="1:13" s="189" customFormat="1" ht="13">
      <c r="A670" s="541">
        <v>43217</v>
      </c>
      <c r="B670" s="549">
        <v>26868</v>
      </c>
      <c r="C670" s="550">
        <f t="shared" si="53"/>
        <v>26671.766768017751</v>
      </c>
      <c r="D670" s="551">
        <f t="shared" si="54"/>
        <v>-86</v>
      </c>
      <c r="E670" s="552">
        <f t="shared" si="55"/>
        <v>43131</v>
      </c>
      <c r="F670" s="553">
        <f t="shared" si="56"/>
        <v>3.0997854140276115E-2</v>
      </c>
      <c r="G670" s="555" t="s">
        <v>358</v>
      </c>
    </row>
    <row r="671" spans="1:13" s="189" customFormat="1" ht="13">
      <c r="A671" s="541">
        <v>43230</v>
      </c>
      <c r="B671" s="549">
        <v>-164950.47</v>
      </c>
      <c r="C671" s="550">
        <f t="shared" si="53"/>
        <v>-163563.62630045597</v>
      </c>
      <c r="D671" s="551">
        <f t="shared" si="54"/>
        <v>-99</v>
      </c>
      <c r="E671" s="552">
        <f t="shared" si="55"/>
        <v>43131</v>
      </c>
      <c r="F671" s="553">
        <f t="shared" si="56"/>
        <v>3.0997854140276115E-2</v>
      </c>
      <c r="G671" s="555" t="s">
        <v>358</v>
      </c>
    </row>
    <row r="672" spans="1:13" s="189" customFormat="1" ht="13.5" thickBot="1">
      <c r="A672" s="541"/>
      <c r="B672" s="549"/>
      <c r="C672" s="550"/>
      <c r="D672" s="551"/>
      <c r="E672" s="552"/>
      <c r="F672" s="553"/>
      <c r="G672" s="555"/>
    </row>
    <row r="673" spans="1:13" s="189" customFormat="1" ht="14.5" thickBot="1">
      <c r="A673" s="542"/>
      <c r="B673" s="554">
        <f>SUM(B658:B672)</f>
        <v>-4667.6700000000128</v>
      </c>
      <c r="C673" s="554">
        <f>SUM(C658:C672)</f>
        <v>0</v>
      </c>
      <c r="D673" s="556">
        <f>+C673-B673</f>
        <v>4667.6700000000128</v>
      </c>
      <c r="E673" s="557"/>
      <c r="F673" s="555"/>
      <c r="G673" s="555"/>
    </row>
    <row r="674" spans="1:13" s="399" customFormat="1" ht="13" thickBot="1">
      <c r="A674" s="543" t="s">
        <v>359</v>
      </c>
      <c r="D674" s="528"/>
      <c r="F674" s="530"/>
      <c r="G674" s="21"/>
      <c r="H674" s="189"/>
      <c r="I674" s="189"/>
      <c r="J674" s="189"/>
      <c r="K674" s="189"/>
      <c r="L674" s="189"/>
      <c r="M674" s="189"/>
    </row>
    <row r="675" spans="1:13" s="399" customFormat="1" ht="13" thickBot="1">
      <c r="A675" s="544">
        <v>43131</v>
      </c>
      <c r="D675" s="21"/>
      <c r="E675" s="21"/>
      <c r="F675" s="530"/>
      <c r="G675" s="21"/>
      <c r="H675" s="189"/>
      <c r="I675" s="189"/>
      <c r="J675" s="189"/>
      <c r="K675" s="189"/>
      <c r="L675" s="189"/>
      <c r="M675" s="189"/>
    </row>
    <row r="676" spans="1:13" s="399" customFormat="1">
      <c r="A676" s="545" t="s">
        <v>360</v>
      </c>
      <c r="B676" s="21"/>
      <c r="C676" s="21"/>
      <c r="D676" s="21"/>
      <c r="E676" s="21"/>
      <c r="F676" s="21"/>
      <c r="G676" s="21"/>
      <c r="H676" s="21"/>
      <c r="I676" s="21"/>
      <c r="J676"/>
      <c r="K676"/>
      <c r="L676"/>
      <c r="M676"/>
    </row>
    <row r="677" spans="1:13" s="399" customFormat="1" ht="13" thickBot="1">
      <c r="A677" s="546">
        <v>0</v>
      </c>
      <c r="B677" s="21"/>
      <c r="C677" s="21"/>
      <c r="D677" s="21"/>
      <c r="E677" s="21"/>
      <c r="F677" s="21"/>
      <c r="G677" s="21"/>
      <c r="H677" s="21"/>
      <c r="I677" s="21"/>
      <c r="J677"/>
      <c r="K677"/>
      <c r="L677"/>
      <c r="M677"/>
    </row>
    <row r="678" spans="1:13" s="399" customFormat="1">
      <c r="A678" s="545" t="s">
        <v>361</v>
      </c>
      <c r="B678" s="563"/>
      <c r="C678" s="563"/>
      <c r="D678" s="563"/>
      <c r="E678" s="21"/>
      <c r="F678" s="21"/>
      <c r="G678" s="21"/>
      <c r="H678" s="21"/>
      <c r="I678" s="21"/>
      <c r="J678"/>
      <c r="K678"/>
      <c r="L678"/>
      <c r="M678"/>
    </row>
    <row r="679" spans="1:13" s="399" customFormat="1" ht="13" thickBot="1">
      <c r="A679" s="547">
        <v>3.0997854140276115E-2</v>
      </c>
      <c r="B679" s="547">
        <v>4.3496090129517537E-2</v>
      </c>
      <c r="C679" s="547">
        <v>5.3287373977053271E-2</v>
      </c>
      <c r="D679" s="547">
        <v>5.2313987786132214E-2</v>
      </c>
      <c r="E679" s="21"/>
      <c r="F679" s="21"/>
      <c r="G679" s="21"/>
      <c r="H679" s="189"/>
      <c r="I679" s="189"/>
      <c r="J679" s="189"/>
      <c r="K679"/>
      <c r="L679"/>
      <c r="M679"/>
    </row>
    <row r="680" spans="1:13" s="399" customFormat="1">
      <c r="A680" s="545" t="s">
        <v>362</v>
      </c>
      <c r="B680" s="188"/>
      <c r="C680" s="21"/>
      <c r="D680" s="188"/>
      <c r="E680" s="188"/>
      <c r="F680" s="188"/>
      <c r="G680" s="188"/>
      <c r="H680" s="189"/>
      <c r="I680" s="189"/>
      <c r="J680" s="189"/>
      <c r="K680"/>
      <c r="L680"/>
      <c r="M680"/>
    </row>
    <row r="681" spans="1:13" s="399" customFormat="1" ht="13" thickBot="1">
      <c r="A681" s="548">
        <f>+A677-C673</f>
        <v>0</v>
      </c>
      <c r="B681" s="188"/>
      <c r="C681" s="21"/>
      <c r="D681" s="188"/>
      <c r="E681" s="188"/>
      <c r="F681" s="188"/>
      <c r="G681" s="188"/>
      <c r="H681" s="189"/>
      <c r="I681" s="189"/>
      <c r="J681" s="189"/>
      <c r="K681"/>
      <c r="L681"/>
      <c r="M681"/>
    </row>
    <row r="682" spans="1:13" s="399" customFormat="1">
      <c r="A682" s="188"/>
      <c r="B682" s="188"/>
      <c r="C682" s="21"/>
      <c r="D682" s="188"/>
      <c r="E682" s="188"/>
      <c r="F682" s="188"/>
      <c r="G682" s="188"/>
      <c r="H682" s="188"/>
      <c r="I682" s="188"/>
      <c r="J682" s="526">
        <v>1.01142</v>
      </c>
      <c r="K682"/>
      <c r="L682"/>
      <c r="M682"/>
    </row>
    <row r="683" spans="1:13" s="399" customFormat="1" ht="13" thickBot="1">
      <c r="A683" s="188"/>
      <c r="B683" s="188"/>
      <c r="C683" s="21"/>
      <c r="D683" s="188"/>
      <c r="E683" s="188"/>
      <c r="F683" s="188"/>
      <c r="G683" s="188"/>
      <c r="H683" s="188"/>
      <c r="I683" s="188"/>
      <c r="J683" s="526">
        <v>1.01142</v>
      </c>
      <c r="K683"/>
      <c r="L683"/>
      <c r="M683"/>
    </row>
    <row r="684" spans="1:13" s="399" customFormat="1" ht="42">
      <c r="A684" s="595" t="s">
        <v>363</v>
      </c>
      <c r="B684" s="525"/>
      <c r="C684" s="531"/>
      <c r="D684" s="526"/>
      <c r="E684" s="526"/>
      <c r="F684" s="529"/>
      <c r="G684" s="188"/>
      <c r="H684" s="188"/>
      <c r="I684" s="188"/>
      <c r="J684" s="526">
        <v>1.0126649999999999</v>
      </c>
      <c r="K684"/>
      <c r="L684"/>
      <c r="M684"/>
    </row>
    <row r="685" spans="1:13" s="399" customFormat="1" ht="13">
      <c r="A685" s="558">
        <v>42828</v>
      </c>
      <c r="B685" s="564">
        <v>149412</v>
      </c>
      <c r="C685" s="565">
        <f t="shared" ref="C685:C693" si="57">B685+(B685*F685/365*D685)*1</f>
        <v>151192.38704402104</v>
      </c>
      <c r="D685" s="566">
        <f t="shared" ref="D685:D693" si="58">+E685-A685</f>
        <v>358</v>
      </c>
      <c r="E685" s="567">
        <f t="shared" ref="E685:E693" si="59">+$A$697</f>
        <v>43186</v>
      </c>
      <c r="F685" s="568">
        <f t="shared" ref="F685:F693" si="60">$A$701</f>
        <v>1.2148951096261709E-2</v>
      </c>
      <c r="G685" s="188"/>
      <c r="H685" s="188"/>
      <c r="I685" s="188"/>
      <c r="J685" s="526">
        <v>1.0149010000000001</v>
      </c>
      <c r="K685"/>
      <c r="L685"/>
      <c r="M685"/>
    </row>
    <row r="686" spans="1:13" s="399" customFormat="1" ht="13">
      <c r="A686" s="558">
        <v>42842</v>
      </c>
      <c r="B686" s="564">
        <v>84669</v>
      </c>
      <c r="C686" s="565">
        <f t="shared" si="57"/>
        <v>85638.457539416617</v>
      </c>
      <c r="D686" s="566">
        <f t="shared" si="58"/>
        <v>344</v>
      </c>
      <c r="E686" s="567">
        <f t="shared" si="59"/>
        <v>43186</v>
      </c>
      <c r="F686" s="568">
        <f t="shared" si="60"/>
        <v>1.2148951096261709E-2</v>
      </c>
      <c r="G686" s="188"/>
      <c r="H686" s="188"/>
      <c r="I686" s="188"/>
      <c r="J686" s="526">
        <v>1.0149010000000001</v>
      </c>
      <c r="K686"/>
      <c r="L686"/>
      <c r="M686"/>
    </row>
    <row r="687" spans="1:13" s="399" customFormat="1" ht="13">
      <c r="A687" s="558">
        <v>42866</v>
      </c>
      <c r="B687" s="564">
        <v>1401</v>
      </c>
      <c r="C687" s="565">
        <f t="shared" si="57"/>
        <v>1415.9222404259617</v>
      </c>
      <c r="D687" s="566">
        <f t="shared" si="58"/>
        <v>320</v>
      </c>
      <c r="E687" s="567">
        <f t="shared" si="59"/>
        <v>43186</v>
      </c>
      <c r="F687" s="568">
        <f t="shared" si="60"/>
        <v>1.2148951096261709E-2</v>
      </c>
      <c r="G687" s="188"/>
      <c r="H687" s="188"/>
      <c r="I687" s="188"/>
      <c r="J687" s="526">
        <v>1.0149010000000001</v>
      </c>
      <c r="K687"/>
      <c r="L687"/>
      <c r="M687"/>
    </row>
    <row r="688" spans="1:13" s="399" customFormat="1" ht="13">
      <c r="A688" s="558">
        <v>42872</v>
      </c>
      <c r="B688" s="564">
        <v>1001</v>
      </c>
      <c r="C688" s="565">
        <f t="shared" si="57"/>
        <v>1011.4618778489601</v>
      </c>
      <c r="D688" s="566">
        <f t="shared" si="58"/>
        <v>314</v>
      </c>
      <c r="E688" s="567">
        <f t="shared" si="59"/>
        <v>43186</v>
      </c>
      <c r="F688" s="568">
        <f t="shared" si="60"/>
        <v>1.2148951096261709E-2</v>
      </c>
      <c r="G688" s="188"/>
      <c r="H688" s="188"/>
      <c r="I688" s="188"/>
      <c r="J688" s="526">
        <v>1.0149010000000001</v>
      </c>
      <c r="K688"/>
      <c r="L688"/>
      <c r="M688"/>
    </row>
    <row r="689" spans="1:13" s="399" customFormat="1" ht="13">
      <c r="A689" s="558">
        <v>42884</v>
      </c>
      <c r="B689" s="564">
        <v>55775.28</v>
      </c>
      <c r="C689" s="565">
        <f t="shared" si="57"/>
        <v>56335.933608296691</v>
      </c>
      <c r="D689" s="566">
        <f t="shared" si="58"/>
        <v>302</v>
      </c>
      <c r="E689" s="567">
        <f t="shared" si="59"/>
        <v>43186</v>
      </c>
      <c r="F689" s="568">
        <f t="shared" si="60"/>
        <v>1.2148951096261709E-2</v>
      </c>
      <c r="G689" s="188"/>
      <c r="H689" s="188"/>
      <c r="I689" s="188"/>
      <c r="J689" s="526">
        <v>1.0149010000000001</v>
      </c>
      <c r="K689"/>
      <c r="L689"/>
      <c r="M689"/>
    </row>
    <row r="690" spans="1:13" s="399" customFormat="1" ht="13">
      <c r="A690" s="558">
        <v>42915</v>
      </c>
      <c r="B690" s="564">
        <v>37326</v>
      </c>
      <c r="C690" s="565">
        <f t="shared" si="57"/>
        <v>37662.687243495253</v>
      </c>
      <c r="D690" s="566">
        <f t="shared" si="58"/>
        <v>271</v>
      </c>
      <c r="E690" s="567">
        <f t="shared" si="59"/>
        <v>43186</v>
      </c>
      <c r="F690" s="568">
        <f t="shared" si="60"/>
        <v>1.2148951096261709E-2</v>
      </c>
      <c r="G690" s="188"/>
      <c r="H690" s="188"/>
      <c r="I690" s="188"/>
      <c r="J690" s="526">
        <v>1.0149010000000001</v>
      </c>
      <c r="K690"/>
      <c r="L690"/>
      <c r="M690"/>
    </row>
    <row r="691" spans="1:13" s="399" customFormat="1" ht="13">
      <c r="A691" s="558">
        <v>43049</v>
      </c>
      <c r="B691" s="564">
        <v>-206672</v>
      </c>
      <c r="C691" s="565">
        <f t="shared" si="57"/>
        <v>-207614.42788732171</v>
      </c>
      <c r="D691" s="566">
        <f t="shared" si="58"/>
        <v>137</v>
      </c>
      <c r="E691" s="567">
        <f t="shared" si="59"/>
        <v>43186</v>
      </c>
      <c r="F691" s="568">
        <f t="shared" si="60"/>
        <v>1.2148951096261709E-2</v>
      </c>
      <c r="G691" s="188"/>
      <c r="H691" s="188"/>
      <c r="I691" s="188"/>
      <c r="J691" s="526"/>
      <c r="K691"/>
      <c r="L691"/>
      <c r="M691"/>
    </row>
    <row r="692" spans="1:13" s="399" customFormat="1" ht="13">
      <c r="A692" s="558">
        <v>43149</v>
      </c>
      <c r="B692" s="564">
        <v>211046</v>
      </c>
      <c r="C692" s="565">
        <f t="shared" si="57"/>
        <v>211305.91106499528</v>
      </c>
      <c r="D692" s="566">
        <f t="shared" si="58"/>
        <v>37</v>
      </c>
      <c r="E692" s="567">
        <f t="shared" si="59"/>
        <v>43186</v>
      </c>
      <c r="F692" s="568">
        <f t="shared" si="60"/>
        <v>1.2148951096261709E-2</v>
      </c>
      <c r="G692" s="188"/>
      <c r="H692" s="188"/>
      <c r="I692" s="188"/>
      <c r="J692" s="526"/>
      <c r="K692"/>
      <c r="L692"/>
      <c r="M692"/>
    </row>
    <row r="693" spans="1:13" s="399" customFormat="1" ht="13">
      <c r="A693" s="558">
        <v>43229</v>
      </c>
      <c r="B693" s="564">
        <v>-337431.28</v>
      </c>
      <c r="C693" s="565">
        <f t="shared" si="57"/>
        <v>-336948.3327311782</v>
      </c>
      <c r="D693" s="566">
        <f t="shared" si="58"/>
        <v>-43</v>
      </c>
      <c r="E693" s="567">
        <f t="shared" si="59"/>
        <v>43186</v>
      </c>
      <c r="F693" s="568">
        <f t="shared" si="60"/>
        <v>1.2148951096261709E-2</v>
      </c>
      <c r="G693" s="188"/>
      <c r="H693" s="188"/>
      <c r="I693" s="188"/>
      <c r="J693" s="526"/>
      <c r="K693"/>
      <c r="L693"/>
      <c r="M693"/>
    </row>
    <row r="694" spans="1:13" s="399" customFormat="1" ht="13" thickBot="1">
      <c r="A694" s="21"/>
      <c r="B694" s="21"/>
      <c r="C694" s="21"/>
      <c r="D694" s="21"/>
      <c r="E694" s="21"/>
      <c r="F694" s="21"/>
      <c r="G694" s="21"/>
      <c r="H694" s="21"/>
      <c r="I694" s="21"/>
      <c r="J694"/>
      <c r="K694"/>
      <c r="L694"/>
      <c r="M694"/>
    </row>
    <row r="695" spans="1:13" s="399" customFormat="1" ht="14.5" thickBot="1">
      <c r="A695" s="559"/>
      <c r="B695" s="569">
        <f>SUM(B685:B694)</f>
        <v>-3473</v>
      </c>
      <c r="C695" s="569">
        <f>SUM(C685:C694)</f>
        <v>0</v>
      </c>
      <c r="D695" s="571">
        <f>+C695-B695</f>
        <v>3473</v>
      </c>
      <c r="E695" s="572"/>
      <c r="F695" s="570"/>
      <c r="G695" s="188"/>
      <c r="H695" s="188"/>
      <c r="I695" s="188"/>
      <c r="J695" s="526"/>
      <c r="K695"/>
      <c r="L695"/>
      <c r="M695"/>
    </row>
    <row r="696" spans="1:13" s="399" customFormat="1" ht="13" thickBot="1">
      <c r="A696" s="560" t="s">
        <v>359</v>
      </c>
      <c r="D696" s="528"/>
      <c r="F696" s="530"/>
      <c r="G696" s="188"/>
      <c r="H696" s="188"/>
      <c r="I696" s="188"/>
      <c r="J696" s="526"/>
      <c r="K696"/>
      <c r="L696"/>
      <c r="M696"/>
    </row>
    <row r="697" spans="1:13" s="189" customFormat="1" ht="13" thickBot="1">
      <c r="A697" s="561">
        <v>43186</v>
      </c>
      <c r="B697" s="399"/>
      <c r="C697" s="399"/>
      <c r="D697" s="21"/>
      <c r="E697" s="21"/>
      <c r="F697" s="530"/>
      <c r="G697" s="188"/>
      <c r="H697" s="188"/>
      <c r="I697" s="188"/>
      <c r="J697" s="526"/>
      <c r="K697"/>
      <c r="L697"/>
      <c r="M697"/>
    </row>
    <row r="698" spans="1:13" s="189" customFormat="1" ht="13" thickBot="1">
      <c r="A698" s="573" t="s">
        <v>360</v>
      </c>
      <c r="B698" s="21"/>
      <c r="C698" s="21"/>
      <c r="D698" s="21"/>
      <c r="E698" s="21"/>
      <c r="F698" s="21"/>
      <c r="G698" s="188"/>
      <c r="H698" s="188"/>
      <c r="I698" s="188"/>
      <c r="J698" s="526">
        <v>1.015612</v>
      </c>
      <c r="K698"/>
      <c r="L698"/>
      <c r="M698"/>
    </row>
    <row r="699" spans="1:13" s="189" customFormat="1" ht="15" thickBot="1">
      <c r="A699" s="582">
        <v>0</v>
      </c>
      <c r="B699" s="21"/>
      <c r="C699" s="21"/>
      <c r="D699" s="21"/>
      <c r="E699" s="21"/>
      <c r="F699" s="21"/>
      <c r="G699" s="188"/>
      <c r="H699" s="188"/>
      <c r="I699" s="399"/>
      <c r="J699" s="399"/>
      <c r="K699"/>
      <c r="L699"/>
      <c r="M699"/>
    </row>
    <row r="700" spans="1:13" s="189" customFormat="1">
      <c r="A700" s="573" t="s">
        <v>361</v>
      </c>
      <c r="B700" s="21"/>
      <c r="C700" s="21"/>
      <c r="D700" s="21"/>
      <c r="E700" s="21"/>
      <c r="F700" s="21"/>
      <c r="G700" s="399"/>
      <c r="H700" s="399"/>
      <c r="I700" s="399"/>
      <c r="J700" s="399"/>
      <c r="K700"/>
      <c r="L700"/>
      <c r="M700"/>
    </row>
    <row r="701" spans="1:13" s="189" customFormat="1" ht="13" thickBot="1">
      <c r="A701" s="574">
        <v>1.2148951096261709E-2</v>
      </c>
      <c r="B701" s="574">
        <v>4.3496090129517537E-2</v>
      </c>
      <c r="C701" s="574">
        <v>5.3287373977053271E-2</v>
      </c>
      <c r="D701" s="574">
        <v>5.2313987786132214E-2</v>
      </c>
      <c r="E701" s="21"/>
      <c r="F701" s="21"/>
      <c r="G701" s="399"/>
      <c r="H701" s="399"/>
      <c r="I701" s="399"/>
      <c r="J701" s="399"/>
      <c r="K701"/>
      <c r="L701"/>
      <c r="M701"/>
    </row>
    <row r="702" spans="1:13" s="189" customFormat="1">
      <c r="A702" s="573" t="s">
        <v>362</v>
      </c>
      <c r="B702" s="188"/>
      <c r="C702" s="21"/>
      <c r="D702" s="188"/>
      <c r="E702" s="188"/>
      <c r="F702" s="188"/>
      <c r="G702" s="399"/>
      <c r="H702" s="399"/>
      <c r="I702" s="399"/>
      <c r="J702" s="399"/>
      <c r="K702"/>
      <c r="L702"/>
      <c r="M702"/>
    </row>
    <row r="703" spans="1:13" ht="13" thickBot="1">
      <c r="A703" s="575">
        <f>+A699-C695</f>
        <v>0</v>
      </c>
      <c r="B703" s="188"/>
      <c r="D703" s="188"/>
      <c r="E703" s="188"/>
      <c r="F703" s="188"/>
      <c r="G703" s="399"/>
      <c r="H703" s="399"/>
      <c r="I703" s="399"/>
      <c r="J703" s="399"/>
    </row>
    <row r="704" spans="1:13" ht="13" thickBot="1">
      <c r="A704" s="188"/>
      <c r="B704" s="188"/>
      <c r="D704" s="188"/>
      <c r="E704" s="188"/>
      <c r="F704" s="188"/>
      <c r="G704" s="399"/>
      <c r="H704" s="399"/>
      <c r="I704" s="399"/>
      <c r="J704" s="399"/>
    </row>
    <row r="705" spans="1:10" ht="28">
      <c r="A705" s="595" t="s">
        <v>364</v>
      </c>
      <c r="B705" s="525"/>
      <c r="C705" s="531"/>
      <c r="D705" s="526"/>
      <c r="E705" s="526"/>
      <c r="F705" s="529"/>
      <c r="G705" s="399"/>
      <c r="H705" s="399"/>
      <c r="I705" s="399"/>
      <c r="J705" s="399"/>
    </row>
    <row r="706" spans="1:10" ht="13">
      <c r="A706" s="558">
        <v>43052</v>
      </c>
      <c r="B706" s="564">
        <f>-B691</f>
        <v>206672</v>
      </c>
      <c r="C706" s="565">
        <f>B706+(B706*F706/365*D706)*1</f>
        <v>214091.18987341772</v>
      </c>
      <c r="D706" s="566">
        <f>+E706-A706</f>
        <v>134</v>
      </c>
      <c r="E706" s="567">
        <f>+$A$697</f>
        <v>43186</v>
      </c>
      <c r="F706" s="568">
        <f>$A$716</f>
        <v>9.7782899191821634E-2</v>
      </c>
      <c r="G706" s="399"/>
      <c r="H706" s="399"/>
      <c r="I706" s="399"/>
      <c r="J706" s="399"/>
    </row>
    <row r="709" spans="1:10" ht="13" thickBot="1"/>
    <row r="710" spans="1:10" ht="14.5" thickBot="1">
      <c r="A710" s="559"/>
      <c r="B710" s="569">
        <f>SUM(B706:B709)</f>
        <v>206672</v>
      </c>
      <c r="C710" s="569">
        <f>SUM(C706:C709)</f>
        <v>214091.18987341772</v>
      </c>
      <c r="D710" s="571">
        <f>+C710-B710</f>
        <v>7419.189873417723</v>
      </c>
    </row>
    <row r="711" spans="1:10">
      <c r="A711" s="560" t="s">
        <v>359</v>
      </c>
      <c r="B711" s="399"/>
      <c r="C711" s="399"/>
      <c r="D711" s="528"/>
    </row>
    <row r="712" spans="1:10" ht="13" thickBot="1">
      <c r="A712" s="561">
        <v>43147</v>
      </c>
      <c r="B712" s="399"/>
      <c r="C712" s="399"/>
    </row>
    <row r="713" spans="1:10" ht="13" thickBot="1">
      <c r="A713" s="573" t="s">
        <v>360</v>
      </c>
    </row>
    <row r="714" spans="1:10" ht="15" thickBot="1">
      <c r="A714" s="582">
        <v>211046</v>
      </c>
    </row>
    <row r="715" spans="1:10">
      <c r="A715" s="573" t="s">
        <v>361</v>
      </c>
    </row>
    <row r="716" spans="1:10" ht="13" thickBot="1">
      <c r="A716" s="574">
        <v>9.7782899191821634E-2</v>
      </c>
      <c r="B716" s="574">
        <v>4.3496090129517537E-2</v>
      </c>
      <c r="C716" s="574">
        <v>5.3287373977053271E-2</v>
      </c>
      <c r="D716" s="574">
        <v>5.2313987786132214E-2</v>
      </c>
    </row>
    <row r="717" spans="1:10">
      <c r="A717" s="573" t="s">
        <v>362</v>
      </c>
      <c r="B717" s="188"/>
      <c r="D717" s="188"/>
    </row>
    <row r="718" spans="1:10" ht="13" thickBot="1">
      <c r="A718" s="575">
        <f>+A714-C710</f>
        <v>-3045.189873417723</v>
      </c>
      <c r="B718" s="188"/>
      <c r="D718" s="188"/>
    </row>
    <row r="748" spans="1:8" ht="13" thickBot="1"/>
    <row r="749" spans="1:8" ht="13">
      <c r="A749" s="345" t="s">
        <v>365</v>
      </c>
      <c r="B749" s="346"/>
      <c r="C749" s="347">
        <v>87000</v>
      </c>
      <c r="D749" s="348" t="s">
        <v>366</v>
      </c>
      <c r="E749" s="349"/>
      <c r="F749" s="350"/>
      <c r="G749" s="351"/>
      <c r="H749" s="354"/>
    </row>
    <row r="750" spans="1:8" ht="13">
      <c r="A750" s="352" t="s">
        <v>367</v>
      </c>
      <c r="B750" s="342"/>
      <c r="C750" s="336">
        <f>+F848</f>
        <v>49875</v>
      </c>
      <c r="D750" s="337"/>
      <c r="E750" s="338"/>
      <c r="F750" s="339"/>
      <c r="G750" s="340"/>
      <c r="H750" s="354"/>
    </row>
    <row r="751" spans="1:8" ht="13">
      <c r="A751" s="352" t="s">
        <v>368</v>
      </c>
      <c r="B751" s="342"/>
      <c r="C751" s="336">
        <v>-122000</v>
      </c>
      <c r="D751" s="337"/>
      <c r="E751" s="338"/>
      <c r="F751" s="339"/>
      <c r="G751" s="344"/>
      <c r="H751" s="354"/>
    </row>
    <row r="752" spans="1:8" ht="13">
      <c r="A752" s="352" t="s">
        <v>369</v>
      </c>
      <c r="B752" s="342"/>
      <c r="C752" s="336">
        <v>-41300</v>
      </c>
      <c r="D752" s="337"/>
      <c r="E752" s="338"/>
      <c r="F752" s="339"/>
      <c r="G752" s="344"/>
      <c r="H752" s="353"/>
    </row>
    <row r="753" spans="1:13" ht="13">
      <c r="A753" s="352" t="s">
        <v>369</v>
      </c>
      <c r="B753" s="342"/>
      <c r="C753" s="336">
        <v>-4136</v>
      </c>
      <c r="D753" s="337"/>
      <c r="E753" s="338"/>
      <c r="F753" s="339"/>
      <c r="G753" s="344"/>
      <c r="H753" s="353"/>
    </row>
    <row r="754" spans="1:13" ht="13">
      <c r="A754" s="352" t="s">
        <v>369</v>
      </c>
      <c r="B754" s="342"/>
      <c r="C754" s="336">
        <v>-10894</v>
      </c>
      <c r="D754" s="338">
        <v>39588</v>
      </c>
      <c r="E754" s="338"/>
      <c r="F754" s="341"/>
      <c r="G754" s="341"/>
      <c r="H754" s="353"/>
    </row>
    <row r="755" spans="1:13" ht="13">
      <c r="A755" s="352" t="s">
        <v>370</v>
      </c>
      <c r="B755" s="342"/>
      <c r="C755" s="336">
        <f>-11103+157</f>
        <v>-10946</v>
      </c>
      <c r="D755" s="338">
        <v>39643</v>
      </c>
      <c r="E755" s="338"/>
      <c r="F755" s="341"/>
      <c r="G755" s="341"/>
      <c r="H755" s="353"/>
    </row>
    <row r="756" spans="1:13" ht="13">
      <c r="A756" s="352" t="s">
        <v>371</v>
      </c>
      <c r="B756" s="342"/>
      <c r="C756" s="336">
        <f>-73050*3.39</f>
        <v>-247639.5</v>
      </c>
      <c r="D756" s="338">
        <v>39751</v>
      </c>
      <c r="E756" s="338"/>
      <c r="F756" s="341"/>
      <c r="G756" s="341"/>
      <c r="H756" s="353"/>
    </row>
    <row r="757" spans="1:13" ht="13">
      <c r="A757" s="352" t="s">
        <v>372</v>
      </c>
      <c r="B757" s="342"/>
      <c r="C757" s="336">
        <f>22982.3+1264.2</f>
        <v>24246.5</v>
      </c>
      <c r="D757" s="343">
        <v>39239</v>
      </c>
      <c r="E757" s="338"/>
      <c r="F757" s="339"/>
      <c r="G757" s="340"/>
      <c r="H757" s="353"/>
      <c r="I757" s="189"/>
      <c r="J757" s="189"/>
      <c r="K757" s="189"/>
      <c r="L757" s="189"/>
      <c r="M757" s="189"/>
    </row>
    <row r="758" spans="1:13" ht="13">
      <c r="A758" s="352" t="s">
        <v>373</v>
      </c>
      <c r="B758" s="342"/>
      <c r="C758" s="336">
        <v>13993</v>
      </c>
      <c r="D758" s="337"/>
      <c r="E758" s="338"/>
      <c r="F758" s="339"/>
      <c r="G758" s="340"/>
      <c r="H758" s="353"/>
      <c r="I758" s="189"/>
      <c r="J758" s="189"/>
      <c r="K758" s="189"/>
      <c r="L758" s="189"/>
      <c r="M758" s="189"/>
    </row>
    <row r="759" spans="1:13" ht="13">
      <c r="A759" s="352" t="s">
        <v>374</v>
      </c>
      <c r="B759" s="342"/>
      <c r="C759" s="336">
        <v>35000</v>
      </c>
      <c r="D759" s="337"/>
      <c r="E759" s="338"/>
      <c r="F759" s="339"/>
      <c r="G759" s="340"/>
      <c r="H759" s="354"/>
      <c r="I759" s="189"/>
      <c r="J759" s="189"/>
      <c r="K759" s="189"/>
      <c r="L759" s="189"/>
      <c r="M759" s="189"/>
    </row>
    <row r="760" spans="1:13" ht="13">
      <c r="A760" s="352" t="s">
        <v>375</v>
      </c>
      <c r="B760" s="342"/>
      <c r="C760" s="336">
        <f>11433.79+43.3+8450.12+31.7+5068.06+31.02</f>
        <v>25057.99</v>
      </c>
      <c r="D760" s="337"/>
      <c r="E760" s="338"/>
      <c r="F760" s="339"/>
      <c r="G760" s="340"/>
      <c r="H760" s="354"/>
      <c r="I760" s="189"/>
      <c r="J760" s="189"/>
      <c r="K760" s="189"/>
      <c r="L760" s="189"/>
      <c r="M760" s="189"/>
    </row>
    <row r="761" spans="1:13" ht="13">
      <c r="A761" s="352" t="s">
        <v>375</v>
      </c>
      <c r="B761" s="342"/>
      <c r="C761" s="336">
        <v>20000</v>
      </c>
      <c r="D761" s="343">
        <v>39561</v>
      </c>
      <c r="E761" s="338"/>
      <c r="F761" s="339"/>
      <c r="G761" s="340"/>
      <c r="H761" s="354"/>
      <c r="I761" s="189"/>
      <c r="J761" s="189"/>
      <c r="K761" s="189"/>
      <c r="L761" s="189"/>
      <c r="M761" s="189"/>
    </row>
    <row r="762" spans="1:13" ht="13">
      <c r="A762" s="352" t="s">
        <v>375</v>
      </c>
      <c r="B762" s="342"/>
      <c r="C762" s="336">
        <v>20000</v>
      </c>
      <c r="D762" s="343">
        <v>39566</v>
      </c>
      <c r="E762" s="338"/>
      <c r="F762" s="341"/>
      <c r="G762" s="341"/>
      <c r="H762" s="357"/>
      <c r="I762" s="189"/>
      <c r="J762" s="189"/>
      <c r="K762" s="189"/>
      <c r="L762" s="189"/>
      <c r="M762" s="189"/>
    </row>
    <row r="763" spans="1:13" ht="13">
      <c r="A763" s="352" t="s">
        <v>376</v>
      </c>
      <c r="B763" s="342"/>
      <c r="C763" s="336">
        <v>20000</v>
      </c>
      <c r="D763" s="343">
        <v>39566</v>
      </c>
      <c r="E763" s="338" t="s">
        <v>38</v>
      </c>
      <c r="F763" s="355"/>
      <c r="G763" s="355"/>
      <c r="H763" s="357"/>
      <c r="I763" s="189"/>
      <c r="J763" s="189"/>
      <c r="K763" s="189"/>
      <c r="L763" s="189"/>
      <c r="M763" s="189"/>
    </row>
    <row r="764" spans="1:13" ht="13">
      <c r="A764" s="352" t="s">
        <v>377</v>
      </c>
      <c r="B764" s="342"/>
      <c r="C764" s="336">
        <f>30000*3.195</f>
        <v>95850</v>
      </c>
      <c r="D764" s="343">
        <v>39582</v>
      </c>
      <c r="E764" s="336">
        <f>30000*1</f>
        <v>30000</v>
      </c>
      <c r="F764" s="341"/>
      <c r="G764" s="341"/>
      <c r="H764" s="357"/>
      <c r="I764" s="189"/>
      <c r="J764" s="189"/>
      <c r="K764" s="189"/>
      <c r="L764" s="189"/>
      <c r="M764" s="189"/>
    </row>
    <row r="765" spans="1:13" ht="13">
      <c r="A765" s="352" t="s">
        <v>377</v>
      </c>
      <c r="B765" s="342"/>
      <c r="C765" s="336">
        <f>5000*3.145</f>
        <v>15725</v>
      </c>
      <c r="D765" s="343">
        <v>39721</v>
      </c>
      <c r="E765" s="336">
        <f>5000*1</f>
        <v>5000</v>
      </c>
      <c r="F765" s="341"/>
      <c r="G765" s="341"/>
      <c r="H765" s="357"/>
      <c r="I765" s="189"/>
      <c r="J765" s="189"/>
      <c r="K765" s="189"/>
      <c r="L765" s="189"/>
      <c r="M765" s="189"/>
    </row>
    <row r="766" spans="1:13" ht="13">
      <c r="A766" s="352" t="s">
        <v>377</v>
      </c>
      <c r="B766" s="342"/>
      <c r="C766" s="336">
        <f>30000*3.15</f>
        <v>94500</v>
      </c>
      <c r="D766" s="343">
        <v>39723</v>
      </c>
      <c r="E766" s="336">
        <f>30000*1</f>
        <v>30000</v>
      </c>
      <c r="F766" s="341"/>
      <c r="G766" s="341"/>
      <c r="H766" s="357"/>
    </row>
    <row r="767" spans="1:13" ht="13">
      <c r="A767" s="352" t="s">
        <v>377</v>
      </c>
      <c r="B767" s="342"/>
      <c r="C767" s="336">
        <f>39500*3.24</f>
        <v>127980.00000000001</v>
      </c>
      <c r="D767" s="343">
        <v>39729</v>
      </c>
      <c r="E767" s="336">
        <f>39500*1</f>
        <v>39500</v>
      </c>
      <c r="F767" s="356"/>
      <c r="G767" s="356"/>
      <c r="H767" s="359">
        <f>+G772/C771</f>
        <v>-5.9818664307828395E-2</v>
      </c>
    </row>
    <row r="768" spans="1:13" ht="13">
      <c r="A768" s="352" t="s">
        <v>377</v>
      </c>
      <c r="B768" s="342"/>
      <c r="C768" s="336">
        <f>80000*3.217</f>
        <v>257360</v>
      </c>
      <c r="D768" s="343">
        <v>39736</v>
      </c>
      <c r="E768" s="336">
        <f>80000*1</f>
        <v>80000</v>
      </c>
      <c r="F768" s="356"/>
      <c r="G768" s="356"/>
      <c r="H768" s="360"/>
    </row>
    <row r="769" spans="1:13" ht="13">
      <c r="A769" s="352" t="s">
        <v>377</v>
      </c>
      <c r="B769" s="342"/>
      <c r="C769" s="336">
        <f>90000*3.235</f>
        <v>291150</v>
      </c>
      <c r="D769" s="343">
        <v>39738</v>
      </c>
      <c r="E769" s="336">
        <f>90000*1</f>
        <v>90000</v>
      </c>
      <c r="F769" s="356"/>
      <c r="G769" s="356"/>
      <c r="H769" s="357"/>
    </row>
    <row r="770" spans="1:13" ht="13">
      <c r="A770" s="352" t="s">
        <v>378</v>
      </c>
      <c r="B770" s="342"/>
      <c r="C770" s="336">
        <f>9000*3.3</f>
        <v>29700</v>
      </c>
      <c r="D770" s="343">
        <v>39748</v>
      </c>
      <c r="E770" s="336">
        <f>9000*1</f>
        <v>9000</v>
      </c>
      <c r="F770" s="356"/>
      <c r="G770" s="356"/>
      <c r="H770" s="357"/>
    </row>
    <row r="771" spans="1:13" ht="13">
      <c r="A771" s="352" t="s">
        <v>379</v>
      </c>
      <c r="B771" s="342"/>
      <c r="C771" s="336">
        <f>E771*3.325</f>
        <v>-452200</v>
      </c>
      <c r="D771" s="343">
        <v>39776</v>
      </c>
      <c r="E771" s="336">
        <v>-136000</v>
      </c>
      <c r="F771" s="338" t="s">
        <v>380</v>
      </c>
      <c r="G771" s="358"/>
      <c r="H771" s="353"/>
    </row>
    <row r="772" spans="1:13" ht="13">
      <c r="A772" s="352" t="s">
        <v>381</v>
      </c>
      <c r="B772" s="342"/>
      <c r="C772" s="336">
        <f>+E772*3.55</f>
        <v>479250</v>
      </c>
      <c r="D772" s="343">
        <v>39864</v>
      </c>
      <c r="E772" s="336">
        <v>135000</v>
      </c>
      <c r="F772" s="356"/>
      <c r="G772" s="336">
        <f>+C772+C771</f>
        <v>27050</v>
      </c>
      <c r="H772" s="353"/>
    </row>
    <row r="773" spans="1:13" ht="13">
      <c r="A773" s="352" t="s">
        <v>382</v>
      </c>
      <c r="B773" s="342"/>
      <c r="C773" s="336">
        <f>+E773*3.575</f>
        <v>5990.25</v>
      </c>
      <c r="D773" s="343">
        <v>39869</v>
      </c>
      <c r="E773" s="336">
        <f>5990.25/3.575</f>
        <v>1675.5944055944055</v>
      </c>
      <c r="F773" s="356"/>
      <c r="G773" s="336"/>
      <c r="H773" s="353"/>
    </row>
    <row r="774" spans="1:13" ht="13">
      <c r="A774" s="352" t="s">
        <v>383</v>
      </c>
      <c r="B774" s="342"/>
      <c r="C774" s="336">
        <f>+E774*3.575</f>
        <v>319247.5</v>
      </c>
      <c r="D774" s="343">
        <v>39871</v>
      </c>
      <c r="E774" s="336">
        <v>89300</v>
      </c>
      <c r="F774" s="356"/>
      <c r="G774" s="356"/>
      <c r="H774" s="353"/>
    </row>
    <row r="775" spans="1:13" ht="13.5" thickBot="1">
      <c r="A775" s="352" t="s">
        <v>384</v>
      </c>
      <c r="B775" s="342"/>
      <c r="C775" s="336">
        <f>+E775*3.67</f>
        <v>7340</v>
      </c>
      <c r="D775" s="343">
        <v>39871</v>
      </c>
      <c r="E775" s="336">
        <v>2000</v>
      </c>
      <c r="F775" s="356"/>
      <c r="G775" s="356"/>
      <c r="H775" s="366"/>
    </row>
    <row r="776" spans="1:13" ht="13">
      <c r="A776" s="352" t="s">
        <v>375</v>
      </c>
      <c r="B776" s="342"/>
      <c r="C776" s="336">
        <v>20000</v>
      </c>
      <c r="D776" s="343">
        <v>39926</v>
      </c>
      <c r="E776" s="338"/>
      <c r="F776" s="341"/>
      <c r="G776" s="341"/>
      <c r="H776"/>
    </row>
    <row r="777" spans="1:13" ht="13">
      <c r="A777" s="352" t="s">
        <v>376</v>
      </c>
      <c r="B777" s="342"/>
      <c r="C777" s="336">
        <v>10000</v>
      </c>
      <c r="D777" s="343">
        <v>39933</v>
      </c>
      <c r="E777" s="338" t="s">
        <v>38</v>
      </c>
      <c r="F777" s="355"/>
      <c r="G777" s="355"/>
      <c r="H777"/>
    </row>
    <row r="778" spans="1:13" ht="13">
      <c r="A778" s="352" t="s">
        <v>379</v>
      </c>
      <c r="B778" s="342"/>
      <c r="C778" s="336">
        <f>-E778*3.825</f>
        <v>-39015</v>
      </c>
      <c r="D778" s="343">
        <v>39982</v>
      </c>
      <c r="E778" s="336">
        <v>10200</v>
      </c>
      <c r="F778" s="343" t="s">
        <v>385</v>
      </c>
      <c r="G778" s="355"/>
      <c r="H778"/>
    </row>
    <row r="779" spans="1:13" ht="13">
      <c r="A779" s="352" t="s">
        <v>384</v>
      </c>
      <c r="B779" s="342"/>
      <c r="C779" s="336">
        <f>E779*3.83</f>
        <v>6901.66</v>
      </c>
      <c r="D779" s="343">
        <v>40017</v>
      </c>
      <c r="E779" s="336">
        <v>1802</v>
      </c>
      <c r="F779" s="355"/>
      <c r="G779" s="355"/>
      <c r="H779"/>
    </row>
    <row r="780" spans="1:13" ht="13.5" thickBot="1">
      <c r="A780" s="361" t="s">
        <v>384</v>
      </c>
      <c r="B780" s="362"/>
      <c r="C780" s="363">
        <f>E780*3.85</f>
        <v>7700</v>
      </c>
      <c r="D780" s="364">
        <v>40039</v>
      </c>
      <c r="E780" s="363">
        <v>2000</v>
      </c>
      <c r="F780" s="365"/>
      <c r="G780" s="365"/>
      <c r="H780"/>
    </row>
    <row r="781" spans="1:13" ht="13.5" thickBot="1">
      <c r="A781" s="291"/>
      <c r="B781" s="292"/>
      <c r="C781" s="293"/>
      <c r="D781" s="294"/>
      <c r="E781" s="293"/>
      <c r="F781"/>
      <c r="G781"/>
      <c r="H781"/>
    </row>
    <row r="782" spans="1:13" ht="14.5" thickBot="1">
      <c r="A782" s="328" t="s">
        <v>386</v>
      </c>
      <c r="B782" s="292"/>
      <c r="C782" s="323" t="s">
        <v>39</v>
      </c>
      <c r="D782" s="322"/>
      <c r="E782" s="323" t="s">
        <v>38</v>
      </c>
      <c r="F782"/>
      <c r="G782"/>
      <c r="H782"/>
    </row>
    <row r="783" spans="1:13" ht="13">
      <c r="A783" s="285" t="s">
        <v>387</v>
      </c>
      <c r="B783" s="286"/>
      <c r="C783" s="877">
        <f>+E783*3.87</f>
        <v>9675</v>
      </c>
      <c r="D783" s="324">
        <v>40217</v>
      </c>
      <c r="E783" s="877">
        <v>2500</v>
      </c>
      <c r="F783" s="878" t="s">
        <v>388</v>
      </c>
      <c r="G783"/>
      <c r="H783"/>
    </row>
    <row r="784" spans="1:13" s="189" customFormat="1" ht="13">
      <c r="A784" s="287" t="s">
        <v>389</v>
      </c>
      <c r="B784" s="186"/>
      <c r="C784" s="879">
        <f>+E784*3.89</f>
        <v>17894</v>
      </c>
      <c r="D784" s="187">
        <v>40267</v>
      </c>
      <c r="E784" s="879">
        <v>4600</v>
      </c>
      <c r="F784" s="880" t="s">
        <v>388</v>
      </c>
      <c r="G784"/>
      <c r="H784"/>
      <c r="I784" s="21"/>
      <c r="J784"/>
      <c r="K784"/>
      <c r="L784"/>
      <c r="M784"/>
    </row>
    <row r="785" spans="1:13" s="189" customFormat="1" ht="13">
      <c r="A785" s="287" t="s">
        <v>390</v>
      </c>
      <c r="B785" s="186"/>
      <c r="C785" s="879">
        <f>2000*3.92</f>
        <v>7840</v>
      </c>
      <c r="D785" s="187">
        <v>40303</v>
      </c>
      <c r="E785" s="879">
        <v>2000</v>
      </c>
      <c r="F785" s="880" t="s">
        <v>388</v>
      </c>
      <c r="G785"/>
      <c r="H785"/>
      <c r="I785" s="21"/>
      <c r="J785"/>
      <c r="K785"/>
      <c r="L785"/>
      <c r="M785"/>
    </row>
    <row r="786" spans="1:13" s="189" customFormat="1" ht="13">
      <c r="A786" s="287" t="s">
        <v>391</v>
      </c>
      <c r="B786" s="186"/>
      <c r="C786" s="879">
        <f>+E786*3.915</f>
        <v>7830</v>
      </c>
      <c r="D786" s="187">
        <v>39947</v>
      </c>
      <c r="E786" s="879">
        <v>2000</v>
      </c>
      <c r="F786" s="880" t="s">
        <v>392</v>
      </c>
      <c r="G786"/>
      <c r="H786"/>
      <c r="I786" s="21"/>
      <c r="J786"/>
      <c r="K786"/>
      <c r="L786"/>
      <c r="M786"/>
    </row>
    <row r="787" spans="1:13" s="189" customFormat="1" ht="13">
      <c r="A787" s="287" t="s">
        <v>393</v>
      </c>
      <c r="B787" s="186"/>
      <c r="C787" s="879">
        <f>+E787*3.93</f>
        <v>56592</v>
      </c>
      <c r="D787" s="187">
        <v>40326</v>
      </c>
      <c r="E787" s="879">
        <v>14400</v>
      </c>
      <c r="F787" s="880" t="s">
        <v>392</v>
      </c>
      <c r="G787"/>
      <c r="H787"/>
      <c r="I787" s="21"/>
      <c r="J787"/>
      <c r="K787"/>
      <c r="L787"/>
      <c r="M787"/>
    </row>
    <row r="788" spans="1:13" s="189" customFormat="1" ht="13">
      <c r="A788" s="287" t="s">
        <v>391</v>
      </c>
      <c r="B788" s="186"/>
      <c r="C788" s="879">
        <f>2500*3.955</f>
        <v>9887.5</v>
      </c>
      <c r="D788" s="187">
        <v>40331</v>
      </c>
      <c r="E788" s="879">
        <v>2500</v>
      </c>
      <c r="F788" s="880" t="s">
        <v>388</v>
      </c>
      <c r="G788"/>
      <c r="H788" s="188"/>
      <c r="I788" s="21"/>
      <c r="J788"/>
      <c r="K788"/>
      <c r="L788"/>
      <c r="M788"/>
    </row>
    <row r="789" spans="1:13" s="189" customFormat="1" ht="13">
      <c r="A789" s="287" t="s">
        <v>394</v>
      </c>
      <c r="B789" s="186"/>
      <c r="C789" s="879">
        <f>+E789*3.94</f>
        <v>95087.959999999992</v>
      </c>
      <c r="D789" s="187">
        <v>40333</v>
      </c>
      <c r="E789" s="879">
        <v>24134</v>
      </c>
      <c r="F789" s="880" t="s">
        <v>392</v>
      </c>
      <c r="G789"/>
      <c r="H789" s="188"/>
      <c r="I789" s="21"/>
      <c r="J789"/>
      <c r="K789"/>
      <c r="L789"/>
      <c r="M789"/>
    </row>
    <row r="790" spans="1:13" s="189" customFormat="1" ht="13">
      <c r="A790" s="287" t="s">
        <v>395</v>
      </c>
      <c r="B790" s="186"/>
      <c r="C790" s="879">
        <f>+E790*3.96</f>
        <v>51480</v>
      </c>
      <c r="D790" s="187">
        <v>40338</v>
      </c>
      <c r="E790" s="879">
        <v>13000</v>
      </c>
      <c r="F790" s="880" t="s">
        <v>392</v>
      </c>
      <c r="G790"/>
      <c r="H790"/>
    </row>
    <row r="791" spans="1:13" s="189" customFormat="1" ht="13">
      <c r="A791" s="287" t="s">
        <v>395</v>
      </c>
      <c r="B791" s="186"/>
      <c r="C791" s="879">
        <f>+E791*3.96</f>
        <v>60642.529200000004</v>
      </c>
      <c r="D791" s="187">
        <v>40345</v>
      </c>
      <c r="E791" s="879">
        <v>15313.77</v>
      </c>
      <c r="F791" s="880" t="s">
        <v>392</v>
      </c>
      <c r="G791"/>
      <c r="H791"/>
    </row>
    <row r="792" spans="1:13" s="189" customFormat="1" ht="13">
      <c r="A792" s="287" t="s">
        <v>389</v>
      </c>
      <c r="B792" s="186"/>
      <c r="C792" s="879">
        <f>+E792*3.96</f>
        <v>9504</v>
      </c>
      <c r="D792" s="187">
        <v>40360</v>
      </c>
      <c r="E792" s="879">
        <v>2400</v>
      </c>
      <c r="F792" s="880" t="s">
        <v>388</v>
      </c>
      <c r="G792"/>
      <c r="H792"/>
    </row>
    <row r="793" spans="1:13" ht="13.5" thickBot="1">
      <c r="A793" s="325" t="s">
        <v>396</v>
      </c>
      <c r="B793" s="326"/>
      <c r="C793" s="881">
        <f>+E793*3.97</f>
        <v>11910</v>
      </c>
      <c r="D793" s="327">
        <v>40372</v>
      </c>
      <c r="E793" s="881">
        <v>3000</v>
      </c>
      <c r="F793" s="882" t="s">
        <v>392</v>
      </c>
      <c r="G793" s="188"/>
      <c r="H793" s="188"/>
      <c r="I793" s="189"/>
      <c r="J793" s="189"/>
      <c r="K793" s="189"/>
      <c r="L793" s="189"/>
      <c r="M793" s="189"/>
    </row>
    <row r="794" spans="1:13" ht="14">
      <c r="A794" s="328" t="s">
        <v>397</v>
      </c>
      <c r="B794" s="329"/>
      <c r="C794" s="330"/>
      <c r="D794" s="330"/>
      <c r="E794" s="330"/>
      <c r="F794" s="331"/>
      <c r="G794" s="188"/>
      <c r="H794" s="188"/>
      <c r="I794" s="189"/>
      <c r="J794" s="189"/>
      <c r="K794" s="189"/>
      <c r="L794" s="189"/>
      <c r="M794" s="189"/>
    </row>
    <row r="795" spans="1:13" ht="13">
      <c r="A795" s="287" t="s">
        <v>398</v>
      </c>
      <c r="B795" s="186"/>
      <c r="C795" s="879">
        <f>+E795*4.1425</f>
        <v>-199297.52357643819</v>
      </c>
      <c r="D795" s="187">
        <v>40632</v>
      </c>
      <c r="E795" s="879">
        <v>-48110.446246575302</v>
      </c>
      <c r="F795" s="880"/>
      <c r="G795"/>
      <c r="H795" s="188"/>
      <c r="I795" s="189"/>
      <c r="J795" s="189"/>
      <c r="K795" s="189"/>
      <c r="L795" s="189"/>
      <c r="M795" s="189"/>
    </row>
    <row r="796" spans="1:13" ht="13">
      <c r="A796" s="287" t="s">
        <v>398</v>
      </c>
      <c r="B796" s="186"/>
      <c r="C796" s="879">
        <f>+E796*4.1425</f>
        <v>-52331.554681096073</v>
      </c>
      <c r="D796" s="187">
        <v>40632</v>
      </c>
      <c r="E796" s="879">
        <v>-12632.8436164384</v>
      </c>
      <c r="F796" s="880"/>
      <c r="G796"/>
      <c r="H796" s="188"/>
      <c r="I796" s="189"/>
      <c r="J796" s="189"/>
      <c r="K796" s="189"/>
      <c r="L796" s="189"/>
      <c r="M796" s="189"/>
    </row>
    <row r="797" spans="1:13" ht="13">
      <c r="A797" s="287" t="s">
        <v>398</v>
      </c>
      <c r="B797" s="186"/>
      <c r="C797" s="879">
        <f>+E797*4.1425</f>
        <v>-116022.05704835631</v>
      </c>
      <c r="D797" s="187">
        <v>40632</v>
      </c>
      <c r="E797" s="879">
        <v>-28007.738575342501</v>
      </c>
      <c r="F797" s="880"/>
      <c r="G797" s="879"/>
      <c r="H797" s="188"/>
      <c r="I797" s="189"/>
      <c r="J797" s="189"/>
      <c r="K797" s="189"/>
      <c r="L797" s="189"/>
      <c r="M797" s="189"/>
    </row>
    <row r="798" spans="1:13" ht="13">
      <c r="A798" s="287" t="s">
        <v>399</v>
      </c>
      <c r="B798" s="186"/>
      <c r="C798" s="879">
        <f>+E798*4.1</f>
        <v>12299.999999999998</v>
      </c>
      <c r="D798" s="187">
        <v>40653</v>
      </c>
      <c r="E798" s="879">
        <v>3000</v>
      </c>
      <c r="F798" s="880" t="s">
        <v>392</v>
      </c>
      <c r="G798" s="188"/>
      <c r="H798" s="188"/>
      <c r="I798" s="189"/>
      <c r="J798" s="189"/>
      <c r="K798" s="189"/>
      <c r="L798" s="189"/>
      <c r="M798" s="189"/>
    </row>
    <row r="799" spans="1:13" ht="13">
      <c r="A799" s="287" t="s">
        <v>400</v>
      </c>
      <c r="B799" s="186"/>
      <c r="C799" s="879">
        <f>+E799*4.11</f>
        <v>20550</v>
      </c>
      <c r="D799" s="187">
        <v>40682</v>
      </c>
      <c r="E799" s="879">
        <v>5000</v>
      </c>
      <c r="F799" s="880" t="s">
        <v>392</v>
      </c>
      <c r="G799" s="188"/>
      <c r="H799" s="188"/>
    </row>
    <row r="800" spans="1:13" ht="13">
      <c r="A800" s="287" t="s">
        <v>401</v>
      </c>
      <c r="B800" s="186"/>
      <c r="C800" s="879">
        <f>+E800*4.1084</f>
        <v>575176</v>
      </c>
      <c r="D800" s="187">
        <v>40717</v>
      </c>
      <c r="E800" s="879">
        <v>140000</v>
      </c>
      <c r="F800" s="880" t="s">
        <v>392</v>
      </c>
      <c r="G800" s="188"/>
      <c r="H800" s="188"/>
      <c r="I800" s="189"/>
      <c r="J800" s="189"/>
      <c r="K800" s="189"/>
      <c r="L800" s="189"/>
      <c r="M800" s="189"/>
    </row>
    <row r="801" spans="1:13" ht="13">
      <c r="A801" s="287" t="s">
        <v>401</v>
      </c>
      <c r="B801" s="186"/>
      <c r="C801" s="879">
        <f>+E801*4.12063</f>
        <v>407530.30700000003</v>
      </c>
      <c r="D801" s="187">
        <v>40725</v>
      </c>
      <c r="E801" s="879">
        <v>98900</v>
      </c>
      <c r="F801" s="880" t="s">
        <v>392</v>
      </c>
      <c r="G801" s="879"/>
      <c r="H801" s="188"/>
      <c r="I801" s="189"/>
      <c r="J801" s="189"/>
      <c r="K801" s="189"/>
      <c r="L801" s="189"/>
      <c r="M801" s="189"/>
    </row>
    <row r="802" spans="1:13" ht="13">
      <c r="A802" s="287" t="s">
        <v>401</v>
      </c>
      <c r="B802" s="186"/>
      <c r="C802" s="879">
        <f>+E802*4.220368</f>
        <v>725903.29599999997</v>
      </c>
      <c r="D802" s="187">
        <v>40809</v>
      </c>
      <c r="E802" s="879">
        <v>172000</v>
      </c>
      <c r="F802" s="880" t="s">
        <v>388</v>
      </c>
      <c r="G802" s="188"/>
      <c r="H802" s="188"/>
    </row>
    <row r="803" spans="1:13" ht="13">
      <c r="A803" s="287" t="s">
        <v>402</v>
      </c>
      <c r="B803" s="186"/>
      <c r="C803" s="879">
        <f>+E803*4.26</f>
        <v>12780</v>
      </c>
      <c r="D803" s="187">
        <v>40822</v>
      </c>
      <c r="E803" s="879">
        <v>3000</v>
      </c>
      <c r="F803" s="880" t="s">
        <v>388</v>
      </c>
      <c r="G803" s="188"/>
      <c r="H803" s="188"/>
    </row>
    <row r="804" spans="1:13" ht="13">
      <c r="A804" s="287" t="s">
        <v>402</v>
      </c>
      <c r="B804" s="186"/>
      <c r="C804" s="879">
        <f>+E804*4.29</f>
        <v>9995.7000000000007</v>
      </c>
      <c r="D804" s="187">
        <v>40854</v>
      </c>
      <c r="E804" s="879">
        <v>2330</v>
      </c>
      <c r="F804" s="880" t="s">
        <v>388</v>
      </c>
      <c r="G804" s="188"/>
      <c r="H804"/>
    </row>
    <row r="805" spans="1:13" ht="13">
      <c r="A805" s="287" t="s">
        <v>403</v>
      </c>
      <c r="B805" s="186"/>
      <c r="C805" s="879">
        <f>+E805*4.33</f>
        <v>14678.7</v>
      </c>
      <c r="D805" s="187">
        <v>40899</v>
      </c>
      <c r="E805" s="879">
        <v>3390</v>
      </c>
      <c r="F805" s="880" t="s">
        <v>388</v>
      </c>
      <c r="G805" s="879"/>
      <c r="H805" s="21">
        <f>+C809/E809</f>
        <v>4.3849999999999998</v>
      </c>
    </row>
    <row r="806" spans="1:13">
      <c r="A806" s="332"/>
      <c r="B806" s="321"/>
      <c r="C806" s="321"/>
      <c r="D806" s="321"/>
      <c r="E806" s="321"/>
      <c r="F806" s="333"/>
      <c r="G806" s="188"/>
      <c r="H806" s="21">
        <f>+B810/E810</f>
        <v>4.4219813333333331</v>
      </c>
    </row>
    <row r="807" spans="1:13" ht="13.5" thickBot="1">
      <c r="A807" s="288"/>
      <c r="B807" s="289"/>
      <c r="C807" s="326">
        <f>SUM(C795:C806)</f>
        <v>1411262.8676941092</v>
      </c>
      <c r="D807" s="327"/>
      <c r="E807" s="326">
        <f>SUM(E795:E805)</f>
        <v>338868.97156164376</v>
      </c>
      <c r="F807" s="290"/>
      <c r="G807" s="879">
        <f>SUM(G801:G805)</f>
        <v>0</v>
      </c>
      <c r="H807" s="21">
        <f>+B811/E811</f>
        <v>4.4324090909090907</v>
      </c>
    </row>
    <row r="808" spans="1:13" ht="14">
      <c r="A808" s="407" t="s">
        <v>404</v>
      </c>
      <c r="B808" s="408"/>
      <c r="C808" s="330"/>
      <c r="D808" s="330"/>
      <c r="E808" s="330"/>
      <c r="F808" s="331"/>
      <c r="G808" s="188"/>
      <c r="H808" s="188"/>
    </row>
    <row r="809" spans="1:13" ht="13">
      <c r="A809" s="287" t="s">
        <v>405</v>
      </c>
      <c r="B809" s="186"/>
      <c r="C809" s="879">
        <f>+E809*4.385</f>
        <v>19732.5</v>
      </c>
      <c r="D809" s="187">
        <v>40953</v>
      </c>
      <c r="E809" s="879">
        <v>4500</v>
      </c>
      <c r="F809" s="880" t="s">
        <v>388</v>
      </c>
      <c r="G809"/>
      <c r="H809" s="188"/>
    </row>
    <row r="810" spans="1:13" ht="13">
      <c r="A810" s="186">
        <f>+B810-C810</f>
        <v>1256.0799999998417</v>
      </c>
      <c r="B810" s="186">
        <v>928616.08</v>
      </c>
      <c r="C810" s="879">
        <f>+E810*4.416</f>
        <v>927360.00000000012</v>
      </c>
      <c r="D810" s="187">
        <v>41019</v>
      </c>
      <c r="E810" s="879">
        <v>210000</v>
      </c>
      <c r="F810" s="880" t="s">
        <v>406</v>
      </c>
      <c r="G810" s="879"/>
      <c r="H810" s="188"/>
    </row>
    <row r="811" spans="1:13" ht="13">
      <c r="A811" s="186">
        <f>+B811-C811</f>
        <v>360.99999999998545</v>
      </c>
      <c r="B811" s="186">
        <v>97513</v>
      </c>
      <c r="C811" s="879">
        <f>+E811*4.416</f>
        <v>97152.000000000015</v>
      </c>
      <c r="D811" s="187">
        <v>41019</v>
      </c>
      <c r="E811" s="879">
        <v>22000</v>
      </c>
      <c r="F811" s="880" t="s">
        <v>388</v>
      </c>
      <c r="G811" s="188"/>
      <c r="H811" s="188"/>
    </row>
    <row r="812" spans="1:13" ht="13">
      <c r="A812" s="287" t="s">
        <v>405</v>
      </c>
      <c r="B812" s="186"/>
      <c r="C812" s="879">
        <f>+E812*4.47</f>
        <v>8940</v>
      </c>
      <c r="D812" s="187">
        <v>41033</v>
      </c>
      <c r="E812" s="879">
        <v>2000</v>
      </c>
      <c r="F812" s="880" t="s">
        <v>388</v>
      </c>
      <c r="G812" s="188"/>
      <c r="H812" s="188"/>
      <c r="I812" s="189"/>
      <c r="J812" s="189"/>
      <c r="K812" s="189"/>
      <c r="L812" s="189"/>
      <c r="M812" s="189"/>
    </row>
    <row r="817" spans="1:13" s="189" customFormat="1">
      <c r="A817" s="21"/>
      <c r="B817" s="21"/>
      <c r="C817" s="21"/>
      <c r="D817" s="21"/>
      <c r="E817" s="21"/>
      <c r="F817" s="21"/>
      <c r="G817" s="21"/>
      <c r="H817" s="21"/>
      <c r="I817" s="21"/>
      <c r="J817"/>
      <c r="K817"/>
      <c r="L817"/>
      <c r="M817"/>
    </row>
    <row r="818" spans="1:13" s="189" customFormat="1">
      <c r="A818" s="21"/>
      <c r="B818" s="21"/>
      <c r="C818" s="21"/>
      <c r="D818" s="21"/>
      <c r="E818" s="21"/>
      <c r="F818" s="21"/>
      <c r="G818" s="21"/>
      <c r="H818" s="21"/>
      <c r="I818" s="21"/>
      <c r="J818"/>
      <c r="K818"/>
      <c r="L818"/>
      <c r="M818"/>
    </row>
    <row r="819" spans="1:13" s="189" customFormat="1">
      <c r="A819" s="21"/>
      <c r="B819" s="21"/>
      <c r="C819" s="21"/>
      <c r="D819" s="21"/>
      <c r="E819" s="21"/>
      <c r="F819" s="21"/>
      <c r="G819" s="21"/>
      <c r="H819" s="21"/>
      <c r="I819" s="21"/>
      <c r="J819"/>
      <c r="K819"/>
      <c r="L819"/>
      <c r="M819"/>
    </row>
    <row r="820" spans="1:13" s="189" customFormat="1">
      <c r="A820" s="21"/>
      <c r="B820" s="21"/>
      <c r="C820" s="21"/>
      <c r="D820" s="21"/>
      <c r="E820" s="21"/>
      <c r="F820" s="21"/>
      <c r="G820" s="21"/>
      <c r="H820" s="21"/>
      <c r="I820" s="21"/>
      <c r="J820"/>
      <c r="K820"/>
      <c r="L820"/>
      <c r="M820"/>
    </row>
    <row r="821" spans="1:13" s="189" customFormat="1">
      <c r="A821" s="21"/>
      <c r="B821" s="21"/>
      <c r="C821" s="21"/>
      <c r="D821" s="21"/>
      <c r="E821" s="21"/>
      <c r="F821" s="21"/>
      <c r="G821" s="21"/>
      <c r="H821" s="21"/>
      <c r="I821" s="21"/>
      <c r="J821"/>
      <c r="K821"/>
      <c r="L821"/>
      <c r="M821"/>
    </row>
    <row r="822" spans="1:13" s="189" customFormat="1">
      <c r="A822" s="21"/>
      <c r="B822" s="21"/>
      <c r="C822" s="21"/>
      <c r="D822" s="21"/>
      <c r="E822" s="21"/>
      <c r="F822" s="21"/>
      <c r="G822" s="21"/>
      <c r="H822" s="21"/>
      <c r="I822" s="21"/>
      <c r="J822"/>
      <c r="K822"/>
      <c r="L822"/>
      <c r="M822"/>
    </row>
    <row r="823" spans="1:13" s="189" customFormat="1" ht="13">
      <c r="A823" s="389" t="s">
        <v>407</v>
      </c>
      <c r="B823" s="883"/>
      <c r="C823" s="385"/>
      <c r="D823" s="386"/>
      <c r="E823" s="387"/>
      <c r="F823" s="388"/>
      <c r="G823" s="391"/>
      <c r="H823" s="50"/>
      <c r="I823" s="867"/>
    </row>
    <row r="824" spans="1:13" s="189" customFormat="1" ht="13">
      <c r="A824" s="883"/>
      <c r="B824" s="883" t="s">
        <v>408</v>
      </c>
      <c r="C824" s="884" t="s">
        <v>409</v>
      </c>
      <c r="D824" s="394" t="s">
        <v>410</v>
      </c>
      <c r="E824" s="387"/>
      <c r="F824" s="388"/>
      <c r="G824" s="391"/>
      <c r="H824" s="50"/>
      <c r="I824" s="867"/>
      <c r="L824" s="47"/>
      <c r="M824" s="47"/>
    </row>
    <row r="825" spans="1:13" s="189" customFormat="1" ht="13">
      <c r="A825" s="885">
        <v>40718</v>
      </c>
      <c r="B825" s="886">
        <v>140000</v>
      </c>
      <c r="C825" s="886">
        <v>139980</v>
      </c>
      <c r="D825" s="395">
        <f>+E825/C825</f>
        <v>4.1091223746249463</v>
      </c>
      <c r="E825" s="393">
        <f>575181.95+13</f>
        <v>575194.94999999995</v>
      </c>
      <c r="F825" s="390" t="s">
        <v>411</v>
      </c>
      <c r="G825" s="392"/>
      <c r="H825" s="50"/>
      <c r="I825" s="867"/>
      <c r="L825" s="47"/>
      <c r="M825" s="47"/>
    </row>
    <row r="826" spans="1:13" ht="13">
      <c r="A826" s="885">
        <v>40724</v>
      </c>
      <c r="B826" s="886">
        <v>99432</v>
      </c>
      <c r="C826" s="886">
        <v>98880</v>
      </c>
      <c r="D826" s="395">
        <f>+E826/C826</f>
        <v>4.1215918284789641</v>
      </c>
      <c r="E826" s="393">
        <f>407530+13</f>
        <v>407543</v>
      </c>
      <c r="F826" s="390" t="s">
        <v>412</v>
      </c>
      <c r="G826" s="392"/>
      <c r="H826" s="50"/>
      <c r="I826" s="867"/>
      <c r="J826" s="189"/>
      <c r="K826" s="189"/>
      <c r="L826" s="47"/>
      <c r="M826" s="47"/>
    </row>
    <row r="827" spans="1:13" s="189" customFormat="1" ht="13">
      <c r="A827" s="885">
        <v>40800</v>
      </c>
      <c r="B827" s="886">
        <v>238380</v>
      </c>
      <c r="C827" s="886">
        <v>274000</v>
      </c>
      <c r="D827" s="413">
        <f>+B827/C827</f>
        <v>0.87</v>
      </c>
      <c r="E827" s="387"/>
      <c r="F827" s="390" t="s">
        <v>413</v>
      </c>
      <c r="G827" s="391"/>
      <c r="H827" s="50"/>
      <c r="I827" s="867"/>
      <c r="L827" s="47"/>
      <c r="M827" s="47"/>
    </row>
    <row r="828" spans="1:13" s="189" customFormat="1" ht="13">
      <c r="A828" s="885">
        <v>40813</v>
      </c>
      <c r="B828" s="886">
        <v>172000</v>
      </c>
      <c r="C828" s="886">
        <v>171980</v>
      </c>
      <c r="D828" s="395">
        <f>+E828/C828</f>
        <v>4.2209381904872654</v>
      </c>
      <c r="E828" s="393">
        <f>725903.6+13.35</f>
        <v>725916.95</v>
      </c>
      <c r="F828" s="390" t="s">
        <v>412</v>
      </c>
      <c r="G828" s="392"/>
      <c r="H828" s="50"/>
      <c r="I828" s="867"/>
      <c r="L828" s="47"/>
      <c r="M828" s="47"/>
    </row>
    <row r="829" spans="1:13" ht="13">
      <c r="A829" s="885">
        <v>40840</v>
      </c>
      <c r="B829" s="886">
        <f>+C827*3.5%</f>
        <v>9590.0000000000018</v>
      </c>
      <c r="C829" s="886">
        <f>+B829</f>
        <v>9590.0000000000018</v>
      </c>
      <c r="D829" s="414">
        <v>3.5000000000000003E-2</v>
      </c>
      <c r="E829" s="393"/>
      <c r="F829" s="390" t="s">
        <v>414</v>
      </c>
      <c r="G829" s="392"/>
      <c r="H829" s="50"/>
      <c r="I829" s="887"/>
      <c r="J829" s="189"/>
      <c r="K829" s="189"/>
      <c r="L829" s="47"/>
      <c r="M829" s="47"/>
    </row>
    <row r="830" spans="1:13" ht="15.5">
      <c r="A830" s="885">
        <v>40995</v>
      </c>
      <c r="B830" s="886">
        <v>180000</v>
      </c>
      <c r="C830" s="886">
        <v>200000</v>
      </c>
      <c r="D830" s="413">
        <f>+B830/C830</f>
        <v>0.9</v>
      </c>
      <c r="E830" s="387"/>
      <c r="F830" s="390" t="s">
        <v>413</v>
      </c>
      <c r="G830" s="391"/>
      <c r="H830" s="50"/>
      <c r="I830" s="38"/>
      <c r="J830" s="189"/>
      <c r="K830" s="189"/>
      <c r="L830" s="47"/>
      <c r="M830" s="47"/>
    </row>
    <row r="831" spans="1:13" ht="13">
      <c r="A831" s="885">
        <v>41019</v>
      </c>
      <c r="B831" s="886">
        <f>+C830*D831</f>
        <v>7000.0000000000009</v>
      </c>
      <c r="C831" s="886">
        <f>+B831</f>
        <v>7000.0000000000009</v>
      </c>
      <c r="D831" s="414">
        <v>3.5000000000000003E-2</v>
      </c>
      <c r="E831" s="393"/>
      <c r="F831" s="390" t="s">
        <v>414</v>
      </c>
      <c r="G831" s="392"/>
      <c r="H831" s="50"/>
      <c r="I831" s="53" t="s">
        <v>415</v>
      </c>
      <c r="J831" s="189"/>
      <c r="K831" s="189"/>
      <c r="L831" s="47"/>
      <c r="M831" s="47"/>
    </row>
    <row r="832" spans="1:13" ht="13">
      <c r="A832" s="885">
        <v>41022</v>
      </c>
      <c r="B832" s="886">
        <v>210000</v>
      </c>
      <c r="C832" s="886">
        <v>209980</v>
      </c>
      <c r="D832" s="395">
        <f>+E832/C832</f>
        <v>4.4164206114868083</v>
      </c>
      <c r="E832" s="393">
        <v>927360</v>
      </c>
      <c r="F832" s="390" t="s">
        <v>411</v>
      </c>
      <c r="G832" s="392"/>
      <c r="H832" s="292"/>
      <c r="I832" s="152" t="s">
        <v>416</v>
      </c>
      <c r="K832" s="189"/>
      <c r="L832" s="47"/>
      <c r="M832" s="47"/>
    </row>
    <row r="833" spans="1:13" ht="13">
      <c r="A833" s="885">
        <v>41022</v>
      </c>
      <c r="B833" s="886">
        <v>22000</v>
      </c>
      <c r="C833" s="886">
        <v>21980</v>
      </c>
      <c r="D833" s="395">
        <f>+E833/C833</f>
        <v>4.4200181983621478</v>
      </c>
      <c r="E833" s="393">
        <v>97152</v>
      </c>
      <c r="F833" s="390" t="s">
        <v>412</v>
      </c>
      <c r="G833" s="392"/>
      <c r="H833" s="851"/>
      <c r="I833" s="888" t="s">
        <v>417</v>
      </c>
      <c r="J833" s="189"/>
      <c r="L833" s="47"/>
      <c r="M833" s="47"/>
    </row>
    <row r="834" spans="1:13" ht="13">
      <c r="A834" s="883"/>
      <c r="B834" s="883"/>
      <c r="C834" s="385"/>
      <c r="D834" s="386"/>
      <c r="E834" s="387"/>
      <c r="F834" s="388"/>
      <c r="G834" s="391"/>
      <c r="H834" s="53">
        <v>38744</v>
      </c>
      <c r="I834" s="888" t="s">
        <v>417</v>
      </c>
      <c r="J834" s="189"/>
      <c r="K834" s="189"/>
      <c r="L834" s="47"/>
      <c r="M834" s="47"/>
    </row>
    <row r="835" spans="1:13" ht="13">
      <c r="A835" s="883"/>
      <c r="B835" s="889">
        <f>SUM(B825:B834)</f>
        <v>1078402</v>
      </c>
      <c r="C835" s="385"/>
      <c r="D835" s="386"/>
      <c r="E835" s="387"/>
      <c r="F835" s="388"/>
      <c r="G835" s="391"/>
      <c r="H835" s="152" t="s">
        <v>418</v>
      </c>
      <c r="I835" s="888"/>
      <c r="J835" s="189"/>
      <c r="K835" s="189"/>
      <c r="L835" s="47"/>
      <c r="M835" s="47"/>
    </row>
    <row r="836" spans="1:13" ht="13">
      <c r="A836" s="385"/>
      <c r="B836" s="890" t="s">
        <v>419</v>
      </c>
      <c r="C836" s="891"/>
      <c r="D836" s="386"/>
      <c r="E836" s="387"/>
      <c r="F836" s="388"/>
      <c r="G836" s="391"/>
      <c r="H836" s="892">
        <v>1.6799999999999999E-2</v>
      </c>
      <c r="I836" s="893" t="s">
        <v>420</v>
      </c>
      <c r="J836" s="189"/>
      <c r="K836" s="189"/>
      <c r="L836" s="47"/>
      <c r="M836" s="47"/>
    </row>
    <row r="837" spans="1:13" ht="13">
      <c r="A837" s="400"/>
      <c r="B837" s="401"/>
      <c r="C837" s="401"/>
      <c r="D837" s="402"/>
      <c r="E837" s="401"/>
      <c r="F837" s="403"/>
      <c r="G837" s="404"/>
      <c r="H837" s="892">
        <f>+H836</f>
        <v>1.6799999999999999E-2</v>
      </c>
      <c r="I837" s="893" t="s">
        <v>421</v>
      </c>
      <c r="J837" s="189"/>
      <c r="K837" s="189"/>
      <c r="L837" s="47"/>
      <c r="M837" s="47"/>
    </row>
    <row r="838" spans="1:13" ht="13">
      <c r="A838" s="212"/>
      <c r="B838" s="215"/>
      <c r="C838" s="215"/>
      <c r="D838" s="211"/>
      <c r="E838" s="212"/>
      <c r="F838" s="213"/>
      <c r="G838" s="214"/>
      <c r="H838" s="892"/>
      <c r="I838" s="893" t="s">
        <v>422</v>
      </c>
      <c r="J838" s="189"/>
      <c r="K838" s="189"/>
      <c r="L838" s="189"/>
      <c r="M838" s="189"/>
    </row>
    <row r="839" spans="1:13" s="189" customFormat="1" ht="13.5" thickBot="1">
      <c r="A839" s="113"/>
      <c r="B839" s="111"/>
      <c r="C839" s="111"/>
      <c r="D839" s="112"/>
      <c r="E839" s="113"/>
      <c r="F839" s="114"/>
      <c r="G839" s="53"/>
      <c r="H839" s="892">
        <v>6.3E-3</v>
      </c>
      <c r="I839" s="893" t="s">
        <v>424</v>
      </c>
      <c r="L839" s="47"/>
      <c r="M839" s="47"/>
    </row>
    <row r="840" spans="1:13" ht="13.5" thickTop="1">
      <c r="A840" s="129" t="s">
        <v>423</v>
      </c>
      <c r="B840" s="130">
        <f>SUM(B841:B842)</f>
        <v>116225</v>
      </c>
      <c r="C840" s="130"/>
      <c r="D840" s="131"/>
      <c r="E840" s="132"/>
      <c r="F840" s="133"/>
      <c r="G840" s="133"/>
      <c r="H840" s="892"/>
      <c r="I840" s="893" t="s">
        <v>420</v>
      </c>
      <c r="J840" s="189"/>
      <c r="K840" s="189"/>
      <c r="L840" s="47"/>
      <c r="M840" s="47"/>
    </row>
    <row r="841" spans="1:13" ht="13">
      <c r="A841" s="134">
        <v>37262</v>
      </c>
      <c r="B841" s="50">
        <f>96700*25%</f>
        <v>24175</v>
      </c>
      <c r="C841" s="50">
        <f>+B841</f>
        <v>24175</v>
      </c>
      <c r="D841" s="51"/>
      <c r="E841" s="49">
        <v>38751</v>
      </c>
      <c r="F841" s="47"/>
      <c r="G841" s="47"/>
      <c r="H841" s="892">
        <v>6.3E-3</v>
      </c>
      <c r="I841" s="893" t="s">
        <v>420</v>
      </c>
      <c r="J841" s="189"/>
      <c r="K841" s="189"/>
      <c r="L841" s="47"/>
      <c r="M841" s="47"/>
    </row>
    <row r="842" spans="1:13" ht="13">
      <c r="A842" s="134">
        <v>37262</v>
      </c>
      <c r="B842" s="50">
        <f>368200*25%</f>
        <v>92050</v>
      </c>
      <c r="C842" s="50">
        <f>+B842</f>
        <v>92050</v>
      </c>
      <c r="D842" s="51"/>
      <c r="E842" s="49">
        <v>38751</v>
      </c>
      <c r="F842" s="47"/>
      <c r="G842" s="47"/>
      <c r="H842" s="892">
        <v>6.3E-3</v>
      </c>
      <c r="I842" s="893" t="s">
        <v>420</v>
      </c>
      <c r="J842" s="189"/>
      <c r="K842" s="189"/>
      <c r="L842" s="47"/>
      <c r="M842" s="47"/>
    </row>
    <row r="843" spans="1:13" ht="13">
      <c r="A843" s="134"/>
      <c r="B843" s="50"/>
      <c r="C843" s="50"/>
      <c r="D843" s="51"/>
      <c r="E843" s="49"/>
      <c r="F843" s="47"/>
      <c r="G843" s="47"/>
      <c r="H843" s="892">
        <v>6.3E-3</v>
      </c>
      <c r="I843" s="893" t="s">
        <v>420</v>
      </c>
      <c r="J843" s="189"/>
      <c r="K843" s="189"/>
      <c r="L843" s="47"/>
      <c r="M843" s="47"/>
    </row>
    <row r="844" spans="1:13" ht="13">
      <c r="A844" s="134">
        <v>38505</v>
      </c>
      <c r="B844" s="50">
        <v>13164</v>
      </c>
      <c r="C844" s="50">
        <f t="shared" ref="C844:C866" si="61">+B844</f>
        <v>13164</v>
      </c>
      <c r="D844" s="47"/>
      <c r="E844" s="49"/>
      <c r="F844" s="47" t="s">
        <v>425</v>
      </c>
      <c r="G844" s="47"/>
      <c r="H844" s="892">
        <v>6.3E-3</v>
      </c>
      <c r="I844" s="893" t="s">
        <v>420</v>
      </c>
      <c r="J844" s="189"/>
      <c r="K844" s="189"/>
      <c r="L844" s="47"/>
      <c r="M844" s="47"/>
    </row>
    <row r="845" spans="1:13" ht="13">
      <c r="A845" s="134">
        <v>38505</v>
      </c>
      <c r="B845" s="50">
        <v>13164</v>
      </c>
      <c r="C845" s="50">
        <f t="shared" si="61"/>
        <v>13164</v>
      </c>
      <c r="D845" s="47"/>
      <c r="E845" s="49"/>
      <c r="F845" s="47" t="s">
        <v>425</v>
      </c>
      <c r="G845" s="47"/>
      <c r="H845" s="892">
        <v>6.3E-3</v>
      </c>
      <c r="I845" s="893" t="s">
        <v>420</v>
      </c>
      <c r="J845" s="189"/>
      <c r="K845" s="189"/>
      <c r="L845" s="47"/>
      <c r="M845" s="47"/>
    </row>
    <row r="846" spans="1:13" ht="13">
      <c r="A846" s="134">
        <v>38505</v>
      </c>
      <c r="B846" s="50">
        <v>40707</v>
      </c>
      <c r="C846" s="50">
        <f t="shared" si="61"/>
        <v>40707</v>
      </c>
      <c r="D846" s="47"/>
      <c r="E846" s="49"/>
      <c r="F846" s="47" t="s">
        <v>425</v>
      </c>
      <c r="G846" s="47"/>
      <c r="H846" s="892">
        <v>6.3E-3</v>
      </c>
      <c r="I846" s="893" t="s">
        <v>426</v>
      </c>
      <c r="J846" s="875"/>
      <c r="K846" s="189"/>
      <c r="L846" s="47"/>
      <c r="M846" s="47"/>
    </row>
    <row r="847" spans="1:13" ht="13">
      <c r="A847" s="134">
        <v>38505</v>
      </c>
      <c r="B847" s="50">
        <v>40707</v>
      </c>
      <c r="C847" s="50">
        <f t="shared" si="61"/>
        <v>40707</v>
      </c>
      <c r="D847" s="47"/>
      <c r="E847" s="49"/>
      <c r="F847" s="47" t="s">
        <v>425</v>
      </c>
      <c r="G847" s="47"/>
      <c r="H847" s="892">
        <v>6.3E-3</v>
      </c>
      <c r="I847" s="893" t="s">
        <v>426</v>
      </c>
      <c r="J847" s="875"/>
      <c r="K847" s="868"/>
      <c r="L847" s="47"/>
      <c r="M847" s="47"/>
    </row>
    <row r="848" spans="1:13" ht="13">
      <c r="A848" s="134">
        <v>39316</v>
      </c>
      <c r="B848" s="50">
        <v>47500</v>
      </c>
      <c r="C848" s="50">
        <f t="shared" si="61"/>
        <v>47500</v>
      </c>
      <c r="D848" s="47">
        <v>1.05</v>
      </c>
      <c r="E848" s="49"/>
      <c r="F848" s="50">
        <f>+C848*D848</f>
        <v>49875</v>
      </c>
      <c r="G848" s="47"/>
      <c r="H848" s="892">
        <v>6.3E-3</v>
      </c>
      <c r="I848" s="893" t="s">
        <v>426</v>
      </c>
      <c r="J848" s="875"/>
      <c r="K848" s="868"/>
      <c r="L848" s="47"/>
      <c r="M848" s="47"/>
    </row>
    <row r="849" spans="1:14" ht="13">
      <c r="A849" s="134">
        <v>39548</v>
      </c>
      <c r="B849" s="50">
        <v>24994</v>
      </c>
      <c r="C849" s="50">
        <f t="shared" si="61"/>
        <v>24994</v>
      </c>
      <c r="D849" s="185">
        <f>+F849/B849</f>
        <v>1.0020224853964952</v>
      </c>
      <c r="E849" s="49"/>
      <c r="F849" s="50">
        <v>25044.55</v>
      </c>
      <c r="G849" s="47"/>
      <c r="H849" s="892"/>
      <c r="I849" s="893" t="s">
        <v>427</v>
      </c>
      <c r="J849" s="875"/>
      <c r="K849" s="868"/>
      <c r="L849" s="47"/>
      <c r="M849" s="47"/>
    </row>
    <row r="850" spans="1:14" s="47" customFormat="1" ht="13">
      <c r="A850" s="134">
        <v>39560</v>
      </c>
      <c r="B850" s="50">
        <v>20900</v>
      </c>
      <c r="C850" s="50">
        <f t="shared" si="61"/>
        <v>20900</v>
      </c>
      <c r="D850" s="185">
        <f>+F850/B850</f>
        <v>0.95353971291866024</v>
      </c>
      <c r="E850" s="49"/>
      <c r="F850" s="50">
        <f>19855+73.98</f>
        <v>19928.98</v>
      </c>
      <c r="H850" s="892"/>
      <c r="I850" s="893" t="s">
        <v>427</v>
      </c>
      <c r="J850" s="875"/>
      <c r="K850" s="868"/>
    </row>
    <row r="851" spans="1:14" s="47" customFormat="1" ht="13">
      <c r="A851" s="134">
        <v>39573</v>
      </c>
      <c r="B851" s="50">
        <v>20970</v>
      </c>
      <c r="C851" s="50">
        <f t="shared" si="61"/>
        <v>20970</v>
      </c>
      <c r="D851" s="185">
        <f>+F851/B851</f>
        <v>0.95352885073915117</v>
      </c>
      <c r="E851" s="49"/>
      <c r="F851" s="50">
        <f>19921.5+74</f>
        <v>19995.5</v>
      </c>
      <c r="H851" s="892"/>
      <c r="I851" s="893" t="s">
        <v>427</v>
      </c>
      <c r="J851" s="875"/>
      <c r="K851" s="868"/>
    </row>
    <row r="852" spans="1:14" s="47" customFormat="1" ht="13">
      <c r="A852" s="134">
        <v>39932</v>
      </c>
      <c r="B852" s="50">
        <v>30800</v>
      </c>
      <c r="C852" s="50">
        <f t="shared" si="61"/>
        <v>30800</v>
      </c>
      <c r="D852" s="185">
        <f>+F852/B852</f>
        <v>0.64835422077922078</v>
      </c>
      <c r="E852" s="49"/>
      <c r="F852" s="50">
        <f>19866+99.33+3.98</f>
        <v>19969.310000000001</v>
      </c>
      <c r="H852" s="892"/>
      <c r="I852" s="893" t="s">
        <v>427</v>
      </c>
      <c r="J852" s="875"/>
      <c r="K852" s="868"/>
    </row>
    <row r="853" spans="1:14" s="47" customFormat="1" ht="13">
      <c r="A853" s="134">
        <v>39968</v>
      </c>
      <c r="B853" s="50">
        <v>13000</v>
      </c>
      <c r="C853" s="50">
        <f t="shared" si="61"/>
        <v>13000</v>
      </c>
      <c r="D853" s="185">
        <f>+F853/B853</f>
        <v>0.75399692307692301</v>
      </c>
      <c r="E853" s="49"/>
      <c r="F853" s="50">
        <v>9801.9599999999991</v>
      </c>
      <c r="H853" s="892"/>
      <c r="I853" s="893" t="s">
        <v>427</v>
      </c>
      <c r="J853" s="875"/>
      <c r="K853" s="868"/>
    </row>
    <row r="854" spans="1:14" s="399" customFormat="1" ht="13">
      <c r="A854" s="134">
        <v>39570</v>
      </c>
      <c r="B854" s="50">
        <v>15637.12</v>
      </c>
      <c r="C854" s="50">
        <f t="shared" si="61"/>
        <v>15637.12</v>
      </c>
      <c r="D854" s="185">
        <v>1.2749999999999999</v>
      </c>
      <c r="E854" s="49"/>
      <c r="F854" s="50">
        <f>19913.91+74</f>
        <v>19987.91</v>
      </c>
      <c r="G854" s="47" t="s">
        <v>231</v>
      </c>
      <c r="H854" s="892"/>
      <c r="I854" s="893" t="s">
        <v>427</v>
      </c>
      <c r="J854" s="875"/>
      <c r="K854" s="868"/>
      <c r="L854" s="47"/>
      <c r="M854" s="47"/>
      <c r="N854" s="405"/>
    </row>
    <row r="855" spans="1:14" ht="13">
      <c r="A855" s="134">
        <v>39937</v>
      </c>
      <c r="B855" s="50">
        <f>2354.568+7142.508+8014.924</f>
        <v>17512</v>
      </c>
      <c r="C855" s="50">
        <f t="shared" si="61"/>
        <v>17512</v>
      </c>
      <c r="D855" s="185">
        <f t="shared" ref="D855:D865" si="62">+F855/B855</f>
        <v>0.57026838739150287</v>
      </c>
      <c r="E855" s="49"/>
      <c r="F855" s="50">
        <f>9934.56+50+1.98</f>
        <v>9986.5399999999991</v>
      </c>
      <c r="G855" s="47" t="s">
        <v>231</v>
      </c>
      <c r="H855" s="892"/>
      <c r="I855" s="895" t="s">
        <v>420</v>
      </c>
      <c r="J855" s="875"/>
      <c r="K855" s="868"/>
      <c r="L855" s="47"/>
      <c r="M855" s="47"/>
    </row>
    <row r="856" spans="1:14" s="47" customFormat="1" ht="13">
      <c r="A856" s="134">
        <v>39944</v>
      </c>
      <c r="B856" s="50">
        <v>81988</v>
      </c>
      <c r="C856" s="50">
        <f t="shared" si="61"/>
        <v>81988</v>
      </c>
      <c r="D856" s="185">
        <f t="shared" si="62"/>
        <v>0.61275894033273159</v>
      </c>
      <c r="E856" s="49"/>
      <c r="F856" s="50">
        <v>50238.879999999997</v>
      </c>
      <c r="G856" s="47" t="s">
        <v>353</v>
      </c>
      <c r="H856" s="892"/>
      <c r="I856" s="895" t="s">
        <v>428</v>
      </c>
      <c r="J856" s="875"/>
      <c r="K856" s="868"/>
    </row>
    <row r="857" spans="1:14" s="47" customFormat="1" ht="13">
      <c r="A857" s="134">
        <v>39955</v>
      </c>
      <c r="B857" s="50">
        <v>122720</v>
      </c>
      <c r="C857" s="50">
        <f t="shared" si="61"/>
        <v>122720</v>
      </c>
      <c r="D857" s="185">
        <f t="shared" si="62"/>
        <v>1.3369417372881356</v>
      </c>
      <c r="E857" s="49"/>
      <c r="F857" s="50">
        <v>164069.49</v>
      </c>
      <c r="G857" s="47" t="s">
        <v>353</v>
      </c>
      <c r="H857" s="892"/>
      <c r="I857" s="895" t="s">
        <v>428</v>
      </c>
      <c r="J857" s="875"/>
      <c r="K857" s="868"/>
      <c r="N857" s="896" t="s">
        <v>429</v>
      </c>
    </row>
    <row r="858" spans="1:14" s="47" customFormat="1" ht="13">
      <c r="A858" s="134">
        <v>39960</v>
      </c>
      <c r="B858" s="50">
        <v>80000</v>
      </c>
      <c r="C858" s="50">
        <f t="shared" si="61"/>
        <v>80000</v>
      </c>
      <c r="D858" s="185">
        <f t="shared" si="62"/>
        <v>1.330090625</v>
      </c>
      <c r="E858" s="49"/>
      <c r="F858" s="50">
        <v>106407.25</v>
      </c>
      <c r="G858" s="47" t="s">
        <v>353</v>
      </c>
      <c r="H858" s="892"/>
      <c r="I858" s="895"/>
      <c r="J858" s="875"/>
      <c r="K858" s="868"/>
      <c r="N858" s="898">
        <f>+J864*H836/2</f>
        <v>203.07</v>
      </c>
    </row>
    <row r="859" spans="1:14" s="47" customFormat="1" ht="13.5" thickBot="1">
      <c r="A859" s="134">
        <v>39961</v>
      </c>
      <c r="B859" s="50">
        <v>60000</v>
      </c>
      <c r="C859" s="50">
        <f t="shared" si="61"/>
        <v>60000</v>
      </c>
      <c r="D859" s="185">
        <f t="shared" si="62"/>
        <v>1.3254693333333334</v>
      </c>
      <c r="E859" s="49"/>
      <c r="F859" s="50">
        <v>79528.160000000003</v>
      </c>
      <c r="G859" s="47" t="s">
        <v>353</v>
      </c>
      <c r="H859" s="892"/>
      <c r="I859" s="897"/>
      <c r="J859" s="875"/>
      <c r="K859" s="868"/>
      <c r="L859" s="868"/>
      <c r="M859" s="894"/>
      <c r="N859" s="898">
        <f>+J865*H837/2</f>
        <v>773.21999999999991</v>
      </c>
    </row>
    <row r="860" spans="1:14" s="47" customFormat="1" ht="15.5">
      <c r="A860" s="134">
        <v>39969</v>
      </c>
      <c r="B860" s="50">
        <v>90000</v>
      </c>
      <c r="C860" s="50">
        <f t="shared" si="61"/>
        <v>90000</v>
      </c>
      <c r="D860" s="185">
        <f t="shared" si="62"/>
        <v>1.5767012222222221</v>
      </c>
      <c r="E860" s="49"/>
      <c r="F860" s="50">
        <v>141903.10999999999</v>
      </c>
      <c r="G860" s="47" t="s">
        <v>353</v>
      </c>
      <c r="H860" s="892"/>
      <c r="I860" s="205" t="s">
        <v>430</v>
      </c>
      <c r="J860" s="899"/>
      <c r="K860" s="868"/>
      <c r="L860" s="868"/>
      <c r="M860" s="894"/>
      <c r="N860" s="896"/>
    </row>
    <row r="861" spans="1:14" s="47" customFormat="1" ht="16" thickBot="1">
      <c r="A861" s="134">
        <v>39972</v>
      </c>
      <c r="B861" s="50">
        <v>24780</v>
      </c>
      <c r="C861" s="50">
        <f t="shared" si="61"/>
        <v>24780</v>
      </c>
      <c r="D861" s="185">
        <f t="shared" si="62"/>
        <v>1.5657723970944308</v>
      </c>
      <c r="E861" s="49"/>
      <c r="F861" s="50">
        <v>38799.839999999997</v>
      </c>
      <c r="G861" s="47" t="s">
        <v>353</v>
      </c>
      <c r="H861" s="892"/>
      <c r="I861" s="208" t="s">
        <v>53</v>
      </c>
      <c r="J861" s="1"/>
      <c r="K861" s="901"/>
      <c r="L861" s="901"/>
      <c r="M861" s="902"/>
    </row>
    <row r="862" spans="1:14" s="47" customFormat="1" ht="13">
      <c r="A862" s="134">
        <v>39982</v>
      </c>
      <c r="B862" s="50">
        <v>22500</v>
      </c>
      <c r="C862" s="50">
        <f t="shared" si="61"/>
        <v>22500</v>
      </c>
      <c r="D862" s="185">
        <f t="shared" si="62"/>
        <v>1.8166968888888888</v>
      </c>
      <c r="E862" s="49"/>
      <c r="F862" s="50">
        <v>40875.68</v>
      </c>
      <c r="G862" s="47" t="s">
        <v>431</v>
      </c>
      <c r="H862" s="900"/>
      <c r="I862" s="204"/>
      <c r="J862" s="53">
        <v>3.16</v>
      </c>
      <c r="K862"/>
      <c r="L862"/>
      <c r="M862"/>
    </row>
    <row r="863" spans="1:14" s="47" customFormat="1" ht="13">
      <c r="A863" s="134">
        <v>39982</v>
      </c>
      <c r="B863" s="50">
        <v>28672</v>
      </c>
      <c r="C863" s="50">
        <f t="shared" si="61"/>
        <v>28672</v>
      </c>
      <c r="D863" s="185">
        <f t="shared" si="62"/>
        <v>0.86819859095982144</v>
      </c>
      <c r="E863" s="49"/>
      <c r="F863" s="50">
        <v>24892.99</v>
      </c>
      <c r="G863" s="47" t="s">
        <v>431</v>
      </c>
      <c r="H863" s="900"/>
      <c r="I863" s="157"/>
      <c r="J863" s="152" t="s">
        <v>433</v>
      </c>
    </row>
    <row r="864" spans="1:14" s="47" customFormat="1" ht="13">
      <c r="A864" s="134">
        <v>40093</v>
      </c>
      <c r="B864" s="50">
        <v>5000</v>
      </c>
      <c r="C864" s="50">
        <f t="shared" si="61"/>
        <v>5000</v>
      </c>
      <c r="D864" s="185">
        <f t="shared" si="62"/>
        <v>1.9653180000000001</v>
      </c>
      <c r="E864" s="49"/>
      <c r="F864" s="50">
        <v>9826.59</v>
      </c>
      <c r="G864" s="47" t="s">
        <v>432</v>
      </c>
      <c r="H864" s="21"/>
      <c r="I864" s="152" t="s">
        <v>416</v>
      </c>
      <c r="J864" s="903">
        <f>+B841</f>
        <v>24175</v>
      </c>
      <c r="K864" s="152"/>
      <c r="L864" s="152"/>
      <c r="M864" s="152" t="s">
        <v>435</v>
      </c>
    </row>
    <row r="865" spans="1:13" s="47" customFormat="1" ht="13">
      <c r="A865" s="134">
        <v>40094</v>
      </c>
      <c r="B865" s="50">
        <v>10000</v>
      </c>
      <c r="C865" s="50">
        <f t="shared" si="61"/>
        <v>10000</v>
      </c>
      <c r="D865" s="185">
        <f t="shared" si="62"/>
        <v>2.0058410000000002</v>
      </c>
      <c r="E865" s="49"/>
      <c r="F865" s="50">
        <v>20058.41</v>
      </c>
      <c r="G865" s="47" t="s">
        <v>434</v>
      </c>
      <c r="H865" s="156"/>
      <c r="I865" s="904" t="s">
        <v>436</v>
      </c>
      <c r="J865" s="903">
        <f>+B842</f>
        <v>92050</v>
      </c>
      <c r="K865" s="905">
        <v>2.0499999999999998</v>
      </c>
      <c r="L865" s="905"/>
      <c r="M865" s="898">
        <f>+J864*$J$862</f>
        <v>76393</v>
      </c>
    </row>
    <row r="866" spans="1:13" s="47" customFormat="1" ht="13">
      <c r="A866" s="223">
        <v>40094</v>
      </c>
      <c r="B866" s="224">
        <v>0</v>
      </c>
      <c r="C866" s="224">
        <f t="shared" si="61"/>
        <v>0</v>
      </c>
      <c r="D866" s="225"/>
      <c r="E866" s="226"/>
      <c r="F866" s="224">
        <v>0</v>
      </c>
      <c r="G866" s="227" t="s">
        <v>434</v>
      </c>
      <c r="H866" s="157"/>
      <c r="I866" s="904" t="s">
        <v>438</v>
      </c>
      <c r="J866" s="903"/>
      <c r="K866" s="905">
        <f>+K865</f>
        <v>2.0499999999999998</v>
      </c>
      <c r="L866" s="905"/>
      <c r="M866" s="898">
        <f>+J865*$J$862</f>
        <v>290878</v>
      </c>
    </row>
    <row r="867" spans="1:13" s="47" customFormat="1" ht="13">
      <c r="A867" s="49"/>
      <c r="B867" s="50"/>
      <c r="C867" s="50"/>
      <c r="D867" s="185"/>
      <c r="E867" s="49"/>
      <c r="F867" s="50"/>
      <c r="H867" s="152" t="s">
        <v>437</v>
      </c>
      <c r="I867" s="904" t="s">
        <v>439</v>
      </c>
      <c r="J867" s="903">
        <f>+B844</f>
        <v>13164</v>
      </c>
      <c r="K867" s="898"/>
      <c r="L867" s="898"/>
      <c r="M867" s="898"/>
    </row>
    <row r="868" spans="1:13" s="47" customFormat="1" ht="13">
      <c r="A868" s="49"/>
      <c r="B868" s="50"/>
      <c r="C868" s="50"/>
      <c r="D868" s="185"/>
      <c r="E868" s="49"/>
      <c r="F868" s="50"/>
      <c r="H868" s="906">
        <f>30000*3.12/21700</f>
        <v>4.3133640552995391</v>
      </c>
      <c r="I868" s="904" t="s">
        <v>440</v>
      </c>
      <c r="J868" s="903">
        <f>+J867</f>
        <v>13164</v>
      </c>
      <c r="K868" s="905">
        <v>0.65</v>
      </c>
      <c r="L868" s="905"/>
      <c r="M868" s="898"/>
    </row>
    <row r="869" spans="1:13" s="47" customFormat="1" ht="13">
      <c r="A869" s="50"/>
      <c r="B869" s="50"/>
      <c r="C869" s="192">
        <f>+C849+C850+C851</f>
        <v>66864</v>
      </c>
      <c r="D869" s="49"/>
      <c r="F869" s="198">
        <f>SUM(F856:F866)</f>
        <v>676600.4</v>
      </c>
      <c r="H869" s="906">
        <f>28.9*1.013</f>
        <v>29.275699999999997</v>
      </c>
      <c r="I869" s="904" t="s">
        <v>441</v>
      </c>
      <c r="J869" s="903">
        <f t="shared" ref="J869:J889" si="63">+B846</f>
        <v>40707</v>
      </c>
      <c r="K869" s="905">
        <v>0.33200000000000002</v>
      </c>
      <c r="L869" s="905"/>
      <c r="M869" s="898"/>
    </row>
    <row r="870" spans="1:13" s="47" customFormat="1" ht="13">
      <c r="A870" s="134"/>
      <c r="B870" s="50"/>
      <c r="C870" s="50"/>
      <c r="D870" s="51"/>
      <c r="E870" s="49"/>
      <c r="H870" s="906">
        <f>0.645*1.013</f>
        <v>0.65338499999999999</v>
      </c>
      <c r="I870" s="904" t="s">
        <v>443</v>
      </c>
      <c r="J870" s="903">
        <f t="shared" si="63"/>
        <v>40707</v>
      </c>
      <c r="K870" s="905">
        <v>0.33150000000000002</v>
      </c>
      <c r="L870" s="905"/>
      <c r="M870" s="898"/>
    </row>
    <row r="871" spans="1:13" s="47" customFormat="1" ht="13.5" thickBot="1">
      <c r="A871" s="135"/>
      <c r="B871" s="136"/>
      <c r="C871" s="136"/>
      <c r="D871" s="137"/>
      <c r="E871" s="138"/>
      <c r="F871" s="199">
        <v>582012</v>
      </c>
      <c r="G871" s="199" t="s">
        <v>442</v>
      </c>
      <c r="H871" s="906">
        <f>4.8*1.013</f>
        <v>4.8623999999999992</v>
      </c>
      <c r="I871" s="158"/>
      <c r="J871" s="907">
        <f t="shared" si="63"/>
        <v>47500</v>
      </c>
      <c r="K871" s="905">
        <v>9.8500000000000004E-2</v>
      </c>
      <c r="L871" s="905"/>
      <c r="M871" s="898"/>
    </row>
    <row r="872" spans="1:13" s="47" customFormat="1" ht="13.5" thickTop="1">
      <c r="A872" s="139" t="s">
        <v>67</v>
      </c>
      <c r="B872" s="140"/>
      <c r="C872" s="140"/>
      <c r="D872" s="141"/>
      <c r="E872" s="142"/>
      <c r="F872" s="200">
        <f>SUM(C860:C861)</f>
        <v>114780</v>
      </c>
      <c r="G872" s="143"/>
      <c r="H872" s="906">
        <f>2.04*1.01</f>
        <v>2.0604</v>
      </c>
      <c r="I872" s="157"/>
      <c r="J872" s="202">
        <f t="shared" si="63"/>
        <v>24994</v>
      </c>
      <c r="K872" s="905">
        <f>+K868</f>
        <v>0.65</v>
      </c>
      <c r="L872" s="905"/>
      <c r="M872" s="898">
        <f t="shared" ref="M872:M890" si="64">+F848</f>
        <v>49875</v>
      </c>
    </row>
    <row r="873" spans="1:13" s="47" customFormat="1" ht="13">
      <c r="A873" s="144">
        <v>37077</v>
      </c>
      <c r="B873" s="50">
        <f>30000*3.12</f>
        <v>93600</v>
      </c>
      <c r="C873" s="50">
        <f>+B873</f>
        <v>93600</v>
      </c>
      <c r="D873" s="51"/>
      <c r="E873" s="49"/>
      <c r="H873" s="906">
        <f>5.43*1.01</f>
        <v>5.4843000000000002</v>
      </c>
      <c r="I873" s="21"/>
      <c r="J873" s="202">
        <f t="shared" si="63"/>
        <v>20900</v>
      </c>
      <c r="K873" s="905">
        <f>+K872</f>
        <v>0.65</v>
      </c>
      <c r="L873" s="905"/>
      <c r="M873" s="898">
        <f t="shared" si="64"/>
        <v>25044.55</v>
      </c>
    </row>
    <row r="874" spans="1:13" s="47" customFormat="1" ht="13">
      <c r="A874" s="144">
        <v>38735</v>
      </c>
      <c r="B874" s="50">
        <f>+H869*J897</f>
        <v>10100.116499999998</v>
      </c>
      <c r="C874" s="50">
        <f>+B874</f>
        <v>10100.116499999998</v>
      </c>
      <c r="D874" s="51"/>
      <c r="E874" s="49"/>
      <c r="H874" s="159"/>
      <c r="I874" s="21"/>
      <c r="J874" s="202">
        <f t="shared" si="63"/>
        <v>20970</v>
      </c>
      <c r="K874" s="905">
        <f>+K873</f>
        <v>0.65</v>
      </c>
      <c r="L874" s="905"/>
      <c r="M874" s="898">
        <f t="shared" si="64"/>
        <v>19928.98</v>
      </c>
    </row>
    <row r="875" spans="1:13" s="47" customFormat="1" ht="13">
      <c r="A875" s="144">
        <v>38735</v>
      </c>
      <c r="B875" s="50">
        <f>+H870*J898</f>
        <v>3005.5709999999999</v>
      </c>
      <c r="C875" s="50">
        <f>+B875</f>
        <v>3005.5709999999999</v>
      </c>
      <c r="D875" s="51"/>
      <c r="E875" s="49"/>
      <c r="H875" s="156"/>
      <c r="I875" s="21"/>
      <c r="J875" s="202">
        <f t="shared" si="63"/>
        <v>30800</v>
      </c>
      <c r="K875" s="905">
        <f>+K874</f>
        <v>0.65</v>
      </c>
      <c r="L875" s="905"/>
      <c r="M875" s="898">
        <f t="shared" si="64"/>
        <v>19995.5</v>
      </c>
    </row>
    <row r="876" spans="1:13" s="47" customFormat="1" ht="13">
      <c r="A876" s="144">
        <v>38735</v>
      </c>
      <c r="B876" s="50">
        <f>+H871*J899</f>
        <v>2528.4479999999994</v>
      </c>
      <c r="C876" s="50">
        <f>+B876</f>
        <v>2528.4479999999994</v>
      </c>
      <c r="D876" s="51"/>
      <c r="E876" s="49"/>
      <c r="H876" s="21"/>
      <c r="I876" s="21"/>
      <c r="J876" s="202">
        <f t="shared" si="63"/>
        <v>13000</v>
      </c>
      <c r="K876" s="905">
        <f>+K875</f>
        <v>0.65</v>
      </c>
      <c r="L876" s="905"/>
      <c r="M876" s="898">
        <f t="shared" si="64"/>
        <v>19969.310000000001</v>
      </c>
    </row>
    <row r="877" spans="1:13" s="47" customFormat="1" ht="13">
      <c r="A877" s="144">
        <v>39479</v>
      </c>
      <c r="B877" s="50">
        <f>19737+214.8</f>
        <v>19951.8</v>
      </c>
      <c r="C877" s="50">
        <f>+F877</f>
        <v>9675</v>
      </c>
      <c r="D877" s="185">
        <f>+B877/F877</f>
        <v>2.0622015503875968</v>
      </c>
      <c r="E877" s="49"/>
      <c r="F877" s="50">
        <v>9675</v>
      </c>
      <c r="H877" s="21"/>
      <c r="I877" s="21"/>
      <c r="J877" s="201">
        <f t="shared" si="63"/>
        <v>15637.12</v>
      </c>
      <c r="K877" s="905">
        <f>+K876</f>
        <v>0.65</v>
      </c>
      <c r="L877" s="905"/>
      <c r="M877" s="898">
        <f t="shared" si="64"/>
        <v>9801.9599999999991</v>
      </c>
    </row>
    <row r="878" spans="1:13" s="47" customFormat="1" ht="13">
      <c r="A878" s="144">
        <v>39479</v>
      </c>
      <c r="B878" s="50">
        <f>14802.18+161.61</f>
        <v>14963.79</v>
      </c>
      <c r="C878" s="50">
        <f>+F878</f>
        <v>2726</v>
      </c>
      <c r="D878" s="185">
        <f>+B878/F878</f>
        <v>5.4892846661775501</v>
      </c>
      <c r="E878" s="49"/>
      <c r="F878" s="50">
        <v>2726</v>
      </c>
      <c r="H878" s="21"/>
      <c r="I878" s="21">
        <f>+'PF ANTERIORES $'!I1321*'PF ANTERIORES $'!H1321</f>
        <v>324159</v>
      </c>
      <c r="J878" s="201">
        <f t="shared" si="63"/>
        <v>17512</v>
      </c>
      <c r="K878" s="905">
        <v>0.56000000000000005</v>
      </c>
      <c r="L878" s="905"/>
      <c r="M878" s="898">
        <f t="shared" si="64"/>
        <v>19987.91</v>
      </c>
    </row>
    <row r="879" spans="1:13" s="47" customFormat="1" ht="13">
      <c r="A879" s="144"/>
      <c r="B879" s="50"/>
      <c r="C879" s="50"/>
      <c r="D879" s="51"/>
      <c r="E879" s="49"/>
      <c r="H879" s="21"/>
      <c r="I879" s="21">
        <f>+I878-'PF ANTERIORES $'!H1283</f>
        <v>163691.08412723866</v>
      </c>
      <c r="J879" s="201">
        <f t="shared" si="63"/>
        <v>81988</v>
      </c>
      <c r="K879" s="905">
        <v>0.56000000000000005</v>
      </c>
      <c r="L879" s="905"/>
      <c r="M879" s="898">
        <f t="shared" si="64"/>
        <v>9986.5399999999991</v>
      </c>
    </row>
    <row r="880" spans="1:13" s="47" customFormat="1" ht="13.5" thickBot="1">
      <c r="A880" s="145" t="s">
        <v>233</v>
      </c>
      <c r="B880" s="146">
        <f>SUM(B873:B879)</f>
        <v>144149.7255</v>
      </c>
      <c r="C880" s="146">
        <f>SUM(C873:C879)</f>
        <v>121635.1355</v>
      </c>
      <c r="D880" s="147"/>
      <c r="E880" s="148"/>
      <c r="F880" s="149"/>
      <c r="G880" s="149"/>
      <c r="H880" s="21"/>
      <c r="I880" s="21"/>
      <c r="J880" s="191">
        <f t="shared" si="63"/>
        <v>122720</v>
      </c>
      <c r="K880" s="905">
        <v>0.56000000000000005</v>
      </c>
      <c r="L880" s="905"/>
      <c r="M880" s="898">
        <f t="shared" si="64"/>
        <v>50238.879999999997</v>
      </c>
    </row>
    <row r="881" spans="1:14" s="47" customFormat="1" ht="13.5" thickTop="1">
      <c r="A881" s="178" t="s">
        <v>444</v>
      </c>
      <c r="B881" s="184"/>
      <c r="C881" s="184"/>
      <c r="D881" s="51"/>
      <c r="E881" s="49"/>
      <c r="F881" s="179"/>
      <c r="G881" s="177"/>
      <c r="H881" s="21">
        <f>+'PF ANTERIORES $'!C1321/'PF ANTERIORES $'!H1321</f>
        <v>14205.869834710746</v>
      </c>
      <c r="I881" s="908">
        <v>3.83</v>
      </c>
      <c r="J881" s="191">
        <f t="shared" si="63"/>
        <v>80000</v>
      </c>
      <c r="K881" s="905">
        <v>0.56000000000000005</v>
      </c>
      <c r="L881" s="905"/>
      <c r="M881" s="898">
        <f t="shared" si="64"/>
        <v>164069.49</v>
      </c>
    </row>
    <row r="882" spans="1:14" s="47" customFormat="1" ht="13">
      <c r="A882" s="178"/>
      <c r="B882" s="184"/>
      <c r="C882" s="50"/>
      <c r="D882" s="51"/>
      <c r="E882" s="49"/>
      <c r="F882" s="52"/>
      <c r="G882" s="177"/>
      <c r="H882" s="21">
        <v>89300</v>
      </c>
      <c r="I882" s="908"/>
      <c r="J882" s="191">
        <f t="shared" si="63"/>
        <v>60000</v>
      </c>
      <c r="K882" s="905">
        <v>0.56000000000000005</v>
      </c>
      <c r="L882" s="905"/>
      <c r="M882" s="898">
        <f t="shared" si="64"/>
        <v>106407.25</v>
      </c>
    </row>
    <row r="883" spans="1:14" s="47" customFormat="1">
      <c r="A883" s="21"/>
      <c r="B883" s="21"/>
      <c r="C883" s="21"/>
      <c r="D883" s="21"/>
      <c r="E883" s="21"/>
      <c r="F883" s="21"/>
      <c r="G883" s="21"/>
      <c r="H883" s="21">
        <f>+H882*'PF ANTERIORES $'!H1321</f>
        <v>324159</v>
      </c>
      <c r="I883" s="908">
        <f>+I881*1.01</f>
        <v>3.8683000000000001</v>
      </c>
      <c r="J883" s="191">
        <f t="shared" si="63"/>
        <v>90000</v>
      </c>
      <c r="K883" s="905">
        <v>0.56000000000000005</v>
      </c>
      <c r="L883" s="905"/>
      <c r="M883" s="898">
        <f t="shared" si="64"/>
        <v>79528.160000000003</v>
      </c>
    </row>
    <row r="884" spans="1:14" s="47" customFormat="1">
      <c r="A884" s="21"/>
      <c r="B884" s="21"/>
      <c r="C884" s="21"/>
      <c r="D884" s="21"/>
      <c r="E884" s="21"/>
      <c r="F884" s="21"/>
      <c r="G884" s="21"/>
      <c r="H884" s="196"/>
      <c r="I884" s="908"/>
      <c r="J884" s="191">
        <f t="shared" si="63"/>
        <v>24780</v>
      </c>
      <c r="K884" s="905">
        <v>0.56000000000000005</v>
      </c>
      <c r="L884" s="905"/>
      <c r="M884" s="898">
        <f t="shared" si="64"/>
        <v>141903.10999999999</v>
      </c>
    </row>
    <row r="885" spans="1:14" s="47" customFormat="1" ht="13">
      <c r="A885" s="176"/>
      <c r="B885" s="50"/>
      <c r="C885" s="50"/>
      <c r="D885" s="51"/>
      <c r="E885" s="49"/>
      <c r="F885" s="52"/>
      <c r="G885" s="177"/>
      <c r="H885" s="196"/>
      <c r="I885" s="236" t="s">
        <v>445</v>
      </c>
      <c r="J885" s="191">
        <f t="shared" si="63"/>
        <v>22500</v>
      </c>
      <c r="K885" s="905">
        <v>0.56000000000000005</v>
      </c>
      <c r="L885" s="905"/>
      <c r="M885" s="898">
        <f t="shared" si="64"/>
        <v>38799.839999999997</v>
      </c>
    </row>
    <row r="886" spans="1:14" ht="13">
      <c r="A886" s="176"/>
      <c r="B886" s="50">
        <f>SUM(B885:B885)</f>
        <v>0</v>
      </c>
      <c r="C886" s="50">
        <f>SUM(C885:C885)</f>
        <v>0</v>
      </c>
      <c r="D886" s="51"/>
      <c r="E886" s="49"/>
      <c r="F886" s="52"/>
      <c r="G886" s="177"/>
      <c r="I886" s="647"/>
      <c r="J886" s="203">
        <f t="shared" si="63"/>
        <v>28672</v>
      </c>
      <c r="K886" s="905">
        <v>0.56000000000000005</v>
      </c>
      <c r="L886" s="905"/>
      <c r="M886" s="898">
        <f t="shared" si="64"/>
        <v>40875.68</v>
      </c>
    </row>
    <row r="887" spans="1:14" s="47" customFormat="1" ht="13">
      <c r="A887" s="176" t="s">
        <v>328</v>
      </c>
      <c r="B887" s="184"/>
      <c r="C887" s="50">
        <f>+C886-B886</f>
        <v>0</v>
      </c>
      <c r="D887" s="51"/>
      <c r="E887" s="49"/>
      <c r="F887" s="52"/>
      <c r="G887" s="177"/>
      <c r="H887" s="21"/>
      <c r="I887" s="908"/>
      <c r="J887" s="203">
        <f t="shared" si="63"/>
        <v>5000</v>
      </c>
      <c r="K887" s="905">
        <f>+K886</f>
        <v>0.56000000000000005</v>
      </c>
      <c r="L887" s="905"/>
      <c r="M887" s="898">
        <f t="shared" si="64"/>
        <v>24892.99</v>
      </c>
      <c r="N887" s="157"/>
    </row>
    <row r="888" spans="1:14" s="47" customFormat="1" ht="13">
      <c r="A888" s="47" t="s">
        <v>235</v>
      </c>
      <c r="B888" s="184"/>
      <c r="C888" s="50">
        <v>0</v>
      </c>
      <c r="D888" s="51"/>
      <c r="E888" s="49"/>
      <c r="F888" s="52"/>
      <c r="G888" s="177"/>
      <c r="H888" s="299" t="s">
        <v>250</v>
      </c>
      <c r="I888" s="908"/>
      <c r="J888" s="203">
        <f t="shared" si="63"/>
        <v>10000</v>
      </c>
      <c r="K888" s="905">
        <f>+K887</f>
        <v>0.56000000000000005</v>
      </c>
      <c r="L888" s="905"/>
      <c r="M888" s="898">
        <f t="shared" si="64"/>
        <v>9826.59</v>
      </c>
      <c r="N888" s="157"/>
    </row>
    <row r="889" spans="1:14" s="47" customFormat="1" ht="27.75" customHeight="1">
      <c r="A889" s="47" t="s">
        <v>446</v>
      </c>
      <c r="C889" s="50">
        <v>0</v>
      </c>
      <c r="D889" s="51"/>
      <c r="E889" s="49"/>
      <c r="F889" s="52"/>
      <c r="G889" s="177"/>
      <c r="H889" s="862"/>
      <c r="I889" s="908"/>
      <c r="J889" s="203">
        <f t="shared" si="63"/>
        <v>0</v>
      </c>
      <c r="K889" s="905">
        <f>+K888</f>
        <v>0.56000000000000005</v>
      </c>
      <c r="L889" s="905"/>
      <c r="M889" s="898">
        <f t="shared" si="64"/>
        <v>20058.41</v>
      </c>
      <c r="N889" s="152" t="s">
        <v>362</v>
      </c>
    </row>
    <row r="890" spans="1:14" s="47" customFormat="1" ht="13.5" thickBot="1">
      <c r="A890" s="47" t="s">
        <v>447</v>
      </c>
      <c r="C890" s="50">
        <v>0</v>
      </c>
      <c r="D890" s="51"/>
      <c r="E890" s="49"/>
      <c r="F890" s="52"/>
      <c r="G890" s="177"/>
      <c r="H890" s="21"/>
      <c r="I890" s="908"/>
      <c r="J890" s="219"/>
      <c r="K890" s="905">
        <f>+K889</f>
        <v>0.56000000000000005</v>
      </c>
      <c r="L890" s="905"/>
      <c r="M890" s="898">
        <f t="shared" si="64"/>
        <v>0</v>
      </c>
      <c r="N890" s="898"/>
    </row>
    <row r="891" spans="1:14" s="47" customFormat="1" ht="15.5">
      <c r="A891" s="227" t="s">
        <v>22</v>
      </c>
      <c r="C891" s="281">
        <f>SUM(C886:C890)</f>
        <v>0</v>
      </c>
      <c r="D891" s="51"/>
      <c r="E891" s="49"/>
      <c r="F891" s="52"/>
      <c r="G891" s="177"/>
      <c r="H891" s="21"/>
      <c r="I891" s="908"/>
      <c r="J891" s="207">
        <f>SUM(J880:J885)</f>
        <v>400000</v>
      </c>
      <c r="K891" s="909"/>
      <c r="L891" s="909"/>
      <c r="M891" s="872"/>
      <c r="N891" s="898"/>
    </row>
    <row r="892" spans="1:14" s="47" customFormat="1" ht="16" thickBot="1">
      <c r="A892" s="227"/>
      <c r="C892" s="281"/>
      <c r="D892" s="51"/>
      <c r="E892" s="49"/>
      <c r="F892" s="52"/>
      <c r="G892" s="53"/>
      <c r="H892" s="21"/>
      <c r="I892" s="908"/>
      <c r="J892" s="206">
        <f>SUM(J871:J876)+J867+J886</f>
        <v>200000</v>
      </c>
      <c r="K892" s="909"/>
      <c r="L892" s="909"/>
      <c r="M892" s="872"/>
    </row>
    <row r="893" spans="1:14" s="47" customFormat="1" ht="13">
      <c r="A893" s="367" t="s">
        <v>0</v>
      </c>
      <c r="B893" s="367" t="s">
        <v>218</v>
      </c>
      <c r="C893" s="367" t="s">
        <v>219</v>
      </c>
      <c r="D893" s="367" t="s">
        <v>221</v>
      </c>
      <c r="E893" s="367" t="s">
        <v>220</v>
      </c>
      <c r="F893" s="367" t="s">
        <v>222</v>
      </c>
      <c r="G893" s="367" t="s">
        <v>223</v>
      </c>
      <c r="H893" s="21"/>
      <c r="I893" s="647"/>
      <c r="J893" s="204">
        <f>+J867+J871+J872+J873+J874+J875</f>
        <v>158328</v>
      </c>
      <c r="K893"/>
      <c r="L893"/>
      <c r="M893" s="32">
        <f>SUM(M868:M878)</f>
        <v>164603.21</v>
      </c>
    </row>
    <row r="894" spans="1:14" s="47" customFormat="1" ht="13">
      <c r="A894" s="910">
        <v>40676</v>
      </c>
      <c r="B894" s="911">
        <v>540058.37</v>
      </c>
      <c r="C894" s="911">
        <f>B894+(B894*F894/365*D894)*1</f>
        <v>545380.53426545206</v>
      </c>
      <c r="D894" s="912">
        <v>33</v>
      </c>
      <c r="E894" s="913">
        <f>A894+D894</f>
        <v>40709</v>
      </c>
      <c r="F894" s="914">
        <v>0.109</v>
      </c>
      <c r="G894" s="915" t="s">
        <v>120</v>
      </c>
      <c r="H894" s="21"/>
      <c r="I894" s="647"/>
      <c r="J894" s="157"/>
      <c r="K894"/>
      <c r="L894"/>
      <c r="M894" s="155">
        <f>SUM(M865:M872)</f>
        <v>417146</v>
      </c>
    </row>
    <row r="895" spans="1:14" s="47" customFormat="1" ht="13">
      <c r="A895" s="368"/>
      <c r="B895" s="369"/>
      <c r="C895" s="370"/>
      <c r="D895" s="371"/>
      <c r="E895" s="372"/>
      <c r="F895" s="373"/>
      <c r="G895" s="374"/>
      <c r="H895" s="21"/>
      <c r="I895" s="647"/>
      <c r="J895" s="152" t="s">
        <v>433</v>
      </c>
      <c r="K895" s="157"/>
      <c r="L895" s="157"/>
      <c r="M895" s="157"/>
    </row>
    <row r="896" spans="1:14" s="47" customFormat="1" ht="13">
      <c r="A896" s="368" t="s">
        <v>22</v>
      </c>
      <c r="B896" s="369"/>
      <c r="C896" s="370">
        <f>SUM(C894:C895)</f>
        <v>545380.53426545206</v>
      </c>
      <c r="D896" s="371"/>
      <c r="E896" s="372"/>
      <c r="F896" s="373"/>
      <c r="G896" s="374"/>
      <c r="H896" s="384">
        <f>+B901</f>
        <v>565380.53</v>
      </c>
      <c r="I896" s="647"/>
      <c r="J896" s="903">
        <v>21970</v>
      </c>
      <c r="K896" s="152"/>
      <c r="L896" s="152"/>
      <c r="M896" s="152" t="s">
        <v>435</v>
      </c>
    </row>
    <row r="897" spans="1:13" s="47" customFormat="1" ht="13">
      <c r="A897" s="368"/>
      <c r="B897" s="369"/>
      <c r="C897" s="370"/>
      <c r="D897" s="371"/>
      <c r="E897" s="372"/>
      <c r="F897" s="373"/>
      <c r="G897" s="374"/>
      <c r="H897" s="384">
        <f t="shared" ref="H897:H928" si="65">+H896+B902</f>
        <v>571380.53</v>
      </c>
      <c r="I897" s="647"/>
      <c r="J897" s="903">
        <v>345</v>
      </c>
      <c r="K897" s="905">
        <v>4.57</v>
      </c>
      <c r="L897" s="905"/>
      <c r="M897" s="898">
        <f t="shared" ref="M897:M902" si="66">+B873</f>
        <v>93600</v>
      </c>
    </row>
    <row r="898" spans="1:13" ht="13">
      <c r="A898" s="368"/>
      <c r="B898" s="369" t="s">
        <v>328</v>
      </c>
      <c r="C898" s="370">
        <f>+C894-B894</f>
        <v>5322.1642654520692</v>
      </c>
      <c r="D898" s="371"/>
      <c r="E898" s="372"/>
      <c r="F898" s="373"/>
      <c r="G898" s="374"/>
      <c r="H898" s="384">
        <f t="shared" si="65"/>
        <v>575380.53</v>
      </c>
      <c r="I898" s="647"/>
      <c r="J898" s="903">
        <v>4600</v>
      </c>
      <c r="K898" s="905">
        <v>29.35</v>
      </c>
      <c r="L898" s="905"/>
      <c r="M898" s="898">
        <f t="shared" si="66"/>
        <v>10100.116499999998</v>
      </c>
    </row>
    <row r="899" spans="1:13" ht="13">
      <c r="A899" s="368"/>
      <c r="B899" s="369"/>
      <c r="C899" s="370"/>
      <c r="D899" s="371"/>
      <c r="E899" s="372"/>
      <c r="F899" s="373">
        <v>0.08</v>
      </c>
      <c r="G899" s="374"/>
      <c r="H899" s="384">
        <f t="shared" si="65"/>
        <v>579380.53</v>
      </c>
      <c r="I899" s="647"/>
      <c r="J899" s="903">
        <v>520</v>
      </c>
      <c r="K899" s="905">
        <v>0.51700000000000002</v>
      </c>
      <c r="L899" s="905"/>
      <c r="M899" s="898">
        <f t="shared" si="66"/>
        <v>3005.5709999999999</v>
      </c>
    </row>
    <row r="900" spans="1:13" ht="13">
      <c r="A900" s="368"/>
      <c r="B900" s="369"/>
      <c r="C900" s="370"/>
      <c r="D900" s="371"/>
      <c r="E900" s="372"/>
      <c r="F900" s="373"/>
      <c r="G900" s="374"/>
      <c r="H900" s="384">
        <f t="shared" si="65"/>
        <v>3980.5300000000279</v>
      </c>
      <c r="I900" s="647"/>
      <c r="J900" s="903">
        <v>9675</v>
      </c>
      <c r="K900" s="905">
        <v>4.5</v>
      </c>
      <c r="L900" s="905"/>
      <c r="M900" s="898">
        <f t="shared" si="66"/>
        <v>2528.4479999999994</v>
      </c>
    </row>
    <row r="901" spans="1:13" ht="13">
      <c r="A901" s="910">
        <v>40710</v>
      </c>
      <c r="B901" s="384">
        <v>565380.53</v>
      </c>
      <c r="C901" s="384">
        <f t="shared" ref="C901:C932" si="67">B901+(B901*F901/365*D901)*1</f>
        <v>-4479362.785353425</v>
      </c>
      <c r="D901" s="912">
        <f t="shared" ref="D901:D932" si="68">+E901-A901</f>
        <v>-40710</v>
      </c>
      <c r="E901" s="913"/>
      <c r="F901" s="914">
        <f>+F899</f>
        <v>0.08</v>
      </c>
      <c r="G901" s="915" t="s">
        <v>448</v>
      </c>
      <c r="H901" s="384">
        <f t="shared" si="65"/>
        <v>5780.5300000000279</v>
      </c>
      <c r="I901" s="647"/>
      <c r="J901" s="903">
        <v>2726</v>
      </c>
      <c r="K901" s="905">
        <v>1.95</v>
      </c>
      <c r="L901" s="905"/>
      <c r="M901" s="898">
        <f t="shared" si="66"/>
        <v>19951.8</v>
      </c>
    </row>
    <row r="902" spans="1:13" ht="13">
      <c r="A902" s="910">
        <v>40711</v>
      </c>
      <c r="B902" s="384">
        <v>6000</v>
      </c>
      <c r="C902" s="384">
        <f t="shared" si="67"/>
        <v>-47537.753424657531</v>
      </c>
      <c r="D902" s="912">
        <f t="shared" si="68"/>
        <v>-40711</v>
      </c>
      <c r="E902" s="913"/>
      <c r="F902" s="914">
        <f t="shared" ref="F902:F931" si="69">+F901</f>
        <v>0.08</v>
      </c>
      <c r="G902" s="915" t="s">
        <v>448</v>
      </c>
      <c r="H902" s="384">
        <f t="shared" si="65"/>
        <v>7380.5300000000279</v>
      </c>
      <c r="I902" s="647"/>
      <c r="J902" s="153"/>
      <c r="K902" s="905">
        <v>6.08</v>
      </c>
      <c r="L902" s="905"/>
      <c r="M902" s="898">
        <f t="shared" si="66"/>
        <v>14963.79</v>
      </c>
    </row>
    <row r="903" spans="1:13" ht="13">
      <c r="A903" s="910">
        <v>40711</v>
      </c>
      <c r="B903" s="384">
        <v>4000</v>
      </c>
      <c r="C903" s="384">
        <f t="shared" si="67"/>
        <v>-31691.835616438351</v>
      </c>
      <c r="D903" s="912">
        <f t="shared" si="68"/>
        <v>-40711</v>
      </c>
      <c r="E903" s="913"/>
      <c r="F903" s="914">
        <f t="shared" si="69"/>
        <v>0.08</v>
      </c>
      <c r="G903" s="915" t="s">
        <v>448</v>
      </c>
      <c r="H903" s="384">
        <f t="shared" si="65"/>
        <v>22880.530000000028</v>
      </c>
      <c r="I903" s="647"/>
      <c r="J903" s="157"/>
      <c r="K903" s="154"/>
      <c r="L903" s="154"/>
      <c r="M903" s="155">
        <f>SUM(M897:M902)</f>
        <v>144149.7255</v>
      </c>
    </row>
    <row r="904" spans="1:13" ht="13">
      <c r="A904" s="910">
        <v>40711</v>
      </c>
      <c r="B904" s="384">
        <v>4000</v>
      </c>
      <c r="C904" s="384">
        <f t="shared" si="67"/>
        <v>-31691.835616438351</v>
      </c>
      <c r="D904" s="912">
        <f t="shared" si="68"/>
        <v>-40711</v>
      </c>
      <c r="E904" s="913"/>
      <c r="F904" s="914">
        <f t="shared" si="69"/>
        <v>0.08</v>
      </c>
      <c r="G904" s="915" t="s">
        <v>448</v>
      </c>
      <c r="H904" s="384">
        <f t="shared" si="65"/>
        <v>27880.530000000028</v>
      </c>
      <c r="I904" s="647"/>
      <c r="K904" s="157" t="s">
        <v>449</v>
      </c>
      <c r="L904" s="157"/>
      <c r="M904" s="155">
        <f>SUM(M898:M900)</f>
        <v>15634.135499999997</v>
      </c>
    </row>
    <row r="905" spans="1:13" ht="13">
      <c r="A905" s="910">
        <v>40717</v>
      </c>
      <c r="B905" s="384">
        <v>-575400</v>
      </c>
      <c r="C905" s="384">
        <f t="shared" si="67"/>
        <v>4559627.2438356169</v>
      </c>
      <c r="D905" s="912">
        <f t="shared" si="68"/>
        <v>-40717</v>
      </c>
      <c r="E905" s="913"/>
      <c r="F905" s="914">
        <f t="shared" si="69"/>
        <v>0.08</v>
      </c>
      <c r="G905" s="915" t="s">
        <v>448</v>
      </c>
      <c r="H905" s="384">
        <f t="shared" si="65"/>
        <v>30880.530000000028</v>
      </c>
      <c r="I905" s="647"/>
    </row>
    <row r="906" spans="1:13" s="47" customFormat="1" ht="13">
      <c r="A906" s="910">
        <v>40722</v>
      </c>
      <c r="B906" s="384">
        <v>1800</v>
      </c>
      <c r="C906" s="384">
        <f t="shared" si="67"/>
        <v>-14265.665753424657</v>
      </c>
      <c r="D906" s="912">
        <f t="shared" si="68"/>
        <v>-40722</v>
      </c>
      <c r="E906" s="913"/>
      <c r="F906" s="914">
        <f t="shared" si="69"/>
        <v>0.08</v>
      </c>
      <c r="G906" s="915" t="s">
        <v>448</v>
      </c>
      <c r="H906" s="384">
        <f t="shared" si="65"/>
        <v>36880.530000000028</v>
      </c>
      <c r="I906" s="647"/>
      <c r="J906"/>
      <c r="K906"/>
    </row>
    <row r="907" spans="1:13" s="47" customFormat="1" ht="13">
      <c r="A907" s="910">
        <v>40723</v>
      </c>
      <c r="B907" s="384">
        <v>1600</v>
      </c>
      <c r="C907" s="384">
        <f t="shared" si="67"/>
        <v>-12680.942465753425</v>
      </c>
      <c r="D907" s="912">
        <f t="shared" si="68"/>
        <v>-40723</v>
      </c>
      <c r="E907" s="913"/>
      <c r="F907" s="914">
        <f t="shared" si="69"/>
        <v>0.08</v>
      </c>
      <c r="G907" s="915" t="s">
        <v>448</v>
      </c>
      <c r="H907" s="384">
        <f t="shared" si="65"/>
        <v>33880.530000000028</v>
      </c>
      <c r="I907" s="647"/>
      <c r="J907"/>
    </row>
    <row r="908" spans="1:13" s="47" customFormat="1" ht="13">
      <c r="A908" s="910">
        <v>40724</v>
      </c>
      <c r="B908" s="384">
        <v>15500</v>
      </c>
      <c r="C908" s="384">
        <f t="shared" si="67"/>
        <v>-122850.02739726027</v>
      </c>
      <c r="D908" s="912">
        <f t="shared" si="68"/>
        <v>-40724</v>
      </c>
      <c r="E908" s="913"/>
      <c r="F908" s="914">
        <f t="shared" si="69"/>
        <v>0.08</v>
      </c>
      <c r="G908" s="915" t="s">
        <v>448</v>
      </c>
      <c r="H908" s="384">
        <f t="shared" si="65"/>
        <v>31880.530000000028</v>
      </c>
      <c r="I908" s="647"/>
      <c r="J908"/>
    </row>
    <row r="909" spans="1:13" s="47" customFormat="1" ht="13">
      <c r="A909" s="910">
        <v>40729</v>
      </c>
      <c r="B909" s="384">
        <v>5000</v>
      </c>
      <c r="C909" s="384">
        <f t="shared" si="67"/>
        <v>-39634.520547945205</v>
      </c>
      <c r="D909" s="912">
        <f t="shared" si="68"/>
        <v>-40729</v>
      </c>
      <c r="E909" s="913"/>
      <c r="F909" s="914">
        <f t="shared" si="69"/>
        <v>0.08</v>
      </c>
      <c r="G909" s="915" t="s">
        <v>448</v>
      </c>
      <c r="H909" s="384">
        <f t="shared" si="65"/>
        <v>36880.530000000028</v>
      </c>
      <c r="I909" s="647"/>
      <c r="J909"/>
    </row>
    <row r="910" spans="1:13" ht="13">
      <c r="A910" s="910">
        <v>40736</v>
      </c>
      <c r="B910" s="384">
        <v>3000</v>
      </c>
      <c r="C910" s="384">
        <f t="shared" si="67"/>
        <v>-23785.31506849315</v>
      </c>
      <c r="D910" s="912">
        <f t="shared" si="68"/>
        <v>-40736</v>
      </c>
      <c r="E910" s="913"/>
      <c r="F910" s="914">
        <f t="shared" si="69"/>
        <v>0.08</v>
      </c>
      <c r="G910" s="915" t="s">
        <v>448</v>
      </c>
      <c r="H910" s="384">
        <f t="shared" si="65"/>
        <v>43880.530000000028</v>
      </c>
      <c r="I910" s="647"/>
      <c r="K910" s="47"/>
      <c r="L910" s="47"/>
      <c r="M910" s="47"/>
    </row>
    <row r="911" spans="1:13" s="47" customFormat="1" ht="13">
      <c r="A911" s="910">
        <v>40737</v>
      </c>
      <c r="B911" s="384">
        <v>6000</v>
      </c>
      <c r="C911" s="384">
        <f t="shared" si="67"/>
        <v>-47571.945205479446</v>
      </c>
      <c r="D911" s="912">
        <f t="shared" si="68"/>
        <v>-40737</v>
      </c>
      <c r="E911" s="913"/>
      <c r="F911" s="914">
        <f t="shared" si="69"/>
        <v>0.08</v>
      </c>
      <c r="G911" s="915" t="s">
        <v>448</v>
      </c>
      <c r="H911" s="384">
        <f t="shared" si="65"/>
        <v>48880.530000000028</v>
      </c>
      <c r="I911" s="647"/>
      <c r="J911"/>
    </row>
    <row r="912" spans="1:13" s="47" customFormat="1" ht="13">
      <c r="A912" s="910">
        <v>40745</v>
      </c>
      <c r="B912" s="384">
        <v>-3000</v>
      </c>
      <c r="C912" s="384">
        <f t="shared" si="67"/>
        <v>23791.232876712329</v>
      </c>
      <c r="D912" s="912">
        <f t="shared" si="68"/>
        <v>-40745</v>
      </c>
      <c r="E912" s="913"/>
      <c r="F912" s="914">
        <f t="shared" si="69"/>
        <v>0.08</v>
      </c>
      <c r="G912" s="915" t="s">
        <v>448</v>
      </c>
      <c r="H912" s="384">
        <f t="shared" si="65"/>
        <v>56380.530000000028</v>
      </c>
      <c r="I912" s="647"/>
      <c r="J912" s="903"/>
    </row>
    <row r="913" spans="1:11" s="47" customFormat="1" ht="13">
      <c r="A913" s="910">
        <v>40746</v>
      </c>
      <c r="B913" s="384">
        <v>-2000</v>
      </c>
      <c r="C913" s="384">
        <f t="shared" si="67"/>
        <v>15861.260273972603</v>
      </c>
      <c r="D913" s="912">
        <f t="shared" si="68"/>
        <v>-40746</v>
      </c>
      <c r="E913" s="913"/>
      <c r="F913" s="914">
        <f t="shared" si="69"/>
        <v>0.08</v>
      </c>
      <c r="G913" s="915" t="s">
        <v>448</v>
      </c>
      <c r="H913" s="384">
        <f t="shared" si="65"/>
        <v>60880.530000000028</v>
      </c>
      <c r="I913" s="647"/>
      <c r="J913" s="916"/>
      <c r="K913"/>
    </row>
    <row r="914" spans="1:11" s="47" customFormat="1" ht="13">
      <c r="A914" s="910">
        <v>40763</v>
      </c>
      <c r="B914" s="384">
        <v>5000</v>
      </c>
      <c r="C914" s="384">
        <f t="shared" si="67"/>
        <v>-39671.780821917804</v>
      </c>
      <c r="D914" s="912">
        <f t="shared" si="68"/>
        <v>-40763</v>
      </c>
      <c r="E914" s="913"/>
      <c r="F914" s="914">
        <f t="shared" si="69"/>
        <v>0.08</v>
      </c>
      <c r="G914" s="915" t="s">
        <v>448</v>
      </c>
      <c r="H914" s="384">
        <f t="shared" si="65"/>
        <v>59780.530000000028</v>
      </c>
      <c r="I914" s="647"/>
      <c r="J914" s="916"/>
      <c r="K914"/>
    </row>
    <row r="915" spans="1:11" s="47" customFormat="1" ht="13">
      <c r="A915" s="910">
        <v>40764</v>
      </c>
      <c r="B915" s="384">
        <v>7000</v>
      </c>
      <c r="C915" s="384">
        <f t="shared" si="67"/>
        <v>-55542.027397260274</v>
      </c>
      <c r="D915" s="912">
        <f t="shared" si="68"/>
        <v>-40764</v>
      </c>
      <c r="E915" s="913"/>
      <c r="F915" s="914">
        <f t="shared" si="69"/>
        <v>0.08</v>
      </c>
      <c r="G915" s="915" t="s">
        <v>448</v>
      </c>
      <c r="H915" s="384">
        <f t="shared" si="65"/>
        <v>62280.530000000028</v>
      </c>
      <c r="I915" s="647"/>
      <c r="J915" s="917"/>
      <c r="K915"/>
    </row>
    <row r="916" spans="1:11" s="47" customFormat="1" ht="13">
      <c r="A916" s="910">
        <v>40766</v>
      </c>
      <c r="B916" s="384">
        <v>5000</v>
      </c>
      <c r="C916" s="384">
        <f t="shared" si="67"/>
        <v>-39675.068493150684</v>
      </c>
      <c r="D916" s="912">
        <f t="shared" si="68"/>
        <v>-40766</v>
      </c>
      <c r="E916" s="913"/>
      <c r="F916" s="914">
        <f t="shared" si="69"/>
        <v>0.08</v>
      </c>
      <c r="G916" s="915" t="s">
        <v>448</v>
      </c>
      <c r="H916" s="384">
        <f t="shared" si="65"/>
        <v>67280.530000000028</v>
      </c>
      <c r="I916" s="647"/>
      <c r="J916" s="236" t="s">
        <v>450</v>
      </c>
      <c r="K916"/>
    </row>
    <row r="917" spans="1:11" s="47" customFormat="1" ht="13">
      <c r="A917" s="910">
        <v>40770</v>
      </c>
      <c r="B917" s="384">
        <v>7500</v>
      </c>
      <c r="C917" s="384">
        <f t="shared" si="67"/>
        <v>-59519.178082191778</v>
      </c>
      <c r="D917" s="912">
        <f t="shared" si="68"/>
        <v>-40770</v>
      </c>
      <c r="E917" s="913"/>
      <c r="F917" s="914">
        <f t="shared" si="69"/>
        <v>0.08</v>
      </c>
      <c r="G917" s="915" t="s">
        <v>448</v>
      </c>
      <c r="H917" s="384">
        <f t="shared" si="65"/>
        <v>71280.530000000028</v>
      </c>
      <c r="I917" s="647"/>
      <c r="J917" s="862"/>
      <c r="K917"/>
    </row>
    <row r="918" spans="1:11" s="47" customFormat="1" ht="13">
      <c r="A918" s="910">
        <v>40774</v>
      </c>
      <c r="B918" s="384">
        <v>4500</v>
      </c>
      <c r="C918" s="384">
        <f t="shared" si="67"/>
        <v>-35715.452054794521</v>
      </c>
      <c r="D918" s="912">
        <f t="shared" si="68"/>
        <v>-40774</v>
      </c>
      <c r="E918" s="913"/>
      <c r="F918" s="914">
        <f t="shared" si="69"/>
        <v>0.08</v>
      </c>
      <c r="G918" s="915" t="s">
        <v>448</v>
      </c>
      <c r="H918" s="384">
        <f t="shared" si="65"/>
        <v>77280.530000000028</v>
      </c>
      <c r="I918" s="647"/>
      <c r="J918" s="917"/>
      <c r="K918"/>
    </row>
    <row r="919" spans="1:11" s="47" customFormat="1" ht="13">
      <c r="A919" s="910">
        <v>40779</v>
      </c>
      <c r="B919" s="384">
        <v>-1100</v>
      </c>
      <c r="C919" s="384">
        <f t="shared" si="67"/>
        <v>8731.6493150684928</v>
      </c>
      <c r="D919" s="912">
        <f t="shared" si="68"/>
        <v>-40779</v>
      </c>
      <c r="E919" s="913"/>
      <c r="F919" s="914">
        <f t="shared" si="69"/>
        <v>0.08</v>
      </c>
      <c r="G919" s="915" t="s">
        <v>448</v>
      </c>
      <c r="H919" s="384">
        <f t="shared" si="65"/>
        <v>79280.530000000028</v>
      </c>
      <c r="I919" s="647"/>
      <c r="J919" s="917"/>
      <c r="K919"/>
    </row>
    <row r="920" spans="1:11" s="47" customFormat="1" ht="13">
      <c r="A920" s="910">
        <v>40780</v>
      </c>
      <c r="B920" s="384">
        <v>2500</v>
      </c>
      <c r="C920" s="384">
        <f t="shared" si="67"/>
        <v>-19845.205479452052</v>
      </c>
      <c r="D920" s="912">
        <f t="shared" si="68"/>
        <v>-40780</v>
      </c>
      <c r="E920" s="913"/>
      <c r="F920" s="914">
        <f t="shared" si="69"/>
        <v>0.08</v>
      </c>
      <c r="G920" s="915" t="s">
        <v>448</v>
      </c>
      <c r="H920" s="384">
        <f t="shared" si="65"/>
        <v>82780.530000000028</v>
      </c>
      <c r="I920" s="647"/>
      <c r="J920" s="917"/>
      <c r="K920"/>
    </row>
    <row r="921" spans="1:11" s="47" customFormat="1" ht="13">
      <c r="A921" s="910">
        <v>40791</v>
      </c>
      <c r="B921" s="384">
        <v>5000</v>
      </c>
      <c r="C921" s="384">
        <f t="shared" si="67"/>
        <v>-39702.465753424658</v>
      </c>
      <c r="D921" s="912">
        <f t="shared" si="68"/>
        <v>-40791</v>
      </c>
      <c r="E921" s="913"/>
      <c r="F921" s="914">
        <f t="shared" si="69"/>
        <v>0.08</v>
      </c>
      <c r="G921" s="915" t="s">
        <v>448</v>
      </c>
      <c r="H921" s="384">
        <f t="shared" si="65"/>
        <v>94080.530000000028</v>
      </c>
      <c r="I921" s="647"/>
      <c r="J921" s="917"/>
    </row>
    <row r="922" spans="1:11" s="47" customFormat="1" ht="13">
      <c r="A922" s="910">
        <v>40791</v>
      </c>
      <c r="B922" s="384">
        <v>4000</v>
      </c>
      <c r="C922" s="384">
        <f t="shared" si="67"/>
        <v>-31761.972602739726</v>
      </c>
      <c r="D922" s="912">
        <f t="shared" si="68"/>
        <v>-40791</v>
      </c>
      <c r="E922" s="913"/>
      <c r="F922" s="914">
        <f t="shared" si="69"/>
        <v>0.08</v>
      </c>
      <c r="G922" s="915" t="s">
        <v>448</v>
      </c>
      <c r="H922" s="384">
        <f t="shared" si="65"/>
        <v>93080.530000000028</v>
      </c>
      <c r="I922" s="647"/>
      <c r="J922" s="917"/>
    </row>
    <row r="923" spans="1:11" s="47" customFormat="1" ht="13">
      <c r="A923" s="910">
        <v>40794</v>
      </c>
      <c r="B923" s="384">
        <v>6000</v>
      </c>
      <c r="C923" s="384">
        <f t="shared" si="67"/>
        <v>-47646.904109589035</v>
      </c>
      <c r="D923" s="912">
        <f t="shared" si="68"/>
        <v>-40794</v>
      </c>
      <c r="E923" s="913"/>
      <c r="F923" s="914">
        <f t="shared" si="69"/>
        <v>0.08</v>
      </c>
      <c r="G923" s="915" t="s">
        <v>448</v>
      </c>
      <c r="H923" s="384">
        <f t="shared" si="65"/>
        <v>327080.53000000003</v>
      </c>
    </row>
    <row r="924" spans="1:11" s="47" customFormat="1" ht="13">
      <c r="A924" s="910">
        <v>40794</v>
      </c>
      <c r="B924" s="384">
        <v>2000</v>
      </c>
      <c r="C924" s="384">
        <f t="shared" si="67"/>
        <v>-15882.301369863013</v>
      </c>
      <c r="D924" s="912">
        <f t="shared" si="68"/>
        <v>-40794</v>
      </c>
      <c r="E924" s="913"/>
      <c r="F924" s="914">
        <f t="shared" si="69"/>
        <v>0.08</v>
      </c>
      <c r="G924" s="915" t="s">
        <v>448</v>
      </c>
      <c r="H924" s="384">
        <f t="shared" si="65"/>
        <v>735080.53</v>
      </c>
    </row>
    <row r="925" spans="1:11" s="47" customFormat="1" ht="13">
      <c r="A925" s="910">
        <v>40795</v>
      </c>
      <c r="B925" s="384">
        <v>3500</v>
      </c>
      <c r="C925" s="384">
        <f t="shared" si="67"/>
        <v>-27794.794520547945</v>
      </c>
      <c r="D925" s="912">
        <f t="shared" si="68"/>
        <v>-40795</v>
      </c>
      <c r="E925" s="913"/>
      <c r="F925" s="914">
        <f t="shared" si="69"/>
        <v>0.08</v>
      </c>
      <c r="G925" s="915" t="s">
        <v>448</v>
      </c>
      <c r="H925" s="384">
        <f t="shared" si="65"/>
        <v>7080.5300000000279</v>
      </c>
      <c r="I925" s="21"/>
      <c r="J925"/>
      <c r="K925"/>
    </row>
    <row r="926" spans="1:11" s="47" customFormat="1" ht="13">
      <c r="A926" s="910">
        <v>40798</v>
      </c>
      <c r="B926" s="384">
        <v>11300</v>
      </c>
      <c r="C926" s="384">
        <f t="shared" si="67"/>
        <v>-89744.909589041097</v>
      </c>
      <c r="D926" s="912">
        <f t="shared" si="68"/>
        <v>-40798</v>
      </c>
      <c r="E926" s="913"/>
      <c r="F926" s="914">
        <f t="shared" si="69"/>
        <v>0.08</v>
      </c>
      <c r="G926" s="915" t="s">
        <v>448</v>
      </c>
      <c r="H926" s="384">
        <f t="shared" si="65"/>
        <v>-1426.0799999999726</v>
      </c>
    </row>
    <row r="927" spans="1:11" s="47" customFormat="1" ht="13">
      <c r="A927" s="910">
        <v>40800</v>
      </c>
      <c r="B927" s="384">
        <v>-1000</v>
      </c>
      <c r="C927" s="384">
        <f t="shared" si="67"/>
        <v>7942.4657534246562</v>
      </c>
      <c r="D927" s="912">
        <f t="shared" si="68"/>
        <v>-40800</v>
      </c>
      <c r="E927" s="913"/>
      <c r="F927" s="914">
        <f t="shared" si="69"/>
        <v>0.08</v>
      </c>
      <c r="G927" s="915" t="s">
        <v>448</v>
      </c>
      <c r="H927" s="384">
        <f t="shared" si="65"/>
        <v>7573.9200000000274</v>
      </c>
    </row>
    <row r="928" spans="1:11" s="47" customFormat="1" ht="13">
      <c r="A928" s="910">
        <v>40806</v>
      </c>
      <c r="B928" s="384">
        <v>234000</v>
      </c>
      <c r="C928" s="384">
        <f t="shared" si="67"/>
        <v>-1858844.7123287672</v>
      </c>
      <c r="D928" s="912">
        <f t="shared" si="68"/>
        <v>-40806</v>
      </c>
      <c r="E928" s="913"/>
      <c r="F928" s="914">
        <f t="shared" si="69"/>
        <v>0.08</v>
      </c>
      <c r="G928" s="915" t="s">
        <v>448</v>
      </c>
      <c r="H928" s="384">
        <f t="shared" si="65"/>
        <v>12073.920000000027</v>
      </c>
    </row>
    <row r="929" spans="1:13" s="47" customFormat="1" ht="13">
      <c r="A929" s="910">
        <v>40806</v>
      </c>
      <c r="B929" s="384">
        <v>408000</v>
      </c>
      <c r="C929" s="384">
        <f t="shared" si="67"/>
        <v>-3241062.5753424657</v>
      </c>
      <c r="D929" s="912">
        <f t="shared" si="68"/>
        <v>-40806</v>
      </c>
      <c r="E929" s="913"/>
      <c r="F929" s="914">
        <f t="shared" si="69"/>
        <v>0.08</v>
      </c>
      <c r="G929" s="915" t="s">
        <v>448</v>
      </c>
      <c r="H929" s="384">
        <f t="shared" ref="H929:H958" si="70">+H928+B934</f>
        <v>13773.920000000027</v>
      </c>
      <c r="L929"/>
      <c r="M929"/>
    </row>
    <row r="930" spans="1:13" s="47" customFormat="1" ht="13">
      <c r="A930" s="910">
        <v>40808</v>
      </c>
      <c r="B930" s="384">
        <v>-728000</v>
      </c>
      <c r="C930" s="384">
        <f t="shared" si="67"/>
        <v>5783391.5616438361</v>
      </c>
      <c r="D930" s="912">
        <f t="shared" si="68"/>
        <v>-40808</v>
      </c>
      <c r="E930" s="913"/>
      <c r="F930" s="914">
        <f t="shared" si="69"/>
        <v>0.08</v>
      </c>
      <c r="G930" s="915" t="s">
        <v>448</v>
      </c>
      <c r="H930" s="384">
        <f t="shared" si="70"/>
        <v>18273.920000000027</v>
      </c>
      <c r="L930"/>
      <c r="M930"/>
    </row>
    <row r="931" spans="1:13" s="47" customFormat="1" ht="13">
      <c r="A931" s="910">
        <v>40809</v>
      </c>
      <c r="B931" s="384">
        <v>-8506.61</v>
      </c>
      <c r="C931" s="384">
        <f t="shared" si="67"/>
        <v>67580.238764931506</v>
      </c>
      <c r="D931" s="912">
        <f t="shared" si="68"/>
        <v>-40809</v>
      </c>
      <c r="E931" s="913"/>
      <c r="F931" s="914">
        <f t="shared" si="69"/>
        <v>0.08</v>
      </c>
      <c r="G931" s="915" t="s">
        <v>448</v>
      </c>
      <c r="H931" s="384">
        <f t="shared" si="70"/>
        <v>20273.920000000027</v>
      </c>
    </row>
    <row r="932" spans="1:13" s="47" customFormat="1" ht="13">
      <c r="A932" s="910">
        <v>40821</v>
      </c>
      <c r="B932" s="384">
        <v>9000</v>
      </c>
      <c r="C932" s="384">
        <f t="shared" si="67"/>
        <v>-71523.616438356155</v>
      </c>
      <c r="D932" s="912">
        <f t="shared" si="68"/>
        <v>-40821</v>
      </c>
      <c r="E932" s="913"/>
      <c r="F932" s="914">
        <f t="shared" ref="F932:F963" si="71">+F929</f>
        <v>0.08</v>
      </c>
      <c r="G932" s="915" t="s">
        <v>448</v>
      </c>
      <c r="H932" s="384">
        <f t="shared" si="70"/>
        <v>19973.920000000027</v>
      </c>
    </row>
    <row r="933" spans="1:13" s="47" customFormat="1" ht="13">
      <c r="A933" s="910">
        <v>40822</v>
      </c>
      <c r="B933" s="384">
        <v>4500</v>
      </c>
      <c r="C933" s="384">
        <f t="shared" ref="C933:C963" si="72">B933+(B933*F933/365*D933)*1</f>
        <v>-35762.794520547941</v>
      </c>
      <c r="D933" s="912">
        <f t="shared" ref="D933:D963" si="73">+E933-A933</f>
        <v>-40822</v>
      </c>
      <c r="E933" s="913"/>
      <c r="F933" s="914">
        <f t="shared" si="71"/>
        <v>0.08</v>
      </c>
      <c r="G933" s="915" t="s">
        <v>448</v>
      </c>
      <c r="H933" s="384">
        <f t="shared" si="70"/>
        <v>18873.920000000027</v>
      </c>
    </row>
    <row r="934" spans="1:13" s="47" customFormat="1" ht="13">
      <c r="A934" s="910">
        <v>40842</v>
      </c>
      <c r="B934" s="384">
        <v>1700</v>
      </c>
      <c r="C934" s="384">
        <f t="shared" si="72"/>
        <v>-13517.841095890411</v>
      </c>
      <c r="D934" s="912">
        <f t="shared" si="73"/>
        <v>-40842</v>
      </c>
      <c r="E934" s="913"/>
      <c r="F934" s="914">
        <f t="shared" si="71"/>
        <v>0.08</v>
      </c>
      <c r="G934" s="915" t="s">
        <v>448</v>
      </c>
      <c r="H934" s="384">
        <f t="shared" si="70"/>
        <v>25373.920000000027</v>
      </c>
    </row>
    <row r="935" spans="1:13" s="47" customFormat="1" ht="13">
      <c r="A935" s="910">
        <v>40849</v>
      </c>
      <c r="B935" s="384">
        <v>4500</v>
      </c>
      <c r="C935" s="384">
        <f t="shared" si="72"/>
        <v>-35789.424657534248</v>
      </c>
      <c r="D935" s="912">
        <f t="shared" si="73"/>
        <v>-40849</v>
      </c>
      <c r="E935" s="913"/>
      <c r="F935" s="914">
        <f t="shared" si="71"/>
        <v>0.08</v>
      </c>
      <c r="G935" s="915" t="s">
        <v>448</v>
      </c>
      <c r="H935" s="384">
        <f t="shared" si="70"/>
        <v>31573.920000000027</v>
      </c>
    </row>
    <row r="936" spans="1:13" s="47" customFormat="1" ht="13">
      <c r="A936" s="910">
        <v>40851</v>
      </c>
      <c r="B936" s="384">
        <v>2000</v>
      </c>
      <c r="C936" s="384">
        <f t="shared" si="72"/>
        <v>-15907.287671232876</v>
      </c>
      <c r="D936" s="912">
        <f t="shared" si="73"/>
        <v>-40851</v>
      </c>
      <c r="E936" s="913"/>
      <c r="F936" s="914">
        <f t="shared" si="71"/>
        <v>0.08</v>
      </c>
      <c r="G936" s="915" t="s">
        <v>448</v>
      </c>
      <c r="H936" s="384">
        <f t="shared" si="70"/>
        <v>30573.920000000027</v>
      </c>
    </row>
    <row r="937" spans="1:13" s="47" customFormat="1" ht="13">
      <c r="A937" s="910">
        <v>40855</v>
      </c>
      <c r="B937" s="384">
        <v>-300</v>
      </c>
      <c r="C937" s="384">
        <f t="shared" si="72"/>
        <v>2386.3561643835615</v>
      </c>
      <c r="D937" s="912">
        <f t="shared" si="73"/>
        <v>-40855</v>
      </c>
      <c r="E937" s="913"/>
      <c r="F937" s="914">
        <f t="shared" si="71"/>
        <v>0.08</v>
      </c>
      <c r="G937" s="915" t="s">
        <v>448</v>
      </c>
      <c r="H937" s="384">
        <f t="shared" si="70"/>
        <v>37573.920000000027</v>
      </c>
    </row>
    <row r="938" spans="1:13" s="47" customFormat="1" ht="13">
      <c r="A938" s="910">
        <v>40857</v>
      </c>
      <c r="B938" s="384">
        <v>-1100</v>
      </c>
      <c r="C938" s="384">
        <f t="shared" si="72"/>
        <v>8750.4547945205486</v>
      </c>
      <c r="D938" s="912">
        <f t="shared" si="73"/>
        <v>-40857</v>
      </c>
      <c r="E938" s="913"/>
      <c r="F938" s="914">
        <f t="shared" si="71"/>
        <v>0.08</v>
      </c>
      <c r="G938" s="915" t="s">
        <v>448</v>
      </c>
      <c r="H938" s="384">
        <f t="shared" si="70"/>
        <v>-1786.0799999999726</v>
      </c>
    </row>
    <row r="939" spans="1:13" s="47" customFormat="1" ht="13">
      <c r="A939" s="910">
        <v>40861</v>
      </c>
      <c r="B939" s="384">
        <v>6500</v>
      </c>
      <c r="C939" s="384">
        <f t="shared" si="72"/>
        <v>-51712.931506849309</v>
      </c>
      <c r="D939" s="912">
        <f t="shared" si="73"/>
        <v>-40861</v>
      </c>
      <c r="E939" s="913"/>
      <c r="F939" s="914">
        <f t="shared" si="71"/>
        <v>0.08</v>
      </c>
      <c r="G939" s="915" t="s">
        <v>448</v>
      </c>
      <c r="H939" s="384">
        <f t="shared" si="70"/>
        <v>8213.9200000000274</v>
      </c>
    </row>
    <row r="940" spans="1:13" s="47" customFormat="1" ht="13">
      <c r="A940" s="910">
        <v>40870</v>
      </c>
      <c r="B940" s="384">
        <v>6200</v>
      </c>
      <c r="C940" s="384">
        <f t="shared" si="72"/>
        <v>-49338.410958904111</v>
      </c>
      <c r="D940" s="912">
        <f t="shared" si="73"/>
        <v>-40870</v>
      </c>
      <c r="E940" s="913"/>
      <c r="F940" s="914">
        <f t="shared" si="71"/>
        <v>0.08</v>
      </c>
      <c r="G940" s="915" t="s">
        <v>448</v>
      </c>
      <c r="H940" s="384">
        <f t="shared" si="70"/>
        <v>13213.920000000027</v>
      </c>
    </row>
    <row r="941" spans="1:13" s="47" customFormat="1" ht="13">
      <c r="A941" s="910">
        <v>40872</v>
      </c>
      <c r="B941" s="384">
        <v>-1000</v>
      </c>
      <c r="C941" s="384">
        <f t="shared" si="72"/>
        <v>7958.2465753424658</v>
      </c>
      <c r="D941" s="912">
        <f t="shared" si="73"/>
        <v>-40872</v>
      </c>
      <c r="E941" s="913"/>
      <c r="F941" s="914">
        <f t="shared" si="71"/>
        <v>0.08</v>
      </c>
      <c r="G941" s="915" t="s">
        <v>448</v>
      </c>
      <c r="H941" s="384">
        <f t="shared" si="70"/>
        <v>19213.920000000027</v>
      </c>
    </row>
    <row r="942" spans="1:13" s="47" customFormat="1" ht="13">
      <c r="A942" s="910">
        <v>40890</v>
      </c>
      <c r="B942" s="384">
        <v>7000</v>
      </c>
      <c r="C942" s="384">
        <f t="shared" si="72"/>
        <v>-55735.34246575342</v>
      </c>
      <c r="D942" s="912">
        <f t="shared" si="73"/>
        <v>-40890</v>
      </c>
      <c r="E942" s="913"/>
      <c r="F942" s="914">
        <f t="shared" si="71"/>
        <v>0.08</v>
      </c>
      <c r="G942" s="915" t="s">
        <v>448</v>
      </c>
      <c r="H942" s="384">
        <f t="shared" si="70"/>
        <v>23713.920000000027</v>
      </c>
    </row>
    <row r="943" spans="1:13" s="47" customFormat="1" ht="13">
      <c r="A943" s="910">
        <v>40893</v>
      </c>
      <c r="B943" s="384">
        <v>-39360</v>
      </c>
      <c r="C943" s="384">
        <f t="shared" si="72"/>
        <v>313417.7490410959</v>
      </c>
      <c r="D943" s="912">
        <f t="shared" si="73"/>
        <v>-40893</v>
      </c>
      <c r="E943" s="913"/>
      <c r="F943" s="914">
        <f t="shared" si="71"/>
        <v>0.08</v>
      </c>
      <c r="G943" s="915" t="s">
        <v>448</v>
      </c>
      <c r="H943" s="384">
        <f t="shared" si="70"/>
        <v>713.92000000002736</v>
      </c>
    </row>
    <row r="944" spans="1:13" s="47" customFormat="1" ht="13">
      <c r="A944" s="910">
        <v>40918</v>
      </c>
      <c r="B944" s="384">
        <v>10000</v>
      </c>
      <c r="C944" s="384">
        <f t="shared" si="72"/>
        <v>-79683.287671232873</v>
      </c>
      <c r="D944" s="912">
        <f t="shared" si="73"/>
        <v>-40918</v>
      </c>
      <c r="E944" s="913"/>
      <c r="F944" s="914">
        <f t="shared" si="71"/>
        <v>0.08</v>
      </c>
      <c r="G944" s="915" t="s">
        <v>448</v>
      </c>
      <c r="H944" s="384">
        <f t="shared" si="70"/>
        <v>-1820.0799999999726</v>
      </c>
    </row>
    <row r="945" spans="1:13" s="47" customFormat="1" ht="13">
      <c r="A945" s="910">
        <v>40920</v>
      </c>
      <c r="B945" s="384">
        <v>5000</v>
      </c>
      <c r="C945" s="384">
        <f t="shared" si="72"/>
        <v>-39843.835616438351</v>
      </c>
      <c r="D945" s="912">
        <f t="shared" si="73"/>
        <v>-40920</v>
      </c>
      <c r="E945" s="913"/>
      <c r="F945" s="914">
        <f t="shared" si="71"/>
        <v>0.08</v>
      </c>
      <c r="G945" s="915" t="s">
        <v>448</v>
      </c>
      <c r="H945" s="384">
        <f t="shared" si="70"/>
        <v>3179.9200000000274</v>
      </c>
    </row>
    <row r="946" spans="1:13" s="47" customFormat="1" ht="13">
      <c r="A946" s="910">
        <v>40921</v>
      </c>
      <c r="B946" s="384">
        <v>6000</v>
      </c>
      <c r="C946" s="384">
        <f t="shared" si="72"/>
        <v>-47813.917808219172</v>
      </c>
      <c r="D946" s="912">
        <f t="shared" si="73"/>
        <v>-40921</v>
      </c>
      <c r="E946" s="913"/>
      <c r="F946" s="914">
        <f t="shared" si="71"/>
        <v>0.08</v>
      </c>
      <c r="G946" s="915" t="s">
        <v>448</v>
      </c>
      <c r="H946" s="384">
        <f t="shared" si="70"/>
        <v>13179.920000000027</v>
      </c>
    </row>
    <row r="947" spans="1:13" s="47" customFormat="1" ht="13">
      <c r="A947" s="910">
        <v>40925</v>
      </c>
      <c r="B947" s="384">
        <v>4500</v>
      </c>
      <c r="C947" s="384">
        <f t="shared" si="72"/>
        <v>-35864.38356164383</v>
      </c>
      <c r="D947" s="912">
        <f t="shared" si="73"/>
        <v>-40925</v>
      </c>
      <c r="E947" s="913"/>
      <c r="F947" s="914">
        <f t="shared" si="71"/>
        <v>0.08</v>
      </c>
      <c r="G947" s="915" t="s">
        <v>448</v>
      </c>
      <c r="H947" s="384">
        <f t="shared" si="70"/>
        <v>10879.920000000027</v>
      </c>
    </row>
    <row r="948" spans="1:13" s="47" customFormat="1" ht="13">
      <c r="A948" s="910">
        <v>40926</v>
      </c>
      <c r="B948" s="384">
        <v>-23000</v>
      </c>
      <c r="C948" s="384">
        <f t="shared" si="72"/>
        <v>183311.89041095891</v>
      </c>
      <c r="D948" s="912">
        <f t="shared" si="73"/>
        <v>-40926</v>
      </c>
      <c r="E948" s="913"/>
      <c r="F948" s="914">
        <f t="shared" si="71"/>
        <v>0.08</v>
      </c>
      <c r="G948" s="915" t="s">
        <v>448</v>
      </c>
      <c r="H948" s="384">
        <f t="shared" si="70"/>
        <v>14379.920000000027</v>
      </c>
    </row>
    <row r="949" spans="1:13" s="47" customFormat="1" ht="13">
      <c r="A949" s="910">
        <v>40928</v>
      </c>
      <c r="B949" s="384">
        <v>-2534</v>
      </c>
      <c r="C949" s="384">
        <f t="shared" si="72"/>
        <v>20197.29906849315</v>
      </c>
      <c r="D949" s="912">
        <f t="shared" si="73"/>
        <v>-40928</v>
      </c>
      <c r="E949" s="913"/>
      <c r="F949" s="914">
        <f t="shared" si="71"/>
        <v>0.08</v>
      </c>
      <c r="G949" s="915" t="s">
        <v>448</v>
      </c>
      <c r="H949" s="384">
        <f t="shared" si="70"/>
        <v>20379.920000000027</v>
      </c>
    </row>
    <row r="950" spans="1:13" s="47" customFormat="1" ht="13">
      <c r="A950" s="910">
        <v>40941</v>
      </c>
      <c r="B950" s="384">
        <v>5000</v>
      </c>
      <c r="C950" s="384">
        <f t="shared" si="72"/>
        <v>-39866.849315068488</v>
      </c>
      <c r="D950" s="912">
        <f t="shared" si="73"/>
        <v>-40941</v>
      </c>
      <c r="E950" s="913"/>
      <c r="F950" s="914">
        <f t="shared" si="71"/>
        <v>0.08</v>
      </c>
      <c r="G950" s="915" t="s">
        <v>448</v>
      </c>
      <c r="H950" s="384">
        <f t="shared" si="70"/>
        <v>24379.920000000027</v>
      </c>
    </row>
    <row r="951" spans="1:13" s="47" customFormat="1" ht="13">
      <c r="A951" s="910">
        <v>40946</v>
      </c>
      <c r="B951" s="384">
        <v>10000</v>
      </c>
      <c r="C951" s="384">
        <f t="shared" si="72"/>
        <v>-79744.657534246566</v>
      </c>
      <c r="D951" s="912">
        <f t="shared" si="73"/>
        <v>-40946</v>
      </c>
      <c r="E951" s="913"/>
      <c r="F951" s="914">
        <f t="shared" si="71"/>
        <v>0.08</v>
      </c>
      <c r="G951" s="915" t="s">
        <v>448</v>
      </c>
      <c r="H951" s="384">
        <f t="shared" si="70"/>
        <v>23379.920000000027</v>
      </c>
      <c r="L951"/>
      <c r="M951"/>
    </row>
    <row r="952" spans="1:13" s="47" customFormat="1" ht="13">
      <c r="A952" s="910">
        <v>40947</v>
      </c>
      <c r="B952" s="384">
        <v>-2300</v>
      </c>
      <c r="C952" s="384">
        <f t="shared" si="72"/>
        <v>18341.775342465757</v>
      </c>
      <c r="D952" s="912">
        <f t="shared" si="73"/>
        <v>-40947</v>
      </c>
      <c r="E952" s="913"/>
      <c r="F952" s="914">
        <f t="shared" si="71"/>
        <v>0.08</v>
      </c>
      <c r="G952" s="915" t="s">
        <v>448</v>
      </c>
      <c r="H952" s="384">
        <f t="shared" si="70"/>
        <v>34379.920000000027</v>
      </c>
      <c r="L952"/>
      <c r="M952"/>
    </row>
    <row r="953" spans="1:13" s="47" customFormat="1" ht="13">
      <c r="A953" s="910">
        <v>40949</v>
      </c>
      <c r="B953" s="384">
        <v>3500</v>
      </c>
      <c r="C953" s="384">
        <f t="shared" si="72"/>
        <v>-27912.931506849312</v>
      </c>
      <c r="D953" s="912">
        <f t="shared" si="73"/>
        <v>-40949</v>
      </c>
      <c r="E953" s="913"/>
      <c r="F953" s="914">
        <f t="shared" si="71"/>
        <v>0.08</v>
      </c>
      <c r="G953" s="915" t="s">
        <v>448</v>
      </c>
      <c r="H953" s="384">
        <f t="shared" si="70"/>
        <v>-620.07999999997264</v>
      </c>
      <c r="L953"/>
      <c r="M953"/>
    </row>
    <row r="954" spans="1:13" s="47" customFormat="1" ht="13">
      <c r="A954" s="910">
        <v>40952</v>
      </c>
      <c r="B954" s="384">
        <v>6000</v>
      </c>
      <c r="C954" s="384">
        <f t="shared" si="72"/>
        <v>-47854.684931506847</v>
      </c>
      <c r="D954" s="912">
        <f t="shared" si="73"/>
        <v>-40952</v>
      </c>
      <c r="E954" s="913"/>
      <c r="F954" s="914">
        <f t="shared" si="71"/>
        <v>0.08</v>
      </c>
      <c r="G954" s="915" t="s">
        <v>448</v>
      </c>
      <c r="H954" s="384">
        <f t="shared" si="70"/>
        <v>9379.9200000000274</v>
      </c>
      <c r="L954"/>
      <c r="M954"/>
    </row>
    <row r="955" spans="1:13" s="47" customFormat="1" ht="13">
      <c r="A955" s="910">
        <v>40954</v>
      </c>
      <c r="B955" s="384">
        <v>4000</v>
      </c>
      <c r="C955" s="384">
        <f t="shared" si="72"/>
        <v>-31904.876712328762</v>
      </c>
      <c r="D955" s="912">
        <f t="shared" si="73"/>
        <v>-40954</v>
      </c>
      <c r="E955" s="913"/>
      <c r="F955" s="914">
        <f t="shared" si="71"/>
        <v>0.08</v>
      </c>
      <c r="G955" s="915" t="s">
        <v>448</v>
      </c>
      <c r="H955" s="384">
        <f t="shared" si="70"/>
        <v>23379.920000000027</v>
      </c>
      <c r="L955"/>
      <c r="M955"/>
    </row>
    <row r="956" spans="1:13" ht="13">
      <c r="A956" s="910">
        <v>40955</v>
      </c>
      <c r="B956" s="384">
        <v>-1000</v>
      </c>
      <c r="C956" s="384">
        <f t="shared" si="72"/>
        <v>7976.4383561643826</v>
      </c>
      <c r="D956" s="912">
        <f t="shared" si="73"/>
        <v>-40955</v>
      </c>
      <c r="E956" s="913"/>
      <c r="F956" s="914">
        <f t="shared" si="71"/>
        <v>0.08</v>
      </c>
      <c r="G956" s="915" t="s">
        <v>448</v>
      </c>
      <c r="H956" s="384">
        <f t="shared" si="70"/>
        <v>18990.920000000027</v>
      </c>
      <c r="I956" s="47"/>
      <c r="J956" s="47"/>
      <c r="K956" s="47"/>
    </row>
    <row r="957" spans="1:13" ht="13">
      <c r="A957" s="910">
        <v>40607</v>
      </c>
      <c r="B957" s="384">
        <v>11000</v>
      </c>
      <c r="C957" s="384">
        <f t="shared" si="72"/>
        <v>-86901.80821917807</v>
      </c>
      <c r="D957" s="912">
        <f t="shared" si="73"/>
        <v>-40607</v>
      </c>
      <c r="E957" s="913"/>
      <c r="F957" s="914">
        <f t="shared" si="71"/>
        <v>0.08</v>
      </c>
      <c r="G957" s="915" t="s">
        <v>448</v>
      </c>
      <c r="H957" s="384">
        <f t="shared" si="70"/>
        <v>3990.9200000000274</v>
      </c>
      <c r="I957" s="47"/>
      <c r="J957" s="47"/>
      <c r="K957" s="47"/>
    </row>
    <row r="958" spans="1:13" s="47" customFormat="1" ht="13">
      <c r="A958" s="910">
        <v>40609</v>
      </c>
      <c r="B958" s="384">
        <v>-35000</v>
      </c>
      <c r="C958" s="384">
        <f t="shared" si="72"/>
        <v>276521.09589041094</v>
      </c>
      <c r="D958" s="912">
        <f t="shared" si="73"/>
        <v>-40609</v>
      </c>
      <c r="E958" s="913"/>
      <c r="F958" s="914">
        <f t="shared" si="71"/>
        <v>0.08</v>
      </c>
      <c r="G958" s="915" t="s">
        <v>448</v>
      </c>
      <c r="H958" s="384">
        <f t="shared" si="70"/>
        <v>-11009.079999999973</v>
      </c>
      <c r="L958"/>
      <c r="M958"/>
    </row>
    <row r="959" spans="1:13" s="47" customFormat="1" ht="13">
      <c r="A959" s="910">
        <v>40977</v>
      </c>
      <c r="B959" s="384">
        <v>10000</v>
      </c>
      <c r="C959" s="384">
        <f t="shared" si="72"/>
        <v>-79812.602739726019</v>
      </c>
      <c r="D959" s="912">
        <f t="shared" si="73"/>
        <v>-40977</v>
      </c>
      <c r="E959" s="913"/>
      <c r="F959" s="914">
        <f t="shared" si="71"/>
        <v>0.08</v>
      </c>
      <c r="G959" s="915" t="s">
        <v>448</v>
      </c>
      <c r="H959" s="384"/>
      <c r="L959"/>
      <c r="M959"/>
    </row>
    <row r="960" spans="1:13" s="47" customFormat="1" ht="13">
      <c r="A960" s="910">
        <v>40983</v>
      </c>
      <c r="B960" s="384">
        <v>14000</v>
      </c>
      <c r="C960" s="384">
        <f t="shared" si="72"/>
        <v>-111756.05479452055</v>
      </c>
      <c r="D960" s="912">
        <f t="shared" si="73"/>
        <v>-40983</v>
      </c>
      <c r="E960" s="913"/>
      <c r="F960" s="914">
        <f t="shared" si="71"/>
        <v>0.08</v>
      </c>
      <c r="G960" s="915" t="s">
        <v>448</v>
      </c>
      <c r="H960" s="384"/>
      <c r="L960"/>
      <c r="M960"/>
    </row>
    <row r="961" spans="1:13" s="47" customFormat="1" ht="13">
      <c r="A961" s="910">
        <v>40989</v>
      </c>
      <c r="B961" s="384">
        <v>-4389</v>
      </c>
      <c r="C961" s="384">
        <f t="shared" si="72"/>
        <v>35041.295013698633</v>
      </c>
      <c r="D961" s="912">
        <f t="shared" si="73"/>
        <v>-40989</v>
      </c>
      <c r="E961" s="913"/>
      <c r="F961" s="914">
        <f t="shared" si="71"/>
        <v>0.08</v>
      </c>
      <c r="G961" s="915" t="s">
        <v>448</v>
      </c>
      <c r="H961">
        <v>18533.810000000001</v>
      </c>
      <c r="L961"/>
      <c r="M961"/>
    </row>
    <row r="962" spans="1:13" s="47" customFormat="1" ht="13">
      <c r="A962" s="910">
        <v>40995</v>
      </c>
      <c r="B962" s="384">
        <v>-15000</v>
      </c>
      <c r="C962" s="384">
        <f t="shared" si="72"/>
        <v>119778.08219178082</v>
      </c>
      <c r="D962" s="912">
        <f t="shared" si="73"/>
        <v>-40995</v>
      </c>
      <c r="E962" s="913"/>
      <c r="F962" s="914">
        <f t="shared" si="71"/>
        <v>0.08</v>
      </c>
      <c r="G962" s="915" t="s">
        <v>448</v>
      </c>
      <c r="H962">
        <v>7000</v>
      </c>
      <c r="L962"/>
      <c r="M962"/>
    </row>
    <row r="963" spans="1:13" s="47" customFormat="1" ht="13">
      <c r="A963" s="910">
        <v>41012</v>
      </c>
      <c r="B963" s="384">
        <v>-15000</v>
      </c>
      <c r="C963" s="384">
        <f t="shared" si="72"/>
        <v>119833.97260273973</v>
      </c>
      <c r="D963" s="912">
        <f t="shared" si="73"/>
        <v>-41012</v>
      </c>
      <c r="E963" s="913"/>
      <c r="F963" s="914">
        <f t="shared" si="71"/>
        <v>0.08</v>
      </c>
      <c r="G963" s="915" t="s">
        <v>448</v>
      </c>
      <c r="H963">
        <v>6500</v>
      </c>
      <c r="L963"/>
      <c r="M963"/>
    </row>
    <row r="964" spans="1:13" s="47" customFormat="1" ht="13">
      <c r="A964" s="913"/>
      <c r="B964" s="384"/>
      <c r="C964" s="384"/>
      <c r="D964" s="912"/>
      <c r="E964" s="913"/>
      <c r="F964" s="918"/>
      <c r="G964" s="915"/>
      <c r="H964">
        <v>5000</v>
      </c>
      <c r="L964"/>
      <c r="M964"/>
    </row>
    <row r="965" spans="1:13" s="47" customFormat="1" ht="13">
      <c r="A965" s="913"/>
      <c r="B965" s="384"/>
      <c r="C965" s="384"/>
      <c r="D965" s="912"/>
      <c r="E965" s="913"/>
      <c r="F965" s="918"/>
      <c r="G965" s="915"/>
      <c r="H965">
        <v>37301.699999999997</v>
      </c>
      <c r="L965"/>
      <c r="M965"/>
    </row>
    <row r="966" spans="1:13" s="47" customFormat="1">
      <c r="A966" s="41">
        <v>41065</v>
      </c>
      <c r="B966" t="s">
        <v>451</v>
      </c>
      <c r="C966">
        <v>10127.9969</v>
      </c>
      <c r="D966" s="419">
        <v>1.829958</v>
      </c>
      <c r="E966">
        <v>0</v>
      </c>
      <c r="F966">
        <v>0</v>
      </c>
      <c r="G966">
        <v>0</v>
      </c>
      <c r="H966" s="862"/>
      <c r="L966"/>
      <c r="M966"/>
    </row>
    <row r="967" spans="1:13" s="47" customFormat="1" ht="13">
      <c r="A967" s="41">
        <v>41072</v>
      </c>
      <c r="B967" t="s">
        <v>452</v>
      </c>
      <c r="C967">
        <v>3817.3184000000001</v>
      </c>
      <c r="D967" s="419">
        <v>1.8337479999999999</v>
      </c>
      <c r="E967">
        <v>7000</v>
      </c>
      <c r="F967">
        <v>0</v>
      </c>
      <c r="G967">
        <v>0</v>
      </c>
      <c r="H967" s="292"/>
      <c r="L967"/>
      <c r="M967"/>
    </row>
    <row r="968" spans="1:13" s="47" customFormat="1" ht="13">
      <c r="A968" s="41">
        <v>41073</v>
      </c>
      <c r="B968" t="s">
        <v>452</v>
      </c>
      <c r="C968">
        <v>3543.5378000000001</v>
      </c>
      <c r="D968" s="419">
        <v>1.834325</v>
      </c>
      <c r="E968">
        <v>6500</v>
      </c>
      <c r="F968">
        <v>0</v>
      </c>
      <c r="G968">
        <v>0</v>
      </c>
      <c r="H968" s="292"/>
      <c r="L968"/>
      <c r="M968"/>
    </row>
    <row r="969" spans="1:13" s="47" customFormat="1">
      <c r="A969" s="41">
        <v>41095</v>
      </c>
      <c r="B969" t="s">
        <v>452</v>
      </c>
      <c r="C969">
        <v>2707.1102000000001</v>
      </c>
      <c r="D969" s="419">
        <v>1.8469880000000001</v>
      </c>
      <c r="E969">
        <v>5000</v>
      </c>
      <c r="F969">
        <v>0</v>
      </c>
      <c r="G969">
        <v>0</v>
      </c>
      <c r="H969" s="21"/>
      <c r="L969"/>
      <c r="M969"/>
    </row>
    <row r="970" spans="1:13" s="47" customFormat="1">
      <c r="A970" s="41">
        <v>41095</v>
      </c>
      <c r="B970" t="s">
        <v>453</v>
      </c>
      <c r="C970">
        <v>20195.963299999999</v>
      </c>
      <c r="D970" s="419">
        <v>1.8469880000000001</v>
      </c>
      <c r="E970">
        <v>0</v>
      </c>
      <c r="F970">
        <v>0</v>
      </c>
      <c r="G970">
        <v>0</v>
      </c>
      <c r="H970" s="21"/>
      <c r="L970"/>
      <c r="M970"/>
    </row>
    <row r="971" spans="1:13" s="47" customFormat="1" ht="13">
      <c r="A971" s="384">
        <f>+C971/4.22</f>
        <v>30593.061704992571</v>
      </c>
      <c r="B971" s="384">
        <f>SUM(B901:B970)</f>
        <v>-11009.079999999973</v>
      </c>
      <c r="C971" s="384">
        <f>SUM(C901:C970)</f>
        <v>129102.72039506864</v>
      </c>
      <c r="D971" s="912"/>
      <c r="E971" s="913"/>
      <c r="F971" s="914"/>
      <c r="G971" s="915"/>
      <c r="H971" s="21"/>
      <c r="I971" s="21"/>
      <c r="J971"/>
      <c r="K971"/>
      <c r="L971"/>
      <c r="M971"/>
    </row>
    <row r="972" spans="1:13" s="47" customFormat="1">
      <c r="A972" s="21"/>
      <c r="B972" s="21"/>
      <c r="C972" s="21"/>
      <c r="D972" s="21"/>
      <c r="E972" s="21"/>
      <c r="F972" s="21"/>
      <c r="G972" s="21"/>
      <c r="H972" s="21"/>
      <c r="I972" s="21"/>
      <c r="J972"/>
      <c r="K972"/>
      <c r="L972"/>
      <c r="M972"/>
    </row>
    <row r="973" spans="1:13" s="47" customFormat="1" ht="13" thickBot="1">
      <c r="A973" s="21"/>
      <c r="B973" s="21"/>
      <c r="C973" s="21"/>
      <c r="D973" s="21"/>
      <c r="E973" s="21"/>
      <c r="F973" s="21"/>
      <c r="G973" s="21"/>
      <c r="H973" s="21"/>
      <c r="L973"/>
      <c r="M973"/>
    </row>
    <row r="974" spans="1:13" s="47" customFormat="1" ht="23">
      <c r="A974" s="1171" t="s">
        <v>454</v>
      </c>
      <c r="B974" s="524" t="s">
        <v>451</v>
      </c>
      <c r="C974" s="524" t="s">
        <v>455</v>
      </c>
      <c r="D974" s="527" t="s">
        <v>456</v>
      </c>
      <c r="E974" s="528" t="s">
        <v>457</v>
      </c>
      <c r="F974" s="530" t="s">
        <v>458</v>
      </c>
      <c r="L974"/>
      <c r="M974"/>
    </row>
    <row r="975" spans="1:13" s="47" customFormat="1" ht="13" thickBot="1">
      <c r="A975" s="1172"/>
      <c r="B975" s="525">
        <v>42736</v>
      </c>
      <c r="C975" s="523">
        <v>0</v>
      </c>
      <c r="D975" s="526">
        <v>4.8302009999999997</v>
      </c>
      <c r="E975" s="526" t="s">
        <v>459</v>
      </c>
      <c r="F975" s="529" t="s">
        <v>460</v>
      </c>
      <c r="L975"/>
      <c r="M975"/>
    </row>
    <row r="976" spans="1:13" s="47" customFormat="1" ht="23">
      <c r="A976" s="1171" t="s">
        <v>454</v>
      </c>
      <c r="B976" s="524" t="s">
        <v>461</v>
      </c>
      <c r="C976" s="524" t="s">
        <v>455</v>
      </c>
      <c r="D976" s="527" t="s">
        <v>456</v>
      </c>
      <c r="E976" s="528" t="s">
        <v>457</v>
      </c>
      <c r="F976" s="530" t="s">
        <v>462</v>
      </c>
      <c r="L976"/>
      <c r="M976"/>
    </row>
    <row r="977" spans="1:13" s="47" customFormat="1" ht="13" thickBot="1">
      <c r="A977" s="1172"/>
      <c r="B977" s="525">
        <v>42740</v>
      </c>
      <c r="C977" s="531">
        <v>7214.8941999999997</v>
      </c>
      <c r="D977" s="526">
        <v>4.8510759999999999</v>
      </c>
      <c r="E977" s="526" t="s">
        <v>459</v>
      </c>
      <c r="F977" s="529" t="s">
        <v>463</v>
      </c>
      <c r="L977"/>
      <c r="M977"/>
    </row>
    <row r="978" spans="1:13" ht="23">
      <c r="A978" s="1171" t="s">
        <v>454</v>
      </c>
      <c r="B978" s="524" t="s">
        <v>461</v>
      </c>
      <c r="C978" s="524" t="s">
        <v>455</v>
      </c>
      <c r="D978" s="527" t="s">
        <v>456</v>
      </c>
      <c r="E978" s="528" t="s">
        <v>457</v>
      </c>
      <c r="F978" s="530" t="s">
        <v>464</v>
      </c>
      <c r="G978" s="47"/>
      <c r="H978" s="47"/>
      <c r="I978" s="47"/>
      <c r="J978" s="47"/>
      <c r="K978" s="47"/>
    </row>
    <row r="979" spans="1:13" ht="13" thickBot="1">
      <c r="A979" s="1172"/>
      <c r="B979" s="525">
        <v>42746</v>
      </c>
      <c r="C979" s="531">
        <v>2054.3173999999999</v>
      </c>
      <c r="D979" s="526">
        <v>4.8677970000000004</v>
      </c>
      <c r="E979" s="526" t="s">
        <v>459</v>
      </c>
      <c r="F979" s="529" t="s">
        <v>465</v>
      </c>
      <c r="G979" s="47"/>
      <c r="H979" s="47"/>
      <c r="I979" s="47"/>
      <c r="J979" s="47"/>
      <c r="K979" s="47"/>
    </row>
    <row r="980" spans="1:13" ht="23">
      <c r="A980" s="1171" t="s">
        <v>454</v>
      </c>
      <c r="B980" s="524" t="s">
        <v>466</v>
      </c>
      <c r="C980" s="524" t="s">
        <v>455</v>
      </c>
      <c r="D980" s="527" t="s">
        <v>456</v>
      </c>
      <c r="E980" s="528" t="s">
        <v>457</v>
      </c>
      <c r="F980" s="530" t="s">
        <v>467</v>
      </c>
      <c r="G980" s="47"/>
      <c r="H980" s="47"/>
      <c r="I980" s="47"/>
      <c r="J980" s="47"/>
      <c r="K980" s="47"/>
    </row>
    <row r="981" spans="1:13" ht="13" thickBot="1">
      <c r="A981" s="1172"/>
      <c r="B981" s="525">
        <v>42751</v>
      </c>
      <c r="C981" s="531">
        <v>-8193.9122000000007</v>
      </c>
      <c r="D981" s="526">
        <v>4.8816730000000002</v>
      </c>
      <c r="E981" s="526" t="s">
        <v>459</v>
      </c>
      <c r="F981" s="529" t="s">
        <v>468</v>
      </c>
      <c r="G981" s="47"/>
      <c r="H981" s="47"/>
      <c r="I981" s="47"/>
      <c r="J981" s="47"/>
      <c r="K981" s="47"/>
    </row>
    <row r="982" spans="1:13" ht="23">
      <c r="A982" s="1171" t="s">
        <v>454</v>
      </c>
      <c r="B982" s="524" t="s">
        <v>461</v>
      </c>
      <c r="C982" s="524" t="s">
        <v>455</v>
      </c>
      <c r="D982" s="527" t="s">
        <v>456</v>
      </c>
      <c r="E982" s="528" t="s">
        <v>457</v>
      </c>
      <c r="F982" s="530" t="s">
        <v>469</v>
      </c>
    </row>
    <row r="983" spans="1:13" ht="13" thickBot="1">
      <c r="A983" s="1172"/>
      <c r="B983" s="525">
        <v>42753</v>
      </c>
      <c r="C983" s="531">
        <v>3069.4097999999999</v>
      </c>
      <c r="D983" s="526">
        <v>4.886933</v>
      </c>
      <c r="E983" s="526" t="s">
        <v>459</v>
      </c>
      <c r="F983" s="529" t="s">
        <v>470</v>
      </c>
    </row>
    <row r="984" spans="1:13" ht="23">
      <c r="A984" s="1171" t="s">
        <v>454</v>
      </c>
      <c r="B984" s="524" t="s">
        <v>461</v>
      </c>
      <c r="C984" s="524" t="s">
        <v>455</v>
      </c>
      <c r="D984" s="527" t="s">
        <v>456</v>
      </c>
      <c r="E984" s="528" t="s">
        <v>457</v>
      </c>
      <c r="F984" s="530" t="s">
        <v>471</v>
      </c>
    </row>
    <row r="985" spans="1:13" ht="13" thickBot="1">
      <c r="A985" s="1172"/>
      <c r="B985" s="525">
        <v>42769</v>
      </c>
      <c r="C985" s="531">
        <v>1620.2239999999999</v>
      </c>
      <c r="D985" s="526">
        <v>4.937589</v>
      </c>
      <c r="E985" s="526" t="s">
        <v>459</v>
      </c>
      <c r="F985" s="529" t="s">
        <v>472</v>
      </c>
    </row>
    <row r="986" spans="1:13" ht="23">
      <c r="A986" s="1171" t="s">
        <v>454</v>
      </c>
      <c r="B986" s="524" t="s">
        <v>461</v>
      </c>
      <c r="C986" s="524" t="s">
        <v>455</v>
      </c>
      <c r="D986" s="527" t="s">
        <v>456</v>
      </c>
      <c r="E986" s="528" t="s">
        <v>457</v>
      </c>
      <c r="F986" s="530" t="s">
        <v>473</v>
      </c>
    </row>
    <row r="987" spans="1:13" ht="13" thickBot="1">
      <c r="A987" s="1172"/>
      <c r="B987" s="525">
        <v>42773</v>
      </c>
      <c r="C987" s="531">
        <v>3638.3195000000001</v>
      </c>
      <c r="D987" s="526">
        <v>4.9473390000000004</v>
      </c>
      <c r="E987" s="526" t="s">
        <v>459</v>
      </c>
      <c r="F987" s="529" t="s">
        <v>474</v>
      </c>
    </row>
    <row r="988" spans="1:13" ht="23">
      <c r="A988" s="1171" t="s">
        <v>454</v>
      </c>
      <c r="B988" s="524" t="s">
        <v>461</v>
      </c>
      <c r="C988" s="524" t="s">
        <v>455</v>
      </c>
      <c r="D988" s="527" t="s">
        <v>456</v>
      </c>
      <c r="E988" s="528" t="s">
        <v>457</v>
      </c>
      <c r="F988" s="530" t="s">
        <v>475</v>
      </c>
    </row>
    <row r="989" spans="1:13" ht="13" thickBot="1">
      <c r="A989" s="1172"/>
      <c r="B989" s="525">
        <v>42782</v>
      </c>
      <c r="C989" s="531">
        <v>1005.2193</v>
      </c>
      <c r="D989" s="526">
        <v>4.9740390000000003</v>
      </c>
      <c r="E989" s="526" t="s">
        <v>459</v>
      </c>
      <c r="F989" s="529" t="s">
        <v>476</v>
      </c>
    </row>
    <row r="990" spans="1:13" ht="23">
      <c r="A990" s="1171" t="s">
        <v>454</v>
      </c>
      <c r="B990" s="524" t="s">
        <v>461</v>
      </c>
      <c r="C990" s="524" t="s">
        <v>455</v>
      </c>
      <c r="D990" s="527" t="s">
        <v>456</v>
      </c>
      <c r="E990" s="528" t="s">
        <v>457</v>
      </c>
      <c r="F990" s="530" t="s">
        <v>477</v>
      </c>
    </row>
    <row r="991" spans="1:13" ht="13" thickBot="1">
      <c r="A991" s="1172"/>
      <c r="B991" s="525">
        <v>42787</v>
      </c>
      <c r="C991" s="523">
        <v>601.35040000000004</v>
      </c>
      <c r="D991" s="526">
        <v>4.988772</v>
      </c>
      <c r="E991" s="526" t="s">
        <v>459</v>
      </c>
      <c r="F991" s="529" t="s">
        <v>478</v>
      </c>
    </row>
    <row r="992" spans="1:13" ht="23">
      <c r="A992" s="1171" t="s">
        <v>454</v>
      </c>
      <c r="B992" s="524" t="s">
        <v>453</v>
      </c>
      <c r="C992" s="524" t="s">
        <v>455</v>
      </c>
      <c r="D992" s="527" t="s">
        <v>456</v>
      </c>
      <c r="E992" s="528" t="s">
        <v>457</v>
      </c>
      <c r="F992" s="530" t="s">
        <v>479</v>
      </c>
    </row>
    <row r="993" spans="1:6">
      <c r="A993" s="1172"/>
      <c r="B993" s="525">
        <v>42806</v>
      </c>
      <c r="C993" s="531">
        <v>11009.822399999999</v>
      </c>
      <c r="D993" s="526">
        <v>5.0415000000000001</v>
      </c>
      <c r="E993" s="526" t="s">
        <v>459</v>
      </c>
      <c r="F993" s="529" t="s">
        <v>460</v>
      </c>
    </row>
    <row r="1067" spans="1:9" ht="13">
      <c r="I1067" s="152" t="s">
        <v>416</v>
      </c>
    </row>
    <row r="1068" spans="1:9">
      <c r="H1068" s="188"/>
      <c r="I1068" s="164" t="s">
        <v>480</v>
      </c>
    </row>
    <row r="1069" spans="1:9">
      <c r="H1069" s="188"/>
      <c r="I1069" s="164" t="s">
        <v>481</v>
      </c>
    </row>
    <row r="1070" spans="1:9">
      <c r="B1070" s="188"/>
      <c r="H1070" s="188"/>
      <c r="I1070" s="164" t="s">
        <v>481</v>
      </c>
    </row>
    <row r="1071" spans="1:9" ht="13">
      <c r="A1071" s="188"/>
      <c r="B1071" s="188"/>
      <c r="D1071" s="188"/>
      <c r="E1071" s="409"/>
      <c r="F1071" s="919"/>
      <c r="G1071" s="188"/>
      <c r="H1071" s="152" t="s">
        <v>482</v>
      </c>
      <c r="I1071" s="164" t="s">
        <v>483</v>
      </c>
    </row>
    <row r="1072" spans="1:9">
      <c r="A1072" s="188"/>
      <c r="B1072" s="188"/>
      <c r="D1072" s="188"/>
      <c r="E1072" s="409"/>
      <c r="F1072" s="919"/>
      <c r="G1072" s="188"/>
      <c r="H1072" s="163">
        <v>0.22090545</v>
      </c>
      <c r="I1072" s="164" t="s">
        <v>484</v>
      </c>
    </row>
    <row r="1073" spans="1:13">
      <c r="A1073" s="188"/>
      <c r="B1073" s="188"/>
      <c r="D1073" s="188"/>
      <c r="E1073" s="409"/>
      <c r="F1073" s="919"/>
      <c r="G1073" s="188"/>
      <c r="H1073" s="163">
        <v>4.32497913</v>
      </c>
      <c r="I1073" s="164" t="s">
        <v>485</v>
      </c>
    </row>
    <row r="1074" spans="1:13">
      <c r="A1074" s="188"/>
      <c r="B1074" s="188"/>
      <c r="D1074" s="188"/>
      <c r="E1074" s="409"/>
      <c r="F1074" s="919"/>
      <c r="G1074" s="188"/>
      <c r="H1074" s="163">
        <v>4.4601740000000003</v>
      </c>
      <c r="I1074" s="164" t="s">
        <v>487</v>
      </c>
    </row>
    <row r="1075" spans="1:13" ht="16" thickBot="1">
      <c r="A1075" s="190" t="s">
        <v>486</v>
      </c>
      <c r="B1075" s="189"/>
      <c r="D1075" s="188"/>
      <c r="E1075" s="188"/>
      <c r="F1075" s="188"/>
      <c r="G1075" s="188"/>
      <c r="H1075" s="163">
        <v>0.35022048</v>
      </c>
      <c r="I1075" s="164" t="s">
        <v>487</v>
      </c>
    </row>
    <row r="1076" spans="1:13" ht="13.5" thickTop="1">
      <c r="A1076" s="122" t="s">
        <v>488</v>
      </c>
      <c r="B1076" s="123"/>
      <c r="C1076" s="123"/>
      <c r="D1076" s="124"/>
      <c r="E1076" s="125"/>
      <c r="F1076" s="126"/>
      <c r="G1076" s="150"/>
      <c r="H1076" s="163">
        <v>0.231346</v>
      </c>
    </row>
    <row r="1077" spans="1:13" ht="13">
      <c r="A1077" s="127">
        <v>38728</v>
      </c>
      <c r="B1077" s="50">
        <v>40000</v>
      </c>
      <c r="C1077" s="50">
        <f t="shared" ref="C1077:C1084" si="74">B1077+(B1077*F1077/365*D1077)*1</f>
        <v>40328.767123287675</v>
      </c>
      <c r="D1077" s="51">
        <v>60</v>
      </c>
      <c r="E1077" s="49">
        <f t="shared" ref="E1077:E1084" si="75">A1077+D1077</f>
        <v>38788</v>
      </c>
      <c r="F1077" s="52">
        <v>0.05</v>
      </c>
      <c r="G1077" s="53" t="s">
        <v>489</v>
      </c>
      <c r="H1077" s="163">
        <v>3.0940080000000001</v>
      </c>
      <c r="J1077" s="399"/>
      <c r="K1077" s="399"/>
      <c r="L1077" s="399"/>
      <c r="M1077" s="399"/>
    </row>
    <row r="1078" spans="1:13" ht="13">
      <c r="A1078" s="127">
        <v>38728</v>
      </c>
      <c r="B1078" s="50">
        <v>30000</v>
      </c>
      <c r="C1078" s="50">
        <f t="shared" si="74"/>
        <v>30246.575342465752</v>
      </c>
      <c r="D1078" s="51">
        <v>60</v>
      </c>
      <c r="E1078" s="49">
        <f t="shared" si="75"/>
        <v>38788</v>
      </c>
      <c r="F1078" s="52">
        <v>0.05</v>
      </c>
      <c r="G1078" s="53" t="s">
        <v>490</v>
      </c>
      <c r="H1078" s="163">
        <v>1.7962819999999999</v>
      </c>
      <c r="I1078" s="168" t="s">
        <v>491</v>
      </c>
      <c r="J1078" s="399"/>
      <c r="K1078" s="399"/>
      <c r="L1078" s="399"/>
      <c r="M1078" s="399"/>
    </row>
    <row r="1079" spans="1:13" ht="13">
      <c r="A1079" s="127">
        <v>38742</v>
      </c>
      <c r="B1079" s="50">
        <v>5000</v>
      </c>
      <c r="C1079" s="50">
        <f t="shared" si="74"/>
        <v>5041.0958904109593</v>
      </c>
      <c r="D1079" s="51">
        <v>60</v>
      </c>
      <c r="E1079" s="49">
        <f t="shared" si="75"/>
        <v>38802</v>
      </c>
      <c r="F1079" s="52">
        <v>0.05</v>
      </c>
      <c r="G1079" s="53" t="s">
        <v>490</v>
      </c>
      <c r="H1079" s="163">
        <v>1.814605</v>
      </c>
      <c r="I1079" s="168" t="s">
        <v>493</v>
      </c>
      <c r="J1079" s="399"/>
      <c r="K1079" s="399"/>
      <c r="L1079" s="399"/>
      <c r="M1079" s="399"/>
    </row>
    <row r="1080" spans="1:13" ht="13">
      <c r="A1080" s="127">
        <v>38728</v>
      </c>
      <c r="B1080" s="50">
        <v>30000</v>
      </c>
      <c r="C1080" s="50">
        <f t="shared" si="74"/>
        <v>30246.575342465752</v>
      </c>
      <c r="D1080" s="51">
        <v>60</v>
      </c>
      <c r="E1080" s="49">
        <f t="shared" si="75"/>
        <v>38788</v>
      </c>
      <c r="F1080" s="52">
        <v>0.05</v>
      </c>
      <c r="G1080" s="53" t="s">
        <v>492</v>
      </c>
      <c r="J1080" s="399"/>
      <c r="K1080" s="399"/>
      <c r="L1080" s="399"/>
      <c r="M1080" s="399"/>
    </row>
    <row r="1081" spans="1:13" ht="13">
      <c r="A1081" s="127">
        <v>38700</v>
      </c>
      <c r="B1081" s="50">
        <v>36506.620000000003</v>
      </c>
      <c r="C1081" s="50">
        <f t="shared" si="74"/>
        <v>36806.674410958905</v>
      </c>
      <c r="D1081" s="51">
        <v>60</v>
      </c>
      <c r="E1081" s="49">
        <f t="shared" si="75"/>
        <v>38760</v>
      </c>
      <c r="F1081" s="52">
        <v>0.05</v>
      </c>
      <c r="G1081" s="53" t="s">
        <v>494</v>
      </c>
      <c r="J1081" s="399"/>
      <c r="K1081" s="399"/>
      <c r="L1081" s="399"/>
      <c r="M1081" s="399"/>
    </row>
    <row r="1082" spans="1:13" ht="13">
      <c r="A1082" s="127">
        <v>38735</v>
      </c>
      <c r="B1082" s="50">
        <v>20000</v>
      </c>
      <c r="C1082" s="50">
        <f t="shared" si="74"/>
        <v>20164.383561643837</v>
      </c>
      <c r="D1082" s="51">
        <v>60</v>
      </c>
      <c r="E1082" s="49">
        <f t="shared" si="75"/>
        <v>38795</v>
      </c>
      <c r="F1082" s="52">
        <v>0.05</v>
      </c>
      <c r="G1082" s="53" t="s">
        <v>495</v>
      </c>
      <c r="I1082" s="174" t="s">
        <v>497</v>
      </c>
      <c r="J1082" s="399"/>
      <c r="K1082" s="399"/>
      <c r="L1082" s="399"/>
      <c r="M1082" s="399"/>
    </row>
    <row r="1083" spans="1:13" ht="13">
      <c r="A1083" s="127">
        <v>38735</v>
      </c>
      <c r="B1083" s="50">
        <v>50000</v>
      </c>
      <c r="C1083" s="50">
        <f t="shared" si="74"/>
        <v>50410.95890410959</v>
      </c>
      <c r="D1083" s="51">
        <v>60</v>
      </c>
      <c r="E1083" s="49">
        <f t="shared" si="75"/>
        <v>38795</v>
      </c>
      <c r="F1083" s="52">
        <v>0.05</v>
      </c>
      <c r="G1083" s="53" t="s">
        <v>496</v>
      </c>
      <c r="L1083" s="399"/>
      <c r="M1083" s="399"/>
    </row>
    <row r="1084" spans="1:13" ht="13">
      <c r="A1084" s="127">
        <v>38742</v>
      </c>
      <c r="B1084" s="50">
        <v>40000</v>
      </c>
      <c r="C1084" s="50">
        <f t="shared" si="74"/>
        <v>40328.767123287675</v>
      </c>
      <c r="D1084" s="51">
        <v>60</v>
      </c>
      <c r="E1084" s="49">
        <f t="shared" si="75"/>
        <v>38802</v>
      </c>
      <c r="F1084" s="52">
        <v>0.05</v>
      </c>
      <c r="G1084" s="53" t="s">
        <v>496</v>
      </c>
      <c r="H1084" s="906">
        <f>2.14*1.013</f>
        <v>2.1678199999999999</v>
      </c>
    </row>
    <row r="1085" spans="1:13">
      <c r="H1085" s="906">
        <f>5.08*1.013</f>
        <v>5.1460399999999993</v>
      </c>
      <c r="I1085" s="174" t="s">
        <v>497</v>
      </c>
    </row>
    <row r="1088" spans="1:13">
      <c r="H1088" s="163">
        <v>71.975999999999999</v>
      </c>
      <c r="I1088" s="174" t="s">
        <v>497</v>
      </c>
    </row>
    <row r="1089" spans="1:17" ht="13">
      <c r="A1089" s="144">
        <v>38735</v>
      </c>
      <c r="B1089" s="50">
        <f>+H1084*J1109</f>
        <v>10080.362999999999</v>
      </c>
      <c r="C1089" s="50">
        <f>+B1089</f>
        <v>10080.362999999999</v>
      </c>
      <c r="D1089" s="51"/>
      <c r="E1089" s="49"/>
      <c r="F1089" s="47"/>
      <c r="G1089" s="47"/>
      <c r="I1089" s="174" t="s">
        <v>497</v>
      </c>
    </row>
    <row r="1090" spans="1:17" ht="13">
      <c r="A1090" s="144">
        <v>38735</v>
      </c>
      <c r="B1090" s="50">
        <f>+H1085*J1110</f>
        <v>6072.3271999999988</v>
      </c>
      <c r="C1090" s="50">
        <f>+B1090</f>
        <v>6072.3271999999988</v>
      </c>
      <c r="D1090" s="51"/>
      <c r="E1090" s="49"/>
      <c r="F1090" s="47"/>
      <c r="G1090" s="47"/>
      <c r="I1090" s="174" t="s">
        <v>497</v>
      </c>
    </row>
    <row r="1091" spans="1:17">
      <c r="H1091" s="163">
        <v>1.0294399999999999</v>
      </c>
      <c r="I1091" s="174" t="s">
        <v>497</v>
      </c>
    </row>
    <row r="1092" spans="1:17" s="189" customFormat="1" ht="13">
      <c r="A1092" s="21"/>
      <c r="B1092" s="21"/>
      <c r="C1092" s="21"/>
      <c r="D1092" s="21"/>
      <c r="E1092" s="21"/>
      <c r="F1092" s="21"/>
      <c r="G1092" s="21"/>
      <c r="H1092" s="163">
        <v>1.0314540000000001</v>
      </c>
      <c r="I1092" s="174" t="s">
        <v>497</v>
      </c>
      <c r="J1092"/>
      <c r="K1092"/>
      <c r="L1092"/>
      <c r="M1092"/>
      <c r="N1092" s="152" t="s">
        <v>362</v>
      </c>
      <c r="O1092"/>
      <c r="P1092"/>
      <c r="Q1092"/>
    </row>
    <row r="1093" spans="1:17" s="47" customFormat="1" ht="27.75" customHeight="1">
      <c r="A1093" s="120">
        <v>39135</v>
      </c>
      <c r="B1093" s="162">
        <v>30000</v>
      </c>
      <c r="C1093" s="50">
        <f>B1093+(B1093*F1093/365*D1093)*1</f>
        <v>30246.575342465752</v>
      </c>
      <c r="D1093" s="51">
        <v>60</v>
      </c>
      <c r="E1093" s="49">
        <f>A1093+D1093</f>
        <v>39195</v>
      </c>
      <c r="F1093" s="52">
        <v>0.05</v>
      </c>
      <c r="G1093" s="121" t="s">
        <v>498</v>
      </c>
      <c r="H1093" s="163">
        <v>1.0398719999999999</v>
      </c>
      <c r="I1093" s="174" t="s">
        <v>497</v>
      </c>
      <c r="J1093"/>
      <c r="K1093"/>
      <c r="L1093"/>
      <c r="M1093"/>
      <c r="N1093" s="166"/>
      <c r="O1093" s="167">
        <f t="shared" ref="O1093:O1101" si="76">+N1093/M1100</f>
        <v>0</v>
      </c>
      <c r="P1093"/>
      <c r="Q1093" t="s">
        <v>499</v>
      </c>
    </row>
    <row r="1094" spans="1:17" s="47" customFormat="1">
      <c r="A1094" s="21"/>
      <c r="B1094" s="21"/>
      <c r="C1094" s="21"/>
      <c r="D1094" s="21"/>
      <c r="E1094" s="21"/>
      <c r="F1094" s="21"/>
      <c r="G1094" s="21"/>
      <c r="H1094" s="163">
        <v>1.046791</v>
      </c>
      <c r="I1094" s="174" t="s">
        <v>497</v>
      </c>
      <c r="J1094"/>
      <c r="K1094"/>
      <c r="L1094"/>
      <c r="M1094"/>
      <c r="N1094" s="166"/>
      <c r="O1094" s="167">
        <f t="shared" si="76"/>
        <v>0</v>
      </c>
    </row>
    <row r="1095" spans="1:17" s="47" customFormat="1" ht="13">
      <c r="A1095" s="21"/>
      <c r="B1095" s="21"/>
      <c r="C1095" s="21"/>
      <c r="D1095" s="21"/>
      <c r="E1095" s="21"/>
      <c r="F1095" s="21"/>
      <c r="G1095" s="21"/>
      <c r="H1095" s="163">
        <v>1.055239</v>
      </c>
      <c r="I1095" s="21"/>
      <c r="J1095" s="152"/>
      <c r="K1095"/>
      <c r="L1095"/>
      <c r="M1095"/>
      <c r="N1095" s="166"/>
      <c r="O1095" s="167">
        <f t="shared" si="76"/>
        <v>0</v>
      </c>
    </row>
    <row r="1096" spans="1:17" s="47" customFormat="1" ht="13">
      <c r="A1096" s="120">
        <v>38996</v>
      </c>
      <c r="B1096" s="162">
        <v>30223.56</v>
      </c>
      <c r="C1096" s="50">
        <f t="shared" ref="C1096:C1103" si="77">B1096+(B1096*F1096/365*D1096)*1</f>
        <v>30621.020515068496</v>
      </c>
      <c r="D1096" s="51">
        <v>60</v>
      </c>
      <c r="E1096" s="49">
        <f t="shared" ref="E1096:E1103" si="78">A1096+D1096</f>
        <v>39056</v>
      </c>
      <c r="F1096" s="52">
        <v>0.08</v>
      </c>
      <c r="G1096" s="121" t="s">
        <v>500</v>
      </c>
      <c r="H1096" s="163">
        <v>1.0611269999999999</v>
      </c>
      <c r="I1096" s="21"/>
      <c r="J1096" s="152"/>
      <c r="K1096" s="152"/>
      <c r="L1096"/>
      <c r="M1096"/>
      <c r="N1096" s="166"/>
      <c r="O1096" s="167">
        <f t="shared" si="76"/>
        <v>0</v>
      </c>
    </row>
    <row r="1097" spans="1:17" s="47" customFormat="1" ht="13">
      <c r="A1097" s="120">
        <v>39003</v>
      </c>
      <c r="B1097" s="162">
        <v>2000</v>
      </c>
      <c r="C1097" s="50">
        <f t="shared" si="77"/>
        <v>2026.3013698630136</v>
      </c>
      <c r="D1097" s="51">
        <v>60</v>
      </c>
      <c r="E1097" s="49">
        <f t="shared" si="78"/>
        <v>39063</v>
      </c>
      <c r="F1097" s="52">
        <v>0.08</v>
      </c>
      <c r="G1097" s="121" t="s">
        <v>500</v>
      </c>
      <c r="H1097" s="163">
        <v>1.0627949999999999</v>
      </c>
      <c r="I1097" s="21"/>
      <c r="J1097" s="152"/>
      <c r="K1097" s="152"/>
      <c r="L1097"/>
      <c r="M1097"/>
      <c r="N1097" s="166"/>
      <c r="O1097" s="167">
        <f t="shared" si="76"/>
        <v>0</v>
      </c>
    </row>
    <row r="1098" spans="1:17" s="47" customFormat="1" ht="13">
      <c r="A1098" s="120">
        <v>39041</v>
      </c>
      <c r="B1098" s="162">
        <v>1500</v>
      </c>
      <c r="C1098" s="50">
        <f t="shared" si="77"/>
        <v>1519.7260273972602</v>
      </c>
      <c r="D1098" s="51">
        <v>60</v>
      </c>
      <c r="E1098" s="49">
        <f t="shared" si="78"/>
        <v>39101</v>
      </c>
      <c r="F1098" s="52">
        <v>0.08</v>
      </c>
      <c r="G1098" s="121" t="s">
        <v>500</v>
      </c>
      <c r="H1098" s="163">
        <v>1.0687960000000001</v>
      </c>
      <c r="I1098" s="152" t="s">
        <v>416</v>
      </c>
      <c r="J1098" s="152" t="s">
        <v>433</v>
      </c>
      <c r="K1098" s="152"/>
      <c r="L1098"/>
      <c r="M1098"/>
      <c r="N1098" s="166"/>
      <c r="O1098" s="167">
        <f t="shared" si="76"/>
        <v>0</v>
      </c>
    </row>
    <row r="1099" spans="1:17" s="47" customFormat="1" ht="13">
      <c r="A1099" s="120">
        <v>39065</v>
      </c>
      <c r="B1099" s="162">
        <v>1500</v>
      </c>
      <c r="C1099" s="50">
        <f t="shared" si="77"/>
        <v>1519.7260273972602</v>
      </c>
      <c r="D1099" s="51">
        <v>60</v>
      </c>
      <c r="E1099" s="49">
        <f t="shared" si="78"/>
        <v>39125</v>
      </c>
      <c r="F1099" s="52">
        <v>0.08</v>
      </c>
      <c r="G1099" s="121" t="s">
        <v>500</v>
      </c>
      <c r="H1099" s="21"/>
      <c r="I1099" s="893" t="s">
        <v>480</v>
      </c>
      <c r="J1099" s="165">
        <v>163031.12359999999</v>
      </c>
      <c r="K1099" s="152"/>
      <c r="L1099" s="152"/>
      <c r="M1099" s="152" t="s">
        <v>435</v>
      </c>
      <c r="N1099" s="166"/>
      <c r="O1099" s="167">
        <f t="shared" si="76"/>
        <v>0</v>
      </c>
    </row>
    <row r="1100" spans="1:17" s="47" customFormat="1" ht="13">
      <c r="A1100" s="120">
        <v>39094</v>
      </c>
      <c r="B1100" s="162">
        <v>1300</v>
      </c>
      <c r="C1100" s="50">
        <f t="shared" si="77"/>
        <v>1317.0958904109589</v>
      </c>
      <c r="D1100" s="51">
        <v>60</v>
      </c>
      <c r="E1100" s="49">
        <f t="shared" si="78"/>
        <v>39154</v>
      </c>
      <c r="F1100" s="52">
        <v>0.08</v>
      </c>
      <c r="G1100" s="121" t="s">
        <v>500</v>
      </c>
      <c r="H1100" s="21"/>
      <c r="I1100" s="893" t="s">
        <v>480</v>
      </c>
      <c r="J1100" s="165">
        <v>6936.4497000000001</v>
      </c>
      <c r="K1100" s="163">
        <v>0.24499000000000001</v>
      </c>
      <c r="L1100" s="163"/>
      <c r="M1100" s="166">
        <v>35000</v>
      </c>
      <c r="N1100" s="166"/>
      <c r="O1100" s="167">
        <f t="shared" si="76"/>
        <v>0</v>
      </c>
    </row>
    <row r="1101" spans="1:17" s="47" customFormat="1" ht="13">
      <c r="A1101" s="120">
        <v>39127</v>
      </c>
      <c r="B1101" s="162">
        <v>1400</v>
      </c>
      <c r="C1101" s="50">
        <f t="shared" si="77"/>
        <v>1418.4109589041095</v>
      </c>
      <c r="D1101" s="51">
        <v>60</v>
      </c>
      <c r="E1101" s="49">
        <f t="shared" si="78"/>
        <v>39187</v>
      </c>
      <c r="F1101" s="52">
        <v>0.08</v>
      </c>
      <c r="G1101" s="121" t="s">
        <v>500</v>
      </c>
      <c r="H1101" s="152" t="s">
        <v>482</v>
      </c>
      <c r="I1101" s="893" t="s">
        <v>484</v>
      </c>
      <c r="J1101" s="165">
        <v>1121.0324000000001</v>
      </c>
      <c r="K1101" s="163">
        <v>4.987749</v>
      </c>
      <c r="L1101" s="163"/>
      <c r="M1101" s="166">
        <f t="shared" ref="M1101:M1107" si="79">+B1078</f>
        <v>30000</v>
      </c>
      <c r="N1101" s="32"/>
      <c r="O1101" s="172">
        <f t="shared" si="76"/>
        <v>0</v>
      </c>
    </row>
    <row r="1102" spans="1:17" ht="13">
      <c r="A1102" s="120">
        <v>39135</v>
      </c>
      <c r="B1102" s="162">
        <v>20000</v>
      </c>
      <c r="C1102" s="50">
        <f t="shared" si="77"/>
        <v>20263.013698630137</v>
      </c>
      <c r="D1102" s="51">
        <v>60</v>
      </c>
      <c r="E1102" s="49">
        <f t="shared" si="78"/>
        <v>39195</v>
      </c>
      <c r="F1102" s="52">
        <v>0.08</v>
      </c>
      <c r="G1102" s="121" t="s">
        <v>500</v>
      </c>
      <c r="H1102" s="920">
        <v>0.217746</v>
      </c>
      <c r="I1102" s="893" t="s">
        <v>487</v>
      </c>
      <c r="J1102" s="165">
        <v>85660.324600000007</v>
      </c>
      <c r="K1102" s="163">
        <f>+K1101</f>
        <v>4.987749</v>
      </c>
      <c r="L1102" s="163"/>
      <c r="M1102" s="166">
        <f t="shared" si="79"/>
        <v>5000</v>
      </c>
    </row>
    <row r="1103" spans="1:17" ht="13">
      <c r="A1103" s="120">
        <v>39167</v>
      </c>
      <c r="B1103" s="162">
        <v>10000</v>
      </c>
      <c r="C1103" s="50">
        <f t="shared" si="77"/>
        <v>10131.506849315068</v>
      </c>
      <c r="D1103" s="51">
        <v>60</v>
      </c>
      <c r="E1103" s="49">
        <f t="shared" si="78"/>
        <v>39227</v>
      </c>
      <c r="F1103" s="52">
        <v>0.08</v>
      </c>
      <c r="G1103" s="121" t="s">
        <v>500</v>
      </c>
      <c r="H1103" s="920">
        <v>0.22187299999999999</v>
      </c>
      <c r="I1103" s="893" t="s">
        <v>487</v>
      </c>
      <c r="J1103" s="165">
        <v>157801</v>
      </c>
      <c r="K1103" s="163">
        <v>0.41186699999999998</v>
      </c>
      <c r="L1103" s="163"/>
      <c r="M1103" s="166">
        <f t="shared" si="79"/>
        <v>30000</v>
      </c>
      <c r="N1103" s="166"/>
      <c r="O1103" s="172">
        <f>+N1103/M1110</f>
        <v>0</v>
      </c>
    </row>
    <row r="1104" spans="1:17">
      <c r="H1104" s="920">
        <v>0.23227600000000001</v>
      </c>
      <c r="I1104" s="893" t="s">
        <v>487</v>
      </c>
      <c r="J1104" s="165">
        <v>6464.11</v>
      </c>
      <c r="K1104" s="163">
        <v>0.25916299999999998</v>
      </c>
      <c r="L1104" s="163"/>
      <c r="M1104" s="166">
        <f t="shared" si="79"/>
        <v>36506.620000000003</v>
      </c>
      <c r="N1104" s="166"/>
      <c r="O1104" s="172"/>
    </row>
    <row r="1105" spans="1:15" ht="13" thickBot="1">
      <c r="H1105" s="920">
        <v>1.8452949999999999</v>
      </c>
      <c r="I1105" s="893" t="s">
        <v>487</v>
      </c>
      <c r="J1105" s="171">
        <v>27834</v>
      </c>
      <c r="K1105" s="163">
        <v>3.684866</v>
      </c>
      <c r="L1105" s="163"/>
      <c r="M1105" s="166">
        <f t="shared" si="79"/>
        <v>20000</v>
      </c>
      <c r="N1105" s="32"/>
      <c r="O1105" s="172">
        <f>+N1105/M1112</f>
        <v>0</v>
      </c>
    </row>
    <row r="1106" spans="1:15" s="47" customFormat="1" ht="13.5" thickTop="1">
      <c r="A1106" s="122" t="s">
        <v>488</v>
      </c>
      <c r="B1106" s="123"/>
      <c r="C1106" s="123"/>
      <c r="D1106" s="124"/>
      <c r="E1106" s="125"/>
      <c r="F1106" s="126"/>
      <c r="G1106" s="150"/>
      <c r="H1106" s="920">
        <v>1.8657360000000001</v>
      </c>
      <c r="I1106" s="896"/>
      <c r="J1106" s="171">
        <v>22042</v>
      </c>
      <c r="K1106" s="163">
        <v>2.0532208999999999</v>
      </c>
      <c r="L1106" s="163"/>
      <c r="M1106" s="166">
        <f t="shared" si="79"/>
        <v>50000</v>
      </c>
      <c r="N1106"/>
      <c r="O1106"/>
    </row>
    <row r="1107" spans="1:15" s="47" customFormat="1" ht="13">
      <c r="A1107" s="127">
        <v>38679</v>
      </c>
      <c r="B1107" s="50">
        <v>25000</v>
      </c>
      <c r="C1107" s="50">
        <f t="shared" ref="C1107:C1113" si="80">B1107+(B1107*F1107/365*D1107)*1</f>
        <v>25205.479452054795</v>
      </c>
      <c r="D1107" s="51">
        <v>60</v>
      </c>
      <c r="E1107" s="49">
        <f t="shared" ref="E1107:E1113" si="81">A1107+D1107</f>
        <v>38739</v>
      </c>
      <c r="F1107" s="52">
        <v>0.05</v>
      </c>
      <c r="G1107" s="53" t="s">
        <v>489</v>
      </c>
      <c r="H1107" s="920">
        <v>1.8653051</v>
      </c>
      <c r="I1107" s="921">
        <f>1500/J1121</f>
        <v>1.0467909993839286</v>
      </c>
      <c r="J1107" s="173"/>
      <c r="K1107" s="163">
        <f>+K1106</f>
        <v>2.0532208999999999</v>
      </c>
      <c r="L1107" s="163"/>
      <c r="M1107" s="166">
        <f t="shared" si="79"/>
        <v>40000</v>
      </c>
      <c r="N1107" s="166"/>
      <c r="O1107" s="923">
        <f>+N1107/M1114</f>
        <v>0</v>
      </c>
    </row>
    <row r="1108" spans="1:15" ht="13">
      <c r="A1108" s="127">
        <v>38742</v>
      </c>
      <c r="B1108" s="50">
        <v>20000</v>
      </c>
      <c r="C1108" s="50">
        <f t="shared" si="80"/>
        <v>20164.383561643837</v>
      </c>
      <c r="D1108" s="51">
        <v>60</v>
      </c>
      <c r="E1108" s="49">
        <f t="shared" si="81"/>
        <v>38802</v>
      </c>
      <c r="F1108" s="52">
        <v>0.05</v>
      </c>
      <c r="G1108" s="53" t="s">
        <v>489</v>
      </c>
      <c r="H1108" s="920">
        <v>1.8813051000000001</v>
      </c>
      <c r="M1108" s="32">
        <f>SUM(M1100:M1107)</f>
        <v>246506.62</v>
      </c>
    </row>
    <row r="1109" spans="1:15" ht="13">
      <c r="A1109" s="127">
        <v>38721</v>
      </c>
      <c r="B1109" s="50">
        <v>51862.06</v>
      </c>
      <c r="C1109" s="50">
        <f t="shared" si="80"/>
        <v>52288.323506849316</v>
      </c>
      <c r="D1109" s="51">
        <v>60</v>
      </c>
      <c r="E1109" s="49">
        <f t="shared" si="81"/>
        <v>38781</v>
      </c>
      <c r="F1109" s="52">
        <v>0.05</v>
      </c>
      <c r="G1109" s="53" t="s">
        <v>494</v>
      </c>
      <c r="H1109" s="922"/>
      <c r="I1109" s="183"/>
      <c r="J1109" s="169">
        <v>4650</v>
      </c>
    </row>
    <row r="1110" spans="1:15" s="47" customFormat="1" ht="13">
      <c r="A1110" s="127">
        <v>38749</v>
      </c>
      <c r="B1110" s="50">
        <v>48000</v>
      </c>
      <c r="C1110" s="50">
        <f t="shared" si="80"/>
        <v>48394.520547945205</v>
      </c>
      <c r="D1110" s="51">
        <v>60</v>
      </c>
      <c r="E1110" s="49">
        <f t="shared" si="81"/>
        <v>38809</v>
      </c>
      <c r="F1110" s="52">
        <v>0.05</v>
      </c>
      <c r="G1110" s="53" t="s">
        <v>496</v>
      </c>
      <c r="H1110" s="921"/>
      <c r="I1110" s="183"/>
      <c r="J1110" s="169">
        <v>1180</v>
      </c>
      <c r="K1110" s="170">
        <v>3.0782946236559137</v>
      </c>
      <c r="L1110" s="170"/>
      <c r="M1110" s="166">
        <f>+B1089</f>
        <v>10080.362999999999</v>
      </c>
      <c r="N1110" s="166"/>
      <c r="O1110" s="923">
        <f>+N1110/M1117</f>
        <v>0</v>
      </c>
    </row>
    <row r="1111" spans="1:15" ht="13">
      <c r="A1111" s="127">
        <v>38763</v>
      </c>
      <c r="B1111" s="50">
        <v>8500</v>
      </c>
      <c r="C1111" s="50">
        <f t="shared" si="80"/>
        <v>8569.8630136986303</v>
      </c>
      <c r="D1111" s="51">
        <v>60</v>
      </c>
      <c r="E1111" s="49">
        <f t="shared" si="81"/>
        <v>38823</v>
      </c>
      <c r="F1111" s="52">
        <v>0.05</v>
      </c>
      <c r="G1111" s="53" t="s">
        <v>496</v>
      </c>
      <c r="I1111" s="183"/>
      <c r="K1111" s="170">
        <v>5.75</v>
      </c>
      <c r="L1111" s="170"/>
      <c r="M1111" s="166">
        <f>+B1090</f>
        <v>6072.3271999999988</v>
      </c>
    </row>
    <row r="1112" spans="1:15" ht="13">
      <c r="A1112" s="127">
        <v>38770</v>
      </c>
      <c r="B1112" s="50">
        <v>35000</v>
      </c>
      <c r="C1112" s="50">
        <f t="shared" si="80"/>
        <v>35287.67123287671</v>
      </c>
      <c r="D1112" s="51">
        <v>60</v>
      </c>
      <c r="E1112" s="49">
        <f t="shared" si="81"/>
        <v>38830</v>
      </c>
      <c r="F1112" s="52">
        <v>0.05</v>
      </c>
      <c r="G1112" s="53" t="s">
        <v>496</v>
      </c>
      <c r="I1112" s="183"/>
      <c r="M1112" s="32">
        <f>+M1110+M1108</f>
        <v>256586.98300000001</v>
      </c>
    </row>
    <row r="1113" spans="1:15" s="47" customFormat="1" ht="13">
      <c r="A1113" s="127">
        <v>38777</v>
      </c>
      <c r="B1113" s="50">
        <v>35000</v>
      </c>
      <c r="C1113" s="50">
        <f t="shared" si="80"/>
        <v>35287.67123287671</v>
      </c>
      <c r="D1113" s="51">
        <v>60</v>
      </c>
      <c r="E1113" s="49">
        <f t="shared" si="81"/>
        <v>38837</v>
      </c>
      <c r="F1113" s="52">
        <v>0.05</v>
      </c>
      <c r="G1113" s="53" t="s">
        <v>496</v>
      </c>
      <c r="H1113" s="21"/>
      <c r="I1113"/>
      <c r="J1113" s="166">
        <v>416.80560186728911</v>
      </c>
      <c r="K1113"/>
      <c r="L1113"/>
      <c r="M1113"/>
      <c r="N1113" s="166"/>
      <c r="O1113" s="923">
        <f t="shared" ref="O1113:O1119" si="82">+N1113/M1120</f>
        <v>0</v>
      </c>
    </row>
    <row r="1114" spans="1:15" s="47" customFormat="1" ht="13">
      <c r="A1114" s="127"/>
      <c r="B1114" s="50"/>
      <c r="C1114" s="50"/>
      <c r="D1114" s="51"/>
      <c r="E1114" s="49"/>
      <c r="F1114" s="52"/>
      <c r="G1114" s="53"/>
      <c r="H1114" s="21"/>
      <c r="I1114" s="21"/>
      <c r="J1114"/>
      <c r="K1114" s="163">
        <v>71.715999999999994</v>
      </c>
      <c r="L1114" s="163"/>
      <c r="M1114" s="166">
        <f>+B1093</f>
        <v>30000</v>
      </c>
      <c r="N1114" s="166"/>
      <c r="O1114" s="923">
        <f t="shared" si="82"/>
        <v>0</v>
      </c>
    </row>
    <row r="1115" spans="1:15" s="47" customFormat="1" ht="13">
      <c r="A1115" s="127"/>
      <c r="B1115" s="50"/>
      <c r="C1115" s="50"/>
      <c r="D1115" s="51"/>
      <c r="E1115" s="49"/>
      <c r="F1115" s="52"/>
      <c r="G1115" s="128"/>
      <c r="H1115" s="21"/>
      <c r="I1115" s="21"/>
      <c r="J1115"/>
      <c r="K1115"/>
      <c r="L1115"/>
      <c r="M1115"/>
      <c r="N1115" s="166"/>
      <c r="O1115" s="923">
        <f t="shared" si="82"/>
        <v>0</v>
      </c>
    </row>
    <row r="1116" spans="1:15" s="47" customFormat="1">
      <c r="A1116" s="21"/>
      <c r="B1116" s="21"/>
      <c r="C1116" s="21"/>
      <c r="D1116" s="21"/>
      <c r="E1116" s="21"/>
      <c r="F1116" s="21"/>
      <c r="G1116" s="21"/>
      <c r="H1116" s="924" t="s">
        <v>501</v>
      </c>
      <c r="I1116" s="21"/>
      <c r="J1116" s="166">
        <v>29552.156299999999</v>
      </c>
      <c r="K1116"/>
      <c r="L1116"/>
      <c r="M1116"/>
      <c r="N1116" s="166"/>
      <c r="O1116" s="923">
        <f t="shared" si="82"/>
        <v>0</v>
      </c>
    </row>
    <row r="1117" spans="1:15" s="47" customFormat="1">
      <c r="A1117" s="21"/>
      <c r="B1117" s="21"/>
      <c r="C1117" s="21"/>
      <c r="D1117" s="21"/>
      <c r="E1117" s="21"/>
      <c r="F1117" s="21"/>
      <c r="G1117" s="21"/>
      <c r="H1117" s="924" t="s">
        <v>501</v>
      </c>
      <c r="I1117" s="21"/>
      <c r="J1117"/>
      <c r="K1117" s="163">
        <v>1.0814758605352344</v>
      </c>
      <c r="L1117" s="163"/>
      <c r="M1117" s="166">
        <v>30422.29</v>
      </c>
      <c r="N1117" s="166"/>
      <c r="O1117" s="923">
        <f t="shared" si="82"/>
        <v>0</v>
      </c>
    </row>
    <row r="1118" spans="1:15" s="47" customFormat="1">
      <c r="A1118" s="21"/>
      <c r="B1118" s="21"/>
      <c r="C1118" s="21"/>
      <c r="D1118" s="21"/>
      <c r="E1118" s="21"/>
      <c r="F1118" s="21"/>
      <c r="G1118" s="21"/>
      <c r="H1118" s="924" t="s">
        <v>501</v>
      </c>
      <c r="I1118" s="21"/>
      <c r="J1118"/>
      <c r="K1118"/>
      <c r="L1118"/>
      <c r="M1118"/>
      <c r="N1118" s="166"/>
      <c r="O1118" s="923">
        <f t="shared" si="82"/>
        <v>0</v>
      </c>
    </row>
    <row r="1119" spans="1:15" s="47" customFormat="1">
      <c r="A1119" s="21"/>
      <c r="B1119" s="21"/>
      <c r="C1119" s="21"/>
      <c r="D1119" s="21"/>
      <c r="E1119" s="21"/>
      <c r="F1119" s="21"/>
      <c r="G1119" s="21"/>
      <c r="H1119" s="924" t="s">
        <v>501</v>
      </c>
      <c r="I1119" s="21"/>
      <c r="J1119" s="166">
        <v>1939.0103999999999</v>
      </c>
      <c r="K1119"/>
      <c r="L1119"/>
      <c r="M1119"/>
      <c r="N1119" s="166"/>
      <c r="O1119" s="923">
        <f t="shared" si="82"/>
        <v>0</v>
      </c>
    </row>
    <row r="1120" spans="1:15" s="47" customFormat="1">
      <c r="A1120" s="924" t="s">
        <v>502</v>
      </c>
      <c r="B1120" s="924" t="s">
        <v>503</v>
      </c>
      <c r="C1120" s="924">
        <v>11</v>
      </c>
      <c r="D1120" s="925">
        <v>39503</v>
      </c>
      <c r="E1120" s="926">
        <v>55673.46</v>
      </c>
      <c r="F1120" s="927">
        <v>520.13</v>
      </c>
      <c r="G1120" s="926">
        <v>56193.59</v>
      </c>
      <c r="H1120" s="924" t="s">
        <v>501</v>
      </c>
      <c r="I1120" s="21"/>
      <c r="J1120" s="166">
        <f>1500/1.039872</f>
        <v>1442.4852289512557</v>
      </c>
      <c r="K1120" s="163">
        <f>+K1117</f>
        <v>1.0814758605352344</v>
      </c>
      <c r="L1120" s="163"/>
      <c r="M1120" s="166">
        <f>+B1097</f>
        <v>2000</v>
      </c>
      <c r="N1120" s="32"/>
      <c r="O1120"/>
    </row>
    <row r="1121" spans="1:15">
      <c r="A1121" s="924" t="s">
        <v>504</v>
      </c>
      <c r="B1121" s="924" t="s">
        <v>503</v>
      </c>
      <c r="C1121" s="924">
        <v>11</v>
      </c>
      <c r="D1121" s="925">
        <v>39503</v>
      </c>
      <c r="E1121" s="926">
        <v>66093.240000000005</v>
      </c>
      <c r="F1121" s="927">
        <v>617.47</v>
      </c>
      <c r="G1121" s="926">
        <v>66710.710000000006</v>
      </c>
      <c r="J1121" s="166">
        <v>1432.9508000000001</v>
      </c>
      <c r="K1121" s="163">
        <f>+K1117</f>
        <v>1.0814758605352344</v>
      </c>
      <c r="L1121" s="163"/>
      <c r="M1121" s="166">
        <f>+B1098</f>
        <v>1500</v>
      </c>
    </row>
    <row r="1122" spans="1:15">
      <c r="A1122" s="924" t="s">
        <v>505</v>
      </c>
      <c r="B1122" s="924" t="s">
        <v>503</v>
      </c>
      <c r="C1122" s="924">
        <v>11</v>
      </c>
      <c r="D1122" s="925">
        <v>39503</v>
      </c>
      <c r="E1122" s="926">
        <v>66093.240000000005</v>
      </c>
      <c r="F1122" s="927">
        <v>617.47</v>
      </c>
      <c r="G1122" s="926">
        <v>66710.710000000006</v>
      </c>
      <c r="J1122" s="166">
        <f>1300/H1095</f>
        <v>1231.9484022103049</v>
      </c>
      <c r="K1122" s="163">
        <f>+K1117</f>
        <v>1.0814758605352344</v>
      </c>
      <c r="L1122" s="163"/>
      <c r="M1122" s="166">
        <f>+B1099</f>
        <v>1500</v>
      </c>
    </row>
    <row r="1123" spans="1:15" s="47" customFormat="1" ht="27.75" customHeight="1">
      <c r="A1123" s="924" t="s">
        <v>506</v>
      </c>
      <c r="B1123" s="924" t="s">
        <v>503</v>
      </c>
      <c r="C1123" s="924">
        <v>11</v>
      </c>
      <c r="D1123" s="925">
        <v>39503</v>
      </c>
      <c r="E1123" s="926">
        <v>47872.89</v>
      </c>
      <c r="F1123" s="927">
        <v>447.25</v>
      </c>
      <c r="G1123" s="926">
        <v>48320.14</v>
      </c>
      <c r="H1123" s="21"/>
      <c r="I1123" s="21"/>
      <c r="J1123" s="166">
        <v>1319.3520000000001</v>
      </c>
      <c r="K1123" s="163">
        <f>+K1117</f>
        <v>1.0814758605352344</v>
      </c>
      <c r="L1123" s="163"/>
      <c r="M1123" s="166">
        <f>+B1100</f>
        <v>1300</v>
      </c>
      <c r="N1123" s="152" t="s">
        <v>362</v>
      </c>
      <c r="O1123"/>
    </row>
    <row r="1124" spans="1:15" s="47" customFormat="1">
      <c r="A1124" s="924" t="s">
        <v>507</v>
      </c>
      <c r="B1124" s="924" t="s">
        <v>503</v>
      </c>
      <c r="C1124" s="924">
        <v>11</v>
      </c>
      <c r="D1124" s="925">
        <v>39503</v>
      </c>
      <c r="E1124" s="926">
        <v>47872.89</v>
      </c>
      <c r="F1124" s="927">
        <v>447.25</v>
      </c>
      <c r="G1124" s="926">
        <v>48320.14</v>
      </c>
      <c r="H1124" s="21"/>
      <c r="I1124" s="21"/>
      <c r="J1124" s="166">
        <v>18818.30456485023</v>
      </c>
      <c r="K1124" s="163">
        <f>+K1117</f>
        <v>1.0814758605352344</v>
      </c>
      <c r="L1124" s="163"/>
      <c r="M1124" s="166">
        <v>1400</v>
      </c>
      <c r="N1124" s="898"/>
      <c r="O1124" s="923">
        <f t="shared" ref="O1124:O1131" si="83">+N1124/M1131</f>
        <v>0</v>
      </c>
    </row>
    <row r="1125" spans="1:15" s="47" customFormat="1">
      <c r="A1125" s="21"/>
      <c r="B1125" s="21"/>
      <c r="C1125" s="21"/>
      <c r="D1125" s="21"/>
      <c r="E1125" s="21"/>
      <c r="F1125" s="21"/>
      <c r="G1125" s="21"/>
      <c r="H1125" s="21"/>
      <c r="I1125" s="21" t="s">
        <v>508</v>
      </c>
      <c r="J1125" s="166">
        <v>9356.3223999999991</v>
      </c>
      <c r="K1125" s="163">
        <f>+K1117</f>
        <v>1.0814758605352344</v>
      </c>
      <c r="L1125" s="163"/>
      <c r="M1125" s="166">
        <f>+B1102</f>
        <v>20000</v>
      </c>
      <c r="N1125" s="898"/>
      <c r="O1125" s="923">
        <f t="shared" si="83"/>
        <v>0</v>
      </c>
    </row>
    <row r="1126" spans="1:15" s="47" customFormat="1">
      <c r="A1126" s="21"/>
      <c r="B1126" s="21"/>
      <c r="C1126" s="21"/>
      <c r="D1126" s="21"/>
      <c r="E1126" s="21"/>
      <c r="F1126" s="21"/>
      <c r="G1126" s="21"/>
      <c r="H1126" s="21"/>
      <c r="I1126" s="21">
        <v>91</v>
      </c>
      <c r="J1126"/>
      <c r="K1126" s="163">
        <f>+K1120</f>
        <v>1.0814758605352344</v>
      </c>
      <c r="L1126" s="163"/>
      <c r="M1126" s="166">
        <f>+B1103</f>
        <v>10000</v>
      </c>
      <c r="N1126" s="898"/>
      <c r="O1126" s="923">
        <f t="shared" si="83"/>
        <v>0</v>
      </c>
    </row>
    <row r="1127" spans="1:15" s="47" customFormat="1">
      <c r="A1127" s="21"/>
      <c r="B1127" s="21"/>
      <c r="C1127" s="21"/>
      <c r="D1127" s="21"/>
      <c r="E1127" s="21"/>
      <c r="F1127" s="21"/>
      <c r="G1127" s="21"/>
      <c r="H1127" s="21"/>
      <c r="I1127" s="21"/>
      <c r="J1127"/>
      <c r="K1127"/>
      <c r="L1127"/>
      <c r="M1127" s="32">
        <f>SUM(M1117:M1126)</f>
        <v>68122.290000000008</v>
      </c>
      <c r="N1127" s="898"/>
      <c r="O1127" s="923">
        <f t="shared" si="83"/>
        <v>0</v>
      </c>
    </row>
    <row r="1128" spans="1:15" s="47" customFormat="1">
      <c r="A1128" s="21"/>
      <c r="B1128" s="21"/>
      <c r="C1128" s="21"/>
      <c r="D1128" s="21"/>
      <c r="E1128" s="21"/>
      <c r="F1128" s="21"/>
      <c r="G1128" s="21"/>
      <c r="H1128" s="21" t="s">
        <v>508</v>
      </c>
      <c r="I1128" s="21"/>
      <c r="J1128"/>
      <c r="K1128"/>
      <c r="L1128"/>
      <c r="M1128"/>
      <c r="N1128" s="898"/>
      <c r="O1128" s="923">
        <f t="shared" si="83"/>
        <v>0</v>
      </c>
    </row>
    <row r="1129" spans="1:15" s="47" customFormat="1" ht="13">
      <c r="A1129" s="21"/>
      <c r="B1129" s="21"/>
      <c r="C1129" s="21"/>
      <c r="D1129" s="21"/>
      <c r="E1129" s="21"/>
      <c r="F1129" s="21"/>
      <c r="G1129" s="21"/>
      <c r="H1129" s="21"/>
      <c r="I1129" s="21">
        <v>34</v>
      </c>
      <c r="J1129" s="152" t="s">
        <v>433</v>
      </c>
      <c r="K1129"/>
      <c r="L1129"/>
      <c r="M1129"/>
      <c r="N1129" s="898"/>
      <c r="O1129" s="923">
        <f t="shared" si="83"/>
        <v>0</v>
      </c>
    </row>
    <row r="1130" spans="1:15" s="47" customFormat="1" ht="13">
      <c r="A1130" s="21"/>
      <c r="B1130" s="21"/>
      <c r="C1130" s="21"/>
      <c r="D1130" s="21"/>
      <c r="E1130" s="21"/>
      <c r="F1130" s="21"/>
      <c r="G1130" s="21"/>
      <c r="H1130" s="21"/>
      <c r="I1130" s="21">
        <v>35</v>
      </c>
      <c r="J1130" s="928">
        <v>114812.3078</v>
      </c>
      <c r="K1130" s="152"/>
      <c r="L1130" s="152"/>
      <c r="M1130" s="152" t="s">
        <v>435</v>
      </c>
      <c r="N1130" s="898"/>
      <c r="O1130" s="923">
        <f t="shared" si="83"/>
        <v>0</v>
      </c>
    </row>
    <row r="1131" spans="1:15" s="47" customFormat="1" ht="15.5">
      <c r="A1131" s="21"/>
      <c r="B1131" s="21"/>
      <c r="C1131" s="21"/>
      <c r="D1131" s="21"/>
      <c r="E1131" s="21"/>
      <c r="F1131" s="21"/>
      <c r="G1131" s="21"/>
      <c r="H1131" s="21"/>
      <c r="I1131" s="21">
        <v>35</v>
      </c>
      <c r="J1131" s="928">
        <v>108183.42</v>
      </c>
      <c r="K1131" s="920">
        <v>0.23972194681659723</v>
      </c>
      <c r="L1131" s="920"/>
      <c r="M1131" s="898">
        <f>+B1107</f>
        <v>25000</v>
      </c>
      <c r="N1131" s="929"/>
      <c r="O1131" s="160">
        <f t="shared" si="83"/>
        <v>0</v>
      </c>
    </row>
    <row r="1132" spans="1:15">
      <c r="J1132" s="928">
        <v>223278</v>
      </c>
      <c r="K1132" s="920">
        <f>+K1131</f>
        <v>0.23972194681659723</v>
      </c>
      <c r="L1132" s="920"/>
      <c r="M1132" s="898">
        <v>25000</v>
      </c>
    </row>
    <row r="1133" spans="1:15">
      <c r="A1133" s="411">
        <v>40911</v>
      </c>
      <c r="B1133" s="21" t="s">
        <v>509</v>
      </c>
      <c r="C1133" s="410">
        <v>566247.09</v>
      </c>
      <c r="D1133" s="412"/>
      <c r="E1133" s="411"/>
      <c r="F1133" s="21" t="s">
        <v>510</v>
      </c>
      <c r="G1133" s="21">
        <f>+G1132+C1133</f>
        <v>566247.09</v>
      </c>
      <c r="J1133" s="928">
        <v>26012</v>
      </c>
      <c r="K1133" s="920">
        <v>0.25725396142924961</v>
      </c>
      <c r="L1133" s="920"/>
      <c r="M1133" s="898">
        <f>+B1109</f>
        <v>51862.06</v>
      </c>
    </row>
    <row r="1134" spans="1:15">
      <c r="A1134" s="411">
        <v>40912</v>
      </c>
      <c r="B1134" s="21" t="s">
        <v>511</v>
      </c>
      <c r="C1134" s="410">
        <v>566247.09</v>
      </c>
      <c r="D1134" s="412">
        <f>C1134+(C1134*F1134/365*I1126)*1</f>
        <v>591305.46293486294</v>
      </c>
      <c r="E1134" s="411">
        <f>A1134+I1126</f>
        <v>41003</v>
      </c>
      <c r="F1134" s="21">
        <v>0.17749999999999999</v>
      </c>
      <c r="G1134" s="21" t="s">
        <v>120</v>
      </c>
      <c r="J1134" s="930">
        <v>4555</v>
      </c>
      <c r="K1134" s="920">
        <v>1.84915004489718</v>
      </c>
      <c r="L1134" s="920"/>
      <c r="M1134" s="898">
        <f>+B1110</f>
        <v>48000</v>
      </c>
    </row>
    <row r="1135" spans="1:15">
      <c r="A1135" s="411"/>
      <c r="C1135" s="410"/>
      <c r="D1135" s="410"/>
      <c r="E1135" s="411"/>
      <c r="J1135" s="930">
        <v>18763</v>
      </c>
      <c r="K1135" s="920">
        <f>+K1134</f>
        <v>1.84915004489718</v>
      </c>
      <c r="L1135" s="920"/>
      <c r="M1135" s="898">
        <f>+B1111</f>
        <v>8500</v>
      </c>
    </row>
    <row r="1136" spans="1:15">
      <c r="A1136" s="411">
        <v>40905</v>
      </c>
      <c r="B1136" s="410" t="s">
        <v>509</v>
      </c>
      <c r="C1136" s="410"/>
      <c r="F1136" s="411" t="s">
        <v>512</v>
      </c>
      <c r="I1136" s="21" t="s">
        <v>429</v>
      </c>
      <c r="J1136" s="930">
        <v>18603</v>
      </c>
      <c r="K1136" s="920">
        <f>+K1135</f>
        <v>1.84915004489718</v>
      </c>
      <c r="L1136" s="920"/>
      <c r="M1136" s="898">
        <f>+B1112</f>
        <v>35000</v>
      </c>
    </row>
    <row r="1137" spans="1:13">
      <c r="A1137" s="411">
        <v>40906</v>
      </c>
      <c r="B1137" s="21" t="s">
        <v>513</v>
      </c>
      <c r="C1137" s="410">
        <v>217570</v>
      </c>
      <c r="D1137" s="410">
        <f>C1137+(C1137*F1137/365*I1129)*1</f>
        <v>221218.02301369864</v>
      </c>
      <c r="E1137" s="411">
        <f>A1137+I1129</f>
        <v>40940</v>
      </c>
      <c r="F1137" s="21">
        <v>0.18</v>
      </c>
      <c r="G1137" s="21" t="s">
        <v>120</v>
      </c>
      <c r="J1137" s="922"/>
      <c r="K1137" s="920">
        <f>+K1136</f>
        <v>1.84915004489718</v>
      </c>
      <c r="L1137" s="920"/>
      <c r="M1137" s="898">
        <f>+B1113</f>
        <v>35000</v>
      </c>
    </row>
    <row r="1138" spans="1:13">
      <c r="A1138" s="411">
        <v>40940</v>
      </c>
      <c r="C1138" s="410">
        <v>221218.02</v>
      </c>
      <c r="D1138" s="410">
        <f>C1138+(C1138*F1138/365*I1130)*1</f>
        <v>224219.61518917806</v>
      </c>
      <c r="E1138" s="411">
        <f>A1138+I1130</f>
        <v>40975</v>
      </c>
      <c r="F1138" s="21">
        <v>0.14149999999999999</v>
      </c>
      <c r="G1138" s="21" t="s">
        <v>120</v>
      </c>
      <c r="J1138" s="931"/>
      <c r="K1138" s="920"/>
      <c r="L1138" s="920"/>
      <c r="M1138" s="898">
        <f>SUM(M1131:M1137)</f>
        <v>228362.06</v>
      </c>
    </row>
    <row r="1139" spans="1:13">
      <c r="A1139" s="411">
        <v>40975</v>
      </c>
      <c r="C1139" s="410">
        <v>224219.62</v>
      </c>
      <c r="D1139" s="412">
        <f>C1139+(C1139*F1139/365*I1131)*1</f>
        <v>227014.6864958904</v>
      </c>
      <c r="E1139" s="411">
        <f>A1139+I1131</f>
        <v>41010</v>
      </c>
      <c r="F1139" s="21">
        <v>0.13</v>
      </c>
      <c r="G1139" s="21" t="s">
        <v>120</v>
      </c>
      <c r="H1139" s="21" t="s">
        <v>514</v>
      </c>
      <c r="K1139" s="921"/>
      <c r="L1139" s="921"/>
      <c r="M1139" s="921"/>
    </row>
    <row r="1140" spans="1:13">
      <c r="H1140" s="21" t="s">
        <v>120</v>
      </c>
    </row>
    <row r="1141" spans="1:13">
      <c r="D1141" s="412">
        <f>+D1134+D1139</f>
        <v>818320.14943075331</v>
      </c>
      <c r="H1141" s="21" t="s">
        <v>120</v>
      </c>
    </row>
    <row r="1142" spans="1:13">
      <c r="H1142" s="21" t="s">
        <v>120</v>
      </c>
    </row>
    <row r="1144" spans="1:13">
      <c r="A1144" s="411">
        <v>40892</v>
      </c>
      <c r="B1144" s="21" t="s">
        <v>515</v>
      </c>
      <c r="C1144" s="410">
        <v>149814.39000000001</v>
      </c>
      <c r="D1144" s="410"/>
      <c r="E1144" s="411"/>
      <c r="F1144" s="21" t="s">
        <v>516</v>
      </c>
      <c r="G1144" s="21">
        <f>+G1143+C1144</f>
        <v>149814.39000000001</v>
      </c>
    </row>
    <row r="1145" spans="1:13">
      <c r="A1145" s="411">
        <v>40893</v>
      </c>
      <c r="B1145" s="21" t="s">
        <v>517</v>
      </c>
      <c r="C1145" s="410">
        <v>192000</v>
      </c>
      <c r="D1145" s="410">
        <f>C1145+(C1145*G1145/365*F1145)*1</f>
        <v>195298.19178082192</v>
      </c>
      <c r="E1145" s="411">
        <f>A1145+F1145</f>
        <v>40926</v>
      </c>
      <c r="F1145" s="21">
        <v>33</v>
      </c>
      <c r="G1145" s="21">
        <v>0.19</v>
      </c>
    </row>
    <row r="1146" spans="1:13">
      <c r="A1146" s="411">
        <v>40926</v>
      </c>
      <c r="C1146" s="410">
        <v>195298.19</v>
      </c>
      <c r="D1146" s="410">
        <f>C1146+(C1146*G1146/365*F1146)*1</f>
        <v>200523.0854119178</v>
      </c>
      <c r="E1146" s="411">
        <f>A1146+F1146</f>
        <v>40989</v>
      </c>
      <c r="F1146" s="21">
        <v>63</v>
      </c>
      <c r="G1146" s="21">
        <v>0.155</v>
      </c>
    </row>
    <row r="1147" spans="1:13">
      <c r="A1147" s="411">
        <v>40989</v>
      </c>
      <c r="B1147" s="21" t="s">
        <v>518</v>
      </c>
      <c r="C1147" s="410">
        <v>195298.19</v>
      </c>
      <c r="D1147" s="412">
        <f>C1147+(C1147*G1147/365*F1147)*1</f>
        <v>200523.0854119178</v>
      </c>
      <c r="E1147" s="411">
        <f>A1147+F1147</f>
        <v>41052</v>
      </c>
      <c r="F1147" s="21">
        <v>63</v>
      </c>
      <c r="G1147" s="21">
        <v>0.155</v>
      </c>
    </row>
    <row r="1149" spans="1:13">
      <c r="C1149" s="21" t="s">
        <v>22</v>
      </c>
      <c r="D1149" s="412">
        <f>+D1141+D1147</f>
        <v>1018843.2348426711</v>
      </c>
    </row>
    <row r="1152" spans="1:13">
      <c r="B1152" s="21" t="s">
        <v>406</v>
      </c>
      <c r="D1152" s="410">
        <v>920000</v>
      </c>
    </row>
    <row r="1153" spans="2:4">
      <c r="B1153" s="21" t="s">
        <v>388</v>
      </c>
      <c r="D1153" s="410">
        <v>100000</v>
      </c>
    </row>
    <row r="1154" spans="2:4">
      <c r="D1154" s="412">
        <f>+D1152+D1153</f>
        <v>1020000</v>
      </c>
    </row>
    <row r="1170" spans="1:7">
      <c r="C1170" s="508">
        <f>+C1171/C1173</f>
        <v>-1.3206091370558457E-2</v>
      </c>
    </row>
    <row r="1171" spans="1:7">
      <c r="C1171" s="21">
        <f>+C1173-C1172</f>
        <v>-9040.5600000000559</v>
      </c>
    </row>
    <row r="1172" spans="1:7" ht="13">
      <c r="A1172" s="422">
        <v>42732</v>
      </c>
      <c r="B1172" s="430">
        <v>556000</v>
      </c>
      <c r="C1172" s="430">
        <f>B1172+(B1172*F1172/365*D1172)*1</f>
        <v>693615.56</v>
      </c>
      <c r="D1172" s="421">
        <v>365</v>
      </c>
      <c r="E1172" s="422">
        <f>A1172+D1172</f>
        <v>43097</v>
      </c>
      <c r="F1172" s="423">
        <v>0.24751000000000001</v>
      </c>
      <c r="G1172" s="469" t="s">
        <v>519</v>
      </c>
    </row>
    <row r="1173" spans="1:7" ht="13">
      <c r="A1173" s="422">
        <v>42732</v>
      </c>
      <c r="B1173" s="430">
        <f>+B1172</f>
        <v>556000</v>
      </c>
      <c r="C1173" s="430">
        <f>B1173+(B1173*F1173/365*D1173)*1</f>
        <v>684575</v>
      </c>
      <c r="D1173" s="421">
        <v>365</v>
      </c>
      <c r="E1173" s="422">
        <f>A1173+D1173</f>
        <v>43097</v>
      </c>
      <c r="F1173" s="423">
        <v>0.23125000000000001</v>
      </c>
      <c r="G1173" s="469" t="s">
        <v>519</v>
      </c>
    </row>
    <row r="1174" spans="1:7" ht="13">
      <c r="A1174" s="422">
        <v>42739</v>
      </c>
      <c r="B1174" s="430">
        <v>29222.94</v>
      </c>
      <c r="C1174" s="430">
        <f>B1174+(B1174*F1174/365*D1174)*1</f>
        <v>30000.5504239726</v>
      </c>
      <c r="D1174" s="421">
        <v>42</v>
      </c>
      <c r="E1174" s="422">
        <f>A1174+D1174</f>
        <v>42781</v>
      </c>
      <c r="F1174" s="423">
        <v>0.23125000000000001</v>
      </c>
      <c r="G1174" s="469" t="s">
        <v>520</v>
      </c>
    </row>
    <row r="1175" spans="1:7" ht="13">
      <c r="A1175" s="422">
        <v>42739</v>
      </c>
      <c r="B1175" s="430">
        <v>29222.94</v>
      </c>
      <c r="C1175" s="430">
        <f>B1175+(B1175*F1175/365*D1175)*1</f>
        <v>30055.226945026847</v>
      </c>
      <c r="D1175" s="421">
        <v>42</v>
      </c>
      <c r="E1175" s="422">
        <f>A1175+D1175</f>
        <v>42781</v>
      </c>
      <c r="F1175" s="423">
        <v>0.24751000000000001</v>
      </c>
      <c r="G1175" s="469" t="s">
        <v>520</v>
      </c>
    </row>
    <row r="1176" spans="1:7">
      <c r="C1176" s="21">
        <f>+C1172+B1172</f>
        <v>1249615.56</v>
      </c>
    </row>
    <row r="1177" spans="1:7">
      <c r="C1177" s="21">
        <f>+C1176/2</f>
        <v>624807.78</v>
      </c>
    </row>
    <row r="1178" spans="1:7">
      <c r="C1178" s="21">
        <f>+C1177*0.3%</f>
        <v>1874.4233400000001</v>
      </c>
    </row>
  </sheetData>
  <autoFilter ref="A22:H40" xr:uid="{00000000-0001-0000-0300-000000000000}">
    <sortState xmlns:xlrd2="http://schemas.microsoft.com/office/spreadsheetml/2017/richdata2" ref="A23:H40">
      <sortCondition ref="D23:D40"/>
    </sortState>
  </autoFilter>
  <sortState xmlns:xlrd2="http://schemas.microsoft.com/office/spreadsheetml/2017/richdata2" ref="A23:H40">
    <sortCondition ref="D23:D40"/>
  </sortState>
  <dataConsolidate/>
  <mergeCells count="10">
    <mergeCell ref="A974:A975"/>
    <mergeCell ref="A976:A977"/>
    <mergeCell ref="A978:A979"/>
    <mergeCell ref="A980:A981"/>
    <mergeCell ref="A992:A993"/>
    <mergeCell ref="A982:A983"/>
    <mergeCell ref="A984:A985"/>
    <mergeCell ref="A986:A987"/>
    <mergeCell ref="A988:A989"/>
    <mergeCell ref="A990:A991"/>
  </mergeCells>
  <phoneticPr fontId="0" type="noConversion"/>
  <conditionalFormatting sqref="A63:A68 A116:M122">
    <cfRule type="expression" dxfId="882" priority="10237">
      <formula>#REF!="BBVA BANCO BARBARA"</formula>
    </cfRule>
  </conditionalFormatting>
  <conditionalFormatting sqref="A66:A67">
    <cfRule type="expression" dxfId="881" priority="9">
      <formula>$G9="BBVA BANCO BARBARA"</formula>
    </cfRule>
    <cfRule type="expression" dxfId="880" priority="10">
      <formula>$G7="BBVA BANCO BARBARA"</formula>
    </cfRule>
  </conditionalFormatting>
  <conditionalFormatting sqref="A66:A68">
    <cfRule type="expression" dxfId="879" priority="65763">
      <formula>$G5="BBVA BANCO BARBARA"</formula>
    </cfRule>
    <cfRule type="expression" dxfId="878" priority="65764">
      <formula>$G11="BBVA BANCO BARBARA"</formula>
    </cfRule>
    <cfRule type="expression" dxfId="877" priority="65765">
      <formula>$G6="BBVA BANCO BARBARA"</formula>
    </cfRule>
    <cfRule type="expression" dxfId="876" priority="65766">
      <formula>$G9="BBVA BANCO BARBARA"</formula>
    </cfRule>
    <cfRule type="expression" dxfId="875" priority="65767">
      <formula>$G8="BBVA BANCO BARBARA"</formula>
    </cfRule>
    <cfRule type="expression" dxfId="874" priority="65768">
      <formula>$G7="BBVA BANCO BARBARA"</formula>
    </cfRule>
    <cfRule type="expression" dxfId="873" priority="65769">
      <formula>$G10="BBVA BANCO BARBARA"</formula>
    </cfRule>
    <cfRule type="expression" dxfId="872" priority="65770">
      <formula>$G12="BBVA BANCO BARBARA"</formula>
    </cfRule>
    <cfRule type="expression" dxfId="871" priority="65771">
      <formula>$G66="CIUDAD BANCO"</formula>
    </cfRule>
    <cfRule type="expression" dxfId="870" priority="65772">
      <formula>$G66="ITAU BANCO"</formula>
    </cfRule>
    <cfRule type="expression" dxfId="869" priority="65773">
      <formula>$G66="HSBC BANCO"</formula>
    </cfRule>
    <cfRule type="expression" dxfId="868" priority="65774">
      <formula>$G66="BBVA BANCO"</formula>
    </cfRule>
    <cfRule type="expression" dxfId="867" priority="65775">
      <formula>$G66="HSBC BANCO"</formula>
    </cfRule>
    <cfRule type="expression" dxfId="866" priority="65776">
      <formula>#REF!="BBVA BANCO RAMONA"</formula>
    </cfRule>
    <cfRule type="expression" dxfId="865" priority="65777">
      <formula>#REF!="BBVA BANCO BARBARA"</formula>
    </cfRule>
    <cfRule type="expression" dxfId="864" priority="65778">
      <formula>#REF!="BBVA BANCO RAMONA"</formula>
    </cfRule>
  </conditionalFormatting>
  <conditionalFormatting sqref="A68">
    <cfRule type="expression" dxfId="863" priority="65967">
      <formula>$G11="BBVA BANCO BARBARA"</formula>
    </cfRule>
    <cfRule type="expression" dxfId="862" priority="65968">
      <formula>$G10="BBVA BANCO BARBARA"</formula>
    </cfRule>
    <cfRule type="expression" dxfId="861" priority="65969">
      <formula>$G13="BBVA BANCO BARBARA"</formula>
    </cfRule>
    <cfRule type="expression" dxfId="860" priority="65970">
      <formula>$G8="BBVA BANCO BARBARA"</formula>
    </cfRule>
    <cfRule type="expression" dxfId="859" priority="65971">
      <formula>$G12="BBVA BANCO BARBARA"</formula>
    </cfRule>
    <cfRule type="expression" dxfId="858" priority="65972">
      <formula>$G14="BBVA BANCO BARBARA"</formula>
    </cfRule>
    <cfRule type="expression" dxfId="857" priority="65973">
      <formula>$G15="BBVA BANCO BARBARA"</formula>
    </cfRule>
    <cfRule type="expression" dxfId="856" priority="65974">
      <formula>$G68="CIUDAD BANCO"</formula>
    </cfRule>
    <cfRule type="expression" dxfId="855" priority="65975">
      <formula>$G68="ITAU BANCO"</formula>
    </cfRule>
    <cfRule type="expression" dxfId="854" priority="65976">
      <formula>$G68="HSBC BANCO"</formula>
    </cfRule>
    <cfRule type="expression" dxfId="853" priority="65977">
      <formula>$G68="BBVA BANCO"</formula>
    </cfRule>
    <cfRule type="expression" dxfId="852" priority="65978">
      <formula>$G68="HSBC BANCO"</formula>
    </cfRule>
    <cfRule type="expression" dxfId="851" priority="65979">
      <formula>#REF!="BBVA BANCO RAMONA"</formula>
    </cfRule>
    <cfRule type="expression" dxfId="850" priority="65980">
      <formula>#REF!="BBVA BANCO BARBARA"</formula>
    </cfRule>
    <cfRule type="expression" dxfId="849" priority="65981">
      <formula>#REF!="BBVA BANCO RAMONA"</formula>
    </cfRule>
    <cfRule type="expression" dxfId="848" priority="65982">
      <formula>$G1048565="BBVA BANCO BARBARA"</formula>
    </cfRule>
    <cfRule type="expression" dxfId="847" priority="65983">
      <formula>$G1048563="BBVA BANCO BARBARA"</formula>
    </cfRule>
    <cfRule type="expression" dxfId="846" priority="65984">
      <formula>$G1048557="BBVA BANCO BARBARA"</formula>
    </cfRule>
    <cfRule type="expression" dxfId="845" priority="65985">
      <formula>$G1048558="BBVA BANCO BARBARA"</formula>
    </cfRule>
    <cfRule type="expression" dxfId="844" priority="65986">
      <formula>$G1048564="BBVA BANCO BARBARA"</formula>
    </cfRule>
    <cfRule type="expression" dxfId="843" priority="65987">
      <formula>$G68="CIUDAD BANCO"</formula>
    </cfRule>
    <cfRule type="expression" dxfId="842" priority="65988">
      <formula>$G68="ITAU BANCO"</formula>
    </cfRule>
    <cfRule type="expression" dxfId="841" priority="65989">
      <formula>$G68="HSBC BANCO"</formula>
    </cfRule>
    <cfRule type="expression" dxfId="840" priority="65990">
      <formula>$G68="BBVA BANCO"</formula>
    </cfRule>
    <cfRule type="expression" dxfId="839" priority="65991">
      <formula>$G68="HSBC BANCO"</formula>
    </cfRule>
    <cfRule type="expression" dxfId="838" priority="65992">
      <formula>#REF!="BBVA BANCO RAMONA"</formula>
    </cfRule>
    <cfRule type="expression" dxfId="837" priority="65993">
      <formula>#REF!="BBVA BANCO BARBARA"</formula>
    </cfRule>
    <cfRule type="expression" dxfId="836" priority="65994">
      <formula>#REF!="BBVA BANCO RAMONA"</formula>
    </cfRule>
    <cfRule type="expression" dxfId="835" priority="65995">
      <formula>$G8="BBVA BANCO BARBARA"</formula>
    </cfRule>
    <cfRule type="expression" dxfId="834" priority="65996">
      <formula>$G14="BBVA BANCO BARBARA"</formula>
    </cfRule>
    <cfRule type="expression" dxfId="833" priority="65997">
      <formula>$G9="BBVA BANCO BARBARA"</formula>
    </cfRule>
    <cfRule type="expression" dxfId="832" priority="65998">
      <formula>$G12="BBVA BANCO BARBARA"</formula>
    </cfRule>
    <cfRule type="expression" dxfId="831" priority="65999">
      <formula>$G11="BBVA BANCO BARBARA"</formula>
    </cfRule>
    <cfRule type="expression" dxfId="830" priority="66000">
      <formula>$G10="BBVA BANCO BARBARA"</formula>
    </cfRule>
    <cfRule type="expression" dxfId="829" priority="66001">
      <formula>$G13="BBVA BANCO BARBARA"</formula>
    </cfRule>
    <cfRule type="expression" dxfId="828" priority="66002">
      <formula>$G15="BBVA BANCO BARBARA"</formula>
    </cfRule>
    <cfRule type="expression" dxfId="827" priority="66003">
      <formula>$G68="CIUDAD BANCO"</formula>
    </cfRule>
    <cfRule type="expression" dxfId="826" priority="66004">
      <formula>$G68="ITAU BANCO"</formula>
    </cfRule>
    <cfRule type="expression" dxfId="825" priority="66005">
      <formula>$G68="HSBC BANCO"</formula>
    </cfRule>
    <cfRule type="expression" dxfId="824" priority="66006">
      <formula>$G68="BBVA BANCO"</formula>
    </cfRule>
    <cfRule type="expression" dxfId="823" priority="66007">
      <formula>$G68="HSBC BANCO"</formula>
    </cfRule>
    <cfRule type="expression" dxfId="822" priority="66008">
      <formula>#REF!="BBVA BANCO RAMONA"</formula>
    </cfRule>
    <cfRule type="expression" dxfId="821" priority="66009">
      <formula>#REF!="BBVA BANCO BARBARA"</formula>
    </cfRule>
    <cfRule type="expression" dxfId="820" priority="66010">
      <formula>#REF!="BBVA BANCO RAMONA"</formula>
    </cfRule>
    <cfRule type="expression" dxfId="819" priority="66011">
      <formula>$G1048562="BBVA BANCO BARBARA"</formula>
    </cfRule>
    <cfRule type="expression" dxfId="818" priority="66012">
      <formula>$G1048556="BBVA BANCO BARBARA"</formula>
    </cfRule>
    <cfRule type="expression" dxfId="817" priority="66013">
      <formula>$G1048557="BBVA BANCO BARBARA"</formula>
    </cfRule>
    <cfRule type="expression" dxfId="816" priority="66014">
      <formula>$G1048563="BBVA BANCO BARBARA"</formula>
    </cfRule>
    <cfRule type="expression" dxfId="815" priority="66015">
      <formula>$G68="CIUDAD BANCO"</formula>
    </cfRule>
    <cfRule type="expression" dxfId="814" priority="66016">
      <formula>$G68="ITAU BANCO"</formula>
    </cfRule>
    <cfRule type="expression" dxfId="813" priority="66017">
      <formula>$G68="HSBC BANCO"</formula>
    </cfRule>
    <cfRule type="expression" dxfId="812" priority="66018">
      <formula>$G68="BBVA BANCO"</formula>
    </cfRule>
    <cfRule type="expression" dxfId="811" priority="66019">
      <formula>$G68="HSBC BANCO"</formula>
    </cfRule>
    <cfRule type="expression" dxfId="810" priority="66020">
      <formula>#REF!="BBVA BANCO RAMONA"</formula>
    </cfRule>
    <cfRule type="expression" dxfId="809" priority="66021">
      <formula>#REF!="BBVA BANCO BARBARA"</formula>
    </cfRule>
    <cfRule type="expression" dxfId="808" priority="66022">
      <formula>#REF!="BBVA BANCO RAMONA"</formula>
    </cfRule>
    <cfRule type="expression" dxfId="807" priority="66023">
      <formula>#REF!="BBVA BANCO BARBARA"</formula>
    </cfRule>
    <cfRule type="expression" dxfId="806" priority="66024">
      <formula>$G1048563="BBVA BANCO BARBARA"</formula>
    </cfRule>
    <cfRule type="expression" dxfId="805" priority="66025">
      <formula>$G68="CIUDAD BANCO"</formula>
    </cfRule>
    <cfRule type="expression" dxfId="804" priority="66026">
      <formula>#REF!="BBVA BANCO RAMONA"</formula>
    </cfRule>
    <cfRule type="expression" dxfId="803" priority="66027">
      <formula>$G68="BBVA BANCO"</formula>
    </cfRule>
    <cfRule type="expression" dxfId="802" priority="66028">
      <formula>$G68="HSBC BANCO"</formula>
    </cfRule>
    <cfRule type="expression" dxfId="801" priority="66029">
      <formula>$G68="ITAU BANCO"</formula>
    </cfRule>
    <cfRule type="expression" dxfId="800" priority="66030">
      <formula>#REF!="BBVA BANCO RAMONA"</formula>
    </cfRule>
    <cfRule type="expression" dxfId="799" priority="66031">
      <formula>$G1048557="BBVA BANCO BARBARA"</formula>
    </cfRule>
    <cfRule type="expression" dxfId="798" priority="66032">
      <formula>#REF!="BBVA BANCO BARBARA"</formula>
    </cfRule>
    <cfRule type="expression" dxfId="797" priority="66033">
      <formula>$G1048562="BBVA BANCO BARBARA"</formula>
    </cfRule>
    <cfRule type="expression" dxfId="796" priority="66034">
      <formula>$G1048556="BBVA BANCO BARBARA"</formula>
    </cfRule>
    <cfRule type="expression" dxfId="795" priority="66035">
      <formula>$G68="HSBC BANCO"</formula>
    </cfRule>
    <cfRule type="expression" dxfId="794" priority="66036">
      <formula>$G10="BBVA BANCO BARBARA"</formula>
    </cfRule>
    <cfRule type="expression" dxfId="793" priority="66037">
      <formula>$G9="BBVA BANCO BARBARA"</formula>
    </cfRule>
    <cfRule type="expression" dxfId="792" priority="66038">
      <formula>$G12="BBVA BANCO BARBARA"</formula>
    </cfRule>
    <cfRule type="expression" dxfId="791" priority="66039">
      <formula>$G7="BBVA BANCO BARBARA"</formula>
    </cfRule>
    <cfRule type="expression" dxfId="790" priority="66040">
      <formula>$G11="BBVA BANCO BARBARA"</formula>
    </cfRule>
    <cfRule type="expression" dxfId="789" priority="66041">
      <formula>$G13="BBVA BANCO BARBARA"</formula>
    </cfRule>
    <cfRule type="expression" dxfId="788" priority="66042">
      <formula>$G14="BBVA BANCO BARBARA"</formula>
    </cfRule>
    <cfRule type="expression" dxfId="787" priority="66043">
      <formula>$G68="CIUDAD BANCO"</formula>
    </cfRule>
    <cfRule type="expression" dxfId="786" priority="66044">
      <formula>$G68="ITAU BANCO"</formula>
    </cfRule>
    <cfRule type="expression" dxfId="785" priority="66045">
      <formula>$G68="HSBC BANCO"</formula>
    </cfRule>
    <cfRule type="expression" dxfId="784" priority="66046">
      <formula>$G68="BBVA BANCO"</formula>
    </cfRule>
    <cfRule type="expression" dxfId="783" priority="66047">
      <formula>$G68="HSBC BANCO"</formula>
    </cfRule>
    <cfRule type="expression" dxfId="782" priority="66048">
      <formula>#REF!="BBVA BANCO RAMONA"</formula>
    </cfRule>
    <cfRule type="expression" dxfId="781" priority="66049">
      <formula>#REF!="BBVA BANCO BARBARA"</formula>
    </cfRule>
    <cfRule type="expression" dxfId="780" priority="66050">
      <formula>#REF!="BBVA BANCO RAMONA"</formula>
    </cfRule>
    <cfRule type="expression" dxfId="779" priority="66051">
      <formula>$G1048565="BBVA BANCO BARBARA"</formula>
    </cfRule>
    <cfRule type="expression" dxfId="778" priority="66052">
      <formula>$G1048563="BBVA BANCO BARBARA"</formula>
    </cfRule>
    <cfRule type="expression" dxfId="777" priority="66053">
      <formula>$G1048557="BBVA BANCO BARBARA"</formula>
    </cfRule>
    <cfRule type="expression" dxfId="776" priority="66054">
      <formula>$G1048558="BBVA BANCO BARBARA"</formula>
    </cfRule>
    <cfRule type="expression" dxfId="775" priority="66055">
      <formula>$G1048564="BBVA BANCO BARBARA"</formula>
    </cfRule>
    <cfRule type="expression" dxfId="774" priority="66056">
      <formula>$G68="CIUDAD BANCO"</formula>
    </cfRule>
    <cfRule type="expression" dxfId="773" priority="66057">
      <formula>$G68="ITAU BANCO"</formula>
    </cfRule>
    <cfRule type="expression" dxfId="772" priority="66058">
      <formula>$G68="HSBC BANCO"</formula>
    </cfRule>
    <cfRule type="expression" dxfId="771" priority="66059">
      <formula>$G68="BBVA BANCO"</formula>
    </cfRule>
    <cfRule type="expression" dxfId="770" priority="66060">
      <formula>$G68="HSBC BANCO"</formula>
    </cfRule>
    <cfRule type="expression" dxfId="769" priority="66061">
      <formula>#REF!="BBVA BANCO RAMONA"</formula>
    </cfRule>
    <cfRule type="expression" dxfId="768" priority="66062">
      <formula>#REF!="BBVA BANCO BARBARA"</formula>
    </cfRule>
    <cfRule type="expression" dxfId="767" priority="66063">
      <formula>#REF!="BBVA BANCO RAMONA"</formula>
    </cfRule>
    <cfRule type="expression" dxfId="766" priority="66064">
      <formula>$G7="BBVA BANCO BARBARA"</formula>
    </cfRule>
    <cfRule type="expression" dxfId="765" priority="66065">
      <formula>$G13="BBVA BANCO BARBARA"</formula>
    </cfRule>
    <cfRule type="expression" dxfId="764" priority="66066">
      <formula>$G8="BBVA BANCO BARBARA"</formula>
    </cfRule>
    <cfRule type="expression" dxfId="763" priority="66067">
      <formula>$G11="BBVA BANCO BARBARA"</formula>
    </cfRule>
    <cfRule type="expression" dxfId="762" priority="66068">
      <formula>$G10="BBVA BANCO BARBARA"</formula>
    </cfRule>
    <cfRule type="expression" dxfId="761" priority="66069">
      <formula>$G9="BBVA BANCO BARBARA"</formula>
    </cfRule>
    <cfRule type="expression" dxfId="760" priority="66070">
      <formula>$G12="BBVA BANCO BARBARA"</formula>
    </cfRule>
    <cfRule type="expression" dxfId="759" priority="66071">
      <formula>$G14="BBVA BANCO BARBARA"</formula>
    </cfRule>
    <cfRule type="expression" dxfId="758" priority="66072">
      <formula>$G68="CIUDAD BANCO"</formula>
    </cfRule>
    <cfRule type="expression" dxfId="757" priority="66073">
      <formula>$G68="ITAU BANCO"</formula>
    </cfRule>
    <cfRule type="expression" dxfId="756" priority="66074">
      <formula>$G68="HSBC BANCO"</formula>
    </cfRule>
    <cfRule type="expression" dxfId="755" priority="66075">
      <formula>$G68="BBVA BANCO"</formula>
    </cfRule>
    <cfRule type="expression" dxfId="754" priority="66076">
      <formula>$G68="HSBC BANCO"</formula>
    </cfRule>
    <cfRule type="expression" dxfId="753" priority="66077">
      <formula>#REF!="BBVA BANCO RAMONA"</formula>
    </cfRule>
    <cfRule type="expression" dxfId="752" priority="66078">
      <formula>#REF!="BBVA BANCO BARBARA"</formula>
    </cfRule>
    <cfRule type="expression" dxfId="751" priority="66079">
      <formula>#REF!="BBVA BANCO RAMONA"</formula>
    </cfRule>
    <cfRule type="expression" dxfId="750" priority="66080">
      <formula>$G1048562="BBVA BANCO BARBARA"</formula>
    </cfRule>
    <cfRule type="expression" dxfId="749" priority="66081">
      <formula>$G1048556="BBVA BANCO BARBARA"</formula>
    </cfRule>
    <cfRule type="expression" dxfId="748" priority="66082">
      <formula>$G1048557="BBVA BANCO BARBARA"</formula>
    </cfRule>
    <cfRule type="expression" dxfId="747" priority="66083">
      <formula>$G1048563="BBVA BANCO BARBARA"</formula>
    </cfRule>
    <cfRule type="expression" dxfId="746" priority="66084">
      <formula>$G68="CIUDAD BANCO"</formula>
    </cfRule>
    <cfRule type="expression" dxfId="745" priority="66085">
      <formula>$G68="ITAU BANCO"</formula>
    </cfRule>
    <cfRule type="expression" dxfId="744" priority="66086">
      <formula>$G68="HSBC BANCO"</formula>
    </cfRule>
    <cfRule type="expression" dxfId="743" priority="66087">
      <formula>$G68="BBVA BANCO"</formula>
    </cfRule>
    <cfRule type="expression" dxfId="742" priority="66088">
      <formula>$G68="HSBC BANCO"</formula>
    </cfRule>
    <cfRule type="expression" dxfId="741" priority="66089">
      <formula>#REF!="BBVA BANCO RAMONA"</formula>
    </cfRule>
    <cfRule type="expression" dxfId="740" priority="66090">
      <formula>#REF!="BBVA BANCO BARBARA"</formula>
    </cfRule>
    <cfRule type="expression" dxfId="739" priority="66091">
      <formula>#REF!="BBVA BANCO RAMONA"</formula>
    </cfRule>
    <cfRule type="expression" dxfId="738" priority="66092">
      <formula>$G9="BBVA BANCO BARBARA"</formula>
    </cfRule>
    <cfRule type="expression" dxfId="737" priority="66093">
      <formula>$G8="BBVA BANCO BARBARA"</formula>
    </cfRule>
    <cfRule type="expression" dxfId="736" priority="66094">
      <formula>$G11="BBVA BANCO BARBARA"</formula>
    </cfRule>
    <cfRule type="expression" dxfId="735" priority="66095">
      <formula>$G6="BBVA BANCO BARBARA"</formula>
    </cfRule>
    <cfRule type="expression" dxfId="734" priority="66096">
      <formula>$G10="BBVA BANCO BARBARA"</formula>
    </cfRule>
    <cfRule type="expression" dxfId="733" priority="66097">
      <formula>$G12="BBVA BANCO BARBARA"</formula>
    </cfRule>
    <cfRule type="expression" dxfId="732" priority="66098">
      <formula>$G13="BBVA BANCO BARBARA"</formula>
    </cfRule>
    <cfRule type="expression" dxfId="731" priority="66099">
      <formula>$G68="CIUDAD BANCO"</formula>
    </cfRule>
    <cfRule type="expression" dxfId="730" priority="66100">
      <formula>$G68="ITAU BANCO"</formula>
    </cfRule>
    <cfRule type="expression" dxfId="729" priority="66101">
      <formula>$G68="HSBC BANCO"</formula>
    </cfRule>
    <cfRule type="expression" dxfId="728" priority="66102">
      <formula>$G68="BBVA BANCO"</formula>
    </cfRule>
    <cfRule type="expression" dxfId="727" priority="66103">
      <formula>$G68="HSBC BANCO"</formula>
    </cfRule>
    <cfRule type="expression" dxfId="726" priority="66104">
      <formula>#REF!="BBVA BANCO RAMONA"</formula>
    </cfRule>
    <cfRule type="expression" dxfId="725" priority="66105">
      <formula>#REF!="BBVA BANCO BARBARA"</formula>
    </cfRule>
    <cfRule type="expression" dxfId="724" priority="66106">
      <formula>#REF!="BBVA BANCO RAMONA"</formula>
    </cfRule>
    <cfRule type="expression" dxfId="723" priority="66107">
      <formula>$G1048565="BBVA BANCO BARBARA"</formula>
    </cfRule>
    <cfRule type="expression" dxfId="722" priority="66108">
      <formula>$G1048558="BBVA BANCO BARBARA"</formula>
    </cfRule>
    <cfRule type="expression" dxfId="721" priority="66109">
      <formula>$G1048564="BBVA BANCO BARBARA"</formula>
    </cfRule>
    <cfRule type="expression" dxfId="720" priority="66110">
      <formula>$G68="CIUDAD BANCO"</formula>
    </cfRule>
    <cfRule type="expression" dxfId="719" priority="66111">
      <formula>$G68="ITAU BANCO"</formula>
    </cfRule>
    <cfRule type="expression" dxfId="718" priority="66112">
      <formula>$G68="HSBC BANCO"</formula>
    </cfRule>
    <cfRule type="expression" dxfId="717" priority="66113">
      <formula>$G68="BBVA BANCO"</formula>
    </cfRule>
    <cfRule type="expression" dxfId="716" priority="66114">
      <formula>$G68="HSBC BANCO"</formula>
    </cfRule>
    <cfRule type="expression" dxfId="715" priority="66115">
      <formula>#REF!="BBVA BANCO RAMONA"</formula>
    </cfRule>
    <cfRule type="expression" dxfId="714" priority="66116">
      <formula>$G6="BBVA BANCO BARBARA"</formula>
    </cfRule>
    <cfRule type="expression" dxfId="713" priority="66117">
      <formula>$G12="BBVA BANCO BARBARA"</formula>
    </cfRule>
    <cfRule type="expression" dxfId="712" priority="66118">
      <formula>$G7="BBVA BANCO BARBARA"</formula>
    </cfRule>
    <cfRule type="expression" dxfId="711" priority="66119">
      <formula>$G10="BBVA BANCO BARBARA"</formula>
    </cfRule>
    <cfRule type="expression" dxfId="710" priority="66120">
      <formula>$G9="BBVA BANCO BARBARA"</formula>
    </cfRule>
    <cfRule type="expression" dxfId="709" priority="66121">
      <formula>$G8="BBVA BANCO BARBARA"</formula>
    </cfRule>
    <cfRule type="expression" dxfId="708" priority="66122">
      <formula>$G11="BBVA BANCO BARBARA"</formula>
    </cfRule>
    <cfRule type="expression" dxfId="707" priority="66123">
      <formula>$G13="BBVA BANCO BARBARA"</formula>
    </cfRule>
    <cfRule type="expression" dxfId="706" priority="66124">
      <formula>$G1048565="BBVA BANCO BARBARA"</formula>
    </cfRule>
    <cfRule type="expression" dxfId="705" priority="66125">
      <formula>$G1048559="BBVA BANCO BARBARA"</formula>
    </cfRule>
    <cfRule type="expression" dxfId="704" priority="66126">
      <formula>$G1048566="BBVA BANCO BARBARA"</formula>
    </cfRule>
    <cfRule type="expression" dxfId="703" priority="66127">
      <formula>$G1048558="BBVA BANCO BARBARA"</formula>
    </cfRule>
    <cfRule type="expression" dxfId="702" priority="66128">
      <formula>$G1048564="BBVA BANCO BARBARA"</formula>
    </cfRule>
    <cfRule type="expression" dxfId="701" priority="66129">
      <formula>$G1048560="BBVA BANCO BARBARA"</formula>
    </cfRule>
    <cfRule type="expression" dxfId="700" priority="66130">
      <formula>$G1048567="BBVA BANCO BARBARA"</formula>
    </cfRule>
    <cfRule type="expression" dxfId="699" priority="66131">
      <formula>$G1048563="BBVA BANCO BARBARA"</formula>
    </cfRule>
    <cfRule type="expression" dxfId="698" priority="66132">
      <formula>$G1048557="BBVA BANCO BARBARA"</formula>
    </cfRule>
    <cfRule type="expression" dxfId="697" priority="66133">
      <formula>$G68="CIUDAD BANCO"</formula>
    </cfRule>
    <cfRule type="expression" dxfId="696" priority="66134">
      <formula>$G68="ITAU BANCO"</formula>
    </cfRule>
    <cfRule type="expression" dxfId="695" priority="66135">
      <formula>$G68="HSBC BANCO"</formula>
    </cfRule>
    <cfRule type="expression" dxfId="694" priority="66136">
      <formula>$G68="BBVA BANCO"</formula>
    </cfRule>
    <cfRule type="expression" dxfId="693" priority="66137">
      <formula>$G68="HSBC BANCO"</formula>
    </cfRule>
    <cfRule type="expression" dxfId="692" priority="66138">
      <formula>#REF!="BBVA BANCO RAMONA"</formula>
    </cfRule>
    <cfRule type="expression" dxfId="691" priority="66139">
      <formula>#REF!="BBVA BANCO BARBARA"</formula>
    </cfRule>
    <cfRule type="expression" dxfId="690" priority="66140">
      <formula>#REF!="BBVA BANCO RAMONA"</formula>
    </cfRule>
    <cfRule type="expression" dxfId="689" priority="66141">
      <formula>#REF!="BBVA BANCO BARBARA"</formula>
    </cfRule>
    <cfRule type="expression" dxfId="688" priority="66142">
      <formula>#REF!="BBVA BANCO RAMONA"</formula>
    </cfRule>
    <cfRule type="expression" dxfId="687" priority="66143">
      <formula>$G68="HSBC BANCO"</formula>
    </cfRule>
    <cfRule type="expression" dxfId="686" priority="66144">
      <formula>$G68="BBVA BANCO"</formula>
    </cfRule>
    <cfRule type="expression" dxfId="685" priority="66145">
      <formula>$G68="HSBC BANCO"</formula>
    </cfRule>
    <cfRule type="expression" dxfId="684" priority="66146">
      <formula>$G10="BBVA BANCO BARBARA"</formula>
    </cfRule>
    <cfRule type="expression" dxfId="683" priority="66147">
      <formula>$G9="BBVA BANCO BARBARA"</formula>
    </cfRule>
    <cfRule type="expression" dxfId="682" priority="66148">
      <formula>$G12="BBVA BANCO BARBARA"</formula>
    </cfRule>
    <cfRule type="expression" dxfId="681" priority="66149">
      <formula>$G7="BBVA BANCO BARBARA"</formula>
    </cfRule>
    <cfRule type="expression" dxfId="680" priority="66150">
      <formula>$G11="BBVA BANCO BARBARA"</formula>
    </cfRule>
    <cfRule type="expression" dxfId="679" priority="66151">
      <formula>$G13="BBVA BANCO BARBARA"</formula>
    </cfRule>
    <cfRule type="expression" dxfId="678" priority="66152">
      <formula>$G14="BBVA BANCO BARBARA"</formula>
    </cfRule>
    <cfRule type="expression" dxfId="677" priority="66153">
      <formula>$G68="CIUDAD BANCO"</formula>
    </cfRule>
    <cfRule type="expression" dxfId="676" priority="66154">
      <formula>$G68="ITAU BANCO"</formula>
    </cfRule>
    <cfRule type="expression" dxfId="675" priority="66155">
      <formula>$G68="HSBC BANCO"</formula>
    </cfRule>
    <cfRule type="expression" dxfId="674" priority="66156">
      <formula>$G68="BBVA BANCO"</formula>
    </cfRule>
    <cfRule type="expression" dxfId="673" priority="66157">
      <formula>$G68="HSBC BANCO"</formula>
    </cfRule>
    <cfRule type="expression" dxfId="672" priority="66158">
      <formula>#REF!="BBVA BANCO RAMONA"</formula>
    </cfRule>
    <cfRule type="expression" dxfId="671" priority="66159">
      <formula>#REF!="BBVA BANCO BARBARA"</formula>
    </cfRule>
    <cfRule type="expression" dxfId="670" priority="66160">
      <formula>#REF!="BBVA BANCO RAMONA"</formula>
    </cfRule>
    <cfRule type="expression" dxfId="669" priority="66161">
      <formula>$G1048565="BBVA BANCO BARBARA"</formula>
    </cfRule>
    <cfRule type="expression" dxfId="668" priority="66162">
      <formula>$G1048563="BBVA BANCO BARBARA"</formula>
    </cfRule>
    <cfRule type="expression" dxfId="667" priority="66163">
      <formula>$G1048557="BBVA BANCO BARBARA"</formula>
    </cfRule>
    <cfRule type="expression" dxfId="666" priority="66164">
      <formula>$G1048558="BBVA BANCO BARBARA"</formula>
    </cfRule>
    <cfRule type="expression" dxfId="665" priority="66165">
      <formula>$G1048564="BBVA BANCO BARBARA"</formula>
    </cfRule>
    <cfRule type="expression" dxfId="664" priority="66166">
      <formula>$G68="CIUDAD BANCO"</formula>
    </cfRule>
    <cfRule type="expression" dxfId="663" priority="66167">
      <formula>$G68="ITAU BANCO"</formula>
    </cfRule>
    <cfRule type="expression" dxfId="662" priority="66168">
      <formula>$G68="HSBC BANCO"</formula>
    </cfRule>
    <cfRule type="expression" dxfId="661" priority="66169">
      <formula>$G68="BBVA BANCO"</formula>
    </cfRule>
    <cfRule type="expression" dxfId="660" priority="66170">
      <formula>$G68="HSBC BANCO"</formula>
    </cfRule>
    <cfRule type="expression" dxfId="659" priority="66171">
      <formula>#REF!="BBVA BANCO RAMONA"</formula>
    </cfRule>
    <cfRule type="expression" dxfId="658" priority="66172">
      <formula>#REF!="BBVA BANCO BARBARA"</formula>
    </cfRule>
    <cfRule type="expression" dxfId="657" priority="66173">
      <formula>#REF!="BBVA BANCO RAMONA"</formula>
    </cfRule>
    <cfRule type="expression" dxfId="656" priority="66174">
      <formula>$G7="BBVA BANCO BARBARA"</formula>
    </cfRule>
    <cfRule type="expression" dxfId="655" priority="66175">
      <formula>$G13="BBVA BANCO BARBARA"</formula>
    </cfRule>
    <cfRule type="expression" dxfId="654" priority="66176">
      <formula>$G8="BBVA BANCO BARBARA"</formula>
    </cfRule>
    <cfRule type="expression" dxfId="653" priority="66177">
      <formula>$G11="BBVA BANCO BARBARA"</formula>
    </cfRule>
    <cfRule type="expression" dxfId="652" priority="66178">
      <formula>$G10="BBVA BANCO BARBARA"</formula>
    </cfRule>
    <cfRule type="expression" dxfId="651" priority="66179">
      <formula>$G9="BBVA BANCO BARBARA"</formula>
    </cfRule>
    <cfRule type="expression" dxfId="650" priority="66180">
      <formula>$G12="BBVA BANCO BARBARA"</formula>
    </cfRule>
    <cfRule type="expression" dxfId="649" priority="66181">
      <formula>$G14="BBVA BANCO BARBARA"</formula>
    </cfRule>
    <cfRule type="expression" dxfId="648" priority="66182">
      <formula>$G68="CIUDAD BANCO"</formula>
    </cfRule>
    <cfRule type="expression" dxfId="647" priority="66183">
      <formula>$G68="ITAU BANCO"</formula>
    </cfRule>
    <cfRule type="expression" dxfId="646" priority="66184">
      <formula>$G68="HSBC BANCO"</formula>
    </cfRule>
    <cfRule type="expression" dxfId="645" priority="66185">
      <formula>$G68="BBVA BANCO"</formula>
    </cfRule>
    <cfRule type="expression" dxfId="644" priority="66186">
      <formula>$G68="HSBC BANCO"</formula>
    </cfRule>
    <cfRule type="expression" dxfId="643" priority="66187">
      <formula>#REF!="BBVA BANCO RAMONA"</formula>
    </cfRule>
    <cfRule type="expression" dxfId="642" priority="66188">
      <formula>#REF!="BBVA BANCO BARBARA"</formula>
    </cfRule>
    <cfRule type="expression" dxfId="641" priority="66189">
      <formula>#REF!="BBVA BANCO RAMONA"</formula>
    </cfRule>
    <cfRule type="expression" dxfId="640" priority="66190">
      <formula>$G1048562="BBVA BANCO BARBARA"</formula>
    </cfRule>
    <cfRule type="expression" dxfId="639" priority="66191">
      <formula>$G1048556="BBVA BANCO BARBARA"</formula>
    </cfRule>
    <cfRule type="expression" dxfId="638" priority="66192">
      <formula>$G1048557="BBVA BANCO BARBARA"</formula>
    </cfRule>
    <cfRule type="expression" dxfId="637" priority="66193">
      <formula>$G1048563="BBVA BANCO BARBARA"</formula>
    </cfRule>
    <cfRule type="expression" dxfId="636" priority="66194">
      <formula>$G68="CIUDAD BANCO"</formula>
    </cfRule>
    <cfRule type="expression" dxfId="635" priority="66195">
      <formula>$G68="ITAU BANCO"</formula>
    </cfRule>
    <cfRule type="expression" dxfId="634" priority="66196">
      <formula>$G68="HSBC BANCO"</formula>
    </cfRule>
    <cfRule type="expression" dxfId="633" priority="66197">
      <formula>$G68="BBVA BANCO"</formula>
    </cfRule>
    <cfRule type="expression" dxfId="632" priority="66198">
      <formula>$G68="HSBC BANCO"</formula>
    </cfRule>
    <cfRule type="expression" dxfId="631" priority="66199">
      <formula>#REF!="BBVA BANCO RAMONA"</formula>
    </cfRule>
    <cfRule type="expression" dxfId="630" priority="66200">
      <formula>#REF!="BBVA BANCO BARBARA"</formula>
    </cfRule>
    <cfRule type="expression" dxfId="629" priority="66201">
      <formula>#REF!="BBVA BANCO RAMONA"</formula>
    </cfRule>
    <cfRule type="expression" dxfId="628" priority="66202">
      <formula>#REF!="BBVA BANCO BARBARA"</formula>
    </cfRule>
    <cfRule type="expression" dxfId="627" priority="66203">
      <formula>$G1048563="BBVA BANCO BARBARA"</formula>
    </cfRule>
    <cfRule type="expression" dxfId="626" priority="66204">
      <formula>$G68="CIUDAD BANCO"</formula>
    </cfRule>
    <cfRule type="expression" dxfId="625" priority="66205">
      <formula>#REF!="BBVA BANCO RAMONA"</formula>
    </cfRule>
    <cfRule type="expression" dxfId="624" priority="66206">
      <formula>$G68="BBVA BANCO"</formula>
    </cfRule>
    <cfRule type="expression" dxfId="623" priority="66207">
      <formula>$G68="HSBC BANCO"</formula>
    </cfRule>
    <cfRule type="expression" dxfId="622" priority="66208">
      <formula>$G68="ITAU BANCO"</formula>
    </cfRule>
    <cfRule type="expression" dxfId="621" priority="66209">
      <formula>#REF!="BBVA BANCO RAMONA"</formula>
    </cfRule>
    <cfRule type="expression" dxfId="620" priority="66210">
      <formula>$G1048557="BBVA BANCO BARBARA"</formula>
    </cfRule>
    <cfRule type="expression" dxfId="619" priority="66211">
      <formula>#REF!="BBVA BANCO BARBARA"</formula>
    </cfRule>
    <cfRule type="expression" dxfId="618" priority="66212">
      <formula>$G1048562="BBVA BANCO BARBARA"</formula>
    </cfRule>
    <cfRule type="expression" dxfId="617" priority="66213">
      <formula>$G1048556="BBVA BANCO BARBARA"</formula>
    </cfRule>
    <cfRule type="expression" dxfId="616" priority="66214">
      <formula>$G68="HSBC BANCO"</formula>
    </cfRule>
    <cfRule type="expression" dxfId="615" priority="66215">
      <formula>$G9="BBVA BANCO BARBARA"</formula>
    </cfRule>
    <cfRule type="expression" dxfId="614" priority="66216">
      <formula>$G8="BBVA BANCO BARBARA"</formula>
    </cfRule>
    <cfRule type="expression" dxfId="613" priority="66217">
      <formula>$G11="BBVA BANCO BARBARA"</formula>
    </cfRule>
    <cfRule type="expression" dxfId="612" priority="66218">
      <formula>$G6="BBVA BANCO BARBARA"</formula>
    </cfRule>
    <cfRule type="expression" dxfId="611" priority="66219">
      <formula>$G10="BBVA BANCO BARBARA"</formula>
    </cfRule>
    <cfRule type="expression" dxfId="610" priority="66220">
      <formula>$G12="BBVA BANCO BARBARA"</formula>
    </cfRule>
    <cfRule type="expression" dxfId="609" priority="66221">
      <formula>$G13="BBVA BANCO BARBARA"</formula>
    </cfRule>
    <cfRule type="expression" dxfId="608" priority="66222">
      <formula>$G68="CIUDAD BANCO"</formula>
    </cfRule>
    <cfRule type="expression" dxfId="607" priority="66223">
      <formula>$G68="ITAU BANCO"</formula>
    </cfRule>
    <cfRule type="expression" dxfId="606" priority="66224">
      <formula>$G68="HSBC BANCO"</formula>
    </cfRule>
    <cfRule type="expression" dxfId="605" priority="66225">
      <formula>$G68="BBVA BANCO"</formula>
    </cfRule>
    <cfRule type="expression" dxfId="604" priority="66226">
      <formula>$G68="HSBC BANCO"</formula>
    </cfRule>
    <cfRule type="expression" dxfId="603" priority="66227">
      <formula>#REF!="BBVA BANCO RAMONA"</formula>
    </cfRule>
    <cfRule type="expression" dxfId="602" priority="66228">
      <formula>#REF!="BBVA BANCO BARBARA"</formula>
    </cfRule>
    <cfRule type="expression" dxfId="601" priority="66229">
      <formula>#REF!="BBVA BANCO RAMONA"</formula>
    </cfRule>
    <cfRule type="expression" dxfId="600" priority="66230">
      <formula>$G1048565="BBVA BANCO BARBARA"</formula>
    </cfRule>
    <cfRule type="expression" dxfId="599" priority="66231">
      <formula>$G1048563="BBVA BANCO BARBARA"</formula>
    </cfRule>
    <cfRule type="expression" dxfId="598" priority="66232">
      <formula>$G1048557="BBVA BANCO BARBARA"</formula>
    </cfRule>
    <cfRule type="expression" dxfId="597" priority="66233">
      <formula>$G1048558="BBVA BANCO BARBARA"</formula>
    </cfRule>
    <cfRule type="expression" dxfId="596" priority="66234">
      <formula>$G1048564="BBVA BANCO BARBARA"</formula>
    </cfRule>
    <cfRule type="expression" dxfId="595" priority="66235">
      <formula>$G68="CIUDAD BANCO"</formula>
    </cfRule>
    <cfRule type="expression" dxfId="594" priority="66236">
      <formula>$G68="ITAU BANCO"</formula>
    </cfRule>
    <cfRule type="expression" dxfId="593" priority="66237">
      <formula>$G68="HSBC BANCO"</formula>
    </cfRule>
    <cfRule type="expression" dxfId="592" priority="66238">
      <formula>$G68="BBVA BANCO"</formula>
    </cfRule>
    <cfRule type="expression" dxfId="591" priority="66239">
      <formula>$G68="HSBC BANCO"</formula>
    </cfRule>
    <cfRule type="expression" dxfId="590" priority="66240">
      <formula>#REF!="BBVA BANCO RAMONA"</formula>
    </cfRule>
    <cfRule type="expression" dxfId="589" priority="66241">
      <formula>#REF!="BBVA BANCO BARBARA"</formula>
    </cfRule>
    <cfRule type="expression" dxfId="588" priority="66242">
      <formula>#REF!="BBVA BANCO RAMONA"</formula>
    </cfRule>
    <cfRule type="expression" dxfId="587" priority="66243">
      <formula>$G6="BBVA BANCO BARBARA"</formula>
    </cfRule>
    <cfRule type="expression" dxfId="586" priority="66244">
      <formula>$G12="BBVA BANCO BARBARA"</formula>
    </cfRule>
    <cfRule type="expression" dxfId="585" priority="66245">
      <formula>$G7="BBVA BANCO BARBARA"</formula>
    </cfRule>
    <cfRule type="expression" dxfId="584" priority="66246">
      <formula>$G10="BBVA BANCO BARBARA"</formula>
    </cfRule>
    <cfRule type="expression" dxfId="583" priority="66247">
      <formula>$G9="BBVA BANCO BARBARA"</formula>
    </cfRule>
    <cfRule type="expression" dxfId="582" priority="66248">
      <formula>$G8="BBVA BANCO BARBARA"</formula>
    </cfRule>
    <cfRule type="expression" dxfId="581" priority="66249">
      <formula>$G11="BBVA BANCO BARBARA"</formula>
    </cfRule>
    <cfRule type="expression" dxfId="580" priority="66250">
      <formula>$G13="BBVA BANCO BARBARA"</formula>
    </cfRule>
    <cfRule type="expression" dxfId="579" priority="66251">
      <formula>$G68="CIUDAD BANCO"</formula>
    </cfRule>
    <cfRule type="expression" dxfId="578" priority="66252">
      <formula>$G68="ITAU BANCO"</formula>
    </cfRule>
    <cfRule type="expression" dxfId="577" priority="66253">
      <formula>$G68="HSBC BANCO"</formula>
    </cfRule>
    <cfRule type="expression" dxfId="576" priority="66254">
      <formula>$G68="BBVA BANCO"</formula>
    </cfRule>
    <cfRule type="expression" dxfId="575" priority="66255">
      <formula>$G68="HSBC BANCO"</formula>
    </cfRule>
    <cfRule type="expression" dxfId="574" priority="66256">
      <formula>#REF!="BBVA BANCO RAMONA"</formula>
    </cfRule>
    <cfRule type="expression" dxfId="573" priority="66257">
      <formula>#REF!="BBVA BANCO BARBARA"</formula>
    </cfRule>
    <cfRule type="expression" dxfId="572" priority="66258">
      <formula>#REF!="BBVA BANCO RAMONA"</formula>
    </cfRule>
    <cfRule type="expression" dxfId="571" priority="66259">
      <formula>$G1048562="BBVA BANCO BARBARA"</formula>
    </cfRule>
    <cfRule type="expression" dxfId="570" priority="66260">
      <formula>$G1048556="BBVA BANCO BARBARA"</formula>
    </cfRule>
    <cfRule type="expression" dxfId="569" priority="66261">
      <formula>$G1048557="BBVA BANCO BARBARA"</formula>
    </cfRule>
    <cfRule type="expression" dxfId="568" priority="66262">
      <formula>$G1048563="BBVA BANCO BARBARA"</formula>
    </cfRule>
    <cfRule type="expression" dxfId="567" priority="66263">
      <formula>$G68="CIUDAD BANCO"</formula>
    </cfRule>
    <cfRule type="expression" dxfId="566" priority="66264">
      <formula>$G68="ITAU BANCO"</formula>
    </cfRule>
    <cfRule type="expression" dxfId="565" priority="66265">
      <formula>$G68="HSBC BANCO"</formula>
    </cfRule>
    <cfRule type="expression" dxfId="564" priority="66266">
      <formula>$G68="BBVA BANCO"</formula>
    </cfRule>
    <cfRule type="expression" dxfId="563" priority="66267">
      <formula>$G68="HSBC BANCO"</formula>
    </cfRule>
    <cfRule type="expression" dxfId="562" priority="66268">
      <formula>#REF!="BBVA BANCO RAMONA"</formula>
    </cfRule>
    <cfRule type="expression" dxfId="561" priority="66269">
      <formula>#REF!="BBVA BANCO BARBARA"</formula>
    </cfRule>
    <cfRule type="expression" dxfId="560" priority="66270">
      <formula>#REF!="BBVA BANCO RAMONA"</formula>
    </cfRule>
    <cfRule type="expression" dxfId="559" priority="66271">
      <formula>$G8="BBVA BANCO BARBARA"</formula>
    </cfRule>
    <cfRule type="expression" dxfId="558" priority="66272">
      <formula>$G7="BBVA BANCO BARBARA"</formula>
    </cfRule>
    <cfRule type="expression" dxfId="557" priority="66273">
      <formula>$G10="BBVA BANCO BARBARA"</formula>
    </cfRule>
    <cfRule type="expression" dxfId="556" priority="66274">
      <formula>$G5="BBVA BANCO BARBARA"</formula>
    </cfRule>
    <cfRule type="expression" dxfId="555" priority="66275">
      <formula>$G9="BBVA BANCO BARBARA"</formula>
    </cfRule>
    <cfRule type="expression" dxfId="554" priority="66276">
      <formula>$G11="BBVA BANCO BARBARA"</formula>
    </cfRule>
    <cfRule type="expression" dxfId="553" priority="66277">
      <formula>$G12="BBVA BANCO BARBARA"</formula>
    </cfRule>
    <cfRule type="expression" dxfId="552" priority="66278">
      <formula>$G68="CIUDAD BANCO"</formula>
    </cfRule>
    <cfRule type="expression" dxfId="551" priority="66279">
      <formula>$G68="ITAU BANCO"</formula>
    </cfRule>
    <cfRule type="expression" dxfId="550" priority="66280">
      <formula>$G68="HSBC BANCO"</formula>
    </cfRule>
    <cfRule type="expression" dxfId="549" priority="66281">
      <formula>$G68="BBVA BANCO"</formula>
    </cfRule>
    <cfRule type="expression" dxfId="548" priority="66282">
      <formula>$G68="HSBC BANCO"</formula>
    </cfRule>
    <cfRule type="expression" dxfId="547" priority="66283">
      <formula>#REF!="BBVA BANCO RAMONA"</formula>
    </cfRule>
    <cfRule type="expression" dxfId="546" priority="66284">
      <formula>#REF!="BBVA BANCO BARBARA"</formula>
    </cfRule>
    <cfRule type="expression" dxfId="545" priority="66285">
      <formula>#REF!="BBVA BANCO RAMONA"</formula>
    </cfRule>
    <cfRule type="expression" dxfId="544" priority="66286">
      <formula>$G1048565="BBVA BANCO BARBARA"</formula>
    </cfRule>
    <cfRule type="expression" dxfId="543" priority="66287">
      <formula>$G1048558="BBVA BANCO BARBARA"</formula>
    </cfRule>
    <cfRule type="expression" dxfId="542" priority="66288">
      <formula>$G1048564="BBVA BANCO BARBARA"</formula>
    </cfRule>
    <cfRule type="expression" dxfId="541" priority="66289">
      <formula>$G68="CIUDAD BANCO"</formula>
    </cfRule>
    <cfRule type="expression" dxfId="540" priority="66290">
      <formula>$G68="ITAU BANCO"</formula>
    </cfRule>
    <cfRule type="expression" dxfId="539" priority="66291">
      <formula>$G68="HSBC BANCO"</formula>
    </cfRule>
    <cfRule type="expression" dxfId="538" priority="66292">
      <formula>$G68="BBVA BANCO"</formula>
    </cfRule>
    <cfRule type="expression" dxfId="537" priority="66293">
      <formula>$G68="HSBC BANCO"</formula>
    </cfRule>
    <cfRule type="expression" dxfId="536" priority="66294">
      <formula>#REF!="BBVA BANCO RAMONA"</formula>
    </cfRule>
    <cfRule type="expression" dxfId="535" priority="66295">
      <formula>$G5="BBVA BANCO BARBARA"</formula>
    </cfRule>
    <cfRule type="expression" dxfId="534" priority="66296">
      <formula>$G11="BBVA BANCO BARBARA"</formula>
    </cfRule>
    <cfRule type="expression" dxfId="533" priority="66297">
      <formula>$G6="BBVA BANCO BARBARA"</formula>
    </cfRule>
    <cfRule type="expression" dxfId="532" priority="66298">
      <formula>$G9="BBVA BANCO BARBARA"</formula>
    </cfRule>
    <cfRule type="expression" dxfId="531" priority="66299">
      <formula>$G8="BBVA BANCO BARBARA"</formula>
    </cfRule>
    <cfRule type="expression" dxfId="530" priority="66300">
      <formula>$G7="BBVA BANCO BARBARA"</formula>
    </cfRule>
    <cfRule type="expression" dxfId="529" priority="66301">
      <formula>$G10="BBVA BANCO BARBARA"</formula>
    </cfRule>
    <cfRule type="expression" dxfId="528" priority="66302">
      <formula>$G12="BBVA BANCO BARBARA"</formula>
    </cfRule>
    <cfRule type="expression" dxfId="527" priority="66303">
      <formula>$G1048565="BBVA BANCO BARBARA"</formula>
    </cfRule>
    <cfRule type="expression" dxfId="526" priority="66304">
      <formula>$G1048559="BBVA BANCO BARBARA"</formula>
    </cfRule>
    <cfRule type="expression" dxfId="525" priority="66305">
      <formula>$G1048566="BBVA BANCO BARBARA"</formula>
    </cfRule>
    <cfRule type="expression" dxfId="524" priority="66306">
      <formula>$G1048558="BBVA BANCO BARBARA"</formula>
    </cfRule>
    <cfRule type="expression" dxfId="523" priority="66307">
      <formula>$G1048564="BBVA BANCO BARBARA"</formula>
    </cfRule>
    <cfRule type="expression" dxfId="522" priority="66308">
      <formula>$G1048560="BBVA BANCO BARBARA"</formula>
    </cfRule>
    <cfRule type="expression" dxfId="521" priority="66309">
      <formula>$G1048567="BBVA BANCO BARBARA"</formula>
    </cfRule>
    <cfRule type="expression" dxfId="520" priority="66310">
      <formula>$G1048563="BBVA BANCO BARBARA"</formula>
    </cfRule>
    <cfRule type="expression" dxfId="519" priority="66311">
      <formula>$G1048557="BBVA BANCO BARBARA"</formula>
    </cfRule>
    <cfRule type="expression" dxfId="518" priority="66312">
      <formula>$G68="CIUDAD BANCO"</formula>
    </cfRule>
    <cfRule type="expression" dxfId="517" priority="66313">
      <formula>$G68="ITAU BANCO"</formula>
    </cfRule>
    <cfRule type="expression" dxfId="516" priority="66314">
      <formula>$G68="HSBC BANCO"</formula>
    </cfRule>
    <cfRule type="expression" dxfId="515" priority="66315">
      <formula>$G68="HSBC BANCO"</formula>
    </cfRule>
    <cfRule type="expression" dxfId="514" priority="66316">
      <formula>#REF!="BBVA BANCO RAMONA"</formula>
    </cfRule>
    <cfRule type="expression" dxfId="513" priority="66317">
      <formula>$G68="BBVA BANCO"</formula>
    </cfRule>
    <cfRule type="expression" dxfId="512" priority="66318">
      <formula>#REF!="BBVA BANCO BARBARA"</formula>
    </cfRule>
    <cfRule type="expression" dxfId="511" priority="66319">
      <formula>#REF!="BBVA BANCO RAMONA"</formula>
    </cfRule>
    <cfRule type="expression" dxfId="510" priority="66320">
      <formula>$G12="BBVA BANCO BARBARA"</formula>
    </cfRule>
    <cfRule type="expression" dxfId="509" priority="66321">
      <formula>$G11="BBVA BANCO BARBARA"</formula>
    </cfRule>
    <cfRule type="expression" dxfId="508" priority="66322">
      <formula>$G14="BBVA BANCO BARBARA"</formula>
    </cfRule>
    <cfRule type="expression" dxfId="507" priority="66323">
      <formula>$G9="BBVA BANCO BARBARA"</formula>
    </cfRule>
    <cfRule type="expression" dxfId="506" priority="66324">
      <formula>$G13="BBVA BANCO BARBARA"</formula>
    </cfRule>
    <cfRule type="expression" dxfId="505" priority="66325">
      <formula>$G15="BBVA BANCO BARBARA"</formula>
    </cfRule>
    <cfRule type="expression" dxfId="504" priority="66326">
      <formula>$G16="BBVA BANCO BARBARA"</formula>
    </cfRule>
    <cfRule type="expression" dxfId="503" priority="66327">
      <formula>$G68="CIUDAD BANCO"</formula>
    </cfRule>
    <cfRule type="expression" dxfId="502" priority="66328">
      <formula>$G68="ITAU BANCO"</formula>
    </cfRule>
    <cfRule type="expression" dxfId="501" priority="66329">
      <formula>$G68="HSBC BANCO"</formula>
    </cfRule>
    <cfRule type="expression" dxfId="500" priority="66330">
      <formula>$G68="BBVA BANCO"</formula>
    </cfRule>
    <cfRule type="expression" dxfId="499" priority="66331">
      <formula>$G68="HSBC BANCO"</formula>
    </cfRule>
    <cfRule type="expression" dxfId="498" priority="66332">
      <formula>#REF!="BBVA BANCO RAMONA"</formula>
    </cfRule>
    <cfRule type="expression" dxfId="497" priority="66333">
      <formula>#REF!="BBVA BANCO BARBARA"</formula>
    </cfRule>
    <cfRule type="expression" dxfId="496" priority="66334">
      <formula>#REF!="BBVA BANCO RAMONA"</formula>
    </cfRule>
    <cfRule type="expression" dxfId="495" priority="66335">
      <formula>$G1048565="BBVA BANCO BARBARA"</formula>
    </cfRule>
    <cfRule type="expression" dxfId="494" priority="66336">
      <formula>$G1048563="BBVA BANCO BARBARA"</formula>
    </cfRule>
    <cfRule type="expression" dxfId="493" priority="66337">
      <formula>$G1048557="BBVA BANCO BARBARA"</formula>
    </cfRule>
    <cfRule type="expression" dxfId="492" priority="66338">
      <formula>$G1048558="BBVA BANCO BARBARA"</formula>
    </cfRule>
    <cfRule type="expression" dxfId="491" priority="66339">
      <formula>$G1048564="BBVA BANCO BARBARA"</formula>
    </cfRule>
    <cfRule type="expression" dxfId="490" priority="66340">
      <formula>$G68="CIUDAD BANCO"</formula>
    </cfRule>
    <cfRule type="expression" dxfId="489" priority="66341">
      <formula>$G68="ITAU BANCO"</formula>
    </cfRule>
    <cfRule type="expression" dxfId="488" priority="66342">
      <formula>$G68="HSBC BANCO"</formula>
    </cfRule>
    <cfRule type="expression" dxfId="487" priority="66343">
      <formula>$G68="BBVA BANCO"</formula>
    </cfRule>
    <cfRule type="expression" dxfId="486" priority="66344">
      <formula>$G68="HSBC BANCO"</formula>
    </cfRule>
    <cfRule type="expression" dxfId="485" priority="66345">
      <formula>#REF!="BBVA BANCO RAMONA"</formula>
    </cfRule>
    <cfRule type="expression" dxfId="484" priority="66346">
      <formula>#REF!="BBVA BANCO BARBARA"</formula>
    </cfRule>
    <cfRule type="expression" dxfId="483" priority="66347">
      <formula>#REF!="BBVA BANCO RAMONA"</formula>
    </cfRule>
    <cfRule type="expression" dxfId="482" priority="66348">
      <formula>$G9="BBVA BANCO BARBARA"</formula>
    </cfRule>
    <cfRule type="expression" dxfId="481" priority="66349">
      <formula>$G15="BBVA BANCO BARBARA"</formula>
    </cfRule>
    <cfRule type="expression" dxfId="480" priority="66350">
      <formula>$G10="BBVA BANCO BARBARA"</formula>
    </cfRule>
    <cfRule type="expression" dxfId="479" priority="66351">
      <formula>$G13="BBVA BANCO BARBARA"</formula>
    </cfRule>
    <cfRule type="expression" dxfId="478" priority="66352">
      <formula>$G12="BBVA BANCO BARBARA"</formula>
    </cfRule>
    <cfRule type="expression" dxfId="477" priority="66353">
      <formula>$G11="BBVA BANCO BARBARA"</formula>
    </cfRule>
    <cfRule type="expression" dxfId="476" priority="66354">
      <formula>$G14="BBVA BANCO BARBARA"</formula>
    </cfRule>
    <cfRule type="expression" dxfId="475" priority="66355">
      <formula>$G16="BBVA BANCO BARBARA"</formula>
    </cfRule>
    <cfRule type="expression" dxfId="474" priority="66356">
      <formula>$G68="CIUDAD BANCO"</formula>
    </cfRule>
    <cfRule type="expression" dxfId="473" priority="66357">
      <formula>$G68="ITAU BANCO"</formula>
    </cfRule>
    <cfRule type="expression" dxfId="472" priority="66358">
      <formula>$G68="HSBC BANCO"</formula>
    </cfRule>
    <cfRule type="expression" dxfId="471" priority="66359">
      <formula>$G68="BBVA BANCO"</formula>
    </cfRule>
    <cfRule type="expression" dxfId="470" priority="66360">
      <formula>$G68="HSBC BANCO"</formula>
    </cfRule>
    <cfRule type="expression" dxfId="469" priority="66361">
      <formula>#REF!="BBVA BANCO RAMONA"</formula>
    </cfRule>
    <cfRule type="expression" dxfId="468" priority="66362">
      <formula>#REF!="BBVA BANCO BARBARA"</formula>
    </cfRule>
    <cfRule type="expression" dxfId="467" priority="66363">
      <formula>#REF!="BBVA BANCO RAMONA"</formula>
    </cfRule>
    <cfRule type="expression" dxfId="466" priority="66364">
      <formula>$G1048562="BBVA BANCO BARBARA"</formula>
    </cfRule>
    <cfRule type="expression" dxfId="465" priority="66365">
      <formula>$G1048556="BBVA BANCO BARBARA"</formula>
    </cfRule>
    <cfRule type="expression" dxfId="464" priority="66366">
      <formula>$G1048557="BBVA BANCO BARBARA"</formula>
    </cfRule>
    <cfRule type="expression" dxfId="463" priority="66367">
      <formula>$G1048563="BBVA BANCO BARBARA"</formula>
    </cfRule>
    <cfRule type="expression" dxfId="462" priority="66368">
      <formula>$G68="CIUDAD BANCO"</formula>
    </cfRule>
    <cfRule type="expression" dxfId="461" priority="66369">
      <formula>$G68="ITAU BANCO"</formula>
    </cfRule>
    <cfRule type="expression" dxfId="460" priority="66370">
      <formula>$G68="HSBC BANCO"</formula>
    </cfRule>
    <cfRule type="expression" dxfId="459" priority="66371">
      <formula>$G68="BBVA BANCO"</formula>
    </cfRule>
    <cfRule type="expression" dxfId="458" priority="66372">
      <formula>$G68="HSBC BANCO"</formula>
    </cfRule>
    <cfRule type="expression" dxfId="457" priority="66373">
      <formula>#REF!="BBVA BANCO RAMONA"</formula>
    </cfRule>
    <cfRule type="expression" dxfId="456" priority="66374">
      <formula>#REF!="BBVA BANCO BARBARA"</formula>
    </cfRule>
    <cfRule type="expression" dxfId="455" priority="66375">
      <formula>#REF!="BBVA BANCO RAMONA"</formula>
    </cfRule>
    <cfRule type="expression" dxfId="454" priority="66376">
      <formula>#REF!="BBVA BANCO BARBARA"</formula>
    </cfRule>
    <cfRule type="expression" dxfId="453" priority="66377">
      <formula>$G1048563="BBVA BANCO BARBARA"</formula>
    </cfRule>
    <cfRule type="expression" dxfId="452" priority="66378">
      <formula>$G68="CIUDAD BANCO"</formula>
    </cfRule>
    <cfRule type="expression" dxfId="451" priority="66379">
      <formula>#REF!="BBVA BANCO RAMONA"</formula>
    </cfRule>
    <cfRule type="expression" dxfId="450" priority="66380">
      <formula>$G68="BBVA BANCO"</formula>
    </cfRule>
    <cfRule type="expression" dxfId="449" priority="66381">
      <formula>$G68="HSBC BANCO"</formula>
    </cfRule>
    <cfRule type="expression" dxfId="448" priority="66382">
      <formula>$G68="ITAU BANCO"</formula>
    </cfRule>
    <cfRule type="expression" dxfId="447" priority="66383">
      <formula>#REF!="BBVA BANCO RAMONA"</formula>
    </cfRule>
    <cfRule type="expression" dxfId="446" priority="66384">
      <formula>$G1048557="BBVA BANCO BARBARA"</formula>
    </cfRule>
    <cfRule type="expression" dxfId="445" priority="66385">
      <formula>#REF!="BBVA BANCO BARBARA"</formula>
    </cfRule>
    <cfRule type="expression" dxfId="444" priority="66386">
      <formula>$G1048562="BBVA BANCO BARBARA"</formula>
    </cfRule>
    <cfRule type="expression" dxfId="443" priority="66387">
      <formula>$G1048556="BBVA BANCO BARBARA"</formula>
    </cfRule>
    <cfRule type="expression" dxfId="442" priority="66388">
      <formula>$G68="HSBC BANCO"</formula>
    </cfRule>
    <cfRule type="expression" dxfId="441" priority="66389">
      <formula>$G11="BBVA BANCO BARBARA"</formula>
    </cfRule>
    <cfRule type="expression" dxfId="440" priority="66390">
      <formula>$G10="BBVA BANCO BARBARA"</formula>
    </cfRule>
    <cfRule type="expression" dxfId="439" priority="66391">
      <formula>$G13="BBVA BANCO BARBARA"</formula>
    </cfRule>
    <cfRule type="expression" dxfId="438" priority="66392">
      <formula>$G8="BBVA BANCO BARBARA"</formula>
    </cfRule>
    <cfRule type="expression" dxfId="437" priority="66393">
      <formula>$G12="BBVA BANCO BARBARA"</formula>
    </cfRule>
    <cfRule type="expression" dxfId="436" priority="66394">
      <formula>$G14="BBVA BANCO BARBARA"</formula>
    </cfRule>
    <cfRule type="expression" dxfId="435" priority="66395">
      <formula>$G15="BBVA BANCO BARBARA"</formula>
    </cfRule>
    <cfRule type="expression" dxfId="434" priority="66396">
      <formula>$G68="CIUDAD BANCO"</formula>
    </cfRule>
    <cfRule type="expression" dxfId="433" priority="66397">
      <formula>$G68="ITAU BANCO"</formula>
    </cfRule>
    <cfRule type="expression" dxfId="432" priority="66398">
      <formula>$G68="HSBC BANCO"</formula>
    </cfRule>
    <cfRule type="expression" dxfId="431" priority="66399">
      <formula>$G68="BBVA BANCO"</formula>
    </cfRule>
    <cfRule type="expression" dxfId="430" priority="66400">
      <formula>$G68="HSBC BANCO"</formula>
    </cfRule>
    <cfRule type="expression" dxfId="429" priority="66401">
      <formula>#REF!="BBVA BANCO RAMONA"</formula>
    </cfRule>
    <cfRule type="expression" dxfId="428" priority="66402">
      <formula>#REF!="BBVA BANCO BARBARA"</formula>
    </cfRule>
    <cfRule type="expression" dxfId="427" priority="66403">
      <formula>#REF!="BBVA BANCO RAMONA"</formula>
    </cfRule>
    <cfRule type="expression" dxfId="426" priority="66404">
      <formula>$G1048565="BBVA BANCO BARBARA"</formula>
    </cfRule>
    <cfRule type="expression" dxfId="425" priority="66405">
      <formula>$G1048563="BBVA BANCO BARBARA"</formula>
    </cfRule>
    <cfRule type="expression" dxfId="424" priority="66406">
      <formula>$G1048557="BBVA BANCO BARBARA"</formula>
    </cfRule>
    <cfRule type="expression" dxfId="423" priority="66407">
      <formula>$G1048558="BBVA BANCO BARBARA"</formula>
    </cfRule>
    <cfRule type="expression" dxfId="422" priority="66408">
      <formula>$G1048564="BBVA BANCO BARBARA"</formula>
    </cfRule>
    <cfRule type="expression" dxfId="421" priority="66409">
      <formula>$G68="CIUDAD BANCO"</formula>
    </cfRule>
    <cfRule type="expression" dxfId="420" priority="66410">
      <formula>$G68="ITAU BANCO"</formula>
    </cfRule>
    <cfRule type="expression" dxfId="419" priority="66411">
      <formula>$G68="HSBC BANCO"</formula>
    </cfRule>
    <cfRule type="expression" dxfId="418" priority="66412">
      <formula>$G68="BBVA BANCO"</formula>
    </cfRule>
    <cfRule type="expression" dxfId="417" priority="66413">
      <formula>$G68="HSBC BANCO"</formula>
    </cfRule>
    <cfRule type="expression" dxfId="416" priority="66414">
      <formula>#REF!="BBVA BANCO RAMONA"</formula>
    </cfRule>
    <cfRule type="expression" dxfId="415" priority="66415">
      <formula>#REF!="BBVA BANCO BARBARA"</formula>
    </cfRule>
    <cfRule type="expression" dxfId="414" priority="66416">
      <formula>#REF!="BBVA BANCO RAMONA"</formula>
    </cfRule>
    <cfRule type="expression" dxfId="413" priority="66417">
      <formula>$G8="BBVA BANCO BARBARA"</formula>
    </cfRule>
    <cfRule type="expression" dxfId="412" priority="66418">
      <formula>$G14="BBVA BANCO BARBARA"</formula>
    </cfRule>
    <cfRule type="expression" dxfId="411" priority="66419">
      <formula>$G9="BBVA BANCO BARBARA"</formula>
    </cfRule>
    <cfRule type="expression" dxfId="410" priority="66420">
      <formula>$G12="BBVA BANCO BARBARA"</formula>
    </cfRule>
    <cfRule type="expression" dxfId="409" priority="66421">
      <formula>$G11="BBVA BANCO BARBARA"</formula>
    </cfRule>
    <cfRule type="expression" dxfId="408" priority="66422">
      <formula>$G10="BBVA BANCO BARBARA"</formula>
    </cfRule>
    <cfRule type="expression" dxfId="407" priority="66423">
      <formula>$G13="BBVA BANCO BARBARA"</formula>
    </cfRule>
    <cfRule type="expression" dxfId="406" priority="66424">
      <formula>$G15="BBVA BANCO BARBARA"</formula>
    </cfRule>
    <cfRule type="expression" dxfId="405" priority="66425">
      <formula>$G68="CIUDAD BANCO"</formula>
    </cfRule>
    <cfRule type="expression" dxfId="404" priority="66426">
      <formula>$G68="ITAU BANCO"</formula>
    </cfRule>
    <cfRule type="expression" dxfId="403" priority="66427">
      <formula>$G68="HSBC BANCO"</formula>
    </cfRule>
    <cfRule type="expression" dxfId="402" priority="66428">
      <formula>$G68="BBVA BANCO"</formula>
    </cfRule>
    <cfRule type="expression" dxfId="401" priority="66429">
      <formula>$G68="HSBC BANCO"</formula>
    </cfRule>
    <cfRule type="expression" dxfId="400" priority="66430">
      <formula>#REF!="BBVA BANCO RAMONA"</formula>
    </cfRule>
    <cfRule type="expression" dxfId="399" priority="66431">
      <formula>#REF!="BBVA BANCO BARBARA"</formula>
    </cfRule>
    <cfRule type="expression" dxfId="398" priority="66432">
      <formula>#REF!="BBVA BANCO RAMONA"</formula>
    </cfRule>
    <cfRule type="expression" dxfId="397" priority="66433">
      <formula>$G1048562="BBVA BANCO BARBARA"</formula>
    </cfRule>
    <cfRule type="expression" dxfId="396" priority="66434">
      <formula>$G1048556="BBVA BANCO BARBARA"</formula>
    </cfRule>
    <cfRule type="expression" dxfId="395" priority="66435">
      <formula>$G1048557="BBVA BANCO BARBARA"</formula>
    </cfRule>
    <cfRule type="expression" dxfId="394" priority="66436">
      <formula>$G1048563="BBVA BANCO BARBARA"</formula>
    </cfRule>
    <cfRule type="expression" dxfId="393" priority="66437">
      <formula>$G68="CIUDAD BANCO"</formula>
    </cfRule>
    <cfRule type="expression" dxfId="392" priority="66438">
      <formula>$G68="ITAU BANCO"</formula>
    </cfRule>
    <cfRule type="expression" dxfId="391" priority="66439">
      <formula>$G68="HSBC BANCO"</formula>
    </cfRule>
    <cfRule type="expression" dxfId="390" priority="66440">
      <formula>$G68="BBVA BANCO"</formula>
    </cfRule>
    <cfRule type="expression" dxfId="389" priority="66441">
      <formula>$G68="HSBC BANCO"</formula>
    </cfRule>
    <cfRule type="expression" dxfId="388" priority="66442">
      <formula>#REF!="BBVA BANCO RAMONA"</formula>
    </cfRule>
    <cfRule type="expression" dxfId="387" priority="66443">
      <formula>#REF!="BBVA BANCO BARBARA"</formula>
    </cfRule>
    <cfRule type="expression" dxfId="386" priority="66444">
      <formula>#REF!="BBVA BANCO RAMONA"</formula>
    </cfRule>
    <cfRule type="expression" dxfId="385" priority="66445">
      <formula>$G10="BBVA BANCO BARBARA"</formula>
    </cfRule>
    <cfRule type="expression" dxfId="384" priority="66446">
      <formula>$G9="BBVA BANCO BARBARA"</formula>
    </cfRule>
    <cfRule type="expression" dxfId="383" priority="66447">
      <formula>$G12="BBVA BANCO BARBARA"</formula>
    </cfRule>
    <cfRule type="expression" dxfId="382" priority="66448">
      <formula>$G7="BBVA BANCO BARBARA"</formula>
    </cfRule>
    <cfRule type="expression" dxfId="381" priority="66449">
      <formula>$G11="BBVA BANCO BARBARA"</formula>
    </cfRule>
    <cfRule type="expression" dxfId="380" priority="66450">
      <formula>$G13="BBVA BANCO BARBARA"</formula>
    </cfRule>
    <cfRule type="expression" dxfId="379" priority="66451">
      <formula>$G14="BBVA BANCO BARBARA"</formula>
    </cfRule>
    <cfRule type="expression" dxfId="378" priority="66452">
      <formula>$G68="CIUDAD BANCO"</formula>
    </cfRule>
    <cfRule type="expression" dxfId="377" priority="66453">
      <formula>$G68="ITAU BANCO"</formula>
    </cfRule>
    <cfRule type="expression" dxfId="376" priority="66454">
      <formula>$G68="HSBC BANCO"</formula>
    </cfRule>
    <cfRule type="expression" dxfId="375" priority="66455">
      <formula>$G68="BBVA BANCO"</formula>
    </cfRule>
    <cfRule type="expression" dxfId="374" priority="66456">
      <formula>$G68="HSBC BANCO"</formula>
    </cfRule>
    <cfRule type="expression" dxfId="373" priority="66457">
      <formula>#REF!="BBVA BANCO RAMONA"</formula>
    </cfRule>
    <cfRule type="expression" dxfId="372" priority="66458">
      <formula>#REF!="BBVA BANCO BARBARA"</formula>
    </cfRule>
    <cfRule type="expression" dxfId="371" priority="66459">
      <formula>#REF!="BBVA BANCO RAMONA"</formula>
    </cfRule>
    <cfRule type="expression" dxfId="370" priority="66460">
      <formula>$G1048565="BBVA BANCO BARBARA"</formula>
    </cfRule>
    <cfRule type="expression" dxfId="369" priority="66461">
      <formula>$G1048558="BBVA BANCO BARBARA"</formula>
    </cfRule>
    <cfRule type="expression" dxfId="368" priority="66462">
      <formula>$G1048564="BBVA BANCO BARBARA"</formula>
    </cfRule>
    <cfRule type="expression" dxfId="367" priority="66463">
      <formula>$G68="CIUDAD BANCO"</formula>
    </cfRule>
    <cfRule type="expression" dxfId="366" priority="66464">
      <formula>$G68="ITAU BANCO"</formula>
    </cfRule>
    <cfRule type="expression" dxfId="365" priority="66465">
      <formula>$G68="HSBC BANCO"</formula>
    </cfRule>
    <cfRule type="expression" dxfId="364" priority="66466">
      <formula>$G68="BBVA BANCO"</formula>
    </cfRule>
    <cfRule type="expression" dxfId="363" priority="66467">
      <formula>$G68="HSBC BANCO"</formula>
    </cfRule>
    <cfRule type="expression" dxfId="362" priority="66468">
      <formula>#REF!="BBVA BANCO RAMONA"</formula>
    </cfRule>
    <cfRule type="expression" dxfId="361" priority="66469">
      <formula>$G7="BBVA BANCO BARBARA"</formula>
    </cfRule>
    <cfRule type="expression" dxfId="360" priority="66470">
      <formula>$G13="BBVA BANCO BARBARA"</formula>
    </cfRule>
    <cfRule type="expression" dxfId="359" priority="66471">
      <formula>$G8="BBVA BANCO BARBARA"</formula>
    </cfRule>
    <cfRule type="expression" dxfId="358" priority="66472">
      <formula>$G11="BBVA BANCO BARBARA"</formula>
    </cfRule>
    <cfRule type="expression" dxfId="357" priority="66473">
      <formula>$G10="BBVA BANCO BARBARA"</formula>
    </cfRule>
    <cfRule type="expression" dxfId="356" priority="66474">
      <formula>$G9="BBVA BANCO BARBARA"</formula>
    </cfRule>
    <cfRule type="expression" dxfId="355" priority="66475">
      <formula>$G12="BBVA BANCO BARBARA"</formula>
    </cfRule>
    <cfRule type="expression" dxfId="354" priority="66476">
      <formula>$G14="BBVA BANCO BARBARA"</formula>
    </cfRule>
    <cfRule type="expression" dxfId="353" priority="66477">
      <formula>$G1048565="BBVA BANCO BARBARA"</formula>
    </cfRule>
    <cfRule type="expression" dxfId="352" priority="66478">
      <formula>$G1048559="BBVA BANCO BARBARA"</formula>
    </cfRule>
    <cfRule type="expression" dxfId="351" priority="66479">
      <formula>$G1048566="BBVA BANCO BARBARA"</formula>
    </cfRule>
    <cfRule type="expression" dxfId="350" priority="66480">
      <formula>$G1048558="BBVA BANCO BARBARA"</formula>
    </cfRule>
    <cfRule type="expression" dxfId="349" priority="66481">
      <formula>$G1048564="BBVA BANCO BARBARA"</formula>
    </cfRule>
    <cfRule type="expression" dxfId="348" priority="66482">
      <formula>$G1048560="BBVA BANCO BARBARA"</formula>
    </cfRule>
    <cfRule type="expression" dxfId="347" priority="66483">
      <formula>$G1048567="BBVA BANCO BARBARA"</formula>
    </cfRule>
    <cfRule type="expression" dxfId="346" priority="66484">
      <formula>$G1048563="BBVA BANCO BARBARA"</formula>
    </cfRule>
    <cfRule type="expression" dxfId="345" priority="66485">
      <formula>$G1048557="BBVA BANCO BARBARA"</formula>
    </cfRule>
    <cfRule type="expression" dxfId="344" priority="66486">
      <formula>$G68="CIUDAD BANCO"</formula>
    </cfRule>
    <cfRule type="expression" dxfId="343" priority="66487">
      <formula>$G68="ITAU BANCO"</formula>
    </cfRule>
    <cfRule type="expression" dxfId="342" priority="66488">
      <formula>$G1048563="BBVA BANCO BARBARA"</formula>
    </cfRule>
    <cfRule type="expression" dxfId="341" priority="66489">
      <formula>$G1048567="BBVA BANCO BARBARA"</formula>
    </cfRule>
    <cfRule type="expression" dxfId="340" priority="66490">
      <formula>$G68="ITAU BANCO"</formula>
    </cfRule>
    <cfRule type="expression" dxfId="339" priority="66491">
      <formula>$G68="HSBC BANCO"</formula>
    </cfRule>
    <cfRule type="expression" dxfId="338" priority="66492">
      <formula>$G1048560="BBVA BANCO BARBARA"</formula>
    </cfRule>
    <cfRule type="expression" dxfId="337" priority="66493">
      <formula>$G68="CIUDAD BANCO"</formula>
    </cfRule>
    <cfRule type="expression" dxfId="336" priority="66494">
      <formula>$G1048557="BBVA BANCO BARBARA"</formula>
    </cfRule>
    <cfRule type="expression" dxfId="335" priority="66495">
      <formula>$G68="BBVA BANCO"</formula>
    </cfRule>
    <cfRule type="expression" dxfId="334" priority="66496">
      <formula>$G68="HSBC BANCO"</formula>
    </cfRule>
    <cfRule type="expression" dxfId="333" priority="66497">
      <formula>#REF!="BBVA BANCO RAMONA"</formula>
    </cfRule>
    <cfRule type="expression" dxfId="332" priority="66498">
      <formula>#REF!="BBVA BANCO BARBARA"</formula>
    </cfRule>
    <cfRule type="expression" dxfId="331" priority="66499">
      <formula>#REF!="BBVA BANCO RAMONA"</formula>
    </cfRule>
    <cfRule type="expression" dxfId="330" priority="66500">
      <formula>$G11="BBVA BANCO BARBARA"</formula>
    </cfRule>
    <cfRule type="expression" dxfId="329" priority="66501">
      <formula>$G10="BBVA BANCO BARBARA"</formula>
    </cfRule>
    <cfRule type="expression" dxfId="328" priority="66502">
      <formula>$G13="BBVA BANCO BARBARA"</formula>
    </cfRule>
    <cfRule type="expression" dxfId="327" priority="66503">
      <formula>$G8="BBVA BANCO BARBARA"</formula>
    </cfRule>
    <cfRule type="expression" dxfId="326" priority="66504">
      <formula>$G12="BBVA BANCO BARBARA"</formula>
    </cfRule>
    <cfRule type="expression" dxfId="325" priority="66505">
      <formula>$G14="BBVA BANCO BARBARA"</formula>
    </cfRule>
    <cfRule type="expression" dxfId="324" priority="66506">
      <formula>$G15="BBVA BANCO BARBARA"</formula>
    </cfRule>
    <cfRule type="expression" dxfId="323" priority="66507">
      <formula>$G68="CIUDAD BANCO"</formula>
    </cfRule>
    <cfRule type="expression" dxfId="322" priority="66508">
      <formula>$G68="ITAU BANCO"</formula>
    </cfRule>
    <cfRule type="expression" dxfId="321" priority="66509">
      <formula>$G68="HSBC BANCO"</formula>
    </cfRule>
    <cfRule type="expression" dxfId="320" priority="66510">
      <formula>$G68="BBVA BANCO"</formula>
    </cfRule>
    <cfRule type="expression" dxfId="319" priority="66511">
      <formula>$G68="HSBC BANCO"</formula>
    </cfRule>
    <cfRule type="expression" dxfId="318" priority="66512">
      <formula>#REF!="BBVA BANCO RAMONA"</formula>
    </cfRule>
    <cfRule type="expression" dxfId="317" priority="66513">
      <formula>#REF!="BBVA BANCO BARBARA"</formula>
    </cfRule>
    <cfRule type="expression" dxfId="316" priority="66514">
      <formula>#REF!="BBVA BANCO RAMONA"</formula>
    </cfRule>
    <cfRule type="expression" dxfId="315" priority="66515">
      <formula>$G1048565="BBVA BANCO BARBARA"</formula>
    </cfRule>
    <cfRule type="expression" dxfId="314" priority="66516">
      <formula>$G1048563="BBVA BANCO BARBARA"</formula>
    </cfRule>
    <cfRule type="expression" dxfId="313" priority="66517">
      <formula>$G1048557="BBVA BANCO BARBARA"</formula>
    </cfRule>
    <cfRule type="expression" dxfId="312" priority="66518">
      <formula>$G1048558="BBVA BANCO BARBARA"</formula>
    </cfRule>
    <cfRule type="expression" dxfId="311" priority="66519">
      <formula>$G1048564="BBVA BANCO BARBARA"</formula>
    </cfRule>
    <cfRule type="expression" dxfId="310" priority="66520">
      <formula>$G68="CIUDAD BANCO"</formula>
    </cfRule>
    <cfRule type="expression" dxfId="309" priority="66521">
      <formula>$G68="ITAU BANCO"</formula>
    </cfRule>
    <cfRule type="expression" dxfId="308" priority="66522">
      <formula>$G68="HSBC BANCO"</formula>
    </cfRule>
    <cfRule type="expression" dxfId="307" priority="66523">
      <formula>$G68="BBVA BANCO"</formula>
    </cfRule>
    <cfRule type="expression" dxfId="306" priority="66524">
      <formula>$G68="HSBC BANCO"</formula>
    </cfRule>
    <cfRule type="expression" dxfId="305" priority="66525">
      <formula>#REF!="BBVA BANCO RAMONA"</formula>
    </cfRule>
    <cfRule type="expression" dxfId="304" priority="66526">
      <formula>#REF!="BBVA BANCO BARBARA"</formula>
    </cfRule>
    <cfRule type="expression" dxfId="303" priority="66527">
      <formula>#REF!="BBVA BANCO RAMONA"</formula>
    </cfRule>
    <cfRule type="expression" dxfId="302" priority="66528">
      <formula>$G8="BBVA BANCO BARBARA"</formula>
    </cfRule>
    <cfRule type="expression" dxfId="301" priority="66529">
      <formula>$G14="BBVA BANCO BARBARA"</formula>
    </cfRule>
    <cfRule type="expression" dxfId="300" priority="66530">
      <formula>$G9="BBVA BANCO BARBARA"</formula>
    </cfRule>
    <cfRule type="expression" dxfId="299" priority="66531">
      <formula>$G12="BBVA BANCO BARBARA"</formula>
    </cfRule>
    <cfRule type="expression" dxfId="298" priority="66532">
      <formula>$G11="BBVA BANCO BARBARA"</formula>
    </cfRule>
    <cfRule type="expression" dxfId="297" priority="66533">
      <formula>$G10="BBVA BANCO BARBARA"</formula>
    </cfRule>
    <cfRule type="expression" dxfId="296" priority="66534">
      <formula>$G13="BBVA BANCO BARBARA"</formula>
    </cfRule>
    <cfRule type="expression" dxfId="295" priority="66535">
      <formula>$G15="BBVA BANCO BARBARA"</formula>
    </cfRule>
    <cfRule type="expression" dxfId="294" priority="66536">
      <formula>$G68="CIUDAD BANCO"</formula>
    </cfRule>
    <cfRule type="expression" dxfId="293" priority="66537">
      <formula>$G68="ITAU BANCO"</formula>
    </cfRule>
    <cfRule type="expression" dxfId="292" priority="66538">
      <formula>$G68="HSBC BANCO"</formula>
    </cfRule>
    <cfRule type="expression" dxfId="291" priority="66539">
      <formula>$G68="BBVA BANCO"</formula>
    </cfRule>
    <cfRule type="expression" dxfId="290" priority="66540">
      <formula>$G68="HSBC BANCO"</formula>
    </cfRule>
    <cfRule type="expression" dxfId="289" priority="66541">
      <formula>#REF!="BBVA BANCO RAMONA"</formula>
    </cfRule>
    <cfRule type="expression" dxfId="288" priority="66542">
      <formula>#REF!="BBVA BANCO BARBARA"</formula>
    </cfRule>
    <cfRule type="expression" dxfId="287" priority="66543">
      <formula>#REF!="BBVA BANCO RAMONA"</formula>
    </cfRule>
    <cfRule type="expression" dxfId="286" priority="66544">
      <formula>$G1048562="BBVA BANCO BARBARA"</formula>
    </cfRule>
    <cfRule type="expression" dxfId="285" priority="66545">
      <formula>$G1048556="BBVA BANCO BARBARA"</formula>
    </cfRule>
    <cfRule type="expression" dxfId="284" priority="66546">
      <formula>$G1048557="BBVA BANCO BARBARA"</formula>
    </cfRule>
    <cfRule type="expression" dxfId="283" priority="66547">
      <formula>$G1048563="BBVA BANCO BARBARA"</formula>
    </cfRule>
    <cfRule type="expression" dxfId="282" priority="66548">
      <formula>$G68="CIUDAD BANCO"</formula>
    </cfRule>
    <cfRule type="expression" dxfId="281" priority="66549">
      <formula>$G68="ITAU BANCO"</formula>
    </cfRule>
    <cfRule type="expression" dxfId="280" priority="66550">
      <formula>$G68="HSBC BANCO"</formula>
    </cfRule>
    <cfRule type="expression" dxfId="279" priority="66551">
      <formula>$G68="BBVA BANCO"</formula>
    </cfRule>
    <cfRule type="expression" dxfId="278" priority="66552">
      <formula>$G68="HSBC BANCO"</formula>
    </cfRule>
    <cfRule type="expression" dxfId="277" priority="66553">
      <formula>#REF!="BBVA BANCO RAMONA"</formula>
    </cfRule>
    <cfRule type="expression" dxfId="276" priority="66554">
      <formula>#REF!="BBVA BANCO BARBARA"</formula>
    </cfRule>
    <cfRule type="expression" dxfId="275" priority="66555">
      <formula>#REF!="BBVA BANCO RAMONA"</formula>
    </cfRule>
    <cfRule type="expression" dxfId="274" priority="66556">
      <formula>#REF!="BBVA BANCO BARBARA"</formula>
    </cfRule>
    <cfRule type="expression" dxfId="273" priority="66557">
      <formula>$G1048563="BBVA BANCO BARBARA"</formula>
    </cfRule>
    <cfRule type="expression" dxfId="272" priority="66558">
      <formula>$G68="CIUDAD BANCO"</formula>
    </cfRule>
    <cfRule type="expression" dxfId="271" priority="66559">
      <formula>#REF!="BBVA BANCO RAMONA"</formula>
    </cfRule>
    <cfRule type="expression" dxfId="270" priority="66560">
      <formula>$G68="BBVA BANCO"</formula>
    </cfRule>
    <cfRule type="expression" dxfId="269" priority="66561">
      <formula>$G68="HSBC BANCO"</formula>
    </cfRule>
    <cfRule type="expression" dxfId="268" priority="66562">
      <formula>$G68="ITAU BANCO"</formula>
    </cfRule>
    <cfRule type="expression" dxfId="267" priority="66563">
      <formula>#REF!="BBVA BANCO RAMONA"</formula>
    </cfRule>
    <cfRule type="expression" dxfId="266" priority="66564">
      <formula>$G1048557="BBVA BANCO BARBARA"</formula>
    </cfRule>
    <cfRule type="expression" dxfId="265" priority="66565">
      <formula>#REF!="BBVA BANCO BARBARA"</formula>
    </cfRule>
    <cfRule type="expression" dxfId="264" priority="66566">
      <formula>$G1048562="BBVA BANCO BARBARA"</formula>
    </cfRule>
    <cfRule type="expression" dxfId="263" priority="66567">
      <formula>$G1048556="BBVA BANCO BARBARA"</formula>
    </cfRule>
    <cfRule type="expression" dxfId="262" priority="66568">
      <formula>$G68="HSBC BANCO"</formula>
    </cfRule>
    <cfRule type="expression" dxfId="261" priority="66569">
      <formula>$G10="BBVA BANCO BARBARA"</formula>
    </cfRule>
    <cfRule type="expression" dxfId="260" priority="66570">
      <formula>$G9="BBVA BANCO BARBARA"</formula>
    </cfRule>
    <cfRule type="expression" dxfId="259" priority="66571">
      <formula>$G12="BBVA BANCO BARBARA"</formula>
    </cfRule>
    <cfRule type="expression" dxfId="258" priority="66572">
      <formula>$G7="BBVA BANCO BARBARA"</formula>
    </cfRule>
    <cfRule type="expression" dxfId="257" priority="66573">
      <formula>$G11="BBVA BANCO BARBARA"</formula>
    </cfRule>
    <cfRule type="expression" dxfId="256" priority="66574">
      <formula>$G13="BBVA BANCO BARBARA"</formula>
    </cfRule>
    <cfRule type="expression" dxfId="255" priority="66575">
      <formula>$G14="BBVA BANCO BARBARA"</formula>
    </cfRule>
    <cfRule type="expression" dxfId="254" priority="66576">
      <formula>$G68="CIUDAD BANCO"</formula>
    </cfRule>
    <cfRule type="expression" dxfId="253" priority="66577">
      <formula>$G68="ITAU BANCO"</formula>
    </cfRule>
    <cfRule type="expression" dxfId="252" priority="66578">
      <formula>$G68="HSBC BANCO"</formula>
    </cfRule>
    <cfRule type="expression" dxfId="251" priority="66579">
      <formula>$G68="BBVA BANCO"</formula>
    </cfRule>
    <cfRule type="expression" dxfId="250" priority="66580">
      <formula>$G68="HSBC BANCO"</formula>
    </cfRule>
    <cfRule type="expression" dxfId="249" priority="66581">
      <formula>#REF!="BBVA BANCO RAMONA"</formula>
    </cfRule>
    <cfRule type="expression" dxfId="248" priority="66582">
      <formula>#REF!="BBVA BANCO BARBARA"</formula>
    </cfRule>
    <cfRule type="expression" dxfId="247" priority="66583">
      <formula>#REF!="BBVA BANCO RAMONA"</formula>
    </cfRule>
    <cfRule type="expression" dxfId="246" priority="66584">
      <formula>$G1048565="BBVA BANCO BARBARA"</formula>
    </cfRule>
    <cfRule type="expression" dxfId="245" priority="66585">
      <formula>$G1048563="BBVA BANCO BARBARA"</formula>
    </cfRule>
    <cfRule type="expression" dxfId="244" priority="66586">
      <formula>$G1048557="BBVA BANCO BARBARA"</formula>
    </cfRule>
    <cfRule type="expression" dxfId="243" priority="66587">
      <formula>$G1048558="BBVA BANCO BARBARA"</formula>
    </cfRule>
    <cfRule type="expression" dxfId="242" priority="66588">
      <formula>$G1048564="BBVA BANCO BARBARA"</formula>
    </cfRule>
    <cfRule type="expression" dxfId="241" priority="66589">
      <formula>$G68="CIUDAD BANCO"</formula>
    </cfRule>
    <cfRule type="expression" dxfId="240" priority="66590">
      <formula>$G68="ITAU BANCO"</formula>
    </cfRule>
    <cfRule type="expression" dxfId="239" priority="66591">
      <formula>$G68="HSBC BANCO"</formula>
    </cfRule>
    <cfRule type="expression" dxfId="238" priority="66592">
      <formula>$G68="BBVA BANCO"</formula>
    </cfRule>
    <cfRule type="expression" dxfId="237" priority="66593">
      <formula>$G68="HSBC BANCO"</formula>
    </cfRule>
    <cfRule type="expression" dxfId="236" priority="66594">
      <formula>#REF!="BBVA BANCO RAMONA"</formula>
    </cfRule>
    <cfRule type="expression" dxfId="235" priority="66595">
      <formula>#REF!="BBVA BANCO BARBARA"</formula>
    </cfRule>
    <cfRule type="expression" dxfId="234" priority="66596">
      <formula>#REF!="BBVA BANCO RAMONA"</formula>
    </cfRule>
    <cfRule type="expression" dxfId="233" priority="66597">
      <formula>$G7="BBVA BANCO BARBARA"</formula>
    </cfRule>
    <cfRule type="expression" dxfId="232" priority="66598">
      <formula>$G13="BBVA BANCO BARBARA"</formula>
    </cfRule>
    <cfRule type="expression" dxfId="231" priority="66599">
      <formula>$G8="BBVA BANCO BARBARA"</formula>
    </cfRule>
    <cfRule type="expression" dxfId="230" priority="66600">
      <formula>$G11="BBVA BANCO BARBARA"</formula>
    </cfRule>
    <cfRule type="expression" dxfId="229" priority="66601">
      <formula>$G10="BBVA BANCO BARBARA"</formula>
    </cfRule>
    <cfRule type="expression" dxfId="228" priority="66602">
      <formula>$G9="BBVA BANCO BARBARA"</formula>
    </cfRule>
    <cfRule type="expression" dxfId="227" priority="66603">
      <formula>$G12="BBVA BANCO BARBARA"</formula>
    </cfRule>
    <cfRule type="expression" dxfId="226" priority="66604">
      <formula>$G14="BBVA BANCO BARBARA"</formula>
    </cfRule>
    <cfRule type="expression" dxfId="225" priority="66605">
      <formula>$G68="CIUDAD BANCO"</formula>
    </cfRule>
    <cfRule type="expression" dxfId="224" priority="66606">
      <formula>$G68="ITAU BANCO"</formula>
    </cfRule>
    <cfRule type="expression" dxfId="223" priority="66607">
      <formula>$G68="HSBC BANCO"</formula>
    </cfRule>
    <cfRule type="expression" dxfId="222" priority="66608">
      <formula>$G68="BBVA BANCO"</formula>
    </cfRule>
    <cfRule type="expression" dxfId="221" priority="66609">
      <formula>$G68="HSBC BANCO"</formula>
    </cfRule>
    <cfRule type="expression" dxfId="220" priority="66610">
      <formula>#REF!="BBVA BANCO RAMONA"</formula>
    </cfRule>
    <cfRule type="expression" dxfId="219" priority="66611">
      <formula>#REF!="BBVA BANCO BARBARA"</formula>
    </cfRule>
    <cfRule type="expression" dxfId="218" priority="66612">
      <formula>#REF!="BBVA BANCO RAMONA"</formula>
    </cfRule>
    <cfRule type="expression" dxfId="217" priority="66613">
      <formula>$G1048562="BBVA BANCO BARBARA"</formula>
    </cfRule>
    <cfRule type="expression" dxfId="216" priority="66614">
      <formula>$G1048556="BBVA BANCO BARBARA"</formula>
    </cfRule>
    <cfRule type="expression" dxfId="215" priority="66615">
      <formula>$G1048557="BBVA BANCO BARBARA"</formula>
    </cfRule>
    <cfRule type="expression" dxfId="214" priority="66616">
      <formula>$G1048563="BBVA BANCO BARBARA"</formula>
    </cfRule>
    <cfRule type="expression" dxfId="213" priority="66617">
      <formula>$G68="CIUDAD BANCO"</formula>
    </cfRule>
    <cfRule type="expression" dxfId="212" priority="66618">
      <formula>$G68="ITAU BANCO"</formula>
    </cfRule>
    <cfRule type="expression" dxfId="211" priority="66619">
      <formula>$G68="HSBC BANCO"</formula>
    </cfRule>
    <cfRule type="expression" dxfId="210" priority="66620">
      <formula>$G68="BBVA BANCO"</formula>
    </cfRule>
    <cfRule type="expression" dxfId="209" priority="66621">
      <formula>$G68="HSBC BANCO"</formula>
    </cfRule>
    <cfRule type="expression" dxfId="208" priority="66622">
      <formula>#REF!="BBVA BANCO RAMONA"</formula>
    </cfRule>
    <cfRule type="expression" dxfId="207" priority="66623">
      <formula>#REF!="BBVA BANCO BARBARA"</formula>
    </cfRule>
    <cfRule type="expression" dxfId="206" priority="66624">
      <formula>#REF!="BBVA BANCO RAMONA"</formula>
    </cfRule>
    <cfRule type="expression" dxfId="205" priority="66625">
      <formula>$G9="BBVA BANCO BARBARA"</formula>
    </cfRule>
    <cfRule type="expression" dxfId="204" priority="66626">
      <formula>$G8="BBVA BANCO BARBARA"</formula>
    </cfRule>
    <cfRule type="expression" dxfId="203" priority="66627">
      <formula>$G11="BBVA BANCO BARBARA"</formula>
    </cfRule>
    <cfRule type="expression" dxfId="202" priority="66628">
      <formula>$G6="BBVA BANCO BARBARA"</formula>
    </cfRule>
    <cfRule type="expression" dxfId="201" priority="66629">
      <formula>$G10="BBVA BANCO BARBARA"</formula>
    </cfRule>
    <cfRule type="expression" dxfId="200" priority="66630">
      <formula>$G12="BBVA BANCO BARBARA"</formula>
    </cfRule>
    <cfRule type="expression" dxfId="199" priority="66631">
      <formula>$G13="BBVA BANCO BARBARA"</formula>
    </cfRule>
    <cfRule type="expression" dxfId="198" priority="66632">
      <formula>$G68="CIUDAD BANCO"</formula>
    </cfRule>
    <cfRule type="expression" dxfId="197" priority="66633">
      <formula>$G68="ITAU BANCO"</formula>
    </cfRule>
    <cfRule type="expression" dxfId="196" priority="66634">
      <formula>$G68="HSBC BANCO"</formula>
    </cfRule>
    <cfRule type="expression" dxfId="195" priority="66635">
      <formula>$G68="BBVA BANCO"</formula>
    </cfRule>
    <cfRule type="expression" dxfId="194" priority="66636">
      <formula>$G68="HSBC BANCO"</formula>
    </cfRule>
    <cfRule type="expression" dxfId="193" priority="66637">
      <formula>#REF!="BBVA BANCO RAMONA"</formula>
    </cfRule>
    <cfRule type="expression" dxfId="192" priority="66638">
      <formula>#REF!="BBVA BANCO BARBARA"</formula>
    </cfRule>
    <cfRule type="expression" dxfId="191" priority="66639">
      <formula>#REF!="BBVA BANCO RAMONA"</formula>
    </cfRule>
    <cfRule type="expression" dxfId="190" priority="66640">
      <formula>$G1048565="BBVA BANCO BARBARA"</formula>
    </cfRule>
    <cfRule type="expression" dxfId="189" priority="66641">
      <formula>$G1048558="BBVA BANCO BARBARA"</formula>
    </cfRule>
    <cfRule type="expression" dxfId="188" priority="66642">
      <formula>$G1048564="BBVA BANCO BARBARA"</formula>
    </cfRule>
    <cfRule type="expression" dxfId="187" priority="66643">
      <formula>$G68="CIUDAD BANCO"</formula>
    </cfRule>
    <cfRule type="expression" dxfId="186" priority="66644">
      <formula>$G68="ITAU BANCO"</formula>
    </cfRule>
    <cfRule type="expression" dxfId="185" priority="66645">
      <formula>$G68="HSBC BANCO"</formula>
    </cfRule>
    <cfRule type="expression" dxfId="184" priority="66646">
      <formula>$G68="BBVA BANCO"</formula>
    </cfRule>
    <cfRule type="expression" dxfId="183" priority="66647">
      <formula>$G68="HSBC BANCO"</formula>
    </cfRule>
    <cfRule type="expression" dxfId="182" priority="66648">
      <formula>#REF!="BBVA BANCO RAMONA"</formula>
    </cfRule>
    <cfRule type="expression" dxfId="181" priority="66649">
      <formula>$G6="BBVA BANCO BARBARA"</formula>
    </cfRule>
    <cfRule type="expression" dxfId="180" priority="66650">
      <formula>$G12="BBVA BANCO BARBARA"</formula>
    </cfRule>
    <cfRule type="expression" dxfId="179" priority="66651">
      <formula>$G7="BBVA BANCO BARBARA"</formula>
    </cfRule>
    <cfRule type="expression" dxfId="178" priority="66652">
      <formula>$G10="BBVA BANCO BARBARA"</formula>
    </cfRule>
    <cfRule type="expression" dxfId="177" priority="66653">
      <formula>$G9="BBVA BANCO BARBARA"</formula>
    </cfRule>
    <cfRule type="expression" dxfId="176" priority="66654">
      <formula>$G8="BBVA BANCO BARBARA"</formula>
    </cfRule>
    <cfRule type="expression" dxfId="175" priority="66655">
      <formula>$G11="BBVA BANCO BARBARA"</formula>
    </cfRule>
    <cfRule type="expression" dxfId="174" priority="66656">
      <formula>$G13="BBVA BANCO BARBARA"</formula>
    </cfRule>
    <cfRule type="expression" dxfId="173" priority="66657">
      <formula>$G1048565="BBVA BANCO BARBARA"</formula>
    </cfRule>
    <cfRule type="expression" dxfId="172" priority="66658">
      <formula>$G1048559="BBVA BANCO BARBARA"</formula>
    </cfRule>
    <cfRule type="expression" dxfId="171" priority="66659">
      <formula>$G1048566="BBVA BANCO BARBARA"</formula>
    </cfRule>
    <cfRule type="expression" dxfId="170" priority="66660">
      <formula>$G1048558="BBVA BANCO BARBARA"</formula>
    </cfRule>
    <cfRule type="expression" dxfId="169" priority="66661">
      <formula>$G1048564="BBVA BANCO BARBARA"</formula>
    </cfRule>
  </conditionalFormatting>
  <conditionalFormatting sqref="A63:G67">
    <cfRule type="expression" dxfId="168" priority="4613">
      <formula>#REF!="BBVA BANCO BARBARA"</formula>
    </cfRule>
    <cfRule type="expression" dxfId="167" priority="4614">
      <formula>$G63="CIUDAD BANCO"</formula>
    </cfRule>
    <cfRule type="expression" dxfId="166" priority="4615">
      <formula>$G63="ITAU BANCO"</formula>
    </cfRule>
    <cfRule type="expression" dxfId="165" priority="4616">
      <formula>$G63="HSBC BANCO"</formula>
    </cfRule>
    <cfRule type="expression" dxfId="164" priority="4617">
      <formula>$G63="BBVA BANCO"</formula>
    </cfRule>
    <cfRule type="expression" dxfId="163" priority="4618">
      <formula>$G63="HSBC BANCO"</formula>
    </cfRule>
    <cfRule type="expression" dxfId="162" priority="4619">
      <formula>#REF!="BBVA BANCO RAMONA"</formula>
    </cfRule>
    <cfRule type="expression" dxfId="161" priority="4620">
      <formula>#REF!="BBVA BANCO BARBARA"</formula>
    </cfRule>
    <cfRule type="expression" dxfId="160" priority="4621">
      <formula>#REF!="BBVA BANCO RAMONA"</formula>
    </cfRule>
  </conditionalFormatting>
  <conditionalFormatting sqref="A86:H86">
    <cfRule type="expression" dxfId="159" priority="2432">
      <formula>$G2="BBVA BANCO BARBARA"</formula>
    </cfRule>
    <cfRule type="expression" dxfId="158" priority="2433">
      <formula>$G8="BBVA BANCO BARBARA"</formula>
    </cfRule>
  </conditionalFormatting>
  <conditionalFormatting sqref="A87:H88">
    <cfRule type="expression" dxfId="157" priority="7107">
      <formula>$G3="BBVA BANCO BARBARA"</formula>
    </cfRule>
  </conditionalFormatting>
  <conditionalFormatting sqref="A87:H89">
    <cfRule type="expression" dxfId="156" priority="7792">
      <formula>$G9="BBVA BANCO BARBARA"</formula>
    </cfRule>
  </conditionalFormatting>
  <conditionalFormatting sqref="A115:H115">
    <cfRule type="expression" dxfId="155" priority="7265">
      <formula>$G29="BBVA BANCO BARBARA"</formula>
    </cfRule>
  </conditionalFormatting>
  <conditionalFormatting sqref="A124:H124 A125:M126">
    <cfRule type="expression" dxfId="154" priority="6699">
      <formula>$G28="BBVA BANCO BARBARA"</formula>
    </cfRule>
  </conditionalFormatting>
  <conditionalFormatting sqref="A125:H125 I129:M130">
    <cfRule type="expression" dxfId="153" priority="4482">
      <formula>$G23="BBVA BANCO BARBARA"</formula>
    </cfRule>
  </conditionalFormatting>
  <conditionalFormatting sqref="A126:H126 A128:H128">
    <cfRule type="expression" dxfId="152" priority="13999">
      <formula>$G23="BBVA BANCO BARBARA"</formula>
    </cfRule>
  </conditionalFormatting>
  <conditionalFormatting sqref="A127:H127">
    <cfRule type="expression" dxfId="151" priority="7047">
      <formula>$G25="BBVA BANCO BARBARA"</formula>
    </cfRule>
  </conditionalFormatting>
  <conditionalFormatting sqref="A129:H129">
    <cfRule type="expression" dxfId="150" priority="38772">
      <formula>$G25="BBVA BANCO BARBARA"</formula>
    </cfRule>
  </conditionalFormatting>
  <conditionalFormatting sqref="A130:H130 A135:M135">
    <cfRule type="expression" dxfId="149" priority="60430">
      <formula>$G25="BBVA BANCO BARBARA"</formula>
    </cfRule>
  </conditionalFormatting>
  <conditionalFormatting sqref="A149:H151">
    <cfRule type="expression" dxfId="148" priority="4787">
      <formula>$G41="BBVA BANCO BARBARA"</formula>
    </cfRule>
    <cfRule type="expression" dxfId="147" priority="4788">
      <formula>$G42="BBVA BANCO BARBARA"</formula>
    </cfRule>
  </conditionalFormatting>
  <conditionalFormatting sqref="A64:M64 A66:A67">
    <cfRule type="expression" dxfId="146" priority="65038">
      <formula>$G1048573="BBVA BANCO BARBARA"</formula>
    </cfRule>
  </conditionalFormatting>
  <conditionalFormatting sqref="A64:M64">
    <cfRule type="expression" dxfId="145" priority="65036">
      <formula>$G5="BBVA BANCO BARBARA"</formula>
    </cfRule>
  </conditionalFormatting>
  <conditionalFormatting sqref="A64:M68 A74:M75">
    <cfRule type="expression" dxfId="144" priority="65743">
      <formula>$G6="BBVA BANCO BARBARA"</formula>
    </cfRule>
  </conditionalFormatting>
  <conditionalFormatting sqref="A64:M73">
    <cfRule type="expression" dxfId="143" priority="5">
      <formula>$G7="BBVA BANCO BARBARA"</formula>
    </cfRule>
  </conditionalFormatting>
  <conditionalFormatting sqref="A64:M191">
    <cfRule type="expression" dxfId="142" priority="5135">
      <formula>$G64="CIUDAD BANCO"</formula>
    </cfRule>
    <cfRule type="expression" dxfId="141" priority="5136">
      <formula>$G64="ITAU BANCO"</formula>
    </cfRule>
    <cfRule type="expression" dxfId="140" priority="5137">
      <formula>$G64="HSBC BANCO"</formula>
    </cfRule>
    <cfRule type="expression" dxfId="139" priority="5138">
      <formula>$G64="BBVA BANCO"</formula>
    </cfRule>
    <cfRule type="expression" dxfId="138" priority="5139">
      <formula>$G64="HSBC BANCO"</formula>
    </cfRule>
    <cfRule type="expression" dxfId="137" priority="5142">
      <formula>#REF!="BBVA BANCO RAMONA"</formula>
    </cfRule>
  </conditionalFormatting>
  <conditionalFormatting sqref="A65:M66">
    <cfRule type="expression" dxfId="136" priority="66679">
      <formula>$G6="BBVA BANCO BARBARA"</formula>
    </cfRule>
    <cfRule type="expression" dxfId="135" priority="66680">
      <formula>$G1048574="BBVA BANCO BARBARA"</formula>
    </cfRule>
  </conditionalFormatting>
  <conditionalFormatting sqref="A66:M67">
    <cfRule type="expression" dxfId="134" priority="2">
      <formula>$G5="BBVA BANCO BARBARA"</formula>
    </cfRule>
    <cfRule type="expression" dxfId="133" priority="3">
      <formula>$G11="BBVA BANCO BARBARA"</formula>
    </cfRule>
    <cfRule type="expression" dxfId="132" priority="4">
      <formula>$G6="BBVA BANCO BARBARA"</formula>
    </cfRule>
    <cfRule type="expression" dxfId="131" priority="6">
      <formula>$G7="BBVA BANCO BARBARA"</formula>
    </cfRule>
    <cfRule type="expression" dxfId="130" priority="7">
      <formula>$G12="BBVA BANCO BARBARA"</formula>
    </cfRule>
    <cfRule type="expression" dxfId="129" priority="8">
      <formula>$G10="BBVA BANCO BARBARA"</formula>
    </cfRule>
  </conditionalFormatting>
  <conditionalFormatting sqref="A68:M68">
    <cfRule type="expression" dxfId="128" priority="7961">
      <formula>$G7="BBVA BANCO BARBARA"</formula>
    </cfRule>
    <cfRule type="expression" dxfId="127" priority="7999">
      <formula>$G13="BBVA BANCO BARBARA"</formula>
    </cfRule>
    <cfRule type="expression" dxfId="126" priority="62418">
      <formula>$G9="BBVA BANCO BARBARA"</formula>
    </cfRule>
    <cfRule type="expression" dxfId="125" priority="63043">
      <formula>$G14="BBVA BANCO BARBARA"</formula>
    </cfRule>
    <cfRule type="expression" dxfId="124" priority="63930">
      <formula>$G8="BBVA BANCO BARBARA"</formula>
    </cfRule>
  </conditionalFormatting>
  <conditionalFormatting sqref="A73:M73">
    <cfRule type="expression" dxfId="123" priority="1">
      <formula>$G15="BBVA BANCO BARBARA"</formula>
    </cfRule>
  </conditionalFormatting>
  <conditionalFormatting sqref="A75:M77">
    <cfRule type="expression" dxfId="122" priority="97">
      <formula>$G15="BBVA BANCO BARBARA"</formula>
    </cfRule>
    <cfRule type="expression" dxfId="121" priority="182">
      <formula>$G16="BBVA BANCO BARBARA"</formula>
    </cfRule>
    <cfRule type="expression" dxfId="120" priority="12966">
      <formula>$G5="BBVA BANCO BARBARA"</formula>
    </cfRule>
  </conditionalFormatting>
  <conditionalFormatting sqref="A77:M77">
    <cfRule type="expression" dxfId="119" priority="98">
      <formula>$G6="BBVA BANCO BARBARA"</formula>
    </cfRule>
    <cfRule type="expression" dxfId="118" priority="99">
      <formula>$G16="BBVA BANCO BARBARA"</formula>
    </cfRule>
  </conditionalFormatting>
  <conditionalFormatting sqref="A77:M78">
    <cfRule type="expression" dxfId="117" priority="95">
      <formula>$G5="BBVA BANCO BARBARA"</formula>
    </cfRule>
    <cfRule type="expression" dxfId="116" priority="96">
      <formula>$G15="BBVA BANCO BARBARA"</formula>
    </cfRule>
  </conditionalFormatting>
  <conditionalFormatting sqref="A77:M79">
    <cfRule type="expression" dxfId="115" priority="93">
      <formula>$G4="BBVA BANCO BARBARA"</formula>
    </cfRule>
    <cfRule type="expression" dxfId="114" priority="94">
      <formula>$G14="BBVA BANCO BARBARA"</formula>
    </cfRule>
  </conditionalFormatting>
  <conditionalFormatting sqref="A78:M78">
    <cfRule type="expression" dxfId="113" priority="63584">
      <formula>$G18="BBVA BANCO BARBARA"</formula>
    </cfRule>
    <cfRule type="expression" dxfId="112" priority="63585">
      <formula>$G7="BBVA BANCO BARBARA"</formula>
    </cfRule>
  </conditionalFormatting>
  <conditionalFormatting sqref="A78:M79">
    <cfRule type="expression" dxfId="111" priority="63587">
      <formula>$G17="BBVA BANCO BARBARA"</formula>
    </cfRule>
  </conditionalFormatting>
  <conditionalFormatting sqref="A79:M79">
    <cfRule type="expression" dxfId="110" priority="7911">
      <formula>$G7="BBVA BANCO BARBARA"</formula>
    </cfRule>
    <cfRule type="expression" dxfId="109" priority="7933">
      <formula>$G17="BBVA BANCO BARBARA"</formula>
    </cfRule>
  </conditionalFormatting>
  <conditionalFormatting sqref="A80:M81">
    <cfRule type="expression" dxfId="108" priority="7888">
      <formula>$G7="BBVA BANCO BARBARA"</formula>
    </cfRule>
    <cfRule type="expression" dxfId="107" priority="7909">
      <formula>$G17="BBVA BANCO BARBARA"</formula>
    </cfRule>
  </conditionalFormatting>
  <conditionalFormatting sqref="A81:M84">
    <cfRule type="expression" dxfId="106" priority="15185">
      <formula>$G7="BBVA BANCO BARBARA"</formula>
    </cfRule>
  </conditionalFormatting>
  <conditionalFormatting sqref="A84:M85">
    <cfRule type="expression" dxfId="105" priority="7242">
      <formula>$G2="BBVA BANCO BARBARA"</formula>
    </cfRule>
    <cfRule type="expression" dxfId="104" priority="7243">
      <formula>$G9="BBVA BANCO BARBARA"</formula>
    </cfRule>
  </conditionalFormatting>
  <conditionalFormatting sqref="A84:M87">
    <cfRule type="expression" dxfId="103" priority="60226">
      <formula>$G8="BBVA BANCO BARBARA"</formula>
    </cfRule>
  </conditionalFormatting>
  <conditionalFormatting sqref="A86:M87">
    <cfRule type="expression" dxfId="102" priority="24109">
      <formula>$G9="BBVA BANCO BARBARA"</formula>
    </cfRule>
    <cfRule type="expression" dxfId="101" priority="24110">
      <formula>$G3="BBVA BANCO BARBARA"</formula>
    </cfRule>
  </conditionalFormatting>
  <conditionalFormatting sqref="A88:M89">
    <cfRule type="expression" dxfId="100" priority="4341">
      <formula>$G11="BBVA BANCO BARBARA"</formula>
    </cfRule>
    <cfRule type="expression" dxfId="99" priority="4343">
      <formula>$G5="BBVA BANCO BARBARA"</formula>
    </cfRule>
    <cfRule type="expression" dxfId="98" priority="4344">
      <formula>$G12="BBVA BANCO BARBARA"</formula>
    </cfRule>
    <cfRule type="expression" dxfId="97" priority="4507">
      <formula>$G9="BBVA BANCO BARBARA"</formula>
    </cfRule>
    <cfRule type="expression" dxfId="96" priority="6688">
      <formula>$G3="BBVA BANCO BARBARA"</formula>
    </cfRule>
  </conditionalFormatting>
  <conditionalFormatting sqref="A89:M89">
    <cfRule type="expression" dxfId="95" priority="4504">
      <formula>$G3="BBVA BANCO BARBARA"</formula>
    </cfRule>
    <cfRule type="expression" dxfId="94" priority="4505">
      <formula>$G9="BBVA BANCO BARBARA"</formula>
    </cfRule>
  </conditionalFormatting>
  <conditionalFormatting sqref="A90:M90">
    <cfRule type="expression" dxfId="93" priority="11117">
      <formula>$G10="BBVA BANCO BARBARA"</formula>
    </cfRule>
  </conditionalFormatting>
  <conditionalFormatting sqref="A90:M96">
    <cfRule type="expression" dxfId="92" priority="6670">
      <formula>$G4="BBVA BANCO BARBARA"</formula>
    </cfRule>
  </conditionalFormatting>
  <conditionalFormatting sqref="A95:M96">
    <cfRule type="expression" dxfId="91" priority="258">
      <formula>$G8="BBVA BANCO BARBARA"</formula>
    </cfRule>
  </conditionalFormatting>
  <conditionalFormatting sqref="A96:M96">
    <cfRule type="expression" dxfId="90" priority="100">
      <formula>$G8="BBVA BANCO BARBARA"</formula>
    </cfRule>
  </conditionalFormatting>
  <conditionalFormatting sqref="A97:M104">
    <cfRule type="expression" dxfId="89" priority="63554">
      <formula>$G9="BBVA BANCO BARBARA"</formula>
    </cfRule>
  </conditionalFormatting>
  <conditionalFormatting sqref="A104:M104">
    <cfRule type="expression" dxfId="88" priority="144">
      <formula>$G14="BBVA BANCO BARBARA"</formula>
    </cfRule>
    <cfRule type="expression" dxfId="87" priority="145">
      <formula>$G15="BBVA BANCO BARBARA"</formula>
    </cfRule>
  </conditionalFormatting>
  <conditionalFormatting sqref="A105:M105">
    <cfRule type="expression" dxfId="86" priority="62964">
      <formula>$G16="BBVA BANCO BARBARA"</formula>
    </cfRule>
  </conditionalFormatting>
  <conditionalFormatting sqref="A105:M112">
    <cfRule type="expression" dxfId="85" priority="7873">
      <formula>$G15="BBVA BANCO BARBARA"</formula>
    </cfRule>
  </conditionalFormatting>
  <conditionalFormatting sqref="A113:M114">
    <cfRule type="expression" dxfId="84" priority="4506">
      <formula>$G23="BBVA BANCO BARBARA"</formula>
    </cfRule>
  </conditionalFormatting>
  <conditionalFormatting sqref="A123:M123">
    <cfRule type="expression" dxfId="83" priority="7259">
      <formula>$G29="BBVA BANCO BARBARA"</formula>
    </cfRule>
  </conditionalFormatting>
  <conditionalFormatting sqref="A126:M126">
    <cfRule type="expression" dxfId="82" priority="4480">
      <formula>#REF!="BBVA BANCO BARBARA"</formula>
    </cfRule>
  </conditionalFormatting>
  <conditionalFormatting sqref="A128:M132">
    <cfRule type="expression" dxfId="81" priority="285">
      <formula>#REF!="BBVA BANCO BARBARA"</formula>
    </cfRule>
  </conditionalFormatting>
  <conditionalFormatting sqref="A132:M132">
    <cfRule type="expression" dxfId="80" priority="5128">
      <formula>$G30="BBVA BANCO BARBARA"</formula>
    </cfRule>
  </conditionalFormatting>
  <conditionalFormatting sqref="A133:M133">
    <cfRule type="expression" dxfId="79" priority="7365">
      <formula>$G30="BBVA BANCO BARBARA"</formula>
    </cfRule>
  </conditionalFormatting>
  <conditionalFormatting sqref="A134:M134">
    <cfRule type="expression" dxfId="78" priority="4483">
      <formula>$G30="BBVA BANCO BARBARA"</formula>
    </cfRule>
  </conditionalFormatting>
  <conditionalFormatting sqref="A134:M135 A151:M155">
    <cfRule type="expression" dxfId="77" priority="4663">
      <formula>$G25="BBVA BANCO BARBARA"</formula>
    </cfRule>
  </conditionalFormatting>
  <conditionalFormatting sqref="A135:M136 A154:M155">
    <cfRule type="expression" dxfId="76" priority="4774">
      <formula>$G25="BBVA BANCO BARBARA"</formula>
    </cfRule>
  </conditionalFormatting>
  <conditionalFormatting sqref="A137:M137">
    <cfRule type="expression" dxfId="75" priority="13861">
      <formula>#REF!="BBVA BANCO BARBARA"</formula>
    </cfRule>
  </conditionalFormatting>
  <conditionalFormatting sqref="A138:M138">
    <cfRule type="expression" dxfId="74" priority="18340">
      <formula>$G31="BBVA BANCO BARBARA"</formula>
    </cfRule>
  </conditionalFormatting>
  <conditionalFormatting sqref="A139:M141">
    <cfRule type="expression" dxfId="73" priority="4734">
      <formula>#REF!="BBVA BANCO BARBARA"</formula>
    </cfRule>
  </conditionalFormatting>
  <conditionalFormatting sqref="A142:M145">
    <cfRule type="expression" dxfId="72" priority="7578">
      <formula>$G36="BBVA BANCO BARBARA"</formula>
    </cfRule>
  </conditionalFormatting>
  <conditionalFormatting sqref="A145:M145">
    <cfRule type="expression" dxfId="71" priority="4224">
      <formula>$G38="BBVA BANCO BARBARA"</formula>
    </cfRule>
  </conditionalFormatting>
  <conditionalFormatting sqref="A146:M147">
    <cfRule type="expression" dxfId="70" priority="7282">
      <formula>$G39="BBVA BANCO BARBARA"</formula>
    </cfRule>
  </conditionalFormatting>
  <conditionalFormatting sqref="A148:M149">
    <cfRule type="expression" dxfId="69" priority="6682">
      <formula>$G42="BBVA BANCO BARBARA"</formula>
    </cfRule>
  </conditionalFormatting>
  <conditionalFormatting sqref="A154:M155">
    <cfRule type="expression" dxfId="68" priority="303">
      <formula>$G42="BBVA BANCO BARBARA"</formula>
    </cfRule>
    <cfRule type="expression" dxfId="67" priority="304">
      <formula>$G43="BBVA BANCO BARBARA"</formula>
    </cfRule>
  </conditionalFormatting>
  <conditionalFormatting sqref="A155:M155">
    <cfRule type="expression" dxfId="66" priority="302">
      <formula>$G42="BBVA BANCO BARBARA"</formula>
    </cfRule>
  </conditionalFormatting>
  <conditionalFormatting sqref="A156:M156">
    <cfRule type="expression" dxfId="65" priority="59168">
      <formula>$G45="BBVA BANCO BARBARA"</formula>
    </cfRule>
  </conditionalFormatting>
  <conditionalFormatting sqref="A156:M157">
    <cfRule type="expression" dxfId="64" priority="53518">
      <formula>$G44="BBVA BANCO BARBARA"</formula>
    </cfRule>
  </conditionalFormatting>
  <conditionalFormatting sqref="A156:M164">
    <cfRule type="expression" dxfId="63" priority="9300">
      <formula>$G43="BBVA BANCO BARBARA"</formula>
    </cfRule>
  </conditionalFormatting>
  <conditionalFormatting sqref="A164:M165">
    <cfRule type="expression" dxfId="62" priority="4772">
      <formula>$G50="BBVA BANCO BARBARA"</formula>
    </cfRule>
  </conditionalFormatting>
  <conditionalFormatting sqref="A166:M166">
    <cfRule type="expression" dxfId="61" priority="8016">
      <formula>$G51="BBVA BANCO BARBARA"</formula>
    </cfRule>
  </conditionalFormatting>
  <conditionalFormatting sqref="A166:M167">
    <cfRule type="expression" dxfId="60" priority="4440">
      <formula>$G46="BBVA BANCO BARBARA"</formula>
    </cfRule>
    <cfRule type="expression" dxfId="59" priority="4441">
      <formula>$G47="BBVA BANCO BARBARA"</formula>
    </cfRule>
    <cfRule type="expression" dxfId="58" priority="4442">
      <formula>$G45="BBVA BANCO BARBARA"</formula>
    </cfRule>
  </conditionalFormatting>
  <conditionalFormatting sqref="A168:M168">
    <cfRule type="expression" dxfId="57" priority="8034">
      <formula>$G53="BBVA BANCO BARBARA"</formula>
    </cfRule>
  </conditionalFormatting>
  <conditionalFormatting sqref="A168:M170">
    <cfRule type="expression" dxfId="56" priority="4794">
      <formula>$G51="BBVA BANCO BARBARA"</formula>
    </cfRule>
    <cfRule type="expression" dxfId="55" priority="4795">
      <formula>$G52="BBVA BANCO BARBARA"</formula>
    </cfRule>
  </conditionalFormatting>
  <conditionalFormatting sqref="A170:M173">
    <cfRule type="expression" dxfId="54" priority="4776">
      <formula>$G52="BBVA BANCO BARBARA"</formula>
    </cfRule>
  </conditionalFormatting>
  <conditionalFormatting sqref="A172:M173">
    <cfRule type="expression" dxfId="53" priority="4740">
      <formula>$G53="BBVA BANCO BARBARA"</formula>
    </cfRule>
  </conditionalFormatting>
  <conditionalFormatting sqref="A172:M174">
    <cfRule type="expression" dxfId="52" priority="4739">
      <formula>$G52="BBVA BANCO BARBARA"</formula>
    </cfRule>
  </conditionalFormatting>
  <conditionalFormatting sqref="A172:M177">
    <cfRule type="expression" dxfId="51" priority="58462">
      <formula>$G51="BBVA BANCO BARBARA"</formula>
    </cfRule>
  </conditionalFormatting>
  <conditionalFormatting sqref="A173:M173 A177:M180">
    <cfRule type="expression" dxfId="50" priority="305">
      <formula>$G51="BBVA BANCO BARBARA"</formula>
    </cfRule>
  </conditionalFormatting>
  <conditionalFormatting sqref="A174:M175">
    <cfRule type="expression" dxfId="49" priority="8151">
      <formula>$G52="BBVA BANCO BARBARA"</formula>
    </cfRule>
  </conditionalFormatting>
  <conditionalFormatting sqref="A177:M178 A180:M184">
    <cfRule type="expression" dxfId="48" priority="7614">
      <formula>$G54="BBVA BANCO BARBARA"</formula>
    </cfRule>
  </conditionalFormatting>
  <conditionalFormatting sqref="A184:M184">
    <cfRule type="expression" dxfId="47" priority="253">
      <formula>$G59="BBVA BANCO BARBARA"</formula>
    </cfRule>
    <cfRule type="expression" dxfId="46" priority="254">
      <formula>$G60="BBVA BANCO BARBARA"</formula>
    </cfRule>
  </conditionalFormatting>
  <conditionalFormatting sqref="A185:M185">
    <cfRule type="expression" dxfId="45" priority="61316">
      <formula>$G61="BBVA BANCO BARBARA"</formula>
    </cfRule>
  </conditionalFormatting>
  <conditionalFormatting sqref="A185:M188">
    <cfRule type="expression" dxfId="44" priority="60791">
      <formula>$G60="BBVA BANCO BARBARA"</formula>
    </cfRule>
  </conditionalFormatting>
  <conditionalFormatting sqref="A187:M189">
    <cfRule type="expression" dxfId="43" priority="60844">
      <formula>$G61="BBVA BANCO BARBARA"</formula>
    </cfRule>
  </conditionalFormatting>
  <conditionalFormatting sqref="A188:M190">
    <cfRule type="expression" dxfId="42" priority="259">
      <formula>$G61="BBVA BANCO BARBARA"</formula>
    </cfRule>
    <cfRule type="expression" dxfId="41" priority="260">
      <formula>$G59="BBVA BANCO BARBARA"</formula>
    </cfRule>
    <cfRule type="expression" dxfId="40" priority="261">
      <formula>$G60="BBVA BANCO BARBARA"</formula>
    </cfRule>
  </conditionalFormatting>
  <conditionalFormatting sqref="A191:M191">
    <cfRule type="expression" dxfId="39" priority="60846">
      <formula>$G62="BBVA BANCO BARBARA"</formula>
    </cfRule>
  </conditionalFormatting>
  <conditionalFormatting sqref="G66:G68 A68:M68">
    <cfRule type="expression" dxfId="38" priority="63350">
      <formula>$G10="BBVA BANCO BARBARA"</formula>
    </cfRule>
  </conditionalFormatting>
  <conditionalFormatting sqref="G66:G68">
    <cfRule type="expression" dxfId="37" priority="183">
      <formula>$G9="BBVA BANCO BARBARA"</formula>
    </cfRule>
    <cfRule type="expression" dxfId="36" priority="63517">
      <formula>$G11="BBVA BANCO BARBARA"</formula>
    </cfRule>
  </conditionalFormatting>
  <conditionalFormatting sqref="I86:M89">
    <cfRule type="expression" dxfId="35" priority="24722">
      <formula>$G8="BBVA BANCO BARBARA"</formula>
    </cfRule>
    <cfRule type="expression" dxfId="34" priority="24723">
      <formula>$G2="BBVA BANCO BARBARA"</formula>
    </cfRule>
  </conditionalFormatting>
  <conditionalFormatting sqref="I115:M115">
    <cfRule type="expression" dxfId="33" priority="4751">
      <formula>$G29="BBVA BANCO BARBARA"</formula>
    </cfRule>
  </conditionalFormatting>
  <conditionalFormatting sqref="I124:M124">
    <cfRule type="expression" dxfId="32" priority="6690">
      <formula>$G28="BBVA BANCO BARBARA"</formula>
    </cfRule>
  </conditionalFormatting>
  <conditionalFormatting sqref="I125:M126">
    <cfRule type="expression" dxfId="31" priority="4481">
      <formula>$G23="BBVA BANCO BARBARA"</formula>
    </cfRule>
  </conditionalFormatting>
  <conditionalFormatting sqref="I127:M128">
    <cfRule type="expression" dxfId="30" priority="6696">
      <formula>$G25="BBVA BANCO BARBARA"</formula>
    </cfRule>
  </conditionalFormatting>
  <conditionalFormatting sqref="I149:M151">
    <cfRule type="expression" dxfId="29" priority="7298">
      <formula>$G41="BBVA BANCO BARBARA"</formula>
    </cfRule>
    <cfRule type="expression" dxfId="28" priority="7299">
      <formula>$G42="BBVA BANCO BARBARA"</formula>
    </cfRule>
  </conditionalFormatting>
  <conditionalFormatting sqref="N121">
    <cfRule type="expression" dxfId="27" priority="66687">
      <formula>$G33="BBVA BANCO BARBARA"</formula>
    </cfRule>
    <cfRule type="expression" dxfId="26" priority="66688">
      <formula>$G120="CIUDAD BANCO"</formula>
    </cfRule>
    <cfRule type="expression" dxfId="25" priority="66689">
      <formula>$G120="ITAU BANCO"</formula>
    </cfRule>
    <cfRule type="expression" dxfId="24" priority="66690">
      <formula>$G120="HSBC BANCO"</formula>
    </cfRule>
    <cfRule type="expression" dxfId="23" priority="66691">
      <formula>$G120="BBVA BANCO"</formula>
    </cfRule>
    <cfRule type="expression" dxfId="22" priority="66692">
      <formula>$G120="HSBC BANCO"</formula>
    </cfRule>
    <cfRule type="expression" dxfId="21" priority="66693">
      <formula>#REF!="BBVA BANCO RAMONA"</formula>
    </cfRule>
  </conditionalFormatting>
  <conditionalFormatting sqref="N217:XFD217">
    <cfRule type="expression" dxfId="20" priority="54337">
      <formula>$G62="BBVA BANCO BARBARA"</formula>
    </cfRule>
    <cfRule type="expression" dxfId="19" priority="60883">
      <formula>$G63="BBVA BANCO BARBARA"</formula>
    </cfRule>
    <cfRule type="expression" dxfId="18" priority="60884">
      <formula>#REF!="BBVA BANCO BARBARA"</formula>
    </cfRule>
    <cfRule type="expression" dxfId="17" priority="60885">
      <formula>#REF!="CIUDAD BANCO"</formula>
    </cfRule>
    <cfRule type="expression" dxfId="16" priority="60886">
      <formula>#REF!="ITAU BANCO"</formula>
    </cfRule>
    <cfRule type="expression" dxfId="15" priority="60887">
      <formula>#REF!="HSBC BANCO"</formula>
    </cfRule>
    <cfRule type="expression" dxfId="14" priority="60888">
      <formula>#REF!="BBVA BANCO"</formula>
    </cfRule>
    <cfRule type="expression" dxfId="13" priority="60889">
      <formula>#REF!="HSBC BANCO"</formula>
    </cfRule>
    <cfRule type="expression" dxfId="12" priority="60890">
      <formula>#REF!="BBVA BANCO RAMONA"</formula>
    </cfRule>
    <cfRule type="expression" dxfId="11" priority="60920">
      <formula>#REF!="BBVA BANCO BARBARA"</formula>
    </cfRule>
  </conditionalFormatting>
  <conditionalFormatting sqref="O121:XFD121">
    <cfRule type="expression" dxfId="10" priority="66694">
      <formula>$G8="BBVA BANCO BARBARA"</formula>
    </cfRule>
    <cfRule type="expression" dxfId="9" priority="66695">
      <formula>$G2="BBVA BANCO BARBARA"</formula>
    </cfRule>
    <cfRule type="expression" dxfId="8" priority="66696">
      <formula>$G9="BBVA BANCO BARBARA"</formula>
    </cfRule>
    <cfRule type="expression" dxfId="7" priority="66697">
      <formula>$G3="BBVA BANCO BARBARA"</formula>
    </cfRule>
    <cfRule type="expression" dxfId="6" priority="66698">
      <formula>$G10="BBVA BANCO BARBARA"</formula>
    </cfRule>
    <cfRule type="expression" dxfId="5" priority="66699">
      <formula>$G86="ITAU BANCO"</formula>
    </cfRule>
    <cfRule type="expression" dxfId="4" priority="66700">
      <formula>$G86="HSBC BANCO"</formula>
    </cfRule>
    <cfRule type="expression" dxfId="3" priority="66701">
      <formula>$G86="BBVA BANCO"</formula>
    </cfRule>
    <cfRule type="expression" dxfId="2" priority="66702">
      <formula>$G86="HSBC BANCO"</formula>
    </cfRule>
    <cfRule type="expression" dxfId="1" priority="66703">
      <formula>#REF!="BBVA BANCO RAMONA"</formula>
    </cfRule>
    <cfRule type="expression" dxfId="0" priority="66704">
      <formula>$G86="CIUDAD BANCO"</formula>
    </cfRule>
  </conditionalFormatting>
  <hyperlinks>
    <hyperlink ref="A646" location="UF42!G779" display="UF42!G779" xr:uid="{00000000-0004-0000-0300-000000000000}"/>
    <hyperlink ref="A645" location="UF24!A1" display="UF24!A1" xr:uid="{00000000-0004-0000-0300-000001000000}"/>
    <hyperlink ref="A641" location="UF138!A1" display="UF138!A1" xr:uid="{00000000-0004-0000-0300-000002000000}"/>
    <hyperlink ref="A647" location="UF125!A1" display="UF125!A1" xr:uid="{00000000-0004-0000-0300-000003000000}"/>
    <hyperlink ref="A648" location="UF125!A1" display="UF125!A1" xr:uid="{00000000-0004-0000-0300-000004000000}"/>
    <hyperlink ref="A638" location="UF48!A192" display="UF48!A192" xr:uid="{00000000-0004-0000-0300-000005000000}"/>
  </hyperlinks>
  <printOptions horizontalCentered="1"/>
  <pageMargins left="0.19685039370078741" right="0.39370078740157483" top="0.56000000000000005" bottom="1" header="0" footer="0"/>
  <pageSetup scale="31" orientation="portrait" horizontalDpi="4294967295" verticalDpi="180" r:id="rId1"/>
  <headerFooter alignWithMargins="0"/>
  <ignoredErrors>
    <ignoredError sqref="E765 B237 D827 J868 D320:D321 B322:B325 B331:B346 B348 B499" formula="1"/>
  </ignoredErrors>
  <drawing r:id="rId2"/>
  <legacy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2A3F4-4ABE-4D8E-80DB-2A95534D3BFB}">
  <sheetPr codeName="Hoja7"/>
  <dimension ref="A11:B56"/>
  <sheetViews>
    <sheetView topLeftCell="A28" zoomScaleNormal="100" workbookViewId="0">
      <selection activeCell="A32" sqref="A32:B37"/>
    </sheetView>
  </sheetViews>
  <sheetFormatPr baseColWidth="10" defaultColWidth="10.81640625" defaultRowHeight="12.5"/>
  <cols>
    <col min="1" max="1" width="16.90625" bestFit="1" customWidth="1"/>
    <col min="2" max="2" width="17.81640625" bestFit="1" customWidth="1"/>
  </cols>
  <sheetData>
    <row r="11" spans="1:2">
      <c r="A11" s="1060" t="s">
        <v>818</v>
      </c>
      <c r="B11" t="s">
        <v>819</v>
      </c>
    </row>
    <row r="12" spans="1:2">
      <c r="A12" s="15">
        <v>45964</v>
      </c>
      <c r="B12" s="596">
        <v>3602793.506849315</v>
      </c>
    </row>
    <row r="13" spans="1:2">
      <c r="A13" s="15">
        <v>45965</v>
      </c>
      <c r="B13" s="596">
        <v>3156535.2054794519</v>
      </c>
    </row>
    <row r="14" spans="1:2">
      <c r="A14" s="15">
        <v>45966</v>
      </c>
      <c r="B14" s="596">
        <v>3266257.5616438356</v>
      </c>
    </row>
    <row r="15" spans="1:2">
      <c r="A15" s="15">
        <v>45968</v>
      </c>
      <c r="B15" s="596">
        <v>3113321.6164383558</v>
      </c>
    </row>
    <row r="16" spans="1:2">
      <c r="A16" s="15">
        <v>45971</v>
      </c>
      <c r="B16" s="596">
        <v>4181926.0273972605</v>
      </c>
    </row>
    <row r="17" spans="1:2">
      <c r="A17" s="15">
        <v>45972</v>
      </c>
      <c r="B17" s="596">
        <v>3150703.3424657537</v>
      </c>
    </row>
    <row r="18" spans="1:2">
      <c r="A18" s="15">
        <v>45973</v>
      </c>
      <c r="B18" s="596">
        <v>3149828.0684931506</v>
      </c>
    </row>
    <row r="19" spans="1:2">
      <c r="A19" s="15">
        <v>45974</v>
      </c>
      <c r="B19" s="596">
        <v>3145158.0821917807</v>
      </c>
    </row>
    <row r="20" spans="1:2">
      <c r="A20" s="15">
        <v>45975</v>
      </c>
      <c r="B20" s="596">
        <v>3045445.1780821919</v>
      </c>
    </row>
    <row r="21" spans="1:2">
      <c r="A21" s="15">
        <v>45978</v>
      </c>
      <c r="B21" s="596">
        <v>3077511.3013698636</v>
      </c>
    </row>
    <row r="22" spans="1:2">
      <c r="A22" s="15">
        <v>45979</v>
      </c>
      <c r="B22" s="596">
        <v>3079573.493150685</v>
      </c>
    </row>
    <row r="23" spans="1:2">
      <c r="A23" s="15">
        <v>45980</v>
      </c>
      <c r="B23" s="596">
        <v>3460294.9315068489</v>
      </c>
    </row>
    <row r="24" spans="1:2">
      <c r="A24" s="15">
        <v>45981</v>
      </c>
      <c r="B24" s="596">
        <v>3088250.6849315069</v>
      </c>
    </row>
    <row r="25" spans="1:2">
      <c r="A25" s="15">
        <v>45986</v>
      </c>
      <c r="B25" s="596">
        <v>3547450.9589041094</v>
      </c>
    </row>
    <row r="26" spans="1:2">
      <c r="A26" s="15">
        <v>45987</v>
      </c>
      <c r="B26" s="596">
        <v>3531889.9178082189</v>
      </c>
    </row>
    <row r="27" spans="1:2">
      <c r="A27" s="15">
        <v>45988</v>
      </c>
      <c r="B27" s="596">
        <v>3473498.8493150687</v>
      </c>
    </row>
    <row r="28" spans="1:2">
      <c r="A28" s="15">
        <v>45989</v>
      </c>
      <c r="B28" s="596">
        <v>3269325.2602739721</v>
      </c>
    </row>
    <row r="29" spans="1:2">
      <c r="A29" s="15">
        <v>45992</v>
      </c>
      <c r="B29" s="596">
        <v>3091837.5890410962</v>
      </c>
    </row>
    <row r="30" spans="1:2">
      <c r="A30" s="15">
        <v>45993</v>
      </c>
      <c r="B30" s="596">
        <v>3091863.01369863</v>
      </c>
    </row>
    <row r="31" spans="1:2">
      <c r="A31" s="15">
        <v>45994</v>
      </c>
      <c r="B31" s="596">
        <v>3026791.1232876708</v>
      </c>
    </row>
    <row r="32" spans="1:2">
      <c r="A32" s="15">
        <v>45995</v>
      </c>
      <c r="B32" s="596">
        <v>3074416.0547945211</v>
      </c>
    </row>
    <row r="33" spans="1:2">
      <c r="A33" s="15">
        <v>45996</v>
      </c>
      <c r="B33" s="596">
        <v>3282033.2328767125</v>
      </c>
    </row>
    <row r="34" spans="1:2">
      <c r="A34" s="15">
        <v>46000</v>
      </c>
      <c r="B34" s="596">
        <v>3078502.4109589043</v>
      </c>
    </row>
    <row r="35" spans="1:2">
      <c r="A35" s="15">
        <v>46001</v>
      </c>
      <c r="B35" s="596">
        <v>3018858.493150685</v>
      </c>
    </row>
    <row r="36" spans="1:2">
      <c r="A36" s="15">
        <v>46002</v>
      </c>
      <c r="B36" s="596">
        <v>3040528.219178082</v>
      </c>
    </row>
    <row r="37" spans="1:2">
      <c r="A37" s="15">
        <v>46003</v>
      </c>
      <c r="B37" s="596">
        <v>3060476.0547945206</v>
      </c>
    </row>
    <row r="38" spans="1:2">
      <c r="A38" s="15">
        <v>46006</v>
      </c>
      <c r="B38" s="596">
        <v>3628946.8493150687</v>
      </c>
    </row>
    <row r="39" spans="1:2">
      <c r="A39" s="15">
        <v>46007</v>
      </c>
      <c r="B39" s="596">
        <v>2598175.3424657532</v>
      </c>
    </row>
    <row r="40" spans="1:2">
      <c r="A40" s="15">
        <v>46008</v>
      </c>
      <c r="B40" s="596">
        <v>915127.67123287672</v>
      </c>
    </row>
    <row r="41" spans="1:2">
      <c r="A41" s="15">
        <v>46034</v>
      </c>
      <c r="B41" s="596">
        <v>1041356.1643835616</v>
      </c>
    </row>
    <row r="42" spans="1:2">
      <c r="A42" s="15" t="s">
        <v>807</v>
      </c>
      <c r="B42" s="596">
        <v>92288676.205479458</v>
      </c>
    </row>
    <row r="52" spans="2:2">
      <c r="B52">
        <v>1534</v>
      </c>
    </row>
    <row r="53" spans="2:2">
      <c r="B53">
        <v>-150</v>
      </c>
    </row>
    <row r="54" spans="2:2">
      <c r="B54">
        <f>+B52+B53</f>
        <v>1384</v>
      </c>
    </row>
    <row r="55" spans="2:2">
      <c r="B55">
        <v>-700</v>
      </c>
    </row>
    <row r="56" spans="2:2">
      <c r="B56">
        <f>+B54+B55</f>
        <v>684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/>
  <dimension ref="A1:XFD5048"/>
  <sheetViews>
    <sheetView topLeftCell="A4943" workbookViewId="0">
      <selection activeCell="A4969" sqref="A4969:XFD5000"/>
    </sheetView>
  </sheetViews>
  <sheetFormatPr baseColWidth="10" defaultColWidth="10.54296875" defaultRowHeight="12.5"/>
  <cols>
    <col min="1" max="1" width="11.453125" customWidth="1"/>
    <col min="2" max="2" width="21" customWidth="1"/>
    <col min="3" max="3" width="20" customWidth="1"/>
    <col min="4" max="4" width="14.453125" customWidth="1"/>
    <col min="5" max="5" width="10.54296875" customWidth="1"/>
    <col min="6" max="6" width="12.54296875" customWidth="1"/>
    <col min="7" max="7" width="22.08984375" customWidth="1"/>
    <col min="8" max="9" width="14.7265625" customWidth="1"/>
    <col min="10" max="10" width="9.54296875" customWidth="1"/>
    <col min="11" max="11" width="12.54296875" customWidth="1"/>
    <col min="12" max="12" width="17.54296875" customWidth="1"/>
    <col min="13" max="13" width="20.453125" customWidth="1"/>
    <col min="14" max="14" width="12.54296875" bestFit="1" customWidth="1"/>
    <col min="15" max="15" width="14.453125" bestFit="1" customWidth="1"/>
  </cols>
  <sheetData>
    <row r="1" spans="1:7" ht="14" thickTop="1" thickBot="1">
      <c r="A1" s="2" t="s">
        <v>521</v>
      </c>
      <c r="B1" s="3" t="s">
        <v>522</v>
      </c>
      <c r="C1" s="3" t="s">
        <v>523</v>
      </c>
      <c r="D1" s="5" t="s">
        <v>525</v>
      </c>
      <c r="E1" s="4" t="s">
        <v>524</v>
      </c>
      <c r="F1" s="4" t="s">
        <v>526</v>
      </c>
      <c r="G1" s="6"/>
    </row>
    <row r="2" spans="1:7" ht="13" thickTop="1">
      <c r="A2" s="7">
        <v>34774</v>
      </c>
      <c r="B2" s="8">
        <v>600</v>
      </c>
      <c r="C2" s="8">
        <f t="shared" ref="C2:C25" si="0">B2+(B2*F2/365*E2)*1</f>
        <v>632.68997260273977</v>
      </c>
      <c r="D2" s="7">
        <f t="shared" ref="D2:D25" si="1">A2+E2</f>
        <v>34810</v>
      </c>
      <c r="E2" s="9">
        <v>36</v>
      </c>
      <c r="F2" s="10">
        <v>0.5524</v>
      </c>
      <c r="G2" s="11" t="s">
        <v>613</v>
      </c>
    </row>
    <row r="3" spans="1:7">
      <c r="A3" s="7">
        <v>34774</v>
      </c>
      <c r="B3" s="8">
        <v>849</v>
      </c>
      <c r="C3" s="8">
        <f t="shared" si="0"/>
        <v>895.25631123287667</v>
      </c>
      <c r="D3" s="7">
        <f t="shared" si="1"/>
        <v>34810</v>
      </c>
      <c r="E3" s="9">
        <v>36</v>
      </c>
      <c r="F3" s="10">
        <v>0.5524</v>
      </c>
      <c r="G3" s="11" t="s">
        <v>613</v>
      </c>
    </row>
    <row r="4" spans="1:7">
      <c r="A4" s="7">
        <v>34768</v>
      </c>
      <c r="B4" s="8">
        <v>1440</v>
      </c>
      <c r="C4" s="8">
        <f t="shared" si="0"/>
        <v>1521.2751780821918</v>
      </c>
      <c r="D4" s="7">
        <f t="shared" si="1"/>
        <v>34810</v>
      </c>
      <c r="E4" s="9">
        <v>42</v>
      </c>
      <c r="F4" s="10">
        <v>0.49049999999999999</v>
      </c>
      <c r="G4" s="11" t="s">
        <v>613</v>
      </c>
    </row>
    <row r="5" spans="1:7">
      <c r="A5" s="7">
        <v>34775</v>
      </c>
      <c r="B5" s="8">
        <v>522</v>
      </c>
      <c r="C5" s="8">
        <f t="shared" si="0"/>
        <v>549.63024657534243</v>
      </c>
      <c r="D5" s="7">
        <f t="shared" si="1"/>
        <v>34810</v>
      </c>
      <c r="E5" s="9">
        <v>35</v>
      </c>
      <c r="F5" s="10">
        <v>0.55200000000000005</v>
      </c>
      <c r="G5" s="11" t="s">
        <v>613</v>
      </c>
    </row>
    <row r="6" spans="1:7">
      <c r="A6" s="7">
        <v>34772</v>
      </c>
      <c r="B6" s="8">
        <v>2105</v>
      </c>
      <c r="C6" s="8">
        <f t="shared" si="0"/>
        <v>2226.2341589041098</v>
      </c>
      <c r="D6" s="7">
        <f t="shared" si="1"/>
        <v>34810</v>
      </c>
      <c r="E6" s="9">
        <v>38</v>
      </c>
      <c r="F6" s="10">
        <v>0.55320000000000003</v>
      </c>
      <c r="G6" s="11" t="s">
        <v>613</v>
      </c>
    </row>
    <row r="7" spans="1:7">
      <c r="A7" s="7">
        <v>34778</v>
      </c>
      <c r="B7" s="8">
        <v>700</v>
      </c>
      <c r="C7" s="8">
        <f t="shared" si="0"/>
        <v>733.80252054794516</v>
      </c>
      <c r="D7" s="7">
        <f t="shared" si="1"/>
        <v>34810</v>
      </c>
      <c r="E7" s="9">
        <v>32</v>
      </c>
      <c r="F7" s="10">
        <v>0.55079999999999996</v>
      </c>
      <c r="G7" s="11" t="s">
        <v>613</v>
      </c>
    </row>
    <row r="8" spans="1:7">
      <c r="A8" s="7">
        <v>34773</v>
      </c>
      <c r="B8" s="8">
        <v>1739</v>
      </c>
      <c r="C8" s="8">
        <f t="shared" si="0"/>
        <v>1836.4487956164382</v>
      </c>
      <c r="D8" s="7">
        <f t="shared" si="1"/>
        <v>34810</v>
      </c>
      <c r="E8" s="9">
        <v>37</v>
      </c>
      <c r="F8" s="10">
        <v>0.55279999999999996</v>
      </c>
      <c r="G8" s="11" t="s">
        <v>613</v>
      </c>
    </row>
    <row r="9" spans="1:7">
      <c r="A9" s="7">
        <v>34767</v>
      </c>
      <c r="B9" s="8">
        <v>2095</v>
      </c>
      <c r="C9" s="8">
        <f t="shared" si="0"/>
        <v>2216.1581547945207</v>
      </c>
      <c r="D9" s="7">
        <f t="shared" si="1"/>
        <v>34810</v>
      </c>
      <c r="E9" s="9">
        <v>43</v>
      </c>
      <c r="F9" s="10">
        <v>0.4909</v>
      </c>
      <c r="G9" s="11" t="s">
        <v>613</v>
      </c>
    </row>
    <row r="10" spans="1:7">
      <c r="A10" s="7">
        <v>34771</v>
      </c>
      <c r="B10" s="8">
        <v>668</v>
      </c>
      <c r="C10" s="8">
        <f t="shared" si="0"/>
        <v>707.51338958904114</v>
      </c>
      <c r="D10" s="7">
        <f t="shared" si="1"/>
        <v>34810</v>
      </c>
      <c r="E10" s="9">
        <v>39</v>
      </c>
      <c r="F10" s="10">
        <v>0.55359999999999998</v>
      </c>
      <c r="G10" s="11" t="s">
        <v>613</v>
      </c>
    </row>
    <row r="11" spans="1:7">
      <c r="A11" s="7">
        <v>34775</v>
      </c>
      <c r="B11" s="8">
        <v>25833.040000000001</v>
      </c>
      <c r="C11" s="8">
        <f t="shared" si="0"/>
        <v>27361.110320043837</v>
      </c>
      <c r="D11" s="7">
        <f t="shared" si="1"/>
        <v>34814</v>
      </c>
      <c r="E11" s="9">
        <v>39</v>
      </c>
      <c r="F11" s="10">
        <v>0.55359999999999998</v>
      </c>
      <c r="G11" s="11" t="s">
        <v>613</v>
      </c>
    </row>
    <row r="12" spans="1:7">
      <c r="A12" s="7">
        <v>34782</v>
      </c>
      <c r="B12" s="8">
        <v>407</v>
      </c>
      <c r="C12" s="8">
        <f t="shared" si="0"/>
        <v>426.05707808219177</v>
      </c>
      <c r="D12" s="7">
        <f t="shared" si="1"/>
        <v>34817</v>
      </c>
      <c r="E12" s="9">
        <v>35</v>
      </c>
      <c r="F12" s="10">
        <v>0.48830000000000001</v>
      </c>
      <c r="G12" s="11" t="s">
        <v>613</v>
      </c>
    </row>
    <row r="13" spans="1:7">
      <c r="A13" s="7">
        <v>34787</v>
      </c>
      <c r="B13" s="8">
        <v>2170</v>
      </c>
      <c r="C13" s="8">
        <f t="shared" si="0"/>
        <v>2256.8059452054795</v>
      </c>
      <c r="D13" s="7">
        <f t="shared" si="1"/>
        <v>34817</v>
      </c>
      <c r="E13" s="9">
        <v>30</v>
      </c>
      <c r="F13" s="10">
        <v>0.48670000000000002</v>
      </c>
      <c r="G13" s="11" t="s">
        <v>613</v>
      </c>
    </row>
    <row r="14" spans="1:7">
      <c r="A14" s="7">
        <v>34785</v>
      </c>
      <c r="B14" s="8">
        <v>1148</v>
      </c>
      <c r="C14" s="8">
        <f t="shared" si="0"/>
        <v>1197.0450761643835</v>
      </c>
      <c r="D14" s="7">
        <f t="shared" si="1"/>
        <v>34817</v>
      </c>
      <c r="E14" s="9">
        <v>32</v>
      </c>
      <c r="F14" s="10">
        <v>0.48730000000000001</v>
      </c>
      <c r="G14" s="11" t="s">
        <v>613</v>
      </c>
    </row>
    <row r="15" spans="1:7">
      <c r="A15" s="7">
        <v>34786</v>
      </c>
      <c r="B15" s="8">
        <v>500</v>
      </c>
      <c r="C15" s="8">
        <f t="shared" si="0"/>
        <v>520.6808219178082</v>
      </c>
      <c r="D15" s="7">
        <f t="shared" si="1"/>
        <v>34817</v>
      </c>
      <c r="E15" s="9">
        <v>31</v>
      </c>
      <c r="F15" s="10">
        <v>0.48699999999999999</v>
      </c>
      <c r="G15" s="11" t="s">
        <v>613</v>
      </c>
    </row>
    <row r="16" spans="1:7">
      <c r="A16" s="7">
        <v>34782</v>
      </c>
      <c r="B16" s="8">
        <v>53041.67</v>
      </c>
      <c r="C16" s="8">
        <f t="shared" si="0"/>
        <v>55525.255372972599</v>
      </c>
      <c r="D16" s="7">
        <f t="shared" si="1"/>
        <v>34817</v>
      </c>
      <c r="E16" s="9">
        <v>35</v>
      </c>
      <c r="F16" s="10">
        <v>0.48830000000000001</v>
      </c>
      <c r="G16" s="11" t="s">
        <v>613</v>
      </c>
    </row>
    <row r="17" spans="1:7">
      <c r="A17" s="7">
        <v>34786</v>
      </c>
      <c r="B17" s="8">
        <v>1276.55</v>
      </c>
      <c r="C17" s="8">
        <f t="shared" si="0"/>
        <v>1329.3502064383561</v>
      </c>
      <c r="D17" s="7">
        <f t="shared" si="1"/>
        <v>34817</v>
      </c>
      <c r="E17" s="9">
        <v>31</v>
      </c>
      <c r="F17" s="10">
        <v>0.48699999999999999</v>
      </c>
      <c r="G17" s="11" t="s">
        <v>613</v>
      </c>
    </row>
    <row r="18" spans="1:7">
      <c r="A18" s="7">
        <v>34788</v>
      </c>
      <c r="B18" s="8">
        <v>2250</v>
      </c>
      <c r="C18" s="8">
        <f t="shared" si="0"/>
        <v>2358.4290410958902</v>
      </c>
      <c r="D18" s="7">
        <f t="shared" si="1"/>
        <v>34824</v>
      </c>
      <c r="E18" s="9">
        <v>36</v>
      </c>
      <c r="F18" s="10">
        <v>0.48859999999999998</v>
      </c>
      <c r="G18" s="11" t="s">
        <v>613</v>
      </c>
    </row>
    <row r="19" spans="1:7">
      <c r="A19" s="7">
        <v>34789</v>
      </c>
      <c r="B19" s="8">
        <v>3300</v>
      </c>
      <c r="C19" s="8">
        <f t="shared" si="0"/>
        <v>3454.5168493150686</v>
      </c>
      <c r="D19" s="7">
        <f t="shared" si="1"/>
        <v>34824</v>
      </c>
      <c r="E19" s="9">
        <v>35</v>
      </c>
      <c r="F19" s="10">
        <v>0.48830000000000001</v>
      </c>
      <c r="G19" s="11" t="s">
        <v>613</v>
      </c>
    </row>
    <row r="20" spans="1:7">
      <c r="A20" s="7">
        <v>34792</v>
      </c>
      <c r="B20" s="8">
        <v>3652</v>
      </c>
      <c r="C20" s="8">
        <f t="shared" si="0"/>
        <v>3808.3416197260276</v>
      </c>
      <c r="D20" s="7">
        <f t="shared" si="1"/>
        <v>34824</v>
      </c>
      <c r="E20" s="9">
        <v>32</v>
      </c>
      <c r="F20" s="10">
        <v>0.48830000000000001</v>
      </c>
      <c r="G20" s="11" t="s">
        <v>613</v>
      </c>
    </row>
    <row r="21" spans="1:7">
      <c r="A21" s="7">
        <v>34794</v>
      </c>
      <c r="B21" s="8">
        <v>3500</v>
      </c>
      <c r="C21" s="8">
        <f t="shared" si="0"/>
        <v>3640.0095890410958</v>
      </c>
      <c r="D21" s="7">
        <f t="shared" si="1"/>
        <v>34824</v>
      </c>
      <c r="E21" s="9">
        <v>30</v>
      </c>
      <c r="F21" s="10">
        <v>0.48670000000000002</v>
      </c>
      <c r="G21" s="11" t="s">
        <v>613</v>
      </c>
    </row>
    <row r="22" spans="1:7">
      <c r="A22" s="7">
        <v>34795</v>
      </c>
      <c r="B22" s="8">
        <v>792</v>
      </c>
      <c r="C22" s="8">
        <f t="shared" si="0"/>
        <v>830.16702246575346</v>
      </c>
      <c r="D22" s="7">
        <f t="shared" si="1"/>
        <v>34831</v>
      </c>
      <c r="E22" s="9">
        <v>36</v>
      </c>
      <c r="F22" s="10">
        <v>0.48859999999999998</v>
      </c>
      <c r="G22" s="11" t="s">
        <v>613</v>
      </c>
    </row>
    <row r="23" spans="1:7">
      <c r="A23" s="7">
        <v>34796</v>
      </c>
      <c r="B23" s="8">
        <v>1115</v>
      </c>
      <c r="C23" s="8">
        <f t="shared" si="0"/>
        <v>1167.2079657534246</v>
      </c>
      <c r="D23" s="7">
        <f t="shared" si="1"/>
        <v>34831</v>
      </c>
      <c r="E23" s="9">
        <v>35</v>
      </c>
      <c r="F23" s="10">
        <v>0.48830000000000001</v>
      </c>
      <c r="G23" s="11" t="s">
        <v>613</v>
      </c>
    </row>
    <row r="24" spans="1:7">
      <c r="A24" s="7">
        <v>34799</v>
      </c>
      <c r="B24" s="8">
        <v>2373</v>
      </c>
      <c r="C24" s="8">
        <f t="shared" si="0"/>
        <v>2474.3797610958904</v>
      </c>
      <c r="D24" s="7">
        <f t="shared" si="1"/>
        <v>34831</v>
      </c>
      <c r="E24" s="9">
        <v>32</v>
      </c>
      <c r="F24" s="10">
        <v>0.48730000000000001</v>
      </c>
      <c r="G24" s="11" t="s">
        <v>613</v>
      </c>
    </row>
    <row r="25" spans="1:7">
      <c r="A25" s="7">
        <v>34801</v>
      </c>
      <c r="B25" s="8">
        <v>2445</v>
      </c>
      <c r="C25" s="8">
        <f t="shared" si="0"/>
        <v>2542.8066986301369</v>
      </c>
      <c r="D25" s="7">
        <f t="shared" si="1"/>
        <v>34831</v>
      </c>
      <c r="E25" s="9">
        <v>30</v>
      </c>
      <c r="F25" s="10">
        <v>0.48670000000000002</v>
      </c>
      <c r="G25" s="11" t="s">
        <v>613</v>
      </c>
    </row>
    <row r="26" spans="1:7">
      <c r="A26" s="7"/>
      <c r="B26" s="9">
        <f>SUM(B2:B25)</f>
        <v>114521.26</v>
      </c>
      <c r="C26" s="9">
        <f>SUM(C2:C25)</f>
        <v>120211.17209589314</v>
      </c>
      <c r="D26" s="7"/>
    </row>
    <row r="27" spans="1:7">
      <c r="A27" s="12" t="s">
        <v>521</v>
      </c>
      <c r="B27" s="13" t="s">
        <v>522</v>
      </c>
      <c r="C27" s="13" t="s">
        <v>523</v>
      </c>
      <c r="D27" s="15" t="s">
        <v>525</v>
      </c>
      <c r="E27" s="14" t="s">
        <v>524</v>
      </c>
      <c r="F27" s="14" t="s">
        <v>526</v>
      </c>
    </row>
    <row r="28" spans="1:7">
      <c r="A28" s="7">
        <v>34837</v>
      </c>
      <c r="B28" s="8">
        <v>10000</v>
      </c>
      <c r="C28" s="8">
        <f t="shared" ref="C28:C59" si="2">B28+(B28*F28/365*E28)*1</f>
        <v>10198.904109589041</v>
      </c>
      <c r="D28" s="7">
        <f t="shared" ref="D28:D91" si="3">A28+E28</f>
        <v>34870</v>
      </c>
      <c r="E28" s="9">
        <v>33</v>
      </c>
      <c r="F28" s="10">
        <v>0.22</v>
      </c>
      <c r="G28" s="11" t="s">
        <v>614</v>
      </c>
    </row>
    <row r="29" spans="1:7">
      <c r="A29" s="7">
        <v>34837</v>
      </c>
      <c r="B29" s="8">
        <v>10000</v>
      </c>
      <c r="C29" s="8">
        <f t="shared" si="2"/>
        <v>10198.904109589041</v>
      </c>
      <c r="D29" s="7">
        <f t="shared" si="3"/>
        <v>34870</v>
      </c>
      <c r="E29" s="9">
        <v>33</v>
      </c>
      <c r="F29" s="10">
        <v>0.22</v>
      </c>
      <c r="G29" s="11" t="s">
        <v>614</v>
      </c>
    </row>
    <row r="30" spans="1:7">
      <c r="A30" s="7">
        <v>34841</v>
      </c>
      <c r="B30" s="8">
        <v>9000</v>
      </c>
      <c r="C30" s="8">
        <f t="shared" si="2"/>
        <v>9103.5616438356155</v>
      </c>
      <c r="D30" s="7">
        <f t="shared" si="3"/>
        <v>34871</v>
      </c>
      <c r="E30" s="9">
        <v>30</v>
      </c>
      <c r="F30" s="10">
        <v>0.14000000000000001</v>
      </c>
      <c r="G30" s="11" t="s">
        <v>569</v>
      </c>
    </row>
    <row r="31" spans="1:7">
      <c r="A31" s="7">
        <v>34841</v>
      </c>
      <c r="B31" s="8">
        <v>8494.94</v>
      </c>
      <c r="C31" s="8">
        <f t="shared" si="2"/>
        <v>8592.6899945205478</v>
      </c>
      <c r="D31" s="7">
        <f t="shared" si="3"/>
        <v>34871</v>
      </c>
      <c r="E31" s="9">
        <v>30</v>
      </c>
      <c r="F31" s="10">
        <v>0.14000000000000001</v>
      </c>
      <c r="G31" s="11" t="s">
        <v>569</v>
      </c>
    </row>
    <row r="32" spans="1:7">
      <c r="A32" s="7">
        <v>34841</v>
      </c>
      <c r="B32" s="8">
        <v>10000</v>
      </c>
      <c r="C32" s="8">
        <f t="shared" si="2"/>
        <v>10156.164383561643</v>
      </c>
      <c r="D32" s="7">
        <f t="shared" si="3"/>
        <v>34871</v>
      </c>
      <c r="E32" s="9">
        <v>30</v>
      </c>
      <c r="F32" s="10">
        <v>0.19</v>
      </c>
      <c r="G32" s="11" t="s">
        <v>614</v>
      </c>
    </row>
    <row r="33" spans="1:7">
      <c r="A33" s="7">
        <v>34841</v>
      </c>
      <c r="B33" s="8">
        <v>10000</v>
      </c>
      <c r="C33" s="8">
        <f t="shared" si="2"/>
        <v>10156.164383561643</v>
      </c>
      <c r="D33" s="7">
        <f t="shared" si="3"/>
        <v>34871</v>
      </c>
      <c r="E33" s="9">
        <v>30</v>
      </c>
      <c r="F33" s="10">
        <v>0.19</v>
      </c>
      <c r="G33" s="11" t="s">
        <v>614</v>
      </c>
    </row>
    <row r="34" spans="1:7">
      <c r="A34" s="7">
        <v>34837</v>
      </c>
      <c r="B34" s="8">
        <v>10000</v>
      </c>
      <c r="C34" s="8">
        <f t="shared" si="2"/>
        <v>10240.460273972603</v>
      </c>
      <c r="D34" s="7">
        <f t="shared" si="3"/>
        <v>34873</v>
      </c>
      <c r="E34" s="9">
        <v>36</v>
      </c>
      <c r="F34" s="10">
        <v>0.24379999999999999</v>
      </c>
      <c r="G34" s="11" t="s">
        <v>615</v>
      </c>
    </row>
    <row r="35" spans="1:7">
      <c r="A35" s="7">
        <v>34843</v>
      </c>
      <c r="B35" s="8">
        <v>10000</v>
      </c>
      <c r="C35" s="8">
        <f t="shared" si="2"/>
        <v>10189.04109589041</v>
      </c>
      <c r="D35" s="7">
        <f t="shared" si="3"/>
        <v>34873</v>
      </c>
      <c r="E35" s="9">
        <v>30</v>
      </c>
      <c r="F35" s="10">
        <v>0.23</v>
      </c>
      <c r="G35" s="11" t="s">
        <v>616</v>
      </c>
    </row>
    <row r="36" spans="1:7">
      <c r="A36" s="7">
        <v>34837</v>
      </c>
      <c r="B36" s="8">
        <v>10000</v>
      </c>
      <c r="C36" s="8">
        <f t="shared" si="2"/>
        <v>10240.460273972603</v>
      </c>
      <c r="D36" s="7">
        <f t="shared" si="3"/>
        <v>34873</v>
      </c>
      <c r="E36" s="9">
        <v>36</v>
      </c>
      <c r="F36" s="10">
        <v>0.24379999999999999</v>
      </c>
      <c r="G36" s="11" t="s">
        <v>615</v>
      </c>
    </row>
    <row r="37" spans="1:7">
      <c r="A37" s="7">
        <v>34843</v>
      </c>
      <c r="B37" s="8">
        <v>39960</v>
      </c>
      <c r="C37" s="8">
        <f t="shared" si="2"/>
        <v>40584.032876712328</v>
      </c>
      <c r="D37" s="7">
        <f t="shared" si="3"/>
        <v>34873</v>
      </c>
      <c r="E37" s="9">
        <v>30</v>
      </c>
      <c r="F37" s="10">
        <v>0.19</v>
      </c>
      <c r="G37" s="11" t="s">
        <v>614</v>
      </c>
    </row>
    <row r="38" spans="1:7">
      <c r="A38" s="7">
        <v>34843</v>
      </c>
      <c r="B38" s="8">
        <v>20000</v>
      </c>
      <c r="C38" s="8">
        <f t="shared" si="2"/>
        <v>20515.068493150684</v>
      </c>
      <c r="D38" s="7">
        <f t="shared" si="3"/>
        <v>34883</v>
      </c>
      <c r="E38" s="9">
        <v>40</v>
      </c>
      <c r="F38" s="10">
        <v>0.23499999999999999</v>
      </c>
      <c r="G38" s="11" t="s">
        <v>616</v>
      </c>
    </row>
    <row r="39" spans="1:7">
      <c r="A39" s="7">
        <v>34851</v>
      </c>
      <c r="B39" s="8">
        <v>7179</v>
      </c>
      <c r="C39" s="8">
        <f t="shared" si="2"/>
        <v>7336.3479452054798</v>
      </c>
      <c r="D39" s="7">
        <f t="shared" si="3"/>
        <v>34891</v>
      </c>
      <c r="E39" s="9">
        <v>40</v>
      </c>
      <c r="F39" s="10">
        <v>0.2</v>
      </c>
      <c r="G39" s="11" t="s">
        <v>616</v>
      </c>
    </row>
    <row r="40" spans="1:7">
      <c r="A40" s="7">
        <v>34851</v>
      </c>
      <c r="B40" s="8">
        <v>7179</v>
      </c>
      <c r="C40" s="8">
        <f t="shared" si="2"/>
        <v>7336.3479452054798</v>
      </c>
      <c r="D40" s="7">
        <f t="shared" si="3"/>
        <v>34891</v>
      </c>
      <c r="E40" s="9">
        <v>40</v>
      </c>
      <c r="F40" s="10">
        <v>0.2</v>
      </c>
      <c r="G40" s="11" t="s">
        <v>616</v>
      </c>
    </row>
    <row r="41" spans="1:7">
      <c r="A41" s="7">
        <v>34870</v>
      </c>
      <c r="B41" s="8">
        <v>10198.9</v>
      </c>
      <c r="C41" s="8">
        <f t="shared" si="2"/>
        <v>10328.831191780822</v>
      </c>
      <c r="D41" s="7">
        <f t="shared" si="3"/>
        <v>34900</v>
      </c>
      <c r="E41" s="9">
        <v>30</v>
      </c>
      <c r="F41" s="10">
        <v>0.155</v>
      </c>
      <c r="G41" s="11" t="s">
        <v>614</v>
      </c>
    </row>
    <row r="42" spans="1:7">
      <c r="A42" s="7">
        <v>34870</v>
      </c>
      <c r="B42" s="8">
        <v>10198.9</v>
      </c>
      <c r="C42" s="8">
        <f t="shared" si="2"/>
        <v>10328.831191780822</v>
      </c>
      <c r="D42" s="7">
        <f t="shared" si="3"/>
        <v>34900</v>
      </c>
      <c r="E42" s="9">
        <v>30</v>
      </c>
      <c r="F42" s="10">
        <v>0.155</v>
      </c>
      <c r="G42" s="11" t="s">
        <v>614</v>
      </c>
    </row>
    <row r="43" spans="1:7">
      <c r="A43" s="7">
        <v>34870</v>
      </c>
      <c r="B43" s="8">
        <v>14800</v>
      </c>
      <c r="C43" s="8">
        <f t="shared" si="2"/>
        <v>14984.898630136986</v>
      </c>
      <c r="D43" s="7">
        <f t="shared" si="3"/>
        <v>34908</v>
      </c>
      <c r="E43" s="9">
        <v>38</v>
      </c>
      <c r="F43" s="10">
        <v>0.12</v>
      </c>
      <c r="G43" s="11" t="s">
        <v>569</v>
      </c>
    </row>
    <row r="44" spans="1:7">
      <c r="A44" s="7">
        <v>34871</v>
      </c>
      <c r="B44" s="8">
        <v>17696.25</v>
      </c>
      <c r="C44" s="8">
        <f t="shared" si="2"/>
        <v>17911.513972602741</v>
      </c>
      <c r="D44" s="7">
        <f t="shared" si="3"/>
        <v>34908</v>
      </c>
      <c r="E44" s="9">
        <v>37</v>
      </c>
      <c r="F44" s="10">
        <v>0.12</v>
      </c>
      <c r="G44" s="11" t="s">
        <v>569</v>
      </c>
    </row>
    <row r="45" spans="1:7">
      <c r="A45" s="7">
        <v>34871</v>
      </c>
      <c r="B45" s="8">
        <v>10156.16</v>
      </c>
      <c r="C45" s="8">
        <f t="shared" si="2"/>
        <v>10315.736924931507</v>
      </c>
      <c r="D45" s="7">
        <f t="shared" si="3"/>
        <v>34908</v>
      </c>
      <c r="E45" s="9">
        <v>37</v>
      </c>
      <c r="F45" s="10">
        <v>0.155</v>
      </c>
      <c r="G45" s="11" t="s">
        <v>614</v>
      </c>
    </row>
    <row r="46" spans="1:7">
      <c r="A46" s="7">
        <v>34871</v>
      </c>
      <c r="B46" s="8">
        <v>10116.459999999999</v>
      </c>
      <c r="C46" s="8">
        <f t="shared" si="2"/>
        <v>10275.413145479451</v>
      </c>
      <c r="D46" s="7">
        <f t="shared" si="3"/>
        <v>34908</v>
      </c>
      <c r="E46" s="9">
        <v>37</v>
      </c>
      <c r="F46" s="10">
        <v>0.155</v>
      </c>
      <c r="G46" s="11" t="s">
        <v>614</v>
      </c>
    </row>
    <row r="47" spans="1:7">
      <c r="A47" s="7">
        <v>34873</v>
      </c>
      <c r="B47" s="8">
        <v>22572.6</v>
      </c>
      <c r="C47" s="8">
        <f t="shared" si="2"/>
        <v>23067.341917808219</v>
      </c>
      <c r="D47" s="7">
        <f t="shared" si="3"/>
        <v>34913</v>
      </c>
      <c r="E47" s="9">
        <v>40</v>
      </c>
      <c r="F47" s="10">
        <v>0.2</v>
      </c>
      <c r="G47" s="11" t="s">
        <v>616</v>
      </c>
    </row>
    <row r="48" spans="1:7">
      <c r="A48" s="7">
        <v>34873</v>
      </c>
      <c r="B48" s="8">
        <v>40584.03</v>
      </c>
      <c r="C48" s="8">
        <f t="shared" si="2"/>
        <v>41307.871192602739</v>
      </c>
      <c r="D48" s="7">
        <f t="shared" si="3"/>
        <v>34915</v>
      </c>
      <c r="E48" s="9">
        <v>42</v>
      </c>
      <c r="F48" s="10">
        <v>0.155</v>
      </c>
      <c r="G48" s="11" t="s">
        <v>614</v>
      </c>
    </row>
    <row r="49" spans="1:7">
      <c r="A49" s="7">
        <v>34873</v>
      </c>
      <c r="B49" s="8">
        <v>10480.92</v>
      </c>
      <c r="C49" s="8">
        <f t="shared" si="2"/>
        <v>10774.948571046576</v>
      </c>
      <c r="D49" s="7">
        <f t="shared" si="3"/>
        <v>34915</v>
      </c>
      <c r="E49" s="9">
        <v>42</v>
      </c>
      <c r="F49" s="10">
        <v>0.24379999999999999</v>
      </c>
      <c r="G49" s="11" t="s">
        <v>615</v>
      </c>
    </row>
    <row r="50" spans="1:7">
      <c r="A50" s="7">
        <v>34883</v>
      </c>
      <c r="B50" s="8">
        <v>22500</v>
      </c>
      <c r="C50" s="8">
        <f t="shared" si="2"/>
        <v>22855.808219178081</v>
      </c>
      <c r="D50" s="7">
        <f t="shared" si="3"/>
        <v>34922</v>
      </c>
      <c r="E50" s="9">
        <v>39</v>
      </c>
      <c r="F50" s="10">
        <v>0.14799999999999999</v>
      </c>
      <c r="G50" s="11" t="s">
        <v>616</v>
      </c>
    </row>
    <row r="51" spans="1:7">
      <c r="A51" s="7">
        <v>34880</v>
      </c>
      <c r="B51" s="8">
        <v>5977</v>
      </c>
      <c r="C51" s="8">
        <f t="shared" si="2"/>
        <v>6049.2152602739725</v>
      </c>
      <c r="D51" s="7">
        <f t="shared" si="3"/>
        <v>34922</v>
      </c>
      <c r="E51" s="9">
        <v>42</v>
      </c>
      <c r="F51" s="10">
        <v>0.105</v>
      </c>
      <c r="G51" s="11" t="s">
        <v>569</v>
      </c>
    </row>
    <row r="52" spans="1:7">
      <c r="A52" s="7">
        <v>34891</v>
      </c>
      <c r="B52" s="8">
        <v>16672.71</v>
      </c>
      <c r="C52" s="8">
        <f t="shared" si="2"/>
        <v>16915.720458082193</v>
      </c>
      <c r="D52" s="7">
        <f t="shared" si="3"/>
        <v>34929</v>
      </c>
      <c r="E52" s="9">
        <v>38</v>
      </c>
      <c r="F52" s="10">
        <v>0.14000000000000001</v>
      </c>
      <c r="G52" s="11" t="s">
        <v>616</v>
      </c>
    </row>
    <row r="53" spans="1:7">
      <c r="A53" s="7">
        <v>34894</v>
      </c>
      <c r="B53" s="8">
        <v>24000</v>
      </c>
      <c r="C53" s="8">
        <f t="shared" si="2"/>
        <v>24247.397260273974</v>
      </c>
      <c r="D53" s="7">
        <f t="shared" si="3"/>
        <v>34929</v>
      </c>
      <c r="E53" s="9">
        <v>35</v>
      </c>
      <c r="F53" s="10">
        <v>0.1075</v>
      </c>
      <c r="G53" s="11" t="s">
        <v>569</v>
      </c>
    </row>
    <row r="54" spans="1:7">
      <c r="A54" s="7">
        <v>34900</v>
      </c>
      <c r="B54" s="8">
        <v>20657.66</v>
      </c>
      <c r="C54" s="8">
        <f t="shared" si="2"/>
        <v>20932.71815780822</v>
      </c>
      <c r="D54" s="7">
        <f t="shared" si="3"/>
        <v>34936</v>
      </c>
      <c r="E54" s="9">
        <v>36</v>
      </c>
      <c r="F54" s="10">
        <v>0.13500000000000001</v>
      </c>
      <c r="G54" s="11" t="s">
        <v>614</v>
      </c>
    </row>
    <row r="55" spans="1:7">
      <c r="A55" s="7">
        <v>34908</v>
      </c>
      <c r="B55" s="8">
        <v>10315.700000000001</v>
      </c>
      <c r="C55" s="8">
        <f t="shared" si="2"/>
        <v>10405.912916164385</v>
      </c>
      <c r="D55" s="7">
        <f t="shared" si="3"/>
        <v>34943</v>
      </c>
      <c r="E55" s="9">
        <v>35</v>
      </c>
      <c r="F55" s="10">
        <v>9.1200000000000003E-2</v>
      </c>
      <c r="G55" s="11" t="s">
        <v>614</v>
      </c>
    </row>
    <row r="56" spans="1:7">
      <c r="A56" s="7">
        <v>34908</v>
      </c>
      <c r="B56" s="8">
        <v>10275.41</v>
      </c>
      <c r="C56" s="8">
        <f t="shared" si="2"/>
        <v>10365.270571835616</v>
      </c>
      <c r="D56" s="7">
        <f t="shared" si="3"/>
        <v>34943</v>
      </c>
      <c r="E56" s="9">
        <v>35</v>
      </c>
      <c r="F56" s="10">
        <v>9.1200000000000003E-2</v>
      </c>
      <c r="G56" s="11" t="s">
        <v>614</v>
      </c>
    </row>
    <row r="57" spans="1:7">
      <c r="A57" s="7">
        <v>34915</v>
      </c>
      <c r="B57" s="8">
        <v>41307.870000000003</v>
      </c>
      <c r="C57" s="8">
        <f t="shared" si="2"/>
        <v>41862.414008219181</v>
      </c>
      <c r="D57" s="7">
        <f t="shared" si="3"/>
        <v>34950</v>
      </c>
      <c r="E57" s="9">
        <v>35</v>
      </c>
      <c r="F57" s="10">
        <v>0.14000000000000001</v>
      </c>
      <c r="G57" s="11" t="s">
        <v>614</v>
      </c>
    </row>
    <row r="58" spans="1:7">
      <c r="A58" s="7">
        <v>34915</v>
      </c>
      <c r="B58" s="8">
        <v>10500</v>
      </c>
      <c r="C58" s="8">
        <f t="shared" si="2"/>
        <v>10733.085616438357</v>
      </c>
      <c r="D58" s="7">
        <f t="shared" si="3"/>
        <v>34950</v>
      </c>
      <c r="E58" s="9">
        <v>35</v>
      </c>
      <c r="F58" s="10">
        <v>0.23150000000000001</v>
      </c>
      <c r="G58" s="11" t="s">
        <v>615</v>
      </c>
    </row>
    <row r="59" spans="1:7">
      <c r="A59" s="7">
        <v>34908</v>
      </c>
      <c r="B59" s="8">
        <v>32896.410000000003</v>
      </c>
      <c r="C59" s="8">
        <f t="shared" si="2"/>
        <v>33332.400091438358</v>
      </c>
      <c r="D59" s="7">
        <f t="shared" si="3"/>
        <v>34953</v>
      </c>
      <c r="E59" s="9">
        <v>45</v>
      </c>
      <c r="F59" s="10">
        <v>0.1075</v>
      </c>
      <c r="G59" s="11" t="s">
        <v>569</v>
      </c>
    </row>
    <row r="60" spans="1:7">
      <c r="A60" s="7">
        <v>34919</v>
      </c>
      <c r="B60" s="8">
        <v>2435</v>
      </c>
      <c r="C60" s="8">
        <f t="shared" ref="C60:C91" si="4">B60+(B60*F60/365*E60)*1</f>
        <v>2460.0971780821919</v>
      </c>
      <c r="D60" s="7">
        <f t="shared" si="3"/>
        <v>34957</v>
      </c>
      <c r="E60" s="9">
        <v>38</v>
      </c>
      <c r="F60" s="10">
        <v>9.9000000000000005E-2</v>
      </c>
      <c r="G60" s="11" t="s">
        <v>569</v>
      </c>
    </row>
    <row r="61" spans="1:7">
      <c r="A61" s="7">
        <v>34919</v>
      </c>
      <c r="B61" s="8">
        <v>54000</v>
      </c>
      <c r="C61" s="8">
        <f t="shared" si="4"/>
        <v>54556.569863013698</v>
      </c>
      <c r="D61" s="7">
        <f t="shared" si="3"/>
        <v>34957</v>
      </c>
      <c r="E61" s="9">
        <v>38</v>
      </c>
      <c r="F61" s="10">
        <v>9.9000000000000005E-2</v>
      </c>
      <c r="G61" s="11" t="s">
        <v>569</v>
      </c>
    </row>
    <row r="62" spans="1:7">
      <c r="A62" s="7">
        <v>34913</v>
      </c>
      <c r="B62" s="8">
        <v>29200</v>
      </c>
      <c r="C62" s="8">
        <f t="shared" si="4"/>
        <v>29689.632000000001</v>
      </c>
      <c r="D62" s="7">
        <f t="shared" si="3"/>
        <v>34957</v>
      </c>
      <c r="E62" s="9">
        <v>44</v>
      </c>
      <c r="F62" s="10">
        <v>0.1391</v>
      </c>
      <c r="G62" s="11" t="s">
        <v>616</v>
      </c>
    </row>
    <row r="63" spans="1:7">
      <c r="A63" s="7">
        <v>34922</v>
      </c>
      <c r="B63" s="8">
        <v>22855.81</v>
      </c>
      <c r="C63" s="8">
        <f t="shared" si="4"/>
        <v>23221.640721046577</v>
      </c>
      <c r="D63" s="7">
        <f t="shared" si="3"/>
        <v>34964</v>
      </c>
      <c r="E63" s="9">
        <v>42</v>
      </c>
      <c r="F63" s="10">
        <v>0.1391</v>
      </c>
      <c r="G63" s="11" t="s">
        <v>616</v>
      </c>
    </row>
    <row r="64" spans="1:7">
      <c r="A64" s="7">
        <v>34929</v>
      </c>
      <c r="B64" s="8">
        <v>48115.72</v>
      </c>
      <c r="C64" s="8">
        <f t="shared" si="4"/>
        <v>48846.551648438355</v>
      </c>
      <c r="D64" s="7">
        <f t="shared" si="3"/>
        <v>34971</v>
      </c>
      <c r="E64" s="9">
        <v>42</v>
      </c>
      <c r="F64" s="10">
        <v>0.13200000000000001</v>
      </c>
      <c r="G64" s="11" t="s">
        <v>616</v>
      </c>
    </row>
    <row r="65" spans="1:7">
      <c r="A65" s="7">
        <v>34943</v>
      </c>
      <c r="B65" s="8">
        <v>10365.27</v>
      </c>
      <c r="C65" s="8">
        <f t="shared" si="4"/>
        <v>10464.663</v>
      </c>
      <c r="D65" s="7">
        <f t="shared" si="3"/>
        <v>34978</v>
      </c>
      <c r="E65" s="9">
        <v>35</v>
      </c>
      <c r="F65" s="10">
        <v>0.1</v>
      </c>
      <c r="G65" s="11" t="s">
        <v>614</v>
      </c>
    </row>
    <row r="66" spans="1:7">
      <c r="A66" s="7">
        <v>34943</v>
      </c>
      <c r="B66" s="8">
        <v>10405.91</v>
      </c>
      <c r="C66" s="8">
        <f t="shared" si="4"/>
        <v>10505.692698630137</v>
      </c>
      <c r="D66" s="7">
        <f t="shared" si="3"/>
        <v>34978</v>
      </c>
      <c r="E66" s="9">
        <v>35</v>
      </c>
      <c r="F66" s="10">
        <v>0.1</v>
      </c>
      <c r="G66" s="11" t="s">
        <v>614</v>
      </c>
    </row>
    <row r="67" spans="1:7">
      <c r="A67" s="7">
        <v>34936</v>
      </c>
      <c r="B67" s="8">
        <v>27932.720000000001</v>
      </c>
      <c r="C67" s="8">
        <f t="shared" si="4"/>
        <v>28334.492000000002</v>
      </c>
      <c r="D67" s="7">
        <f t="shared" si="3"/>
        <v>34978</v>
      </c>
      <c r="E67" s="9">
        <v>42</v>
      </c>
      <c r="F67" s="10">
        <v>0.125</v>
      </c>
      <c r="G67" s="11" t="s">
        <v>614</v>
      </c>
    </row>
    <row r="68" spans="1:7">
      <c r="A68" s="7">
        <v>34950</v>
      </c>
      <c r="B68" s="8">
        <v>16000.42</v>
      </c>
      <c r="C68" s="8">
        <f t="shared" si="4"/>
        <v>16299.452506931508</v>
      </c>
      <c r="D68" s="7">
        <f t="shared" si="3"/>
        <v>34985</v>
      </c>
      <c r="E68" s="9">
        <v>35</v>
      </c>
      <c r="F68" s="10">
        <v>0.19489999999999999</v>
      </c>
      <c r="G68" s="11" t="s">
        <v>615</v>
      </c>
    </row>
    <row r="69" spans="1:7">
      <c r="A69" s="7">
        <v>34950</v>
      </c>
      <c r="B69" s="8">
        <v>41862.410000000003</v>
      </c>
      <c r="C69" s="8">
        <f t="shared" si="4"/>
        <v>42384.256480821925</v>
      </c>
      <c r="D69" s="7">
        <f t="shared" si="3"/>
        <v>34985</v>
      </c>
      <c r="E69" s="9">
        <v>35</v>
      </c>
      <c r="F69" s="10">
        <v>0.13</v>
      </c>
      <c r="G69" s="11" t="s">
        <v>614</v>
      </c>
    </row>
    <row r="70" spans="1:7">
      <c r="A70" s="7">
        <v>34953</v>
      </c>
      <c r="B70" s="8">
        <v>39700</v>
      </c>
      <c r="C70" s="8">
        <f t="shared" si="4"/>
        <v>40113.586986301372</v>
      </c>
      <c r="D70" s="7">
        <f t="shared" si="3"/>
        <v>34992</v>
      </c>
      <c r="E70" s="9">
        <v>39</v>
      </c>
      <c r="F70" s="10">
        <v>9.7500000000000003E-2</v>
      </c>
      <c r="G70" s="11" t="s">
        <v>569</v>
      </c>
    </row>
    <row r="71" spans="1:7">
      <c r="A71" s="7">
        <v>34957</v>
      </c>
      <c r="B71" s="8">
        <v>35500</v>
      </c>
      <c r="C71" s="8">
        <f t="shared" si="4"/>
        <v>36039.210958904107</v>
      </c>
      <c r="D71" s="7">
        <f t="shared" si="3"/>
        <v>34999</v>
      </c>
      <c r="E71" s="9">
        <v>42</v>
      </c>
      <c r="F71" s="10">
        <v>0.13200000000000001</v>
      </c>
      <c r="G71" s="11" t="s">
        <v>616</v>
      </c>
    </row>
    <row r="72" spans="1:7">
      <c r="A72" s="7">
        <v>34964</v>
      </c>
      <c r="B72" s="8">
        <v>23221.64</v>
      </c>
      <c r="C72" s="8">
        <f t="shared" si="4"/>
        <v>23569.010286027398</v>
      </c>
      <c r="D72" s="7">
        <f t="shared" si="3"/>
        <v>35006</v>
      </c>
      <c r="E72" s="9">
        <v>42</v>
      </c>
      <c r="F72" s="10">
        <v>0.13</v>
      </c>
      <c r="G72" s="11" t="s">
        <v>616</v>
      </c>
    </row>
    <row r="73" spans="1:7">
      <c r="A73" s="7">
        <v>34967</v>
      </c>
      <c r="B73" s="8">
        <v>27000</v>
      </c>
      <c r="C73" s="8">
        <f t="shared" si="4"/>
        <v>27375.04109589041</v>
      </c>
      <c r="D73" s="7">
        <f t="shared" si="3"/>
        <v>35006</v>
      </c>
      <c r="E73" s="9">
        <v>39</v>
      </c>
      <c r="F73" s="10">
        <v>0.13</v>
      </c>
      <c r="G73" s="11" t="s">
        <v>614</v>
      </c>
    </row>
    <row r="74" spans="1:7">
      <c r="A74" s="7">
        <v>34971</v>
      </c>
      <c r="B74" s="8">
        <v>35846.550000000003</v>
      </c>
      <c r="C74" s="8">
        <f t="shared" si="4"/>
        <v>36276.217551369868</v>
      </c>
      <c r="D74" s="7">
        <f t="shared" si="3"/>
        <v>35006</v>
      </c>
      <c r="E74" s="9">
        <v>35</v>
      </c>
      <c r="F74" s="10">
        <v>0.125</v>
      </c>
      <c r="G74" s="11" t="s">
        <v>616</v>
      </c>
    </row>
    <row r="75" spans="1:7">
      <c r="A75" s="7">
        <v>34978</v>
      </c>
      <c r="B75" s="8">
        <v>10505.73</v>
      </c>
      <c r="C75" s="8">
        <f t="shared" si="4"/>
        <v>10641.728833561643</v>
      </c>
      <c r="D75" s="7">
        <f t="shared" si="3"/>
        <v>35013</v>
      </c>
      <c r="E75" s="9">
        <v>35</v>
      </c>
      <c r="F75" s="10">
        <v>0.13500000000000001</v>
      </c>
      <c r="G75" s="11" t="s">
        <v>614</v>
      </c>
    </row>
    <row r="76" spans="1:7">
      <c r="A76" s="7">
        <v>34978</v>
      </c>
      <c r="B76" s="8">
        <v>10464.66</v>
      </c>
      <c r="C76" s="8">
        <f t="shared" si="4"/>
        <v>10600.127173972603</v>
      </c>
      <c r="D76" s="7">
        <f t="shared" si="3"/>
        <v>35013</v>
      </c>
      <c r="E76" s="9">
        <v>35</v>
      </c>
      <c r="F76" s="10">
        <v>0.13500000000000001</v>
      </c>
      <c r="G76" s="11" t="s">
        <v>614</v>
      </c>
    </row>
    <row r="77" spans="1:7">
      <c r="A77" s="7">
        <v>34978</v>
      </c>
      <c r="B77" s="8">
        <v>28334.49</v>
      </c>
      <c r="C77" s="8">
        <f t="shared" si="4"/>
        <v>28701.28579520548</v>
      </c>
      <c r="D77" s="7">
        <f t="shared" si="3"/>
        <v>35013</v>
      </c>
      <c r="E77" s="9">
        <v>35</v>
      </c>
      <c r="F77" s="10">
        <v>0.13500000000000001</v>
      </c>
      <c r="G77" s="11" t="s">
        <v>614</v>
      </c>
    </row>
    <row r="78" spans="1:7">
      <c r="A78" s="7">
        <v>34985</v>
      </c>
      <c r="B78" s="8">
        <v>42384.26</v>
      </c>
      <c r="C78" s="8">
        <f t="shared" si="4"/>
        <v>42932.932954794524</v>
      </c>
      <c r="D78" s="7">
        <f t="shared" si="3"/>
        <v>35020</v>
      </c>
      <c r="E78" s="9">
        <v>35</v>
      </c>
      <c r="F78" s="10">
        <v>0.13500000000000001</v>
      </c>
      <c r="G78" s="11" t="s">
        <v>614</v>
      </c>
    </row>
    <row r="79" spans="1:7">
      <c r="A79" s="7">
        <v>34985</v>
      </c>
      <c r="B79" s="8">
        <v>18659.45</v>
      </c>
      <c r="C79" s="8">
        <f t="shared" si="4"/>
        <v>19008.177227876713</v>
      </c>
      <c r="D79" s="7">
        <f t="shared" si="3"/>
        <v>35020</v>
      </c>
      <c r="E79" s="9">
        <v>35</v>
      </c>
      <c r="F79" s="10">
        <v>0.19489999999999999</v>
      </c>
      <c r="G79" s="11" t="s">
        <v>615</v>
      </c>
    </row>
    <row r="80" spans="1:7">
      <c r="A80" s="7">
        <v>34992</v>
      </c>
      <c r="B80" s="8">
        <v>31000</v>
      </c>
      <c r="C80" s="8">
        <f t="shared" si="4"/>
        <v>31326.986301369863</v>
      </c>
      <c r="D80" s="7">
        <f t="shared" si="3"/>
        <v>35027</v>
      </c>
      <c r="E80" s="9">
        <v>35</v>
      </c>
      <c r="F80" s="10">
        <v>0.11</v>
      </c>
      <c r="G80" s="11" t="s">
        <v>616</v>
      </c>
    </row>
    <row r="81" spans="1:7">
      <c r="A81" s="7">
        <v>35013</v>
      </c>
      <c r="B81" s="8">
        <v>10641.73</v>
      </c>
      <c r="C81" s="8">
        <f t="shared" si="4"/>
        <v>10759.226361369863</v>
      </c>
      <c r="D81" s="7">
        <f t="shared" si="3"/>
        <v>35044</v>
      </c>
      <c r="E81" s="9">
        <v>31</v>
      </c>
      <c r="F81" s="10">
        <v>0.13</v>
      </c>
      <c r="G81" s="11" t="s">
        <v>614</v>
      </c>
    </row>
    <row r="82" spans="1:7">
      <c r="A82" s="7">
        <v>35013</v>
      </c>
      <c r="B82" s="8">
        <v>10600.13</v>
      </c>
      <c r="C82" s="8">
        <f t="shared" si="4"/>
        <v>10717.167051780822</v>
      </c>
      <c r="D82" s="7">
        <f t="shared" si="3"/>
        <v>35044</v>
      </c>
      <c r="E82" s="9">
        <v>31</v>
      </c>
      <c r="F82" s="10">
        <v>0.13</v>
      </c>
      <c r="G82" s="11" t="s">
        <v>614</v>
      </c>
    </row>
    <row r="83" spans="1:7">
      <c r="A83" s="7">
        <v>35017</v>
      </c>
      <c r="B83" s="8">
        <v>12000</v>
      </c>
      <c r="C83" s="8">
        <f t="shared" si="4"/>
        <v>12073.890410958904</v>
      </c>
      <c r="D83" s="7">
        <f t="shared" si="3"/>
        <v>35048</v>
      </c>
      <c r="E83" s="9">
        <v>31</v>
      </c>
      <c r="F83" s="10">
        <v>7.2499999999999995E-2</v>
      </c>
      <c r="G83" s="11" t="s">
        <v>617</v>
      </c>
    </row>
    <row r="84" spans="1:7">
      <c r="A84" s="7">
        <v>35017</v>
      </c>
      <c r="B84" s="8">
        <v>28700</v>
      </c>
      <c r="C84" s="8">
        <f t="shared" si="4"/>
        <v>28919.378082191783</v>
      </c>
      <c r="D84" s="7">
        <f t="shared" si="3"/>
        <v>35048</v>
      </c>
      <c r="E84" s="9">
        <v>31</v>
      </c>
      <c r="F84" s="10">
        <v>0.09</v>
      </c>
      <c r="G84" s="11" t="s">
        <v>569</v>
      </c>
    </row>
    <row r="85" spans="1:7">
      <c r="A85" s="7">
        <v>35018</v>
      </c>
      <c r="B85" s="8">
        <v>9410</v>
      </c>
      <c r="C85" s="8">
        <f t="shared" si="4"/>
        <v>9466.0732876712336</v>
      </c>
      <c r="D85" s="7">
        <f t="shared" si="3"/>
        <v>35048</v>
      </c>
      <c r="E85" s="9">
        <v>30</v>
      </c>
      <c r="F85" s="10">
        <v>7.2499999999999995E-2</v>
      </c>
      <c r="G85" s="11" t="s">
        <v>569</v>
      </c>
    </row>
    <row r="86" spans="1:7">
      <c r="A86" s="7">
        <v>35020</v>
      </c>
      <c r="B86" s="8">
        <v>30000</v>
      </c>
      <c r="C86" s="8">
        <f t="shared" si="4"/>
        <v>30229.31506849315</v>
      </c>
      <c r="D86" s="7">
        <f t="shared" si="3"/>
        <v>35051</v>
      </c>
      <c r="E86" s="9">
        <v>31</v>
      </c>
      <c r="F86" s="10">
        <v>0.09</v>
      </c>
      <c r="G86" s="11" t="s">
        <v>618</v>
      </c>
    </row>
    <row r="87" spans="1:7">
      <c r="A87" s="7">
        <v>35020</v>
      </c>
      <c r="B87" s="8">
        <v>42932.93</v>
      </c>
      <c r="C87" s="8">
        <f t="shared" si="4"/>
        <v>43406.956596986303</v>
      </c>
      <c r="D87" s="7">
        <f t="shared" si="3"/>
        <v>35051</v>
      </c>
      <c r="E87" s="9">
        <v>31</v>
      </c>
      <c r="F87" s="10">
        <v>0.13</v>
      </c>
      <c r="G87" s="11" t="s">
        <v>614</v>
      </c>
    </row>
    <row r="88" spans="1:7">
      <c r="A88" s="7">
        <v>35020</v>
      </c>
      <c r="B88" s="8">
        <v>9008.18</v>
      </c>
      <c r="C88" s="8">
        <f t="shared" si="4"/>
        <v>9147.8067900000005</v>
      </c>
      <c r="D88" s="7">
        <f t="shared" si="3"/>
        <v>35051</v>
      </c>
      <c r="E88" s="9">
        <v>31</v>
      </c>
      <c r="F88" s="10">
        <v>0.1825</v>
      </c>
      <c r="G88" s="11" t="s">
        <v>615</v>
      </c>
    </row>
    <row r="89" spans="1:7">
      <c r="A89" s="7">
        <v>35019</v>
      </c>
      <c r="B89" s="8">
        <v>35000</v>
      </c>
      <c r="C89" s="8">
        <f t="shared" si="4"/>
        <v>35276.164383561641</v>
      </c>
      <c r="D89" s="7">
        <f t="shared" si="3"/>
        <v>35051</v>
      </c>
      <c r="E89" s="9">
        <v>32</v>
      </c>
      <c r="F89" s="10">
        <v>0.09</v>
      </c>
      <c r="G89" s="11" t="s">
        <v>569</v>
      </c>
    </row>
    <row r="90" spans="1:7">
      <c r="A90" s="7">
        <v>35023</v>
      </c>
      <c r="B90" s="8">
        <v>30000</v>
      </c>
      <c r="C90" s="8">
        <f t="shared" si="4"/>
        <v>30246.575342465752</v>
      </c>
      <c r="D90" s="7">
        <f t="shared" si="3"/>
        <v>35053</v>
      </c>
      <c r="E90" s="9">
        <v>30</v>
      </c>
      <c r="F90" s="10">
        <v>0.1</v>
      </c>
      <c r="G90" s="11" t="s">
        <v>619</v>
      </c>
    </row>
    <row r="91" spans="1:7">
      <c r="A91" s="7">
        <v>35027</v>
      </c>
      <c r="B91" s="8">
        <v>31326.99</v>
      </c>
      <c r="C91" s="8">
        <f t="shared" si="4"/>
        <v>31656.567100273973</v>
      </c>
      <c r="D91" s="7">
        <f t="shared" si="3"/>
        <v>35059</v>
      </c>
      <c r="E91" s="9">
        <v>32</v>
      </c>
      <c r="F91" s="10">
        <v>0.12</v>
      </c>
      <c r="G91" s="11" t="s">
        <v>616</v>
      </c>
    </row>
    <row r="92" spans="1:7">
      <c r="A92" s="7">
        <v>35044</v>
      </c>
      <c r="B92" s="8">
        <v>10759.23</v>
      </c>
      <c r="C92" s="8">
        <f t="shared" ref="C92:C123" si="5">B92+(B92*F92/365*E92)*1</f>
        <v>10871.980834931506</v>
      </c>
      <c r="D92" s="7">
        <f t="shared" ref="D92:D155" si="6">A92+E92</f>
        <v>35074</v>
      </c>
      <c r="E92" s="9">
        <v>30</v>
      </c>
      <c r="F92" s="10">
        <v>0.1275</v>
      </c>
      <c r="G92" s="11" t="s">
        <v>614</v>
      </c>
    </row>
    <row r="93" spans="1:7">
      <c r="A93" s="7">
        <v>35044</v>
      </c>
      <c r="B93" s="8">
        <v>10717.17</v>
      </c>
      <c r="C93" s="8">
        <f t="shared" si="5"/>
        <v>10829.480069178082</v>
      </c>
      <c r="D93" s="7">
        <f t="shared" si="6"/>
        <v>35074</v>
      </c>
      <c r="E93" s="9">
        <v>30</v>
      </c>
      <c r="F93" s="10">
        <v>0.1275</v>
      </c>
      <c r="G93" s="11" t="s">
        <v>614</v>
      </c>
    </row>
    <row r="94" spans="1:7">
      <c r="A94" s="7">
        <v>35051</v>
      </c>
      <c r="B94" s="8">
        <v>15647.81</v>
      </c>
      <c r="C94" s="8">
        <f t="shared" si="5"/>
        <v>15882.52715</v>
      </c>
      <c r="D94" s="7">
        <f t="shared" si="6"/>
        <v>35081</v>
      </c>
      <c r="E94" s="9">
        <v>30</v>
      </c>
      <c r="F94" s="10">
        <v>0.1825</v>
      </c>
      <c r="G94" s="11" t="s">
        <v>615</v>
      </c>
    </row>
    <row r="95" spans="1:7">
      <c r="A95" s="7">
        <v>35051</v>
      </c>
      <c r="B95" s="8">
        <v>30229.31</v>
      </c>
      <c r="C95" s="8">
        <f t="shared" si="5"/>
        <v>30452.924073972605</v>
      </c>
      <c r="D95" s="7">
        <f t="shared" si="6"/>
        <v>35081</v>
      </c>
      <c r="E95" s="9">
        <v>30</v>
      </c>
      <c r="F95" s="10">
        <v>0.09</v>
      </c>
      <c r="G95" s="11" t="s">
        <v>618</v>
      </c>
    </row>
    <row r="96" spans="1:7">
      <c r="A96" s="7">
        <v>35048</v>
      </c>
      <c r="B96" s="8">
        <v>50472.9</v>
      </c>
      <c r="C96" s="8">
        <f t="shared" si="5"/>
        <v>50906.41381232877</v>
      </c>
      <c r="D96" s="7">
        <f t="shared" si="6"/>
        <v>35081</v>
      </c>
      <c r="E96" s="9">
        <v>33</v>
      </c>
      <c r="F96" s="10">
        <v>9.5000000000000001E-2</v>
      </c>
      <c r="G96" s="11" t="s">
        <v>569</v>
      </c>
    </row>
    <row r="97" spans="1:7">
      <c r="A97" s="7">
        <v>35051</v>
      </c>
      <c r="B97" s="8">
        <v>35276.160000000003</v>
      </c>
      <c r="C97" s="8">
        <f t="shared" si="5"/>
        <v>35544.355463013701</v>
      </c>
      <c r="D97" s="7">
        <f t="shared" si="6"/>
        <v>35081</v>
      </c>
      <c r="E97" s="9">
        <v>30</v>
      </c>
      <c r="F97" s="10">
        <v>9.2499999999999999E-2</v>
      </c>
      <c r="G97" s="11" t="s">
        <v>569</v>
      </c>
    </row>
    <row r="98" spans="1:7">
      <c r="A98" s="7">
        <v>35051</v>
      </c>
      <c r="B98" s="8">
        <v>43406.96</v>
      </c>
      <c r="C98" s="8">
        <f t="shared" si="5"/>
        <v>43861.841156164381</v>
      </c>
      <c r="D98" s="7">
        <f t="shared" si="6"/>
        <v>35081</v>
      </c>
      <c r="E98" s="9">
        <v>30</v>
      </c>
      <c r="F98" s="10">
        <v>0.1275</v>
      </c>
      <c r="G98" s="11" t="s">
        <v>614</v>
      </c>
    </row>
    <row r="99" spans="1:7">
      <c r="A99" s="7">
        <v>35053</v>
      </c>
      <c r="B99" s="8">
        <v>32000</v>
      </c>
      <c r="C99" s="8">
        <f t="shared" si="5"/>
        <v>32452.383561643837</v>
      </c>
      <c r="D99" s="7">
        <f t="shared" si="6"/>
        <v>35096</v>
      </c>
      <c r="E99" s="9">
        <v>43</v>
      </c>
      <c r="F99" s="10">
        <v>0.12</v>
      </c>
      <c r="G99" s="11" t="s">
        <v>616</v>
      </c>
    </row>
    <row r="100" spans="1:7">
      <c r="A100" s="7">
        <v>35060</v>
      </c>
      <c r="B100" s="8">
        <v>22000</v>
      </c>
      <c r="C100" s="8">
        <f t="shared" si="5"/>
        <v>22297.452054794521</v>
      </c>
      <c r="D100" s="7">
        <f t="shared" si="6"/>
        <v>35102</v>
      </c>
      <c r="E100" s="9">
        <v>42</v>
      </c>
      <c r="F100" s="10">
        <v>0.11749999999999999</v>
      </c>
      <c r="G100" s="11" t="s">
        <v>616</v>
      </c>
    </row>
    <row r="101" spans="1:7">
      <c r="A101" s="7">
        <v>35061</v>
      </c>
      <c r="B101" s="8">
        <v>9300</v>
      </c>
      <c r="C101" s="8">
        <f t="shared" si="5"/>
        <v>9490.65</v>
      </c>
      <c r="D101" s="7">
        <f t="shared" si="6"/>
        <v>35102</v>
      </c>
      <c r="E101" s="9">
        <v>41</v>
      </c>
      <c r="F101" s="10">
        <v>0.1825</v>
      </c>
      <c r="G101" s="11" t="s">
        <v>615</v>
      </c>
    </row>
    <row r="102" spans="1:7">
      <c r="A102" s="7">
        <v>35069</v>
      </c>
      <c r="B102" s="8">
        <v>5000</v>
      </c>
      <c r="C102" s="8">
        <f t="shared" si="5"/>
        <v>5054.2465753424658</v>
      </c>
      <c r="D102" s="7">
        <f t="shared" si="6"/>
        <v>35102</v>
      </c>
      <c r="E102" s="9">
        <v>33</v>
      </c>
      <c r="F102" s="10">
        <v>0.12</v>
      </c>
      <c r="G102" s="11" t="s">
        <v>614</v>
      </c>
    </row>
    <row r="103" spans="1:7">
      <c r="A103" s="7">
        <v>35074</v>
      </c>
      <c r="B103" s="8">
        <v>26561.46</v>
      </c>
      <c r="C103" s="8">
        <f t="shared" si="5"/>
        <v>26841.628824657535</v>
      </c>
      <c r="D103" s="7">
        <f t="shared" si="6"/>
        <v>35109</v>
      </c>
      <c r="E103" s="9">
        <v>35</v>
      </c>
      <c r="F103" s="10">
        <v>0.11</v>
      </c>
      <c r="G103" s="11" t="s">
        <v>614</v>
      </c>
    </row>
    <row r="104" spans="1:7">
      <c r="A104" s="7">
        <v>35081</v>
      </c>
      <c r="B104" s="8">
        <v>43861.84</v>
      </c>
      <c r="C104" s="8">
        <f t="shared" si="5"/>
        <v>44324.492284931504</v>
      </c>
      <c r="D104" s="7">
        <f t="shared" si="6"/>
        <v>35116</v>
      </c>
      <c r="E104" s="9">
        <v>35</v>
      </c>
      <c r="F104" s="10">
        <v>0.11</v>
      </c>
      <c r="G104" s="11" t="s">
        <v>614</v>
      </c>
    </row>
    <row r="105" spans="1:7">
      <c r="A105" s="7">
        <v>35081</v>
      </c>
      <c r="B105" s="8">
        <v>15882.53</v>
      </c>
      <c r="C105" s="8">
        <f t="shared" si="5"/>
        <v>16160.778871465754</v>
      </c>
      <c r="D105" s="7">
        <f t="shared" si="6"/>
        <v>35116</v>
      </c>
      <c r="E105" s="9">
        <v>35</v>
      </c>
      <c r="F105" s="10">
        <v>0.1827</v>
      </c>
      <c r="G105" s="11" t="s">
        <v>615</v>
      </c>
    </row>
    <row r="106" spans="1:7">
      <c r="A106" s="7">
        <v>35081</v>
      </c>
      <c r="B106" s="8">
        <v>16000</v>
      </c>
      <c r="C106" s="8">
        <f t="shared" si="5"/>
        <v>16336.920547945205</v>
      </c>
      <c r="D106" s="7">
        <f t="shared" si="6"/>
        <v>35123</v>
      </c>
      <c r="E106" s="9">
        <v>42</v>
      </c>
      <c r="F106" s="10">
        <v>0.183</v>
      </c>
      <c r="G106" s="11" t="s">
        <v>615</v>
      </c>
    </row>
    <row r="107" spans="1:7">
      <c r="A107" s="7">
        <v>35081</v>
      </c>
      <c r="B107" s="8">
        <v>40000</v>
      </c>
      <c r="C107" s="8">
        <f t="shared" si="5"/>
        <v>40506.301369863017</v>
      </c>
      <c r="D107" s="7">
        <f t="shared" si="6"/>
        <v>35123</v>
      </c>
      <c r="E107" s="9">
        <v>42</v>
      </c>
      <c r="F107" s="10">
        <v>0.11</v>
      </c>
      <c r="G107" s="11" t="s">
        <v>614</v>
      </c>
    </row>
    <row r="108" spans="1:7">
      <c r="A108" s="7">
        <v>35081</v>
      </c>
      <c r="B108" s="8">
        <v>47000</v>
      </c>
      <c r="C108" s="8">
        <f t="shared" si="5"/>
        <v>47706.673972602737</v>
      </c>
      <c r="D108" s="7">
        <f t="shared" si="6"/>
        <v>35130</v>
      </c>
      <c r="E108" s="9">
        <v>49</v>
      </c>
      <c r="F108" s="10">
        <v>0.112</v>
      </c>
      <c r="G108" s="11" t="s">
        <v>616</v>
      </c>
    </row>
    <row r="109" spans="1:7">
      <c r="A109" s="7">
        <v>35088</v>
      </c>
      <c r="B109" s="8">
        <v>22500</v>
      </c>
      <c r="C109" s="8">
        <f t="shared" si="5"/>
        <v>22832.260273972603</v>
      </c>
      <c r="D109" s="7">
        <f t="shared" si="6"/>
        <v>35137</v>
      </c>
      <c r="E109" s="9">
        <v>49</v>
      </c>
      <c r="F109" s="10">
        <v>0.11</v>
      </c>
      <c r="G109" s="11" t="s">
        <v>614</v>
      </c>
    </row>
    <row r="110" spans="1:7">
      <c r="A110" s="7">
        <v>35097</v>
      </c>
      <c r="B110" s="8">
        <v>7650</v>
      </c>
      <c r="C110" s="8">
        <f t="shared" si="5"/>
        <v>7827.3123287671233</v>
      </c>
      <c r="D110" s="7">
        <f t="shared" si="6"/>
        <v>35144</v>
      </c>
      <c r="E110" s="9">
        <v>47</v>
      </c>
      <c r="F110" s="10">
        <v>0.18</v>
      </c>
      <c r="G110" s="11" t="s">
        <v>615</v>
      </c>
    </row>
    <row r="111" spans="1:7">
      <c r="A111" s="7">
        <v>35110</v>
      </c>
      <c r="B111" s="8">
        <v>1143</v>
      </c>
      <c r="C111" s="8">
        <f t="shared" si="5"/>
        <v>1150.4529863013699</v>
      </c>
      <c r="D111" s="7">
        <f t="shared" si="6"/>
        <v>35144</v>
      </c>
      <c r="E111" s="9">
        <v>34</v>
      </c>
      <c r="F111" s="10">
        <v>7.0000000000000007E-2</v>
      </c>
      <c r="G111" s="11" t="s">
        <v>569</v>
      </c>
    </row>
    <row r="112" spans="1:7">
      <c r="A112" s="7">
        <v>35107</v>
      </c>
      <c r="B112" s="8">
        <v>3700</v>
      </c>
      <c r="C112" s="8">
        <f t="shared" si="5"/>
        <v>3727.5675342465752</v>
      </c>
      <c r="D112" s="7">
        <f t="shared" si="6"/>
        <v>35144</v>
      </c>
      <c r="E112" s="9">
        <v>37</v>
      </c>
      <c r="F112" s="10">
        <v>7.3499999999999996E-2</v>
      </c>
      <c r="G112" s="11" t="s">
        <v>569</v>
      </c>
    </row>
    <row r="113" spans="1:7">
      <c r="A113" s="7">
        <v>35102</v>
      </c>
      <c r="B113" s="8">
        <v>9490.65</v>
      </c>
      <c r="C113" s="8">
        <f t="shared" si="5"/>
        <v>9719.9857068493147</v>
      </c>
      <c r="D113" s="7">
        <f t="shared" si="6"/>
        <v>35151</v>
      </c>
      <c r="E113" s="9">
        <v>49</v>
      </c>
      <c r="F113" s="10">
        <v>0.18</v>
      </c>
      <c r="G113" s="11" t="s">
        <v>615</v>
      </c>
    </row>
    <row r="114" spans="1:7">
      <c r="A114" s="7">
        <v>35104</v>
      </c>
      <c r="B114" s="8">
        <v>2535</v>
      </c>
      <c r="C114" s="8">
        <f t="shared" si="5"/>
        <v>2560.2979109589041</v>
      </c>
      <c r="D114" s="7">
        <f t="shared" si="6"/>
        <v>35151</v>
      </c>
      <c r="E114" s="9">
        <v>47</v>
      </c>
      <c r="F114" s="10">
        <v>7.7499999999999999E-2</v>
      </c>
      <c r="G114" s="11" t="s">
        <v>569</v>
      </c>
    </row>
    <row r="115" spans="1:7">
      <c r="A115" s="7">
        <v>35102</v>
      </c>
      <c r="B115" s="8">
        <v>5054.25</v>
      </c>
      <c r="C115" s="8">
        <f t="shared" si="5"/>
        <v>5115.3164178082188</v>
      </c>
      <c r="D115" s="7">
        <f t="shared" si="6"/>
        <v>35151</v>
      </c>
      <c r="E115" s="9">
        <v>49</v>
      </c>
      <c r="F115" s="10">
        <v>0.09</v>
      </c>
      <c r="G115" s="11" t="s">
        <v>614</v>
      </c>
    </row>
    <row r="116" spans="1:7">
      <c r="A116" s="7">
        <v>35102</v>
      </c>
      <c r="B116" s="8">
        <v>5497.45</v>
      </c>
      <c r="C116" s="8">
        <f t="shared" si="5"/>
        <v>5563.8712452054797</v>
      </c>
      <c r="D116" s="7">
        <f t="shared" si="6"/>
        <v>35151</v>
      </c>
      <c r="E116" s="9">
        <v>49</v>
      </c>
      <c r="F116" s="10">
        <v>0.09</v>
      </c>
      <c r="G116" s="11" t="s">
        <v>616</v>
      </c>
    </row>
    <row r="117" spans="1:7">
      <c r="A117" s="7">
        <v>35109</v>
      </c>
      <c r="B117" s="8">
        <v>27441.63</v>
      </c>
      <c r="C117" s="8">
        <f t="shared" si="5"/>
        <v>27810.02448493151</v>
      </c>
      <c r="D117" s="7">
        <f t="shared" si="6"/>
        <v>35158</v>
      </c>
      <c r="E117" s="9">
        <v>49</v>
      </c>
      <c r="F117" s="10">
        <v>0.1</v>
      </c>
      <c r="G117" s="11" t="s">
        <v>614</v>
      </c>
    </row>
    <row r="118" spans="1:7">
      <c r="A118" s="7">
        <v>35117</v>
      </c>
      <c r="B118" s="8">
        <v>15500</v>
      </c>
      <c r="C118" s="8">
        <f t="shared" si="5"/>
        <v>15744.602739726028</v>
      </c>
      <c r="D118" s="7">
        <f t="shared" si="6"/>
        <v>35165</v>
      </c>
      <c r="E118" s="9">
        <v>48</v>
      </c>
      <c r="F118" s="10">
        <v>0.12</v>
      </c>
      <c r="G118" s="11" t="s">
        <v>615</v>
      </c>
    </row>
    <row r="119" spans="1:7">
      <c r="A119" s="7">
        <v>35125</v>
      </c>
      <c r="B119" s="8">
        <v>2500</v>
      </c>
      <c r="C119" s="8">
        <f t="shared" si="5"/>
        <v>2532.8767123287671</v>
      </c>
      <c r="D119" s="7">
        <f t="shared" si="6"/>
        <v>35165</v>
      </c>
      <c r="E119" s="9">
        <v>40</v>
      </c>
      <c r="F119" s="10">
        <v>0.12</v>
      </c>
      <c r="G119" s="11" t="s">
        <v>615</v>
      </c>
    </row>
    <row r="120" spans="1:7">
      <c r="A120" s="7">
        <v>35116</v>
      </c>
      <c r="B120" s="8">
        <f>44324.49+2000</f>
        <v>46324.49</v>
      </c>
      <c r="C120" s="8">
        <f t="shared" si="5"/>
        <v>46946.380413698629</v>
      </c>
      <c r="D120" s="7">
        <f t="shared" si="6"/>
        <v>35165</v>
      </c>
      <c r="E120" s="9">
        <v>49</v>
      </c>
      <c r="F120" s="10">
        <v>0.1</v>
      </c>
      <c r="G120" s="11" t="s">
        <v>614</v>
      </c>
    </row>
    <row r="121" spans="1:7">
      <c r="A121" s="7">
        <v>35123</v>
      </c>
      <c r="B121" s="8">
        <v>16336.92</v>
      </c>
      <c r="C121" s="8">
        <f t="shared" si="5"/>
        <v>16562.503772054795</v>
      </c>
      <c r="D121" s="7">
        <f t="shared" si="6"/>
        <v>35165</v>
      </c>
      <c r="E121" s="9">
        <v>42</v>
      </c>
      <c r="F121" s="10">
        <v>0.12</v>
      </c>
      <c r="G121" s="11" t="s">
        <v>615</v>
      </c>
    </row>
    <row r="122" spans="1:7">
      <c r="A122" s="7">
        <v>35123</v>
      </c>
      <c r="B122" s="8">
        <v>6650</v>
      </c>
      <c r="C122" s="8">
        <f t="shared" si="5"/>
        <v>6734.8102739726028</v>
      </c>
      <c r="D122" s="7">
        <f t="shared" si="6"/>
        <v>35172</v>
      </c>
      <c r="E122" s="9">
        <v>49</v>
      </c>
      <c r="F122" s="10">
        <v>9.5000000000000001E-2</v>
      </c>
      <c r="G122" s="11" t="s">
        <v>614</v>
      </c>
    </row>
    <row r="123" spans="1:7">
      <c r="A123" s="7">
        <v>35123</v>
      </c>
      <c r="B123" s="8">
        <v>40506.300000000003</v>
      </c>
      <c r="C123" s="8">
        <f t="shared" si="5"/>
        <v>41022.894045205481</v>
      </c>
      <c r="D123" s="7">
        <f t="shared" si="6"/>
        <v>35172</v>
      </c>
      <c r="E123" s="9">
        <v>49</v>
      </c>
      <c r="F123" s="10">
        <v>9.5000000000000001E-2</v>
      </c>
      <c r="G123" s="11" t="s">
        <v>614</v>
      </c>
    </row>
    <row r="124" spans="1:7">
      <c r="A124" s="7">
        <v>35129</v>
      </c>
      <c r="B124" s="8">
        <v>3300</v>
      </c>
      <c r="C124" s="8">
        <f t="shared" ref="C124:C155" si="7">B124+(B124*F124/365*E124)*1</f>
        <v>3336.9328767123288</v>
      </c>
      <c r="D124" s="7">
        <f t="shared" si="6"/>
        <v>35172</v>
      </c>
      <c r="E124" s="9">
        <v>43</v>
      </c>
      <c r="F124" s="10">
        <v>9.5000000000000001E-2</v>
      </c>
      <c r="G124" s="11" t="s">
        <v>614</v>
      </c>
    </row>
    <row r="125" spans="1:7">
      <c r="A125" s="7">
        <v>35142</v>
      </c>
      <c r="B125" s="8">
        <v>19900</v>
      </c>
      <c r="C125" s="8">
        <f t="shared" si="7"/>
        <v>20119.881369863015</v>
      </c>
      <c r="D125" s="7">
        <f t="shared" si="6"/>
        <v>35179</v>
      </c>
      <c r="E125" s="9">
        <v>37</v>
      </c>
      <c r="F125" s="10">
        <v>0.109</v>
      </c>
      <c r="G125" s="11" t="s">
        <v>615</v>
      </c>
    </row>
    <row r="126" spans="1:7">
      <c r="A126" s="7">
        <v>35145</v>
      </c>
      <c r="B126" s="8">
        <v>10000</v>
      </c>
      <c r="C126" s="8">
        <f t="shared" si="7"/>
        <v>10119.452054794521</v>
      </c>
      <c r="D126" s="7">
        <f t="shared" si="6"/>
        <v>35185</v>
      </c>
      <c r="E126" s="9">
        <v>40</v>
      </c>
      <c r="F126" s="10">
        <v>0.109</v>
      </c>
      <c r="G126" s="11" t="s">
        <v>615</v>
      </c>
    </row>
    <row r="127" spans="1:7">
      <c r="A127" s="7">
        <v>35153</v>
      </c>
      <c r="B127" s="8">
        <v>25000</v>
      </c>
      <c r="C127" s="8">
        <f t="shared" si="7"/>
        <v>25238.904109589042</v>
      </c>
      <c r="D127" s="7">
        <f t="shared" si="6"/>
        <v>35185</v>
      </c>
      <c r="E127" s="9">
        <v>32</v>
      </c>
      <c r="F127" s="10">
        <v>0.109</v>
      </c>
      <c r="G127" s="11" t="s">
        <v>615</v>
      </c>
    </row>
    <row r="128" spans="1:7">
      <c r="A128" s="7">
        <v>35158</v>
      </c>
      <c r="B128" s="8">
        <v>28810</v>
      </c>
      <c r="C128" s="8">
        <f t="shared" si="7"/>
        <v>29058.634246575344</v>
      </c>
      <c r="D128" s="7">
        <f t="shared" si="6"/>
        <v>35193</v>
      </c>
      <c r="E128" s="9">
        <v>35</v>
      </c>
      <c r="F128" s="10">
        <v>0.09</v>
      </c>
      <c r="G128" s="11" t="s">
        <v>614</v>
      </c>
    </row>
    <row r="129" spans="1:7">
      <c r="A129" s="7">
        <v>35158</v>
      </c>
      <c r="B129" s="8">
        <v>6000</v>
      </c>
      <c r="C129" s="8">
        <f t="shared" si="7"/>
        <v>6036.821917808219</v>
      </c>
      <c r="D129" s="7">
        <f t="shared" si="6"/>
        <v>35193</v>
      </c>
      <c r="E129" s="9">
        <v>35</v>
      </c>
      <c r="F129" s="10">
        <v>6.4000000000000001E-2</v>
      </c>
      <c r="G129" s="11" t="s">
        <v>569</v>
      </c>
    </row>
    <row r="130" spans="1:7">
      <c r="A130" s="7">
        <v>35165</v>
      </c>
      <c r="B130" s="8">
        <v>32305.35</v>
      </c>
      <c r="C130" s="8">
        <f t="shared" si="7"/>
        <v>32641.148624383561</v>
      </c>
      <c r="D130" s="7">
        <f t="shared" si="6"/>
        <v>35200</v>
      </c>
      <c r="E130" s="9">
        <v>35</v>
      </c>
      <c r="F130" s="10">
        <v>0.1084</v>
      </c>
      <c r="G130" s="11" t="s">
        <v>615</v>
      </c>
    </row>
    <row r="131" spans="1:7">
      <c r="A131" s="7">
        <v>35174</v>
      </c>
      <c r="B131" s="8">
        <v>7190</v>
      </c>
      <c r="C131" s="8">
        <f t="shared" si="7"/>
        <v>7258.060736986301</v>
      </c>
      <c r="D131" s="7">
        <f t="shared" si="6"/>
        <v>35207</v>
      </c>
      <c r="E131" s="9">
        <v>33</v>
      </c>
      <c r="F131" s="10">
        <v>0.1047</v>
      </c>
      <c r="G131" s="11" t="s">
        <v>615</v>
      </c>
    </row>
    <row r="132" spans="1:7">
      <c r="A132" s="7">
        <v>35165</v>
      </c>
      <c r="B132" s="8">
        <v>46946.38</v>
      </c>
      <c r="C132" s="8">
        <f t="shared" si="7"/>
        <v>47416.486901095886</v>
      </c>
      <c r="D132" s="7">
        <f t="shared" si="6"/>
        <v>35208</v>
      </c>
      <c r="E132" s="9">
        <v>43</v>
      </c>
      <c r="F132" s="10">
        <v>8.5000000000000006E-2</v>
      </c>
      <c r="G132" s="11" t="s">
        <v>614</v>
      </c>
    </row>
    <row r="133" spans="1:7">
      <c r="A133" s="7">
        <v>35172</v>
      </c>
      <c r="B133" s="8">
        <v>55000</v>
      </c>
      <c r="C133" s="8">
        <f t="shared" si="7"/>
        <v>55949.315068493153</v>
      </c>
      <c r="D133" s="7">
        <f t="shared" si="6"/>
        <v>35214</v>
      </c>
      <c r="E133" s="9">
        <v>42</v>
      </c>
      <c r="F133" s="10">
        <v>0.15</v>
      </c>
      <c r="G133" s="11" t="s">
        <v>620</v>
      </c>
    </row>
    <row r="134" spans="1:7">
      <c r="A134" s="7">
        <v>35179</v>
      </c>
      <c r="B134" s="8">
        <v>41900</v>
      </c>
      <c r="C134" s="8">
        <f t="shared" si="7"/>
        <v>42430.350684931509</v>
      </c>
      <c r="D134" s="7">
        <f t="shared" si="6"/>
        <v>35221</v>
      </c>
      <c r="E134" s="9">
        <v>42</v>
      </c>
      <c r="F134" s="10">
        <v>0.11</v>
      </c>
      <c r="G134" s="11" t="s">
        <v>621</v>
      </c>
    </row>
    <row r="135" spans="1:7">
      <c r="A135" s="7">
        <v>35185</v>
      </c>
      <c r="B135" s="8">
        <v>9500</v>
      </c>
      <c r="C135" s="8">
        <f t="shared" si="7"/>
        <v>9623.1095890410961</v>
      </c>
      <c r="D135" s="7">
        <f t="shared" si="6"/>
        <v>35228</v>
      </c>
      <c r="E135" s="9">
        <v>43</v>
      </c>
      <c r="F135" s="10">
        <v>0.11</v>
      </c>
      <c r="G135" s="11" t="s">
        <v>621</v>
      </c>
    </row>
    <row r="136" spans="1:7">
      <c r="A136" s="7">
        <v>35188</v>
      </c>
      <c r="B136" s="8">
        <v>4900</v>
      </c>
      <c r="C136" s="8">
        <f t="shared" si="7"/>
        <v>4959.0684931506848</v>
      </c>
      <c r="D136" s="7">
        <f t="shared" si="6"/>
        <v>35228</v>
      </c>
      <c r="E136" s="9">
        <v>40</v>
      </c>
      <c r="F136" s="10">
        <v>0.11</v>
      </c>
      <c r="G136" s="11" t="s">
        <v>621</v>
      </c>
    </row>
    <row r="137" spans="1:7">
      <c r="A137" s="7">
        <v>35193</v>
      </c>
      <c r="B137" s="8">
        <v>41000</v>
      </c>
      <c r="C137" s="8">
        <f t="shared" si="7"/>
        <v>41495.369863013701</v>
      </c>
      <c r="D137" s="7">
        <f t="shared" si="6"/>
        <v>35235</v>
      </c>
      <c r="E137" s="9">
        <v>42</v>
      </c>
      <c r="F137" s="10">
        <v>0.105</v>
      </c>
      <c r="G137" s="11" t="s">
        <v>621</v>
      </c>
    </row>
    <row r="138" spans="1:7">
      <c r="A138" s="7">
        <v>35202</v>
      </c>
      <c r="B138" s="8">
        <v>7500</v>
      </c>
      <c r="C138" s="8">
        <f t="shared" si="7"/>
        <v>7571.1986301369861</v>
      </c>
      <c r="D138" s="7">
        <f t="shared" si="6"/>
        <v>35235</v>
      </c>
      <c r="E138" s="9">
        <v>33</v>
      </c>
      <c r="F138" s="10">
        <v>0.105</v>
      </c>
      <c r="G138" s="11" t="s">
        <v>621</v>
      </c>
    </row>
    <row r="139" spans="1:7">
      <c r="A139" s="7">
        <v>35200</v>
      </c>
      <c r="B139" s="8">
        <v>39341.15</v>
      </c>
      <c r="C139" s="8">
        <f t="shared" si="7"/>
        <v>39807.423465479456</v>
      </c>
      <c r="D139" s="7">
        <f t="shared" si="6"/>
        <v>35242</v>
      </c>
      <c r="E139" s="9">
        <v>42</v>
      </c>
      <c r="F139" s="10">
        <v>0.10299999999999999</v>
      </c>
      <c r="G139" s="11" t="s">
        <v>615</v>
      </c>
    </row>
    <row r="140" spans="1:7">
      <c r="A140" s="7">
        <v>35207</v>
      </c>
      <c r="B140" s="8">
        <v>20558.060000000001</v>
      </c>
      <c r="C140" s="8">
        <f t="shared" si="7"/>
        <v>20799.349668602743</v>
      </c>
      <c r="D140" s="7">
        <f t="shared" si="6"/>
        <v>35249</v>
      </c>
      <c r="E140" s="9">
        <v>42</v>
      </c>
      <c r="F140" s="10">
        <v>0.10199999999999999</v>
      </c>
      <c r="G140" s="11" t="s">
        <v>615</v>
      </c>
    </row>
    <row r="141" spans="1:7">
      <c r="A141" s="7">
        <v>35208</v>
      </c>
      <c r="B141" s="8">
        <v>47500</v>
      </c>
      <c r="C141" s="8">
        <f t="shared" si="7"/>
        <v>48246.986301369863</v>
      </c>
      <c r="D141" s="7">
        <f t="shared" si="6"/>
        <v>35249</v>
      </c>
      <c r="E141" s="9">
        <v>41</v>
      </c>
      <c r="F141" s="10">
        <v>0.14000000000000001</v>
      </c>
      <c r="G141" s="11" t="s">
        <v>622</v>
      </c>
    </row>
    <row r="142" spans="1:7">
      <c r="A142" s="7">
        <v>35221</v>
      </c>
      <c r="B142" s="8">
        <v>42430.35</v>
      </c>
      <c r="C142" s="8">
        <f t="shared" si="7"/>
        <v>42779.092602739722</v>
      </c>
      <c r="D142" s="7">
        <f t="shared" si="6"/>
        <v>35251</v>
      </c>
      <c r="E142" s="9">
        <v>30</v>
      </c>
      <c r="F142" s="10">
        <v>0.1</v>
      </c>
      <c r="G142" s="11" t="s">
        <v>621</v>
      </c>
    </row>
    <row r="143" spans="1:7">
      <c r="A143" s="7">
        <v>35214</v>
      </c>
      <c r="B143" s="8">
        <v>55949.49</v>
      </c>
      <c r="C143" s="8">
        <f t="shared" si="7"/>
        <v>56786.433055890411</v>
      </c>
      <c r="D143" s="7">
        <f t="shared" si="6"/>
        <v>35256</v>
      </c>
      <c r="E143" s="9">
        <v>42</v>
      </c>
      <c r="F143" s="10">
        <v>0.13</v>
      </c>
      <c r="G143" s="11" t="s">
        <v>622</v>
      </c>
    </row>
    <row r="144" spans="1:7">
      <c r="A144" s="7">
        <v>35215</v>
      </c>
      <c r="B144" s="8">
        <v>13000</v>
      </c>
      <c r="C144" s="8">
        <f t="shared" si="7"/>
        <v>13179.506849315068</v>
      </c>
      <c r="D144" s="7">
        <f t="shared" si="6"/>
        <v>35263</v>
      </c>
      <c r="E144" s="9">
        <v>48</v>
      </c>
      <c r="F144" s="10">
        <v>0.105</v>
      </c>
      <c r="G144" s="11" t="s">
        <v>621</v>
      </c>
    </row>
    <row r="145" spans="1:7">
      <c r="A145" s="7">
        <v>35216</v>
      </c>
      <c r="B145" s="8">
        <v>60000</v>
      </c>
      <c r="C145" s="8">
        <f t="shared" si="7"/>
        <v>61004.383561643837</v>
      </c>
      <c r="D145" s="7">
        <f t="shared" si="6"/>
        <v>35263</v>
      </c>
      <c r="E145" s="9">
        <v>47</v>
      </c>
      <c r="F145" s="10">
        <v>0.13</v>
      </c>
      <c r="G145" s="11" t="s">
        <v>622</v>
      </c>
    </row>
    <row r="146" spans="1:7">
      <c r="A146" s="7">
        <v>35223</v>
      </c>
      <c r="B146" s="8">
        <v>55000</v>
      </c>
      <c r="C146" s="8">
        <f t="shared" si="7"/>
        <v>55849.863013698632</v>
      </c>
      <c r="D146" s="7">
        <f t="shared" si="6"/>
        <v>35270</v>
      </c>
      <c r="E146" s="9">
        <v>47</v>
      </c>
      <c r="F146" s="10">
        <v>0.12</v>
      </c>
      <c r="G146" s="11" t="s">
        <v>622</v>
      </c>
    </row>
    <row r="147" spans="1:7">
      <c r="A147" s="7">
        <v>35228</v>
      </c>
      <c r="B147" s="8">
        <v>14582.18</v>
      </c>
      <c r="C147" s="8">
        <f t="shared" si="7"/>
        <v>14777.94077260274</v>
      </c>
      <c r="D147" s="7">
        <f t="shared" si="6"/>
        <v>35277</v>
      </c>
      <c r="E147" s="9">
        <v>49</v>
      </c>
      <c r="F147" s="10">
        <v>0.1</v>
      </c>
      <c r="G147" s="11" t="s">
        <v>621</v>
      </c>
    </row>
    <row r="148" spans="1:7">
      <c r="A148" s="7">
        <v>35229</v>
      </c>
      <c r="B148" s="8">
        <v>4000</v>
      </c>
      <c r="C148" s="8">
        <f t="shared" si="7"/>
        <v>4052.6027397260273</v>
      </c>
      <c r="D148" s="7">
        <f t="shared" si="6"/>
        <v>35277</v>
      </c>
      <c r="E148" s="9">
        <v>48</v>
      </c>
      <c r="F148" s="10">
        <v>0.1</v>
      </c>
      <c r="G148" s="11" t="s">
        <v>621</v>
      </c>
    </row>
    <row r="149" spans="1:7">
      <c r="A149" s="7">
        <v>35235</v>
      </c>
      <c r="B149" s="8">
        <v>42495.37</v>
      </c>
      <c r="C149" s="8">
        <f t="shared" si="7"/>
        <v>43065.855789041096</v>
      </c>
      <c r="D149" s="7">
        <f t="shared" si="6"/>
        <v>35284</v>
      </c>
      <c r="E149" s="9">
        <v>49</v>
      </c>
      <c r="F149" s="10">
        <v>0.1</v>
      </c>
      <c r="G149" s="11" t="s">
        <v>621</v>
      </c>
    </row>
    <row r="150" spans="1:7">
      <c r="A150" s="7">
        <v>35242</v>
      </c>
      <c r="B150" s="8">
        <v>25700</v>
      </c>
      <c r="C150" s="8">
        <f t="shared" si="7"/>
        <v>26114.016438356164</v>
      </c>
      <c r="D150" s="7">
        <f t="shared" si="6"/>
        <v>35291</v>
      </c>
      <c r="E150" s="9">
        <v>49</v>
      </c>
      <c r="F150" s="10">
        <v>0.12</v>
      </c>
      <c r="G150" s="11" t="s">
        <v>622</v>
      </c>
    </row>
    <row r="151" spans="1:7">
      <c r="A151" s="7">
        <v>35243</v>
      </c>
      <c r="B151" s="8">
        <v>30000</v>
      </c>
      <c r="C151" s="8">
        <f t="shared" si="7"/>
        <v>30473.424657534248</v>
      </c>
      <c r="D151" s="7">
        <f t="shared" si="6"/>
        <v>35291</v>
      </c>
      <c r="E151" s="9">
        <v>48</v>
      </c>
      <c r="F151" s="10">
        <v>0.12</v>
      </c>
      <c r="G151" s="11" t="s">
        <v>622</v>
      </c>
    </row>
    <row r="152" spans="1:7">
      <c r="A152" s="7">
        <v>35249</v>
      </c>
      <c r="B152" s="8">
        <v>69046.990000000005</v>
      </c>
      <c r="C152" s="8">
        <f t="shared" si="7"/>
        <v>70159.308633424662</v>
      </c>
      <c r="D152" s="7">
        <f t="shared" si="6"/>
        <v>35298</v>
      </c>
      <c r="E152" s="9">
        <v>49</v>
      </c>
      <c r="F152" s="10">
        <v>0.12</v>
      </c>
      <c r="G152" s="11" t="s">
        <v>622</v>
      </c>
    </row>
    <row r="153" spans="1:7">
      <c r="A153" s="7">
        <v>35251</v>
      </c>
      <c r="B153" s="8">
        <v>42779.09</v>
      </c>
      <c r="C153" s="8">
        <f t="shared" si="7"/>
        <v>43411.98612602739</v>
      </c>
      <c r="D153" s="7">
        <f t="shared" si="6"/>
        <v>35305</v>
      </c>
      <c r="E153" s="9">
        <v>54</v>
      </c>
      <c r="F153" s="10">
        <v>0.1</v>
      </c>
      <c r="G153" s="11" t="s">
        <v>621</v>
      </c>
    </row>
    <row r="154" spans="1:7">
      <c r="A154" s="7">
        <v>35256</v>
      </c>
      <c r="B154" s="8">
        <v>56786.43</v>
      </c>
      <c r="C154" s="8">
        <f t="shared" si="7"/>
        <v>57831.922629041095</v>
      </c>
      <c r="D154" s="7">
        <f t="shared" si="6"/>
        <v>35312</v>
      </c>
      <c r="E154" s="9">
        <v>56</v>
      </c>
      <c r="F154" s="10">
        <v>0.12</v>
      </c>
      <c r="G154" s="11" t="s">
        <v>622</v>
      </c>
    </row>
    <row r="155" spans="1:7">
      <c r="A155" s="7">
        <v>35270</v>
      </c>
      <c r="B155" s="8">
        <v>55849.86</v>
      </c>
      <c r="C155" s="8">
        <f t="shared" si="7"/>
        <v>56749.578292602739</v>
      </c>
      <c r="D155" s="7">
        <f t="shared" si="6"/>
        <v>35319</v>
      </c>
      <c r="E155" s="9">
        <v>49</v>
      </c>
      <c r="F155" s="10">
        <v>0.12</v>
      </c>
      <c r="G155" s="11" t="s">
        <v>622</v>
      </c>
    </row>
    <row r="156" spans="1:7">
      <c r="A156" s="7">
        <v>35284</v>
      </c>
      <c r="B156" s="8">
        <v>53000</v>
      </c>
      <c r="C156" s="8">
        <f t="shared" ref="C156:C187" si="8">B156+(B156*F156/365*E156)*1</f>
        <v>53533.630136986299</v>
      </c>
      <c r="D156" s="7">
        <f t="shared" ref="D156:D219" si="9">A156+E156</f>
        <v>35319</v>
      </c>
      <c r="E156" s="9">
        <v>35</v>
      </c>
      <c r="F156" s="10">
        <v>0.105</v>
      </c>
      <c r="G156" s="11" t="s">
        <v>621</v>
      </c>
    </row>
    <row r="157" spans="1:7">
      <c r="A157" s="7">
        <v>35292</v>
      </c>
      <c r="B157" s="8">
        <v>26114.01</v>
      </c>
      <c r="C157" s="8">
        <f t="shared" si="8"/>
        <v>26430.239929315067</v>
      </c>
      <c r="D157" s="7">
        <f t="shared" si="9"/>
        <v>35326</v>
      </c>
      <c r="E157" s="9">
        <v>34</v>
      </c>
      <c r="F157" s="10">
        <v>0.13</v>
      </c>
      <c r="G157" s="11" t="s">
        <v>622</v>
      </c>
    </row>
    <row r="158" spans="1:7">
      <c r="A158" s="7">
        <v>35292</v>
      </c>
      <c r="B158" s="8">
        <v>30473.42</v>
      </c>
      <c r="C158" s="8">
        <f t="shared" si="8"/>
        <v>30842.440592876712</v>
      </c>
      <c r="D158" s="7">
        <f t="shared" si="9"/>
        <v>35326</v>
      </c>
      <c r="E158" s="9">
        <v>34</v>
      </c>
      <c r="F158" s="10">
        <v>0.13</v>
      </c>
      <c r="G158" s="11" t="s">
        <v>622</v>
      </c>
    </row>
    <row r="159" spans="1:7">
      <c r="A159" s="7">
        <v>35293</v>
      </c>
      <c r="B159" s="8">
        <v>16900</v>
      </c>
      <c r="C159" s="8">
        <f t="shared" si="8"/>
        <v>17068.073972602739</v>
      </c>
      <c r="D159" s="7">
        <f t="shared" si="9"/>
        <v>35326</v>
      </c>
      <c r="E159" s="9">
        <v>33</v>
      </c>
      <c r="F159" s="10">
        <v>0.11</v>
      </c>
      <c r="G159" s="11" t="s">
        <v>621</v>
      </c>
    </row>
    <row r="160" spans="1:7">
      <c r="A160" s="7">
        <v>35312</v>
      </c>
      <c r="B160" s="8">
        <v>27831.73</v>
      </c>
      <c r="C160" s="8">
        <f t="shared" si="8"/>
        <v>28151.985523287673</v>
      </c>
      <c r="D160" s="7">
        <f t="shared" si="9"/>
        <v>35347</v>
      </c>
      <c r="E160" s="9">
        <v>35</v>
      </c>
      <c r="F160" s="10">
        <v>0.12</v>
      </c>
      <c r="G160" s="11" t="s">
        <v>622</v>
      </c>
    </row>
    <row r="161" spans="1:7">
      <c r="A161" s="7">
        <v>35314</v>
      </c>
      <c r="B161" s="8">
        <v>30000</v>
      </c>
      <c r="C161" s="8">
        <f t="shared" si="8"/>
        <v>30169.520547945205</v>
      </c>
      <c r="D161" s="7">
        <f t="shared" si="9"/>
        <v>35347</v>
      </c>
      <c r="E161" s="9">
        <v>33</v>
      </c>
      <c r="F161" s="10">
        <v>6.25E-2</v>
      </c>
    </row>
    <row r="162" spans="1:7">
      <c r="A162" s="7">
        <v>35319</v>
      </c>
      <c r="B162" s="8">
        <v>53000</v>
      </c>
      <c r="C162" s="8">
        <f t="shared" si="8"/>
        <v>53317.636986301368</v>
      </c>
      <c r="D162" s="7">
        <f t="shared" si="9"/>
        <v>35354</v>
      </c>
      <c r="E162" s="9">
        <v>35</v>
      </c>
      <c r="F162" s="10">
        <v>6.25E-2</v>
      </c>
    </row>
    <row r="163" spans="1:7">
      <c r="A163" s="7">
        <v>35320</v>
      </c>
      <c r="B163" s="8">
        <v>56000</v>
      </c>
      <c r="C163" s="8">
        <f t="shared" si="8"/>
        <v>56326.027397260274</v>
      </c>
      <c r="D163" s="7">
        <f t="shared" si="9"/>
        <v>35354</v>
      </c>
      <c r="E163" s="9">
        <v>34</v>
      </c>
      <c r="F163" s="10">
        <v>6.25E-2</v>
      </c>
    </row>
    <row r="164" spans="1:7">
      <c r="A164" s="7">
        <v>35327</v>
      </c>
      <c r="B164" s="8">
        <v>74000</v>
      </c>
      <c r="C164" s="8">
        <f t="shared" si="8"/>
        <v>74568.684931506854</v>
      </c>
      <c r="D164" s="7">
        <f t="shared" si="9"/>
        <v>35360</v>
      </c>
      <c r="E164" s="9">
        <v>33</v>
      </c>
      <c r="F164" s="10">
        <v>8.5000000000000006E-2</v>
      </c>
    </row>
    <row r="165" spans="1:7">
      <c r="A165" s="7">
        <v>35339</v>
      </c>
      <c r="B165" s="8">
        <v>20600</v>
      </c>
      <c r="C165" s="8">
        <f t="shared" si="8"/>
        <v>20705.821917808218</v>
      </c>
      <c r="D165" s="7">
        <f t="shared" si="9"/>
        <v>35369</v>
      </c>
      <c r="E165" s="9">
        <v>30</v>
      </c>
      <c r="F165" s="10">
        <v>6.25E-2</v>
      </c>
    </row>
    <row r="166" spans="1:7">
      <c r="A166" s="7">
        <v>35347</v>
      </c>
      <c r="B166" s="8">
        <v>28151.98</v>
      </c>
      <c r="C166" s="8">
        <f t="shared" si="8"/>
        <v>28475.920591780821</v>
      </c>
      <c r="D166" s="7">
        <f t="shared" si="9"/>
        <v>35382</v>
      </c>
      <c r="E166" s="9">
        <v>35</v>
      </c>
      <c r="F166" s="10">
        <v>0.12</v>
      </c>
      <c r="G166" s="11" t="s">
        <v>622</v>
      </c>
    </row>
    <row r="167" spans="1:7">
      <c r="A167" s="7">
        <v>35348</v>
      </c>
      <c r="B167" s="8">
        <v>38500</v>
      </c>
      <c r="C167" s="8">
        <f t="shared" si="8"/>
        <v>38930.356164383564</v>
      </c>
      <c r="D167" s="7">
        <f t="shared" si="9"/>
        <v>35382</v>
      </c>
      <c r="E167" s="9">
        <v>34</v>
      </c>
      <c r="F167" s="10">
        <v>0.12</v>
      </c>
      <c r="G167" s="11" t="s">
        <v>622</v>
      </c>
    </row>
    <row r="168" spans="1:7">
      <c r="A168" s="7">
        <v>35359</v>
      </c>
      <c r="B168" s="8">
        <v>21650</v>
      </c>
      <c r="C168" s="8">
        <f t="shared" si="8"/>
        <v>21863.534246575342</v>
      </c>
      <c r="D168" s="7">
        <f t="shared" si="9"/>
        <v>35389</v>
      </c>
      <c r="E168" s="9">
        <v>30</v>
      </c>
      <c r="F168" s="10">
        <v>0.12</v>
      </c>
      <c r="G168" s="11" t="s">
        <v>622</v>
      </c>
    </row>
    <row r="169" spans="1:7">
      <c r="A169" s="7">
        <v>35361</v>
      </c>
      <c r="B169" s="8">
        <v>74568.679999999993</v>
      </c>
      <c r="C169" s="8">
        <f t="shared" si="8"/>
        <v>75013.027613698621</v>
      </c>
      <c r="D169" s="7">
        <f t="shared" si="9"/>
        <v>35391</v>
      </c>
      <c r="E169" s="9">
        <v>30</v>
      </c>
      <c r="F169" s="10">
        <v>7.2499999999999995E-2</v>
      </c>
    </row>
    <row r="170" spans="1:7">
      <c r="A170" s="7">
        <v>35370</v>
      </c>
      <c r="B170" s="8">
        <v>47000</v>
      </c>
      <c r="C170" s="8">
        <f t="shared" si="8"/>
        <v>47479.013698630137</v>
      </c>
      <c r="D170" s="7">
        <f t="shared" si="9"/>
        <v>35401</v>
      </c>
      <c r="E170" s="9">
        <v>31</v>
      </c>
      <c r="F170" s="10">
        <v>0.12</v>
      </c>
      <c r="G170" s="11" t="s">
        <v>621</v>
      </c>
    </row>
    <row r="171" spans="1:7">
      <c r="A171" s="7">
        <v>35382</v>
      </c>
      <c r="B171" s="8">
        <v>28475.919999999998</v>
      </c>
      <c r="C171" s="8">
        <f t="shared" si="8"/>
        <v>28745.075956164383</v>
      </c>
      <c r="D171" s="7">
        <f t="shared" si="9"/>
        <v>35412</v>
      </c>
      <c r="E171" s="9">
        <v>30</v>
      </c>
      <c r="F171" s="10">
        <v>0.115</v>
      </c>
      <c r="G171" s="11" t="s">
        <v>622</v>
      </c>
    </row>
    <row r="172" spans="1:7">
      <c r="A172" s="7">
        <v>35382</v>
      </c>
      <c r="B172" s="8">
        <v>38930.36</v>
      </c>
      <c r="C172" s="8">
        <f t="shared" si="8"/>
        <v>39298.331895890413</v>
      </c>
      <c r="D172" s="7">
        <f t="shared" si="9"/>
        <v>35412</v>
      </c>
      <c r="E172" s="9">
        <v>30</v>
      </c>
      <c r="F172" s="10">
        <v>0.115</v>
      </c>
      <c r="G172" s="11" t="s">
        <v>622</v>
      </c>
    </row>
    <row r="173" spans="1:7">
      <c r="A173" s="7">
        <v>35389</v>
      </c>
      <c r="B173" s="8">
        <v>21854.63</v>
      </c>
      <c r="C173" s="8">
        <f t="shared" si="8"/>
        <v>22061.201160273973</v>
      </c>
      <c r="D173" s="7">
        <f t="shared" si="9"/>
        <v>35419</v>
      </c>
      <c r="E173" s="9">
        <v>30</v>
      </c>
      <c r="F173" s="10">
        <v>0.115</v>
      </c>
      <c r="G173" s="11" t="s">
        <v>622</v>
      </c>
    </row>
    <row r="174" spans="1:7">
      <c r="A174" s="7">
        <v>35391</v>
      </c>
      <c r="B174" s="8">
        <v>32000</v>
      </c>
      <c r="C174" s="8">
        <f t="shared" si="8"/>
        <v>32285.369863013697</v>
      </c>
      <c r="D174" s="7">
        <f t="shared" si="9"/>
        <v>35422</v>
      </c>
      <c r="E174" s="9">
        <v>31</v>
      </c>
      <c r="F174" s="10">
        <v>0.105</v>
      </c>
      <c r="G174" s="11" t="s">
        <v>621</v>
      </c>
    </row>
    <row r="175" spans="1:7">
      <c r="A175" s="7">
        <v>35392</v>
      </c>
      <c r="B175" s="8">
        <v>40000</v>
      </c>
      <c r="C175" s="8">
        <f t="shared" si="8"/>
        <v>40390.684931506847</v>
      </c>
      <c r="D175" s="7">
        <f t="shared" si="9"/>
        <v>35423</v>
      </c>
      <c r="E175" s="9">
        <v>31</v>
      </c>
      <c r="F175" s="10">
        <v>0.115</v>
      </c>
      <c r="G175" s="11" t="s">
        <v>622</v>
      </c>
    </row>
    <row r="176" spans="1:7">
      <c r="A176" s="7">
        <v>35401</v>
      </c>
      <c r="B176" s="8">
        <v>47479.01</v>
      </c>
      <c r="C176" s="8">
        <f t="shared" si="8"/>
        <v>47984.368777671232</v>
      </c>
      <c r="D176" s="7">
        <f t="shared" si="9"/>
        <v>35438</v>
      </c>
      <c r="E176" s="9">
        <v>37</v>
      </c>
      <c r="F176" s="10">
        <v>0.105</v>
      </c>
      <c r="G176" s="11" t="s">
        <v>621</v>
      </c>
    </row>
    <row r="177" spans="1:7">
      <c r="A177" s="7">
        <v>35412</v>
      </c>
      <c r="B177" s="8">
        <v>28000</v>
      </c>
      <c r="C177" s="8">
        <f t="shared" si="8"/>
        <v>28265.808219178081</v>
      </c>
      <c r="D177" s="7">
        <f t="shared" si="9"/>
        <v>35445</v>
      </c>
      <c r="E177" s="9">
        <v>33</v>
      </c>
      <c r="F177" s="10">
        <v>0.105</v>
      </c>
      <c r="G177" s="11" t="s">
        <v>621</v>
      </c>
    </row>
    <row r="178" spans="1:7">
      <c r="A178" s="7">
        <v>35412</v>
      </c>
      <c r="B178" s="8">
        <v>28745.08</v>
      </c>
      <c r="C178" s="8">
        <f t="shared" si="8"/>
        <v>29043.950078356167</v>
      </c>
      <c r="D178" s="7">
        <f t="shared" si="9"/>
        <v>35445</v>
      </c>
      <c r="E178" s="9">
        <v>33</v>
      </c>
      <c r="F178" s="10">
        <v>0.115</v>
      </c>
      <c r="G178" s="11" t="s">
        <v>622</v>
      </c>
    </row>
    <row r="179" spans="1:7">
      <c r="A179" s="7">
        <v>35412</v>
      </c>
      <c r="B179" s="8">
        <v>39298.33</v>
      </c>
      <c r="C179" s="8">
        <f t="shared" si="8"/>
        <v>39706.92496534247</v>
      </c>
      <c r="D179" s="7">
        <f t="shared" si="9"/>
        <v>35445</v>
      </c>
      <c r="E179" s="9">
        <v>33</v>
      </c>
      <c r="F179" s="10">
        <v>0.115</v>
      </c>
      <c r="G179" s="11" t="s">
        <v>622</v>
      </c>
    </row>
    <row r="180" spans="1:7">
      <c r="A180" s="7">
        <v>35419</v>
      </c>
      <c r="B180" s="8">
        <v>22061.200000000001</v>
      </c>
      <c r="C180" s="8">
        <f t="shared" si="8"/>
        <v>22290.576038356165</v>
      </c>
      <c r="D180" s="7">
        <f t="shared" si="9"/>
        <v>35452</v>
      </c>
      <c r="E180" s="9">
        <v>33</v>
      </c>
      <c r="F180" s="10">
        <v>0.115</v>
      </c>
      <c r="G180" s="11" t="s">
        <v>622</v>
      </c>
    </row>
    <row r="181" spans="1:7">
      <c r="A181" s="7">
        <v>35423</v>
      </c>
      <c r="B181" s="8">
        <v>40403.279999999999</v>
      </c>
      <c r="C181" s="8">
        <f t="shared" si="8"/>
        <v>40861.552819726028</v>
      </c>
      <c r="D181" s="7">
        <f t="shared" si="9"/>
        <v>35459</v>
      </c>
      <c r="E181" s="9">
        <v>36</v>
      </c>
      <c r="F181" s="10">
        <v>0.115</v>
      </c>
      <c r="G181" s="11" t="s">
        <v>622</v>
      </c>
    </row>
    <row r="182" spans="1:7">
      <c r="A182" s="7">
        <v>35423</v>
      </c>
      <c r="B182" s="8">
        <v>45500.37</v>
      </c>
      <c r="C182" s="8">
        <f t="shared" si="8"/>
        <v>45971.579311232883</v>
      </c>
      <c r="D182" s="7">
        <f t="shared" si="9"/>
        <v>35459</v>
      </c>
      <c r="E182" s="9">
        <v>36</v>
      </c>
      <c r="F182" s="10">
        <v>0.105</v>
      </c>
      <c r="G182" s="11" t="s">
        <v>621</v>
      </c>
    </row>
    <row r="183" spans="1:7">
      <c r="A183" s="7">
        <v>35432</v>
      </c>
      <c r="B183" s="8">
        <v>58000</v>
      </c>
      <c r="C183" s="8">
        <f t="shared" si="8"/>
        <v>58305.095890410958</v>
      </c>
      <c r="D183" s="7">
        <f t="shared" si="9"/>
        <v>35464</v>
      </c>
      <c r="E183" s="9">
        <v>32</v>
      </c>
      <c r="F183" s="10">
        <v>0.06</v>
      </c>
      <c r="G183" s="11" t="s">
        <v>623</v>
      </c>
    </row>
    <row r="184" spans="1:7">
      <c r="A184" s="7">
        <v>35433</v>
      </c>
      <c r="B184" s="8">
        <v>22959</v>
      </c>
      <c r="C184" s="8">
        <f t="shared" si="8"/>
        <v>23197.710698630137</v>
      </c>
      <c r="D184" s="7">
        <f t="shared" si="9"/>
        <v>35466</v>
      </c>
      <c r="E184" s="9">
        <v>33</v>
      </c>
      <c r="F184" s="10">
        <v>0.115</v>
      </c>
      <c r="G184" s="11" t="s">
        <v>622</v>
      </c>
    </row>
    <row r="185" spans="1:7">
      <c r="A185" s="7">
        <v>35445</v>
      </c>
      <c r="B185" s="8">
        <v>20265.61</v>
      </c>
      <c r="C185" s="8">
        <f t="shared" si="8"/>
        <v>20432.176657534248</v>
      </c>
      <c r="D185" s="7">
        <f t="shared" si="9"/>
        <v>35475</v>
      </c>
      <c r="E185" s="9">
        <v>30</v>
      </c>
      <c r="F185" s="10">
        <v>0.1</v>
      </c>
      <c r="G185" s="11" t="s">
        <v>621</v>
      </c>
    </row>
    <row r="186" spans="1:7">
      <c r="A186" s="7">
        <v>35445</v>
      </c>
      <c r="B186" s="8">
        <v>29043.95</v>
      </c>
      <c r="C186" s="8">
        <f t="shared" si="8"/>
        <v>29318.475006849316</v>
      </c>
      <c r="D186" s="7">
        <f t="shared" si="9"/>
        <v>35475</v>
      </c>
      <c r="E186" s="9">
        <v>30</v>
      </c>
      <c r="F186" s="10">
        <v>0.115</v>
      </c>
      <c r="G186" s="11" t="s">
        <v>622</v>
      </c>
    </row>
    <row r="187" spans="1:7">
      <c r="A187" s="7">
        <v>35445</v>
      </c>
      <c r="B187" s="8">
        <v>39706.92</v>
      </c>
      <c r="C187" s="8">
        <f t="shared" si="8"/>
        <v>40082.231983561644</v>
      </c>
      <c r="D187" s="7">
        <f t="shared" si="9"/>
        <v>35475</v>
      </c>
      <c r="E187" s="9">
        <v>30</v>
      </c>
      <c r="F187" s="10">
        <v>0.115</v>
      </c>
      <c r="G187" s="11" t="s">
        <v>622</v>
      </c>
    </row>
    <row r="188" spans="1:7">
      <c r="A188" s="7">
        <v>35459</v>
      </c>
      <c r="B188" s="8">
        <v>40000</v>
      </c>
      <c r="C188" s="8">
        <f t="shared" ref="C188:C219" si="10">B188+(B188*F188/365*E188)*1</f>
        <v>40328.767123287675</v>
      </c>
      <c r="D188" s="7">
        <f t="shared" si="9"/>
        <v>35489</v>
      </c>
      <c r="E188" s="9">
        <v>30</v>
      </c>
      <c r="F188" s="10">
        <v>0.1</v>
      </c>
      <c r="G188" s="11" t="s">
        <v>621</v>
      </c>
    </row>
    <row r="189" spans="1:7">
      <c r="A189" s="7">
        <v>35459</v>
      </c>
      <c r="B189" s="8">
        <v>40861.550000000003</v>
      </c>
      <c r="C189" s="8">
        <f t="shared" si="10"/>
        <v>41312.146544520554</v>
      </c>
      <c r="D189" s="7">
        <f t="shared" si="9"/>
        <v>35494</v>
      </c>
      <c r="E189" s="9">
        <v>35</v>
      </c>
      <c r="F189" s="10">
        <v>0.115</v>
      </c>
      <c r="G189" s="11" t="s">
        <v>622</v>
      </c>
    </row>
    <row r="190" spans="1:7">
      <c r="A190" s="7">
        <v>35464</v>
      </c>
      <c r="B190" s="8">
        <v>58321</v>
      </c>
      <c r="C190" s="8">
        <f t="shared" si="10"/>
        <v>58800.350684931509</v>
      </c>
      <c r="D190" s="7">
        <f t="shared" si="9"/>
        <v>35494</v>
      </c>
      <c r="E190" s="9">
        <v>30</v>
      </c>
      <c r="F190" s="10">
        <v>0.1</v>
      </c>
      <c r="G190" s="11" t="s">
        <v>621</v>
      </c>
    </row>
    <row r="191" spans="1:7">
      <c r="A191" s="7">
        <v>35466</v>
      </c>
      <c r="B191" s="8">
        <f>23197.71+5500</f>
        <v>28697.71</v>
      </c>
      <c r="C191" s="8">
        <f t="shared" si="10"/>
        <v>29014.171048630134</v>
      </c>
      <c r="D191" s="7">
        <f t="shared" si="9"/>
        <v>35501</v>
      </c>
      <c r="E191" s="9">
        <v>35</v>
      </c>
      <c r="F191" s="10">
        <v>0.115</v>
      </c>
      <c r="G191" s="11" t="s">
        <v>622</v>
      </c>
    </row>
    <row r="192" spans="1:7">
      <c r="A192" s="7">
        <v>35495</v>
      </c>
      <c r="B192" s="8">
        <v>64000</v>
      </c>
      <c r="C192" s="8">
        <f t="shared" si="10"/>
        <v>64073.643835616436</v>
      </c>
      <c r="D192" s="7">
        <f t="shared" si="9"/>
        <v>35502</v>
      </c>
      <c r="E192" s="9">
        <v>7</v>
      </c>
      <c r="F192" s="10">
        <v>0.06</v>
      </c>
      <c r="G192" s="11" t="s">
        <v>624</v>
      </c>
    </row>
    <row r="193" spans="1:7">
      <c r="A193" s="7">
        <v>35468</v>
      </c>
      <c r="B193" s="8">
        <f>55000*0.999</f>
        <v>54945</v>
      </c>
      <c r="C193" s="8">
        <f t="shared" si="10"/>
        <v>55637.457534246576</v>
      </c>
      <c r="D193" s="7">
        <f t="shared" si="9"/>
        <v>35508</v>
      </c>
      <c r="E193" s="9">
        <v>40</v>
      </c>
      <c r="F193" s="10">
        <v>0.115</v>
      </c>
      <c r="G193" s="11" t="s">
        <v>622</v>
      </c>
    </row>
    <row r="194" spans="1:7">
      <c r="A194" s="7">
        <v>35502</v>
      </c>
      <c r="B194" s="8">
        <f>64000+19000</f>
        <v>83000</v>
      </c>
      <c r="C194" s="8">
        <f t="shared" si="10"/>
        <v>83095.506849315076</v>
      </c>
      <c r="D194" s="7">
        <f t="shared" si="9"/>
        <v>35509</v>
      </c>
      <c r="E194" s="9">
        <v>7</v>
      </c>
      <c r="F194" s="10">
        <v>0.06</v>
      </c>
      <c r="G194" s="11" t="s">
        <v>624</v>
      </c>
    </row>
    <row r="195" spans="1:7">
      <c r="A195" s="7">
        <v>35475</v>
      </c>
      <c r="B195" s="8">
        <v>20432.18</v>
      </c>
      <c r="C195" s="8">
        <f t="shared" si="10"/>
        <v>20644.89858630137</v>
      </c>
      <c r="D195" s="7">
        <f t="shared" si="9"/>
        <v>35515</v>
      </c>
      <c r="E195" s="9">
        <v>40</v>
      </c>
      <c r="F195" s="10">
        <v>9.5000000000000001E-2</v>
      </c>
      <c r="G195" s="11" t="s">
        <v>621</v>
      </c>
    </row>
    <row r="196" spans="1:7">
      <c r="A196" s="7">
        <v>35475</v>
      </c>
      <c r="B196" s="8">
        <v>45082.22</v>
      </c>
      <c r="C196" s="8">
        <f t="shared" si="10"/>
        <v>45650.379484931509</v>
      </c>
      <c r="D196" s="7">
        <f t="shared" si="9"/>
        <v>35515</v>
      </c>
      <c r="E196" s="9">
        <v>40</v>
      </c>
      <c r="F196" s="10">
        <v>0.115</v>
      </c>
      <c r="G196" s="11" t="s">
        <v>622</v>
      </c>
    </row>
    <row r="197" spans="1:7">
      <c r="A197" s="7">
        <v>35475</v>
      </c>
      <c r="B197" s="8">
        <v>34318.449999999997</v>
      </c>
      <c r="C197" s="8">
        <f t="shared" si="10"/>
        <v>34750.956493150683</v>
      </c>
      <c r="D197" s="7">
        <f t="shared" si="9"/>
        <v>35515</v>
      </c>
      <c r="E197" s="9">
        <v>40</v>
      </c>
      <c r="F197" s="10">
        <v>0.115</v>
      </c>
      <c r="G197" s="11" t="s">
        <v>622</v>
      </c>
    </row>
    <row r="198" spans="1:7">
      <c r="A198" s="7">
        <v>35515</v>
      </c>
      <c r="B198" s="8">
        <f>20644+3600</f>
        <v>24244</v>
      </c>
      <c r="C198" s="8">
        <f t="shared" si="10"/>
        <v>24271.89720547945</v>
      </c>
      <c r="D198" s="7">
        <f t="shared" si="9"/>
        <v>35522</v>
      </c>
      <c r="E198" s="9">
        <v>7</v>
      </c>
      <c r="F198" s="10">
        <v>0.06</v>
      </c>
      <c r="G198" s="11" t="s">
        <v>624</v>
      </c>
    </row>
    <row r="199" spans="1:7">
      <c r="A199" s="7">
        <v>35489</v>
      </c>
      <c r="B199" s="8">
        <v>12828.77</v>
      </c>
      <c r="C199" s="8">
        <f t="shared" si="10"/>
        <v>12938.956832739726</v>
      </c>
      <c r="D199" s="7">
        <f t="shared" si="9"/>
        <v>35522</v>
      </c>
      <c r="E199" s="9">
        <v>33</v>
      </c>
      <c r="F199" s="10">
        <v>9.5000000000000001E-2</v>
      </c>
      <c r="G199" s="11" t="s">
        <v>621</v>
      </c>
    </row>
    <row r="200" spans="1:7">
      <c r="A200" s="7">
        <v>35501</v>
      </c>
      <c r="B200" s="8">
        <v>29014.17</v>
      </c>
      <c r="C200" s="8">
        <f t="shared" si="10"/>
        <v>29334.120778767123</v>
      </c>
      <c r="D200" s="7">
        <f t="shared" si="9"/>
        <v>35536</v>
      </c>
      <c r="E200" s="9">
        <v>35</v>
      </c>
      <c r="F200" s="10">
        <v>0.115</v>
      </c>
      <c r="G200" s="11" t="s">
        <v>622</v>
      </c>
    </row>
    <row r="201" spans="1:7">
      <c r="A201" s="7">
        <v>35508</v>
      </c>
      <c r="B201" s="8">
        <v>55637.45</v>
      </c>
      <c r="C201" s="8">
        <f t="shared" si="10"/>
        <v>56250.986263698629</v>
      </c>
      <c r="D201" s="7">
        <f t="shared" si="9"/>
        <v>35543</v>
      </c>
      <c r="E201" s="9">
        <v>35</v>
      </c>
      <c r="F201" s="10">
        <v>0.115</v>
      </c>
      <c r="G201" s="11" t="s">
        <v>622</v>
      </c>
    </row>
    <row r="202" spans="1:7">
      <c r="A202" s="7">
        <v>35510</v>
      </c>
      <c r="B202" s="8">
        <v>56000</v>
      </c>
      <c r="C202" s="8">
        <f t="shared" si="10"/>
        <v>56521.643835616436</v>
      </c>
      <c r="D202" s="7">
        <f t="shared" si="9"/>
        <v>35544</v>
      </c>
      <c r="E202" s="9">
        <v>34</v>
      </c>
      <c r="F202" s="10">
        <v>0.1</v>
      </c>
      <c r="G202" s="11" t="s">
        <v>621</v>
      </c>
    </row>
    <row r="203" spans="1:7">
      <c r="A203" s="7">
        <v>35515</v>
      </c>
      <c r="B203" s="8">
        <v>45650.38</v>
      </c>
      <c r="C203" s="8">
        <f t="shared" si="10"/>
        <v>46153.784875342462</v>
      </c>
      <c r="D203" s="7">
        <f t="shared" si="9"/>
        <v>35550</v>
      </c>
      <c r="E203" s="9">
        <v>35</v>
      </c>
      <c r="F203" s="10">
        <v>0.115</v>
      </c>
      <c r="G203" s="11" t="s">
        <v>622</v>
      </c>
    </row>
    <row r="204" spans="1:7">
      <c r="A204" s="7">
        <v>35515</v>
      </c>
      <c r="B204" s="8">
        <v>34750.959999999999</v>
      </c>
      <c r="C204" s="8">
        <f t="shared" si="10"/>
        <v>35134.172641095887</v>
      </c>
      <c r="D204" s="7">
        <f t="shared" si="9"/>
        <v>35550</v>
      </c>
      <c r="E204" s="9">
        <v>35</v>
      </c>
      <c r="F204" s="10">
        <v>0.115</v>
      </c>
      <c r="G204" s="11" t="s">
        <v>622</v>
      </c>
    </row>
    <row r="205" spans="1:7">
      <c r="A205" s="7">
        <v>35522</v>
      </c>
      <c r="B205" s="8">
        <v>45038.96</v>
      </c>
      <c r="C205" s="8">
        <f t="shared" si="10"/>
        <v>45470.840438356165</v>
      </c>
      <c r="D205" s="7">
        <f t="shared" si="9"/>
        <v>35557</v>
      </c>
      <c r="E205" s="9">
        <v>35</v>
      </c>
      <c r="F205" s="10">
        <v>0.1</v>
      </c>
      <c r="G205" s="11" t="s">
        <v>621</v>
      </c>
    </row>
    <row r="206" spans="1:7">
      <c r="A206" s="7">
        <v>35529</v>
      </c>
      <c r="B206" s="8">
        <v>88000</v>
      </c>
      <c r="C206" s="8">
        <f t="shared" si="10"/>
        <v>88843.835616438359</v>
      </c>
      <c r="D206" s="7">
        <f t="shared" si="9"/>
        <v>35564</v>
      </c>
      <c r="E206" s="9">
        <v>35</v>
      </c>
      <c r="F206" s="10">
        <v>0.1</v>
      </c>
      <c r="G206" s="11" t="s">
        <v>621</v>
      </c>
    </row>
    <row r="207" spans="1:7">
      <c r="A207" s="7">
        <v>35530</v>
      </c>
      <c r="B207" s="8">
        <v>49000</v>
      </c>
      <c r="C207" s="8">
        <f t="shared" si="10"/>
        <v>49550.410958904111</v>
      </c>
      <c r="D207" s="7">
        <f t="shared" si="9"/>
        <v>35571</v>
      </c>
      <c r="E207" s="9">
        <v>41</v>
      </c>
      <c r="F207" s="10">
        <v>0.1</v>
      </c>
      <c r="G207" s="11" t="s">
        <v>621</v>
      </c>
    </row>
    <row r="208" spans="1:7">
      <c r="A208" s="7">
        <v>35538</v>
      </c>
      <c r="B208" s="8">
        <v>5500</v>
      </c>
      <c r="C208" s="8">
        <f t="shared" si="10"/>
        <v>5549.7260273972606</v>
      </c>
      <c r="D208" s="7">
        <f t="shared" si="9"/>
        <v>35571</v>
      </c>
      <c r="E208" s="9">
        <v>33</v>
      </c>
      <c r="F208" s="10">
        <v>0.1</v>
      </c>
      <c r="G208" s="11" t="s">
        <v>621</v>
      </c>
    </row>
    <row r="209" spans="1:7">
      <c r="A209" s="7">
        <v>35536</v>
      </c>
      <c r="B209" s="8">
        <v>29334.12</v>
      </c>
      <c r="C209" s="8">
        <f t="shared" si="10"/>
        <v>29671.663298630137</v>
      </c>
      <c r="D209" s="7">
        <f t="shared" si="9"/>
        <v>35578</v>
      </c>
      <c r="E209" s="9">
        <v>42</v>
      </c>
      <c r="F209" s="10">
        <v>0.1</v>
      </c>
      <c r="G209" s="11" t="s">
        <v>620</v>
      </c>
    </row>
    <row r="210" spans="1:7">
      <c r="A210" s="7">
        <v>35545</v>
      </c>
      <c r="B210" s="8">
        <v>14000</v>
      </c>
      <c r="C210" s="8">
        <f t="shared" si="10"/>
        <v>14138.082191780823</v>
      </c>
      <c r="D210" s="7">
        <f t="shared" si="9"/>
        <v>35585</v>
      </c>
      <c r="E210" s="9">
        <v>40</v>
      </c>
      <c r="F210" s="10">
        <v>0.09</v>
      </c>
      <c r="G210" s="11" t="s">
        <v>621</v>
      </c>
    </row>
    <row r="211" spans="1:7">
      <c r="A211" s="7">
        <v>35552</v>
      </c>
      <c r="B211" s="8">
        <v>6400</v>
      </c>
      <c r="C211" s="8">
        <f t="shared" si="10"/>
        <v>6452.0767123287669</v>
      </c>
      <c r="D211" s="7">
        <f t="shared" si="9"/>
        <v>35585</v>
      </c>
      <c r="E211" s="9">
        <v>33</v>
      </c>
      <c r="F211" s="10">
        <v>0.09</v>
      </c>
      <c r="G211" s="11" t="s">
        <v>621</v>
      </c>
    </row>
    <row r="212" spans="1:7">
      <c r="A212" s="7">
        <v>35543</v>
      </c>
      <c r="B212" s="8">
        <v>56250.98</v>
      </c>
      <c r="C212" s="8">
        <f t="shared" si="10"/>
        <v>57006.130142465758</v>
      </c>
      <c r="D212" s="7">
        <f t="shared" si="9"/>
        <v>35592</v>
      </c>
      <c r="E212" s="9">
        <v>49</v>
      </c>
      <c r="F212" s="10">
        <v>0.1</v>
      </c>
      <c r="G212" s="11" t="s">
        <v>620</v>
      </c>
    </row>
    <row r="213" spans="1:7">
      <c r="A213" s="7">
        <v>35550</v>
      </c>
      <c r="B213" s="8">
        <v>46153.77</v>
      </c>
      <c r="C213" s="8">
        <f t="shared" si="10"/>
        <v>46773.36855616438</v>
      </c>
      <c r="D213" s="7">
        <f t="shared" si="9"/>
        <v>35599</v>
      </c>
      <c r="E213" s="9">
        <v>49</v>
      </c>
      <c r="F213" s="10">
        <v>0.1</v>
      </c>
      <c r="G213" s="11" t="s">
        <v>620</v>
      </c>
    </row>
    <row r="214" spans="1:7">
      <c r="A214" s="7">
        <v>35550</v>
      </c>
      <c r="B214" s="8">
        <v>35134.160000000003</v>
      </c>
      <c r="C214" s="8">
        <f t="shared" si="10"/>
        <v>35605.824065753426</v>
      </c>
      <c r="D214" s="7">
        <f t="shared" si="9"/>
        <v>35599</v>
      </c>
      <c r="E214" s="9">
        <v>49</v>
      </c>
      <c r="F214" s="10">
        <v>0.1</v>
      </c>
      <c r="G214" s="11" t="s">
        <v>620</v>
      </c>
    </row>
    <row r="215" spans="1:7">
      <c r="A215" s="7">
        <v>35557</v>
      </c>
      <c r="B215" s="8">
        <v>53870.84</v>
      </c>
      <c r="C215" s="8">
        <f t="shared" si="10"/>
        <v>54594.037578082185</v>
      </c>
      <c r="D215" s="7">
        <f t="shared" si="9"/>
        <v>35606</v>
      </c>
      <c r="E215" s="9">
        <v>49</v>
      </c>
      <c r="F215" s="10">
        <v>0.1</v>
      </c>
      <c r="G215" s="11" t="s">
        <v>621</v>
      </c>
    </row>
    <row r="216" spans="1:7">
      <c r="A216" s="7">
        <v>35566</v>
      </c>
      <c r="B216" s="8">
        <v>24600</v>
      </c>
      <c r="C216" s="8">
        <f t="shared" si="10"/>
        <v>24869.589041095889</v>
      </c>
      <c r="D216" s="7">
        <f t="shared" si="9"/>
        <v>35606</v>
      </c>
      <c r="E216" s="9">
        <v>40</v>
      </c>
      <c r="F216" s="10">
        <v>0.1</v>
      </c>
      <c r="G216" s="11" t="s">
        <v>621</v>
      </c>
    </row>
    <row r="217" spans="1:7">
      <c r="A217" s="7">
        <v>35564</v>
      </c>
      <c r="B217" s="8">
        <v>68843.8</v>
      </c>
      <c r="C217" s="8">
        <f t="shared" si="10"/>
        <v>69768.004438356162</v>
      </c>
      <c r="D217" s="7">
        <f t="shared" si="9"/>
        <v>35613</v>
      </c>
      <c r="E217" s="9">
        <v>49</v>
      </c>
      <c r="F217" s="10">
        <v>0.1</v>
      </c>
      <c r="G217" s="11" t="s">
        <v>621</v>
      </c>
    </row>
    <row r="218" spans="1:7">
      <c r="A218" s="7">
        <v>35571</v>
      </c>
      <c r="B218" s="8">
        <f>49550.41+5549.73+3500</f>
        <v>58600.14</v>
      </c>
      <c r="C218" s="8">
        <f t="shared" si="10"/>
        <v>59402.881643835615</v>
      </c>
      <c r="D218" s="7">
        <f t="shared" si="9"/>
        <v>35621</v>
      </c>
      <c r="E218" s="9">
        <v>50</v>
      </c>
      <c r="F218" s="10">
        <v>0.1</v>
      </c>
      <c r="G218" s="11" t="s">
        <v>621</v>
      </c>
    </row>
    <row r="219" spans="1:7">
      <c r="A219" s="7">
        <v>35584</v>
      </c>
      <c r="B219" s="8">
        <f>9900+2000+4500</f>
        <v>16400</v>
      </c>
      <c r="C219" s="8">
        <f t="shared" si="10"/>
        <v>16566.246575342466</v>
      </c>
      <c r="D219" s="7">
        <f t="shared" si="9"/>
        <v>35621</v>
      </c>
      <c r="E219" s="9">
        <v>37</v>
      </c>
      <c r="F219" s="10">
        <v>0.1</v>
      </c>
      <c r="G219" s="11" t="s">
        <v>621</v>
      </c>
    </row>
    <row r="220" spans="1:7">
      <c r="A220" s="7">
        <v>35578</v>
      </c>
      <c r="B220" s="8">
        <f>29671.66+3000</f>
        <v>32671.66</v>
      </c>
      <c r="C220" s="8">
        <f t="shared" ref="C220:C221" si="11">B220+(B220*F220/365*E220)*1</f>
        <v>33110.265846575341</v>
      </c>
      <c r="D220" s="7">
        <f t="shared" ref="D220:D243" si="12">A220+E220</f>
        <v>35627</v>
      </c>
      <c r="E220" s="9">
        <v>49</v>
      </c>
      <c r="F220" s="10">
        <v>0.1</v>
      </c>
      <c r="G220" s="11" t="s">
        <v>620</v>
      </c>
    </row>
    <row r="221" spans="1:7">
      <c r="A221" s="7">
        <v>35580</v>
      </c>
      <c r="B221" s="8">
        <v>30000</v>
      </c>
      <c r="C221" s="8">
        <f t="shared" si="11"/>
        <v>30386.301369863013</v>
      </c>
      <c r="D221" s="7">
        <f t="shared" si="12"/>
        <v>35627</v>
      </c>
      <c r="E221" s="9">
        <v>47</v>
      </c>
      <c r="F221" s="10">
        <v>0.1</v>
      </c>
      <c r="G221" s="11" t="s">
        <v>621</v>
      </c>
    </row>
    <row r="222" spans="1:7">
      <c r="A222" s="7">
        <v>35585</v>
      </c>
      <c r="B222" s="8">
        <v>20590.15890410959</v>
      </c>
      <c r="C222" s="8">
        <v>20838.933152786642</v>
      </c>
      <c r="D222" s="7">
        <f t="shared" si="12"/>
        <v>35634</v>
      </c>
      <c r="E222" s="9">
        <v>49</v>
      </c>
      <c r="F222" s="10">
        <v>0.09</v>
      </c>
      <c r="G222" s="11" t="s">
        <v>621</v>
      </c>
    </row>
    <row r="223" spans="1:7">
      <c r="A223" s="7">
        <v>35599</v>
      </c>
      <c r="B223" s="8">
        <v>3500</v>
      </c>
      <c r="C223" s="8">
        <f t="shared" ref="C223:C243" si="13">B223+(B223*F223/365*E223)*1</f>
        <v>3533.5616438356165</v>
      </c>
      <c r="D223" s="7">
        <f t="shared" si="12"/>
        <v>35634</v>
      </c>
      <c r="E223" s="9">
        <v>35</v>
      </c>
      <c r="F223" s="10">
        <v>0.1</v>
      </c>
      <c r="G223" s="11" t="s">
        <v>621</v>
      </c>
    </row>
    <row r="224" spans="1:7">
      <c r="A224" s="7">
        <v>35592</v>
      </c>
      <c r="B224" s="8">
        <v>63901.83</v>
      </c>
      <c r="C224" s="8">
        <f t="shared" si="13"/>
        <v>64738.243678972605</v>
      </c>
      <c r="D224" s="7">
        <f t="shared" si="12"/>
        <v>35641</v>
      </c>
      <c r="E224" s="9">
        <v>49</v>
      </c>
      <c r="F224" s="10">
        <v>9.7500000000000003E-2</v>
      </c>
      <c r="G224" s="11" t="s">
        <v>620</v>
      </c>
    </row>
    <row r="225" spans="1:7">
      <c r="A225" s="7">
        <v>35599</v>
      </c>
      <c r="B225" s="8">
        <v>46773.37</v>
      </c>
      <c r="C225" s="8">
        <f t="shared" si="13"/>
        <v>47385.588562123288</v>
      </c>
      <c r="D225" s="7">
        <f t="shared" si="12"/>
        <v>35648</v>
      </c>
      <c r="E225" s="9">
        <v>49</v>
      </c>
      <c r="F225" s="10">
        <v>9.7500000000000003E-2</v>
      </c>
      <c r="G225" s="11" t="s">
        <v>620</v>
      </c>
    </row>
    <row r="226" spans="1:7">
      <c r="A226" s="7">
        <v>35599</v>
      </c>
      <c r="B226" s="8">
        <v>35605.019999999997</v>
      </c>
      <c r="C226" s="8">
        <f t="shared" si="13"/>
        <v>36071.055569999997</v>
      </c>
      <c r="D226" s="7">
        <f t="shared" si="12"/>
        <v>35648</v>
      </c>
      <c r="E226" s="9">
        <v>49</v>
      </c>
      <c r="F226" s="10">
        <v>9.7500000000000003E-2</v>
      </c>
      <c r="G226" s="11" t="s">
        <v>620</v>
      </c>
    </row>
    <row r="227" spans="1:7">
      <c r="A227" s="7">
        <v>35606</v>
      </c>
      <c r="B227" s="8">
        <v>63163.63</v>
      </c>
      <c r="C227" s="8">
        <f t="shared" si="13"/>
        <v>64011.580101369858</v>
      </c>
      <c r="D227" s="7">
        <f t="shared" si="12"/>
        <v>35655</v>
      </c>
      <c r="E227" s="9">
        <v>49</v>
      </c>
      <c r="F227" s="10">
        <v>0.1</v>
      </c>
      <c r="G227" s="11" t="s">
        <v>621</v>
      </c>
    </row>
    <row r="228" spans="1:7">
      <c r="A228" s="7">
        <v>35608</v>
      </c>
      <c r="B228" s="8">
        <v>3500</v>
      </c>
      <c r="C228" s="8">
        <f t="shared" si="13"/>
        <v>3540.5616438356165</v>
      </c>
      <c r="D228" s="7">
        <f t="shared" si="12"/>
        <v>35655</v>
      </c>
      <c r="E228" s="9">
        <v>47</v>
      </c>
      <c r="F228" s="10">
        <v>0.09</v>
      </c>
      <c r="G228" s="11" t="s">
        <v>621</v>
      </c>
    </row>
    <row r="229" spans="1:7">
      <c r="A229" s="7">
        <v>35613</v>
      </c>
      <c r="B229" s="8">
        <v>69768.039999999994</v>
      </c>
      <c r="C229" s="8">
        <f t="shared" si="13"/>
        <v>70657.821441643828</v>
      </c>
      <c r="D229" s="7">
        <f t="shared" si="12"/>
        <v>35662</v>
      </c>
      <c r="E229" s="9">
        <v>49</v>
      </c>
      <c r="F229" s="10">
        <v>9.5000000000000001E-2</v>
      </c>
      <c r="G229" s="11" t="s">
        <v>621</v>
      </c>
    </row>
    <row r="230" spans="1:7">
      <c r="A230" s="7">
        <v>35614</v>
      </c>
      <c r="B230" s="8">
        <v>5000</v>
      </c>
      <c r="C230" s="8">
        <f t="shared" si="13"/>
        <v>5059.178082191781</v>
      </c>
      <c r="D230" s="7">
        <f t="shared" si="12"/>
        <v>35662</v>
      </c>
      <c r="E230" s="9">
        <v>48</v>
      </c>
      <c r="F230" s="10">
        <v>0.09</v>
      </c>
      <c r="G230" s="11" t="s">
        <v>621</v>
      </c>
    </row>
    <row r="231" spans="1:7">
      <c r="A231" s="7">
        <v>35615</v>
      </c>
      <c r="B231" s="8">
        <v>3000</v>
      </c>
      <c r="C231" s="8">
        <f t="shared" si="13"/>
        <v>3034.7671232876714</v>
      </c>
      <c r="D231" s="7">
        <f t="shared" si="12"/>
        <v>35662</v>
      </c>
      <c r="E231" s="9">
        <v>47</v>
      </c>
      <c r="F231" s="10">
        <v>0.09</v>
      </c>
      <c r="G231" s="11" t="s">
        <v>621</v>
      </c>
    </row>
    <row r="232" spans="1:7">
      <c r="A232" s="7">
        <v>35619</v>
      </c>
      <c r="B232" s="8">
        <v>4250</v>
      </c>
      <c r="C232" s="8">
        <f t="shared" si="13"/>
        <v>4302.3972602739723</v>
      </c>
      <c r="D232" s="7">
        <f t="shared" si="12"/>
        <v>35669</v>
      </c>
      <c r="E232" s="9">
        <v>50</v>
      </c>
      <c r="F232" s="10">
        <v>0.09</v>
      </c>
      <c r="G232" s="11" t="s">
        <v>621</v>
      </c>
    </row>
    <row r="233" spans="1:7">
      <c r="A233" s="7">
        <v>35627</v>
      </c>
      <c r="B233" s="8">
        <f>30386.3+2500</f>
        <v>32886.300000000003</v>
      </c>
      <c r="C233" s="8">
        <f t="shared" si="13"/>
        <v>33292.468329863019</v>
      </c>
      <c r="D233" s="7">
        <f t="shared" si="12"/>
        <v>35676</v>
      </c>
      <c r="E233" s="9">
        <v>49</v>
      </c>
      <c r="F233" s="10">
        <v>9.1999999999999998E-2</v>
      </c>
      <c r="G233" s="11" t="s">
        <v>621</v>
      </c>
    </row>
    <row r="234" spans="1:7">
      <c r="A234" s="7">
        <v>35641</v>
      </c>
      <c r="B234" s="8">
        <v>5000</v>
      </c>
      <c r="C234" s="8">
        <f t="shared" si="13"/>
        <v>5038.3561643835619</v>
      </c>
      <c r="D234" s="7">
        <f t="shared" si="12"/>
        <v>35676</v>
      </c>
      <c r="E234" s="9">
        <v>35</v>
      </c>
      <c r="F234" s="10">
        <v>0.08</v>
      </c>
      <c r="G234" s="11" t="s">
        <v>621</v>
      </c>
    </row>
    <row r="235" spans="1:7">
      <c r="A235" s="7">
        <v>35643</v>
      </c>
      <c r="B235" s="8">
        <v>4000</v>
      </c>
      <c r="C235" s="8">
        <f t="shared" si="13"/>
        <v>4028.9315068493152</v>
      </c>
      <c r="D235" s="7">
        <f t="shared" si="12"/>
        <v>35676</v>
      </c>
      <c r="E235" s="9">
        <v>33</v>
      </c>
      <c r="F235" s="10">
        <v>0.08</v>
      </c>
      <c r="G235" s="11" t="s">
        <v>621</v>
      </c>
    </row>
    <row r="236" spans="1:7">
      <c r="A236" s="7">
        <v>35650</v>
      </c>
      <c r="B236" s="8">
        <v>11030</v>
      </c>
      <c r="C236" s="8">
        <f t="shared" si="13"/>
        <v>11109.778630136987</v>
      </c>
      <c r="D236" s="7">
        <f t="shared" si="12"/>
        <v>35683</v>
      </c>
      <c r="E236" s="9">
        <v>33</v>
      </c>
      <c r="F236" s="10">
        <v>0.08</v>
      </c>
      <c r="G236" s="11" t="s">
        <v>621</v>
      </c>
    </row>
    <row r="237" spans="1:7">
      <c r="A237" s="7">
        <v>35656</v>
      </c>
      <c r="B237" s="8">
        <v>71950</v>
      </c>
      <c r="C237" s="8">
        <f t="shared" si="13"/>
        <v>72392.344657534253</v>
      </c>
      <c r="D237" s="7">
        <f t="shared" si="12"/>
        <v>35690</v>
      </c>
      <c r="E237" s="9">
        <v>34</v>
      </c>
      <c r="F237" s="10">
        <v>6.6000000000000003E-2</v>
      </c>
      <c r="G237" s="11" t="s">
        <v>569</v>
      </c>
    </row>
    <row r="238" spans="1:7">
      <c r="A238" s="7">
        <v>35662</v>
      </c>
      <c r="B238" s="8">
        <v>78751.77</v>
      </c>
      <c r="C238" s="8">
        <f t="shared" si="13"/>
        <v>79250.171612876715</v>
      </c>
      <c r="D238" s="7">
        <f t="shared" si="12"/>
        <v>35697</v>
      </c>
      <c r="E238" s="9">
        <v>35</v>
      </c>
      <c r="F238" s="10">
        <v>6.6000000000000003E-2</v>
      </c>
      <c r="G238" s="11" t="s">
        <v>569</v>
      </c>
    </row>
    <row r="239" spans="1:7">
      <c r="A239" s="7">
        <v>35668</v>
      </c>
      <c r="B239" s="8">
        <v>8500</v>
      </c>
      <c r="C239" s="8">
        <f t="shared" si="13"/>
        <v>8555.3315068493157</v>
      </c>
      <c r="D239" s="7">
        <f t="shared" si="12"/>
        <v>35704</v>
      </c>
      <c r="E239" s="9">
        <v>36</v>
      </c>
      <c r="F239" s="10">
        <v>6.6000000000000003E-2</v>
      </c>
      <c r="G239" s="11" t="s">
        <v>569</v>
      </c>
    </row>
    <row r="240" spans="1:7">
      <c r="A240" s="7">
        <v>35669</v>
      </c>
      <c r="B240" s="8">
        <v>4302.3999999999996</v>
      </c>
      <c r="C240" s="8">
        <f t="shared" si="13"/>
        <v>4329.6288876712324</v>
      </c>
      <c r="D240" s="7">
        <f t="shared" si="12"/>
        <v>35704</v>
      </c>
      <c r="E240" s="9">
        <v>35</v>
      </c>
      <c r="F240" s="10">
        <v>6.6000000000000003E-2</v>
      </c>
      <c r="G240" s="11" t="s">
        <v>569</v>
      </c>
    </row>
    <row r="241" spans="1:7">
      <c r="A241" s="7">
        <v>35675</v>
      </c>
      <c r="B241" s="8">
        <v>4000</v>
      </c>
      <c r="C241" s="8">
        <f t="shared" si="13"/>
        <v>4026.0383561643835</v>
      </c>
      <c r="D241" s="7">
        <f t="shared" si="12"/>
        <v>35711</v>
      </c>
      <c r="E241" s="9">
        <v>36</v>
      </c>
      <c r="F241" s="10">
        <v>6.6000000000000003E-2</v>
      </c>
      <c r="G241" s="11" t="s">
        <v>569</v>
      </c>
    </row>
    <row r="242" spans="1:7">
      <c r="A242" s="7">
        <v>35676</v>
      </c>
      <c r="B242" s="8">
        <v>42359.76</v>
      </c>
      <c r="C242" s="8">
        <f t="shared" si="13"/>
        <v>42757.825689863013</v>
      </c>
      <c r="D242" s="7">
        <f t="shared" si="12"/>
        <v>35711</v>
      </c>
      <c r="E242" s="9">
        <v>35</v>
      </c>
      <c r="F242" s="10">
        <v>9.8000000000000004E-2</v>
      </c>
      <c r="G242" s="11" t="s">
        <v>569</v>
      </c>
    </row>
    <row r="243" spans="1:7">
      <c r="A243" s="7">
        <v>35678</v>
      </c>
      <c r="B243" s="8">
        <v>6000</v>
      </c>
      <c r="C243" s="8">
        <f t="shared" si="13"/>
        <v>6035.8027397260275</v>
      </c>
      <c r="D243" s="7">
        <f t="shared" si="12"/>
        <v>35711</v>
      </c>
      <c r="E243" s="9">
        <v>33</v>
      </c>
      <c r="F243" s="10">
        <v>6.6000000000000003E-2</v>
      </c>
      <c r="G243" s="11" t="s">
        <v>569</v>
      </c>
    </row>
    <row r="244" spans="1:7">
      <c r="A244" s="7"/>
      <c r="B244" s="8">
        <f>SUM(B28:B243)+B26</f>
        <v>6270794.9689041059</v>
      </c>
      <c r="C244" s="8">
        <f>SUM(C28:C243)+C26</f>
        <v>6347798.2598590059</v>
      </c>
      <c r="D244" s="7"/>
      <c r="E244" s="9">
        <f>+C244-B244</f>
        <v>77003.290954899974</v>
      </c>
      <c r="F244" s="10"/>
      <c r="G244" s="11"/>
    </row>
    <row r="245" spans="1:7">
      <c r="A245" s="16"/>
      <c r="B245" s="17"/>
      <c r="C245" s="17"/>
      <c r="D245" s="16"/>
      <c r="E245" s="18"/>
      <c r="F245" s="19"/>
      <c r="G245" s="20"/>
    </row>
    <row r="246" spans="1:7">
      <c r="A246" s="7">
        <v>35621</v>
      </c>
      <c r="B246" s="8">
        <v>59402.8</v>
      </c>
      <c r="C246" s="8">
        <v>60168.36</v>
      </c>
      <c r="D246" s="7">
        <f t="shared" ref="D246:D254" si="14">A246+E246</f>
        <v>35698</v>
      </c>
      <c r="E246" s="9">
        <v>77</v>
      </c>
      <c r="F246" s="10">
        <v>9.8000000000000004E-2</v>
      </c>
      <c r="G246" s="11" t="s">
        <v>620</v>
      </c>
    </row>
    <row r="247" spans="1:7">
      <c r="A247" s="7">
        <v>35621</v>
      </c>
      <c r="B247" s="8">
        <v>16566.25</v>
      </c>
      <c r="C247" s="8">
        <v>16779.75</v>
      </c>
      <c r="D247" s="7">
        <f t="shared" si="14"/>
        <v>35698</v>
      </c>
      <c r="E247" s="9">
        <v>77</v>
      </c>
      <c r="F247" s="10">
        <v>9.8000000000000004E-2</v>
      </c>
      <c r="G247" s="11" t="s">
        <v>620</v>
      </c>
    </row>
    <row r="248" spans="1:7">
      <c r="A248" s="7">
        <v>35627</v>
      </c>
      <c r="B248" s="8">
        <v>33110.269999999997</v>
      </c>
      <c r="C248" s="8">
        <v>33541.43</v>
      </c>
      <c r="D248" s="7">
        <f t="shared" si="14"/>
        <v>35704</v>
      </c>
      <c r="E248" s="9">
        <v>77</v>
      </c>
      <c r="F248" s="10">
        <v>9.7000000000000003E-2</v>
      </c>
      <c r="G248" s="11" t="s">
        <v>620</v>
      </c>
    </row>
    <row r="249" spans="1:7">
      <c r="A249" s="7">
        <v>35634</v>
      </c>
      <c r="B249" s="8">
        <v>33792</v>
      </c>
      <c r="C249" s="8">
        <v>34236.57</v>
      </c>
      <c r="D249" s="7">
        <f t="shared" si="14"/>
        <v>35711</v>
      </c>
      <c r="E249" s="9">
        <v>77</v>
      </c>
      <c r="F249" s="10">
        <v>9.8000000000000004E-2</v>
      </c>
      <c r="G249" s="11" t="s">
        <v>620</v>
      </c>
    </row>
    <row r="250" spans="1:7">
      <c r="A250" s="7">
        <v>35641</v>
      </c>
      <c r="B250" s="8">
        <v>64738.239999999998</v>
      </c>
      <c r="C250" s="8">
        <v>65589.77</v>
      </c>
      <c r="D250" s="7">
        <f t="shared" si="14"/>
        <v>35718</v>
      </c>
      <c r="E250" s="9">
        <v>77</v>
      </c>
      <c r="F250" s="10">
        <v>9.8000000000000004E-2</v>
      </c>
      <c r="G250" s="11" t="s">
        <v>620</v>
      </c>
    </row>
    <row r="251" spans="1:7">
      <c r="A251" s="7">
        <v>35648</v>
      </c>
      <c r="B251" s="8">
        <v>47401.29</v>
      </c>
      <c r="C251" s="8">
        <v>48024.91</v>
      </c>
      <c r="D251" s="7">
        <f t="shared" si="14"/>
        <v>35725</v>
      </c>
      <c r="E251" s="9">
        <v>77</v>
      </c>
      <c r="F251" s="10">
        <v>9.8000000000000004E-2</v>
      </c>
      <c r="G251" s="11" t="s">
        <v>620</v>
      </c>
    </row>
    <row r="252" spans="1:7">
      <c r="A252" s="7">
        <v>35648</v>
      </c>
      <c r="B252" s="8">
        <v>36071.06</v>
      </c>
      <c r="C252" s="8">
        <v>36545.620000000003</v>
      </c>
      <c r="D252" s="7">
        <f t="shared" si="14"/>
        <v>35725</v>
      </c>
      <c r="E252" s="9">
        <v>77</v>
      </c>
      <c r="F252" s="10">
        <v>9.8000000000000004E-2</v>
      </c>
      <c r="G252" s="11" t="s">
        <v>620</v>
      </c>
    </row>
    <row r="253" spans="1:7">
      <c r="A253" s="7">
        <v>35692</v>
      </c>
      <c r="B253" s="8">
        <v>81500</v>
      </c>
      <c r="C253" s="8">
        <f>B253+(B253*F253/365*E253)*1</f>
        <v>81986.320547945201</v>
      </c>
      <c r="D253" s="7">
        <f t="shared" si="14"/>
        <v>35725</v>
      </c>
      <c r="E253" s="9">
        <v>33</v>
      </c>
      <c r="F253" s="10">
        <v>6.6000000000000003E-2</v>
      </c>
      <c r="G253" s="11" t="s">
        <v>569</v>
      </c>
    </row>
    <row r="254" spans="1:7">
      <c r="A254" s="7">
        <v>35697</v>
      </c>
      <c r="B254" s="8">
        <v>60000</v>
      </c>
      <c r="C254" s="8">
        <f>B254+(B254*F254/365*E254)*1</f>
        <v>60379.726027397257</v>
      </c>
      <c r="D254" s="7">
        <f t="shared" si="14"/>
        <v>35732</v>
      </c>
      <c r="E254" s="9">
        <v>35</v>
      </c>
      <c r="F254" s="10">
        <v>6.6000000000000003E-2</v>
      </c>
      <c r="G254" s="11" t="s">
        <v>569</v>
      </c>
    </row>
    <row r="255" spans="1:7">
      <c r="A255" s="16"/>
      <c r="B255" s="17"/>
      <c r="C255" s="17"/>
      <c r="D255" s="16"/>
      <c r="E255" s="18"/>
      <c r="F255" s="19"/>
      <c r="G255" s="20"/>
    </row>
    <row r="256" spans="1:7">
      <c r="A256" s="7">
        <v>35709</v>
      </c>
      <c r="B256" s="8">
        <v>50500</v>
      </c>
      <c r="C256" s="8">
        <f t="shared" ref="C256:C319" si="15">B256+(B256*F256/365*E256)*1</f>
        <v>50749.04109589041</v>
      </c>
      <c r="D256" s="7">
        <f t="shared" ref="D256:D319" si="16">A256+E256</f>
        <v>35739</v>
      </c>
      <c r="E256" s="9">
        <v>30</v>
      </c>
      <c r="F256" s="10">
        <v>0.06</v>
      </c>
      <c r="G256" s="11" t="s">
        <v>625</v>
      </c>
    </row>
    <row r="257" spans="1:7">
      <c r="A257" s="7">
        <v>35711</v>
      </c>
      <c r="B257" s="8">
        <v>45689.69</v>
      </c>
      <c r="C257" s="8">
        <f t="shared" si="15"/>
        <v>45978.849407945207</v>
      </c>
      <c r="D257" s="7">
        <f t="shared" si="16"/>
        <v>35746</v>
      </c>
      <c r="E257" s="9">
        <v>35</v>
      </c>
      <c r="F257" s="10">
        <v>6.6000000000000003E-2</v>
      </c>
      <c r="G257" s="11" t="s">
        <v>569</v>
      </c>
    </row>
    <row r="258" spans="1:7">
      <c r="A258" s="7">
        <v>35725</v>
      </c>
      <c r="B258" s="8">
        <v>81986.320000000007</v>
      </c>
      <c r="C258" s="8">
        <f t="shared" si="15"/>
        <v>82431.067708493152</v>
      </c>
      <c r="D258" s="7">
        <f t="shared" si="16"/>
        <v>35755</v>
      </c>
      <c r="E258" s="9">
        <v>30</v>
      </c>
      <c r="F258" s="10">
        <v>6.6000000000000003E-2</v>
      </c>
      <c r="G258" s="11" t="s">
        <v>569</v>
      </c>
    </row>
    <row r="259" spans="1:7">
      <c r="A259" s="7">
        <v>35732</v>
      </c>
      <c r="B259" s="8">
        <v>60379.73</v>
      </c>
      <c r="C259" s="8">
        <f t="shared" si="15"/>
        <v>60735.804983082198</v>
      </c>
      <c r="D259" s="7">
        <f t="shared" si="16"/>
        <v>35767</v>
      </c>
      <c r="E259" s="9">
        <v>35</v>
      </c>
      <c r="F259" s="10">
        <v>6.1499999999999999E-2</v>
      </c>
      <c r="G259" s="11" t="s">
        <v>569</v>
      </c>
    </row>
    <row r="260" spans="1:7">
      <c r="A260" s="7">
        <v>35746</v>
      </c>
      <c r="B260" s="8">
        <v>50078</v>
      </c>
      <c r="C260" s="8">
        <f t="shared" si="15"/>
        <v>50375.724000000002</v>
      </c>
      <c r="D260" s="7">
        <f t="shared" si="16"/>
        <v>35781</v>
      </c>
      <c r="E260" s="9">
        <v>35</v>
      </c>
      <c r="F260" s="10">
        <v>6.2E-2</v>
      </c>
      <c r="G260" s="11" t="s">
        <v>569</v>
      </c>
    </row>
    <row r="261" spans="1:7">
      <c r="A261" s="7">
        <v>35755</v>
      </c>
      <c r="B261" s="8">
        <v>82431.070000000007</v>
      </c>
      <c r="C261" s="8">
        <f t="shared" si="15"/>
        <v>82864.6800120548</v>
      </c>
      <c r="D261" s="7">
        <f t="shared" si="16"/>
        <v>35787</v>
      </c>
      <c r="E261" s="9">
        <v>32</v>
      </c>
      <c r="F261" s="10">
        <v>0.06</v>
      </c>
      <c r="G261" s="11" t="s">
        <v>569</v>
      </c>
    </row>
    <row r="262" spans="1:7">
      <c r="A262" s="7">
        <v>35765</v>
      </c>
      <c r="B262" s="8">
        <v>90364</v>
      </c>
      <c r="C262" s="8">
        <f t="shared" si="15"/>
        <v>90740.31035616438</v>
      </c>
      <c r="D262" s="7">
        <f t="shared" si="16"/>
        <v>35797</v>
      </c>
      <c r="E262" s="9">
        <v>32</v>
      </c>
      <c r="F262" s="10">
        <v>4.7500000000000001E-2</v>
      </c>
      <c r="G262" s="11" t="s">
        <v>626</v>
      </c>
    </row>
    <row r="263" spans="1:7">
      <c r="A263" s="7">
        <v>35767</v>
      </c>
      <c r="B263" s="8">
        <v>60735.73</v>
      </c>
      <c r="C263" s="8">
        <f t="shared" si="15"/>
        <v>61093.904407739727</v>
      </c>
      <c r="D263" s="7">
        <f t="shared" si="16"/>
        <v>35802</v>
      </c>
      <c r="E263" s="9">
        <v>35</v>
      </c>
      <c r="F263" s="10">
        <v>6.1499999999999999E-2</v>
      </c>
      <c r="G263" s="11" t="s">
        <v>569</v>
      </c>
    </row>
    <row r="264" spans="1:7">
      <c r="A264" s="7">
        <v>35781</v>
      </c>
      <c r="B264" s="8">
        <v>50376.85</v>
      </c>
      <c r="C264" s="8">
        <f t="shared" si="15"/>
        <v>50676.350724657532</v>
      </c>
      <c r="D264" s="7">
        <f t="shared" si="16"/>
        <v>35816</v>
      </c>
      <c r="E264" s="9">
        <v>35</v>
      </c>
      <c r="F264" s="10">
        <v>6.2E-2</v>
      </c>
      <c r="G264" s="11" t="s">
        <v>569</v>
      </c>
    </row>
    <row r="265" spans="1:7">
      <c r="A265" s="7">
        <v>35787</v>
      </c>
      <c r="B265" s="8">
        <v>108865.07</v>
      </c>
      <c r="C265" s="8">
        <f t="shared" si="15"/>
        <v>109552.2621130959</v>
      </c>
      <c r="D265" s="7">
        <f t="shared" si="16"/>
        <v>35823</v>
      </c>
      <c r="E265" s="9">
        <v>36</v>
      </c>
      <c r="F265" s="10">
        <v>6.4000000000000001E-2</v>
      </c>
      <c r="G265" s="11" t="s">
        <v>569</v>
      </c>
    </row>
    <row r="266" spans="1:7">
      <c r="A266" s="7">
        <v>35797</v>
      </c>
      <c r="B266" s="8">
        <v>90744</v>
      </c>
      <c r="C266" s="8">
        <f t="shared" si="15"/>
        <v>91302.75928767123</v>
      </c>
      <c r="D266" s="7">
        <f t="shared" si="16"/>
        <v>35828</v>
      </c>
      <c r="E266" s="9">
        <v>31</v>
      </c>
      <c r="F266" s="10">
        <v>7.2499999999999995E-2</v>
      </c>
      <c r="G266" s="11" t="s">
        <v>625</v>
      </c>
    </row>
    <row r="267" spans="1:7">
      <c r="A267" s="7">
        <v>35793</v>
      </c>
      <c r="B267" s="8">
        <v>48600</v>
      </c>
      <c r="C267" s="8">
        <f t="shared" si="15"/>
        <v>48957.176712328765</v>
      </c>
      <c r="D267" s="7">
        <f t="shared" si="16"/>
        <v>35830</v>
      </c>
      <c r="E267" s="9">
        <v>37</v>
      </c>
      <c r="F267" s="10">
        <v>7.2499999999999995E-2</v>
      </c>
      <c r="G267" s="11" t="s">
        <v>625</v>
      </c>
    </row>
    <row r="268" spans="1:7">
      <c r="A268" s="7">
        <v>35797</v>
      </c>
      <c r="B268" s="8">
        <v>9000</v>
      </c>
      <c r="C268" s="8">
        <f t="shared" si="15"/>
        <v>9052.0767123287678</v>
      </c>
      <c r="D268" s="7">
        <f t="shared" si="16"/>
        <v>35830</v>
      </c>
      <c r="E268" s="9">
        <v>33</v>
      </c>
      <c r="F268" s="10">
        <v>6.4000000000000001E-2</v>
      </c>
      <c r="G268" s="11" t="s">
        <v>569</v>
      </c>
    </row>
    <row r="269" spans="1:7">
      <c r="A269" s="7">
        <v>35808</v>
      </c>
      <c r="B269" s="8">
        <v>25500</v>
      </c>
      <c r="C269" s="8">
        <f t="shared" si="15"/>
        <v>25660.964383561644</v>
      </c>
      <c r="D269" s="7">
        <f t="shared" si="16"/>
        <v>35844</v>
      </c>
      <c r="E269" s="9">
        <v>36</v>
      </c>
      <c r="F269" s="10">
        <v>6.4000000000000001E-2</v>
      </c>
      <c r="G269" s="11" t="s">
        <v>569</v>
      </c>
    </row>
    <row r="270" spans="1:7">
      <c r="A270" s="7">
        <v>35823</v>
      </c>
      <c r="B270" s="8">
        <v>109552</v>
      </c>
      <c r="C270" s="8">
        <f t="shared" si="15"/>
        <v>110114.76712328767</v>
      </c>
      <c r="D270" s="7">
        <f t="shared" si="16"/>
        <v>35853</v>
      </c>
      <c r="E270" s="9">
        <v>30</v>
      </c>
      <c r="F270" s="10">
        <v>6.25E-2</v>
      </c>
      <c r="G270" s="11" t="s">
        <v>627</v>
      </c>
    </row>
    <row r="271" spans="1:7">
      <c r="A271" s="7">
        <v>35822</v>
      </c>
      <c r="B271" s="8">
        <v>57000</v>
      </c>
      <c r="C271" s="8">
        <f t="shared" si="15"/>
        <v>57337.315068493153</v>
      </c>
      <c r="D271" s="7">
        <f t="shared" si="16"/>
        <v>35858</v>
      </c>
      <c r="E271" s="9">
        <v>36</v>
      </c>
      <c r="F271" s="10">
        <v>0.06</v>
      </c>
      <c r="G271" s="11" t="s">
        <v>569</v>
      </c>
    </row>
    <row r="272" spans="1:7">
      <c r="A272" s="7">
        <v>35828</v>
      </c>
      <c r="B272" s="8">
        <v>91303</v>
      </c>
      <c r="C272" s="8">
        <f t="shared" si="15"/>
        <v>91790.783150684932</v>
      </c>
      <c r="D272" s="7">
        <f t="shared" si="16"/>
        <v>35858</v>
      </c>
      <c r="E272" s="9">
        <v>30</v>
      </c>
      <c r="F272" s="10">
        <v>6.5000000000000002E-2</v>
      </c>
      <c r="G272" s="11" t="s">
        <v>625</v>
      </c>
    </row>
    <row r="273" spans="1:7">
      <c r="A273" s="7">
        <v>35828</v>
      </c>
      <c r="B273" s="8">
        <v>8000</v>
      </c>
      <c r="C273" s="8">
        <f t="shared" si="15"/>
        <v>8039.4520547945203</v>
      </c>
      <c r="D273" s="7">
        <f t="shared" si="16"/>
        <v>35858</v>
      </c>
      <c r="E273" s="9">
        <v>30</v>
      </c>
      <c r="F273" s="10">
        <v>0.06</v>
      </c>
      <c r="G273" s="11" t="s">
        <v>569</v>
      </c>
    </row>
    <row r="274" spans="1:7">
      <c r="A274" s="7">
        <v>35832</v>
      </c>
      <c r="B274" s="8">
        <v>17500</v>
      </c>
      <c r="C274" s="8">
        <f t="shared" si="15"/>
        <v>17589.178082191782</v>
      </c>
      <c r="D274" s="7">
        <f t="shared" si="16"/>
        <v>35863</v>
      </c>
      <c r="E274" s="9">
        <v>31</v>
      </c>
      <c r="F274" s="10">
        <v>0.06</v>
      </c>
      <c r="G274" s="11" t="s">
        <v>569</v>
      </c>
    </row>
    <row r="275" spans="1:7">
      <c r="A275" s="7">
        <v>35830</v>
      </c>
      <c r="B275" s="8">
        <v>48957.18</v>
      </c>
      <c r="C275" s="8">
        <f t="shared" si="15"/>
        <v>49262.324067123285</v>
      </c>
      <c r="D275" s="7">
        <f t="shared" si="16"/>
        <v>35865</v>
      </c>
      <c r="E275" s="9">
        <v>35</v>
      </c>
      <c r="F275" s="10">
        <v>6.5000000000000002E-2</v>
      </c>
      <c r="G275" s="11" t="s">
        <v>625</v>
      </c>
    </row>
    <row r="276" spans="1:7">
      <c r="A276" s="7">
        <v>35830</v>
      </c>
      <c r="B276" s="8">
        <v>9052</v>
      </c>
      <c r="C276" s="8">
        <f t="shared" si="15"/>
        <v>9108.42</v>
      </c>
      <c r="D276" s="7">
        <f t="shared" si="16"/>
        <v>35865</v>
      </c>
      <c r="E276" s="9">
        <v>35</v>
      </c>
      <c r="F276" s="10">
        <v>6.5000000000000002E-2</v>
      </c>
      <c r="G276" s="11" t="s">
        <v>625</v>
      </c>
    </row>
    <row r="277" spans="1:7">
      <c r="A277" s="7">
        <v>35837</v>
      </c>
      <c r="B277" s="8">
        <v>61453.279999999999</v>
      </c>
      <c r="C277" s="8">
        <f t="shared" si="15"/>
        <v>61806.846816438352</v>
      </c>
      <c r="D277" s="7">
        <f t="shared" si="16"/>
        <v>35872</v>
      </c>
      <c r="E277" s="9">
        <v>35</v>
      </c>
      <c r="F277" s="10">
        <v>0.06</v>
      </c>
      <c r="G277" s="11" t="s">
        <v>569</v>
      </c>
    </row>
    <row r="278" spans="1:7">
      <c r="A278" s="7">
        <v>35844</v>
      </c>
      <c r="B278" s="8">
        <v>25661</v>
      </c>
      <c r="C278" s="8">
        <f t="shared" si="15"/>
        <v>25811.099273972603</v>
      </c>
      <c r="D278" s="7">
        <f t="shared" si="16"/>
        <v>35879</v>
      </c>
      <c r="E278" s="9">
        <v>35</v>
      </c>
      <c r="F278" s="10">
        <v>6.0999999999999999E-2</v>
      </c>
      <c r="G278" s="11" t="s">
        <v>569</v>
      </c>
    </row>
    <row r="279" spans="1:7">
      <c r="A279" s="7">
        <v>35844</v>
      </c>
      <c r="B279" s="8">
        <v>5700</v>
      </c>
      <c r="C279" s="8">
        <f t="shared" si="15"/>
        <v>5732.7945205479455</v>
      </c>
      <c r="D279" s="7">
        <f t="shared" si="16"/>
        <v>35879</v>
      </c>
      <c r="E279" s="9">
        <v>35</v>
      </c>
      <c r="F279" s="10">
        <v>0.06</v>
      </c>
      <c r="G279" s="11" t="s">
        <v>569</v>
      </c>
    </row>
    <row r="280" spans="1:7">
      <c r="A280" s="7">
        <v>35851</v>
      </c>
      <c r="B280" s="8">
        <v>50000</v>
      </c>
      <c r="C280" s="8">
        <f t="shared" si="15"/>
        <v>50279.452054794521</v>
      </c>
      <c r="D280" s="7">
        <f t="shared" si="16"/>
        <v>35885</v>
      </c>
      <c r="E280" s="9">
        <v>34</v>
      </c>
      <c r="F280" s="10">
        <v>0.06</v>
      </c>
      <c r="G280" s="11" t="s">
        <v>569</v>
      </c>
    </row>
    <row r="281" spans="1:7">
      <c r="A281" s="7">
        <v>35853</v>
      </c>
      <c r="B281" s="8">
        <v>8600</v>
      </c>
      <c r="C281" s="8">
        <f t="shared" si="15"/>
        <v>8650.8931506849312</v>
      </c>
      <c r="D281" s="7">
        <f t="shared" si="16"/>
        <v>35885</v>
      </c>
      <c r="E281" s="9">
        <v>32</v>
      </c>
      <c r="F281" s="10">
        <v>6.7500000000000004E-2</v>
      </c>
      <c r="G281" s="11" t="s">
        <v>569</v>
      </c>
    </row>
    <row r="282" spans="1:7">
      <c r="A282" s="7">
        <v>35853</v>
      </c>
      <c r="B282" s="8">
        <v>110114</v>
      </c>
      <c r="C282" s="8">
        <f t="shared" si="15"/>
        <v>110693.22980821918</v>
      </c>
      <c r="D282" s="7">
        <f t="shared" si="16"/>
        <v>35885</v>
      </c>
      <c r="E282" s="9">
        <v>32</v>
      </c>
      <c r="F282" s="10">
        <v>0.06</v>
      </c>
      <c r="G282" s="11" t="s">
        <v>627</v>
      </c>
    </row>
    <row r="283" spans="1:7">
      <c r="A283" s="7">
        <v>35858</v>
      </c>
      <c r="B283" s="8">
        <v>91791</v>
      </c>
      <c r="C283" s="8">
        <f t="shared" si="15"/>
        <v>92300.251438356165</v>
      </c>
      <c r="D283" s="7">
        <f t="shared" si="16"/>
        <v>35888</v>
      </c>
      <c r="E283" s="9">
        <v>30</v>
      </c>
      <c r="F283" s="10">
        <v>6.7500000000000004E-2</v>
      </c>
      <c r="G283" s="11" t="s">
        <v>625</v>
      </c>
    </row>
    <row r="284" spans="1:7">
      <c r="A284" s="7">
        <v>35858</v>
      </c>
      <c r="B284" s="8">
        <v>72376</v>
      </c>
      <c r="C284" s="8">
        <f t="shared" si="15"/>
        <v>72806.290191780819</v>
      </c>
      <c r="D284" s="7">
        <f t="shared" si="16"/>
        <v>35893</v>
      </c>
      <c r="E284" s="9">
        <v>35</v>
      </c>
      <c r="F284" s="10">
        <v>6.2E-2</v>
      </c>
      <c r="G284" s="11" t="s">
        <v>569</v>
      </c>
    </row>
    <row r="285" spans="1:7">
      <c r="A285" s="7">
        <v>35860</v>
      </c>
      <c r="B285" s="8">
        <v>16800</v>
      </c>
      <c r="C285" s="8">
        <f t="shared" si="15"/>
        <v>16894.172054794519</v>
      </c>
      <c r="D285" s="7">
        <f t="shared" si="16"/>
        <v>35893</v>
      </c>
      <c r="E285" s="9">
        <v>33</v>
      </c>
      <c r="F285" s="10">
        <v>6.2E-2</v>
      </c>
      <c r="G285" s="11" t="s">
        <v>569</v>
      </c>
    </row>
    <row r="286" spans="1:7">
      <c r="A286" s="7">
        <v>35863</v>
      </c>
      <c r="B286" s="8">
        <v>17589</v>
      </c>
      <c r="C286" s="8">
        <f t="shared" si="15"/>
        <v>17678.631616438357</v>
      </c>
      <c r="D286" s="7">
        <f t="shared" si="16"/>
        <v>35893</v>
      </c>
      <c r="E286" s="9">
        <v>30</v>
      </c>
      <c r="F286" s="10">
        <v>6.2E-2</v>
      </c>
      <c r="G286" s="11" t="s">
        <v>569</v>
      </c>
    </row>
    <row r="287" spans="1:7">
      <c r="A287" s="7">
        <v>35865</v>
      </c>
      <c r="B287" s="8">
        <v>49262.32</v>
      </c>
      <c r="C287" s="8">
        <f t="shared" si="15"/>
        <v>49545.139702904111</v>
      </c>
      <c r="D287" s="7">
        <f t="shared" si="16"/>
        <v>35898</v>
      </c>
      <c r="E287" s="9">
        <v>33</v>
      </c>
      <c r="F287" s="10">
        <v>6.3500000000000001E-2</v>
      </c>
      <c r="G287" s="11" t="s">
        <v>625</v>
      </c>
    </row>
    <row r="288" spans="1:7">
      <c r="A288" s="7">
        <v>35865</v>
      </c>
      <c r="B288" s="8">
        <v>9108.42</v>
      </c>
      <c r="C288" s="8">
        <f t="shared" si="15"/>
        <v>9160.7123126301376</v>
      </c>
      <c r="D288" s="7">
        <f t="shared" si="16"/>
        <v>35898</v>
      </c>
      <c r="E288" s="9">
        <v>33</v>
      </c>
      <c r="F288" s="10">
        <v>6.3500000000000001E-2</v>
      </c>
      <c r="G288" s="11" t="s">
        <v>625</v>
      </c>
    </row>
    <row r="289" spans="1:7">
      <c r="A289" s="7">
        <v>35872</v>
      </c>
      <c r="B289" s="8">
        <v>30000</v>
      </c>
      <c r="C289" s="8">
        <f t="shared" si="15"/>
        <v>30147.945205479453</v>
      </c>
      <c r="D289" s="7">
        <f t="shared" si="16"/>
        <v>35902</v>
      </c>
      <c r="E289" s="9">
        <v>30</v>
      </c>
      <c r="F289" s="10">
        <v>0.06</v>
      </c>
      <c r="G289" s="11" t="s">
        <v>618</v>
      </c>
    </row>
    <row r="290" spans="1:7">
      <c r="A290" s="7">
        <v>35872</v>
      </c>
      <c r="B290" s="8">
        <v>16000</v>
      </c>
      <c r="C290" s="8">
        <f t="shared" si="15"/>
        <v>16102.027397260274</v>
      </c>
      <c r="D290" s="7">
        <f t="shared" si="16"/>
        <v>35907</v>
      </c>
      <c r="E290" s="9">
        <v>35</v>
      </c>
      <c r="F290" s="10">
        <v>6.6500000000000004E-2</v>
      </c>
      <c r="G290" s="11" t="s">
        <v>569</v>
      </c>
    </row>
    <row r="291" spans="1:7">
      <c r="A291" s="7">
        <v>35872</v>
      </c>
      <c r="B291" s="8">
        <v>42000</v>
      </c>
      <c r="C291" s="8">
        <f t="shared" si="15"/>
        <v>42249.698630136983</v>
      </c>
      <c r="D291" s="7">
        <f t="shared" si="16"/>
        <v>35907</v>
      </c>
      <c r="E291" s="9">
        <v>35</v>
      </c>
      <c r="F291" s="10">
        <v>6.2E-2</v>
      </c>
      <c r="G291" s="11" t="s">
        <v>569</v>
      </c>
    </row>
    <row r="292" spans="1:7">
      <c r="A292" s="7">
        <v>35874</v>
      </c>
      <c r="B292" s="8">
        <v>61807.73</v>
      </c>
      <c r="C292" s="8">
        <f t="shared" si="15"/>
        <v>62153.175943013703</v>
      </c>
      <c r="D292" s="7">
        <f t="shared" si="16"/>
        <v>35908</v>
      </c>
      <c r="E292" s="9">
        <v>34</v>
      </c>
      <c r="F292" s="10">
        <v>0.06</v>
      </c>
      <c r="G292" s="11" t="s">
        <v>618</v>
      </c>
    </row>
    <row r="293" spans="1:7">
      <c r="A293" s="7">
        <v>35879</v>
      </c>
      <c r="B293" s="8">
        <v>31540</v>
      </c>
      <c r="C293" s="8">
        <f t="shared" si="15"/>
        <v>31727.511780821918</v>
      </c>
      <c r="D293" s="7">
        <f t="shared" si="16"/>
        <v>35914</v>
      </c>
      <c r="E293" s="9">
        <v>35</v>
      </c>
      <c r="F293" s="10">
        <v>6.2E-2</v>
      </c>
      <c r="G293" s="11" t="s">
        <v>569</v>
      </c>
    </row>
    <row r="294" spans="1:7">
      <c r="A294" s="7">
        <v>35884</v>
      </c>
      <c r="B294" s="8">
        <v>110676</v>
      </c>
      <c r="C294" s="8">
        <f t="shared" si="15"/>
        <v>111244.54109589041</v>
      </c>
      <c r="D294" s="7">
        <f t="shared" si="16"/>
        <v>35914</v>
      </c>
      <c r="E294" s="9">
        <v>30</v>
      </c>
      <c r="F294" s="10">
        <v>6.25E-2</v>
      </c>
      <c r="G294" s="11" t="s">
        <v>627</v>
      </c>
    </row>
    <row r="295" spans="1:7">
      <c r="A295" s="7">
        <v>35885</v>
      </c>
      <c r="B295" s="8">
        <v>8650.89</v>
      </c>
      <c r="C295" s="8">
        <f t="shared" si="15"/>
        <v>8702.0843079452043</v>
      </c>
      <c r="D295" s="7">
        <f t="shared" si="16"/>
        <v>35921</v>
      </c>
      <c r="E295" s="9">
        <v>36</v>
      </c>
      <c r="F295" s="10">
        <v>0.06</v>
      </c>
      <c r="G295" s="11" t="s">
        <v>569</v>
      </c>
    </row>
    <row r="296" spans="1:7">
      <c r="A296" s="7">
        <v>35888</v>
      </c>
      <c r="B296" s="8">
        <v>37069</v>
      </c>
      <c r="C296" s="8">
        <f t="shared" si="15"/>
        <v>37295.222458904107</v>
      </c>
      <c r="D296" s="7">
        <f t="shared" si="16"/>
        <v>35921</v>
      </c>
      <c r="E296" s="9">
        <v>33</v>
      </c>
      <c r="F296" s="10">
        <v>6.7500000000000004E-2</v>
      </c>
      <c r="G296" s="11" t="s">
        <v>625</v>
      </c>
    </row>
    <row r="297" spans="1:7">
      <c r="A297" s="7">
        <v>35893</v>
      </c>
      <c r="B297" s="8">
        <v>111079</v>
      </c>
      <c r="C297" s="8">
        <f t="shared" si="15"/>
        <v>111739.38747945205</v>
      </c>
      <c r="D297" s="7">
        <f t="shared" si="16"/>
        <v>35928</v>
      </c>
      <c r="E297" s="9">
        <v>35</v>
      </c>
      <c r="F297" s="10">
        <v>6.2E-2</v>
      </c>
      <c r="G297" s="11" t="s">
        <v>569</v>
      </c>
    </row>
    <row r="298" spans="1:7">
      <c r="A298" s="7">
        <v>35902</v>
      </c>
      <c r="B298" s="8">
        <v>30148</v>
      </c>
      <c r="C298" s="8">
        <f t="shared" si="15"/>
        <v>30277.471205479451</v>
      </c>
      <c r="D298" s="7">
        <f t="shared" si="16"/>
        <v>35935</v>
      </c>
      <c r="E298" s="9">
        <v>33</v>
      </c>
      <c r="F298" s="10">
        <v>4.7500000000000001E-2</v>
      </c>
      <c r="G298" s="11" t="s">
        <v>628</v>
      </c>
    </row>
    <row r="299" spans="1:7">
      <c r="A299" s="7">
        <v>35907</v>
      </c>
      <c r="B299" s="8">
        <v>16102.03</v>
      </c>
      <c r="C299" s="8">
        <f t="shared" si="15"/>
        <v>16185.407634794521</v>
      </c>
      <c r="D299" s="7">
        <f t="shared" si="16"/>
        <v>35937</v>
      </c>
      <c r="E299" s="9">
        <v>30</v>
      </c>
      <c r="F299" s="10">
        <v>6.3E-2</v>
      </c>
      <c r="G299" s="11" t="s">
        <v>629</v>
      </c>
    </row>
    <row r="300" spans="1:7">
      <c r="A300" s="7">
        <v>35907</v>
      </c>
      <c r="B300" s="8">
        <v>42250</v>
      </c>
      <c r="C300" s="8">
        <f t="shared" si="15"/>
        <v>42458.356164383564</v>
      </c>
      <c r="D300" s="7">
        <f t="shared" si="16"/>
        <v>35937</v>
      </c>
      <c r="E300" s="9">
        <v>30</v>
      </c>
      <c r="F300" s="10">
        <v>0.06</v>
      </c>
      <c r="G300" s="11" t="s">
        <v>629</v>
      </c>
    </row>
    <row r="301" spans="1:7">
      <c r="A301" s="7">
        <v>35907</v>
      </c>
      <c r="B301" s="8">
        <v>62112</v>
      </c>
      <c r="C301" s="8">
        <f t="shared" si="15"/>
        <v>62418.305753424655</v>
      </c>
      <c r="D301" s="7">
        <f t="shared" si="16"/>
        <v>35937</v>
      </c>
      <c r="E301" s="9">
        <v>30</v>
      </c>
      <c r="F301" s="10">
        <v>0.06</v>
      </c>
      <c r="G301" s="11" t="s">
        <v>629</v>
      </c>
    </row>
    <row r="302" spans="1:7">
      <c r="A302" s="7">
        <v>35818</v>
      </c>
      <c r="B302" s="8">
        <v>46083.199999999997</v>
      </c>
      <c r="C302" s="8">
        <f t="shared" si="15"/>
        <v>47095.843599780819</v>
      </c>
      <c r="D302" s="7">
        <f t="shared" si="16"/>
        <v>35937</v>
      </c>
      <c r="E302" s="9">
        <v>119</v>
      </c>
      <c r="F302" s="10">
        <v>6.7400000000000002E-2</v>
      </c>
      <c r="G302" s="11" t="s">
        <v>630</v>
      </c>
    </row>
    <row r="303" spans="1:7">
      <c r="A303" s="7">
        <v>35914</v>
      </c>
      <c r="B303" s="8">
        <v>31727.51</v>
      </c>
      <c r="C303" s="8">
        <f t="shared" si="15"/>
        <v>31916.136566301368</v>
      </c>
      <c r="D303" s="7">
        <f t="shared" si="16"/>
        <v>35949</v>
      </c>
      <c r="E303" s="9">
        <v>35</v>
      </c>
      <c r="F303" s="10">
        <v>6.2E-2</v>
      </c>
      <c r="G303" s="11" t="s">
        <v>569</v>
      </c>
    </row>
    <row r="304" spans="1:7">
      <c r="A304" s="7">
        <v>35914</v>
      </c>
      <c r="B304" s="8">
        <v>111245</v>
      </c>
      <c r="C304" s="8">
        <f t="shared" si="15"/>
        <v>111895.70705479452</v>
      </c>
      <c r="D304" s="7">
        <f t="shared" si="16"/>
        <v>35949</v>
      </c>
      <c r="E304" s="9">
        <v>35</v>
      </c>
      <c r="F304" s="10">
        <v>6.0999999999999999E-2</v>
      </c>
      <c r="G304" s="11" t="s">
        <v>628</v>
      </c>
    </row>
    <row r="305" spans="1:7">
      <c r="A305" s="7">
        <v>35921</v>
      </c>
      <c r="B305" s="8">
        <v>37295.22</v>
      </c>
      <c r="C305" s="8">
        <f t="shared" si="15"/>
        <v>37536.617143150688</v>
      </c>
      <c r="D305" s="7">
        <f t="shared" si="16"/>
        <v>35956</v>
      </c>
      <c r="E305" s="9">
        <v>35</v>
      </c>
      <c r="F305" s="10">
        <v>6.7500000000000004E-2</v>
      </c>
      <c r="G305" s="11" t="s">
        <v>120</v>
      </c>
    </row>
    <row r="306" spans="1:7">
      <c r="A306" s="7">
        <v>35921</v>
      </c>
      <c r="B306" s="8">
        <v>48701.89</v>
      </c>
      <c r="C306" s="8">
        <f t="shared" si="15"/>
        <v>48991.432743287667</v>
      </c>
      <c r="D306" s="7">
        <f t="shared" si="16"/>
        <v>35956</v>
      </c>
      <c r="E306" s="9">
        <v>35</v>
      </c>
      <c r="F306" s="10">
        <v>6.2E-2</v>
      </c>
      <c r="G306" s="11" t="s">
        <v>569</v>
      </c>
    </row>
    <row r="307" spans="1:7">
      <c r="A307" s="7">
        <v>35818</v>
      </c>
      <c r="B307" s="8">
        <v>129819.88</v>
      </c>
      <c r="C307" s="8">
        <f t="shared" si="15"/>
        <v>133152.01843224111</v>
      </c>
      <c r="D307" s="7">
        <f t="shared" si="16"/>
        <v>35957</v>
      </c>
      <c r="E307" s="9">
        <v>139</v>
      </c>
      <c r="F307" s="10">
        <v>6.7400000000000002E-2</v>
      </c>
      <c r="G307" s="11" t="s">
        <v>630</v>
      </c>
    </row>
    <row r="308" spans="1:7">
      <c r="A308" s="7">
        <v>35928</v>
      </c>
      <c r="B308" s="8">
        <v>111739</v>
      </c>
      <c r="C308" s="8">
        <f t="shared" si="15"/>
        <v>112408.66866438356</v>
      </c>
      <c r="D308" s="7">
        <f t="shared" si="16"/>
        <v>35963</v>
      </c>
      <c r="E308" s="9">
        <v>35</v>
      </c>
      <c r="F308" s="10">
        <v>6.25E-2</v>
      </c>
      <c r="G308" s="11" t="s">
        <v>569</v>
      </c>
    </row>
    <row r="309" spans="1:7">
      <c r="A309" s="7">
        <v>35937</v>
      </c>
      <c r="B309" s="8">
        <v>16185</v>
      </c>
      <c r="C309" s="8">
        <f t="shared" si="15"/>
        <v>16277.187986301369</v>
      </c>
      <c r="D309" s="7">
        <f t="shared" si="16"/>
        <v>35970</v>
      </c>
      <c r="E309" s="9">
        <v>33</v>
      </c>
      <c r="F309" s="10">
        <v>6.3E-2</v>
      </c>
      <c r="G309" s="11" t="s">
        <v>629</v>
      </c>
    </row>
    <row r="310" spans="1:7">
      <c r="A310" s="7">
        <v>35937</v>
      </c>
      <c r="B310" s="8">
        <v>62418</v>
      </c>
      <c r="C310" s="8">
        <f t="shared" si="15"/>
        <v>62750.953002739727</v>
      </c>
      <c r="D310" s="7">
        <f t="shared" si="16"/>
        <v>35970</v>
      </c>
      <c r="E310" s="9">
        <v>33</v>
      </c>
      <c r="F310" s="10">
        <v>5.8999999999999997E-2</v>
      </c>
      <c r="G310" s="11" t="s">
        <v>629</v>
      </c>
    </row>
    <row r="311" spans="1:7">
      <c r="A311" s="7">
        <v>35937</v>
      </c>
      <c r="B311" s="8">
        <v>28958</v>
      </c>
      <c r="C311" s="8">
        <f t="shared" si="15"/>
        <v>29112.469112328767</v>
      </c>
      <c r="D311" s="7">
        <f t="shared" si="16"/>
        <v>35970</v>
      </c>
      <c r="E311" s="9">
        <v>33</v>
      </c>
      <c r="F311" s="10">
        <v>5.8999999999999997E-2</v>
      </c>
      <c r="G311" s="11" t="s">
        <v>629</v>
      </c>
    </row>
    <row r="312" spans="1:7">
      <c r="A312" s="7">
        <v>35935</v>
      </c>
      <c r="B312" s="8">
        <v>30277</v>
      </c>
      <c r="C312" s="8">
        <f t="shared" si="15"/>
        <v>30454.099712328767</v>
      </c>
      <c r="D312" s="7">
        <f t="shared" si="16"/>
        <v>35970</v>
      </c>
      <c r="E312" s="9">
        <v>35</v>
      </c>
      <c r="F312" s="10">
        <v>6.0999999999999999E-2</v>
      </c>
      <c r="G312" s="11" t="s">
        <v>628</v>
      </c>
    </row>
    <row r="313" spans="1:7">
      <c r="A313" s="7">
        <v>35943</v>
      </c>
      <c r="B313" s="8">
        <v>1064</v>
      </c>
      <c r="C313" s="8">
        <f t="shared" si="15"/>
        <v>1071.6957808219179</v>
      </c>
      <c r="D313" s="7">
        <f t="shared" si="16"/>
        <v>35975</v>
      </c>
      <c r="E313" s="9">
        <v>32</v>
      </c>
      <c r="F313" s="10">
        <v>8.2500000000000004E-2</v>
      </c>
      <c r="G313" s="11" t="s">
        <v>630</v>
      </c>
    </row>
    <row r="314" spans="1:7">
      <c r="A314" s="7">
        <v>35944</v>
      </c>
      <c r="B314" s="8">
        <v>60000</v>
      </c>
      <c r="C314" s="8">
        <f t="shared" si="15"/>
        <v>60339.04109589041</v>
      </c>
      <c r="D314" s="7">
        <f t="shared" si="16"/>
        <v>35977</v>
      </c>
      <c r="E314" s="9">
        <v>33</v>
      </c>
      <c r="F314" s="10">
        <v>6.25E-2</v>
      </c>
      <c r="G314" s="11" t="s">
        <v>569</v>
      </c>
    </row>
    <row r="315" spans="1:7">
      <c r="A315" s="7">
        <v>35945</v>
      </c>
      <c r="B315" s="8">
        <v>36200</v>
      </c>
      <c r="C315" s="8">
        <f t="shared" si="15"/>
        <v>36420.572054794524</v>
      </c>
      <c r="D315" s="7">
        <f t="shared" si="16"/>
        <v>35977</v>
      </c>
      <c r="E315" s="9">
        <v>32</v>
      </c>
      <c r="F315" s="10">
        <v>6.9500000000000006E-2</v>
      </c>
      <c r="G315" s="11" t="s">
        <v>120</v>
      </c>
    </row>
    <row r="316" spans="1:7">
      <c r="A316" s="7">
        <v>35949</v>
      </c>
      <c r="B316" s="8">
        <v>111896</v>
      </c>
      <c r="C316" s="8">
        <f t="shared" si="15"/>
        <v>112550.51495890411</v>
      </c>
      <c r="D316" s="7">
        <f t="shared" si="16"/>
        <v>35984</v>
      </c>
      <c r="E316" s="9">
        <v>35</v>
      </c>
      <c r="F316" s="10">
        <v>6.0999999999999999E-2</v>
      </c>
      <c r="G316" s="11" t="s">
        <v>628</v>
      </c>
    </row>
    <row r="317" spans="1:7">
      <c r="A317" s="7">
        <v>35949</v>
      </c>
      <c r="B317" s="8">
        <v>31917</v>
      </c>
      <c r="C317" s="8">
        <f t="shared" si="15"/>
        <v>32108.283390410958</v>
      </c>
      <c r="D317" s="7">
        <f t="shared" si="16"/>
        <v>35984</v>
      </c>
      <c r="E317" s="9">
        <v>35</v>
      </c>
      <c r="F317" s="10">
        <v>6.25E-2</v>
      </c>
      <c r="G317" s="11" t="s">
        <v>569</v>
      </c>
    </row>
    <row r="318" spans="1:7">
      <c r="A318" s="7">
        <v>35956</v>
      </c>
      <c r="B318" s="8">
        <v>10000</v>
      </c>
      <c r="C318" s="8">
        <f t="shared" si="15"/>
        <v>10067.808219178081</v>
      </c>
      <c r="D318" s="7">
        <f t="shared" si="16"/>
        <v>35989</v>
      </c>
      <c r="E318" s="9">
        <v>33</v>
      </c>
      <c r="F318" s="10">
        <v>7.4999999999999997E-2</v>
      </c>
      <c r="G318" s="11" t="s">
        <v>630</v>
      </c>
    </row>
    <row r="319" spans="1:7">
      <c r="A319" s="7">
        <v>35956</v>
      </c>
      <c r="B319" s="8">
        <v>10000</v>
      </c>
      <c r="C319" s="8">
        <f t="shared" si="15"/>
        <v>10067.808219178081</v>
      </c>
      <c r="D319" s="7">
        <f t="shared" si="16"/>
        <v>35989</v>
      </c>
      <c r="E319" s="9">
        <v>33</v>
      </c>
      <c r="F319" s="10">
        <v>7.4999999999999997E-2</v>
      </c>
      <c r="G319" s="11" t="s">
        <v>630</v>
      </c>
    </row>
    <row r="320" spans="1:7">
      <c r="A320" s="7">
        <v>35956</v>
      </c>
      <c r="B320" s="8">
        <v>10000</v>
      </c>
      <c r="C320" s="8">
        <f t="shared" ref="C320:C383" si="17">B320+(B320*F320/365*E320)*1</f>
        <v>10067.808219178081</v>
      </c>
      <c r="D320" s="7">
        <f t="shared" ref="D320:D383" si="18">A320+E320</f>
        <v>35989</v>
      </c>
      <c r="E320" s="9">
        <v>33</v>
      </c>
      <c r="F320" s="10">
        <v>7.4999999999999997E-2</v>
      </c>
      <c r="G320" s="11" t="s">
        <v>630</v>
      </c>
    </row>
    <row r="321" spans="1:7">
      <c r="A321" s="7">
        <v>35956</v>
      </c>
      <c r="B321" s="8">
        <v>70000</v>
      </c>
      <c r="C321" s="8">
        <f t="shared" si="17"/>
        <v>70436.301369863009</v>
      </c>
      <c r="D321" s="7">
        <f t="shared" si="18"/>
        <v>35991</v>
      </c>
      <c r="E321" s="9">
        <v>35</v>
      </c>
      <c r="F321" s="10">
        <v>6.5000000000000002E-2</v>
      </c>
      <c r="G321" s="11" t="s">
        <v>569</v>
      </c>
    </row>
    <row r="322" spans="1:7">
      <c r="A322" s="7">
        <v>35956</v>
      </c>
      <c r="B322" s="8">
        <v>37536.620000000003</v>
      </c>
      <c r="C322" s="8">
        <f t="shared" si="17"/>
        <v>37752.584115068494</v>
      </c>
      <c r="D322" s="7">
        <f t="shared" si="18"/>
        <v>35991</v>
      </c>
      <c r="E322" s="9">
        <v>35</v>
      </c>
      <c r="F322" s="10">
        <v>0.06</v>
      </c>
      <c r="G322" s="11" t="s">
        <v>569</v>
      </c>
    </row>
    <row r="323" spans="1:7">
      <c r="A323" s="7">
        <v>35963</v>
      </c>
      <c r="B323" s="8">
        <v>112409</v>
      </c>
      <c r="C323" s="8">
        <f t="shared" si="17"/>
        <v>113082.68407534246</v>
      </c>
      <c r="D323" s="7">
        <f t="shared" si="18"/>
        <v>35998</v>
      </c>
      <c r="E323" s="9">
        <v>35</v>
      </c>
      <c r="F323" s="10">
        <v>6.25E-2</v>
      </c>
      <c r="G323" s="11" t="s">
        <v>569</v>
      </c>
    </row>
    <row r="324" spans="1:7">
      <c r="A324" s="7">
        <v>35970</v>
      </c>
      <c r="B324" s="8">
        <v>16277.6</v>
      </c>
      <c r="C324" s="8">
        <f t="shared" si="17"/>
        <v>16361.886750684931</v>
      </c>
      <c r="D324" s="7">
        <f t="shared" si="18"/>
        <v>36000</v>
      </c>
      <c r="E324" s="9">
        <v>30</v>
      </c>
      <c r="F324" s="10">
        <v>6.3E-2</v>
      </c>
      <c r="G324" s="11" t="s">
        <v>629</v>
      </c>
    </row>
    <row r="325" spans="1:7">
      <c r="A325" s="7">
        <v>35970</v>
      </c>
      <c r="B325" s="8">
        <v>29112</v>
      </c>
      <c r="C325" s="8">
        <f t="shared" si="17"/>
        <v>29250.780493150683</v>
      </c>
      <c r="D325" s="7">
        <f t="shared" si="18"/>
        <v>36000</v>
      </c>
      <c r="E325" s="9">
        <v>30</v>
      </c>
      <c r="F325" s="10">
        <v>5.8000000000000003E-2</v>
      </c>
      <c r="G325" s="11" t="s">
        <v>629</v>
      </c>
    </row>
    <row r="326" spans="1:7">
      <c r="A326" s="7">
        <v>35970</v>
      </c>
      <c r="B326" s="8">
        <v>62751</v>
      </c>
      <c r="C326" s="8">
        <f t="shared" si="17"/>
        <v>63050.141753424658</v>
      </c>
      <c r="D326" s="7">
        <f t="shared" si="18"/>
        <v>36000</v>
      </c>
      <c r="E326" s="9">
        <v>30</v>
      </c>
      <c r="F326" s="10">
        <v>5.8000000000000003E-2</v>
      </c>
      <c r="G326" s="11" t="s">
        <v>629</v>
      </c>
    </row>
    <row r="327" spans="1:7">
      <c r="A327" s="7">
        <v>35976</v>
      </c>
      <c r="B327" s="8">
        <v>13040</v>
      </c>
      <c r="C327" s="8">
        <f t="shared" si="17"/>
        <v>13119.097424657535</v>
      </c>
      <c r="D327" s="7">
        <f t="shared" si="18"/>
        <v>36012</v>
      </c>
      <c r="E327" s="9">
        <v>36</v>
      </c>
      <c r="F327" s="10">
        <v>6.1499999999999999E-2</v>
      </c>
      <c r="G327" s="11" t="s">
        <v>569</v>
      </c>
    </row>
    <row r="328" spans="1:7">
      <c r="A328" s="7">
        <v>35978</v>
      </c>
      <c r="B328" s="8">
        <v>11000</v>
      </c>
      <c r="C328" s="8">
        <f t="shared" si="17"/>
        <v>11063.528767123287</v>
      </c>
      <c r="D328" s="7">
        <f t="shared" si="18"/>
        <v>36012</v>
      </c>
      <c r="E328" s="9">
        <v>34</v>
      </c>
      <c r="F328" s="10">
        <v>6.2E-2</v>
      </c>
      <c r="G328" s="11" t="s">
        <v>569</v>
      </c>
    </row>
    <row r="329" spans="1:7">
      <c r="A329" s="7">
        <v>35977</v>
      </c>
      <c r="B329" s="8">
        <v>60339.040000000001</v>
      </c>
      <c r="C329" s="8">
        <f t="shared" si="17"/>
        <v>60628.336767123292</v>
      </c>
      <c r="D329" s="7">
        <f t="shared" si="18"/>
        <v>36012</v>
      </c>
      <c r="E329" s="9">
        <v>35</v>
      </c>
      <c r="F329" s="10">
        <v>0.05</v>
      </c>
      <c r="G329" s="11" t="s">
        <v>631</v>
      </c>
    </row>
    <row r="330" spans="1:7">
      <c r="A330" s="7">
        <v>35977</v>
      </c>
      <c r="B330" s="8">
        <v>36420.57</v>
      </c>
      <c r="C330" s="8">
        <f t="shared" si="17"/>
        <v>36661.544456301366</v>
      </c>
      <c r="D330" s="7">
        <f t="shared" si="18"/>
        <v>36012</v>
      </c>
      <c r="E330" s="9">
        <v>35</v>
      </c>
      <c r="F330" s="10">
        <v>6.9000000000000006E-2</v>
      </c>
      <c r="G330" s="11" t="s">
        <v>120</v>
      </c>
    </row>
    <row r="331" spans="1:7">
      <c r="A331" s="7">
        <v>35984</v>
      </c>
      <c r="B331" s="8">
        <v>112551</v>
      </c>
      <c r="C331" s="8">
        <f t="shared" si="17"/>
        <v>113220.1388219178</v>
      </c>
      <c r="D331" s="7">
        <f t="shared" si="18"/>
        <v>36019</v>
      </c>
      <c r="E331" s="9">
        <v>35</v>
      </c>
      <c r="F331" s="10">
        <v>6.2E-2</v>
      </c>
      <c r="G331" s="11" t="s">
        <v>628</v>
      </c>
    </row>
    <row r="332" spans="1:7">
      <c r="A332" s="7">
        <v>35984</v>
      </c>
      <c r="B332" s="8">
        <v>32108</v>
      </c>
      <c r="C332" s="8">
        <f t="shared" si="17"/>
        <v>32300.428082191782</v>
      </c>
      <c r="D332" s="7">
        <f t="shared" si="18"/>
        <v>36019</v>
      </c>
      <c r="E332" s="9">
        <v>35</v>
      </c>
      <c r="F332" s="10">
        <v>6.25E-2</v>
      </c>
      <c r="G332" s="11" t="s">
        <v>569</v>
      </c>
    </row>
    <row r="333" spans="1:7">
      <c r="A333" s="7">
        <v>35984</v>
      </c>
      <c r="B333" s="8">
        <v>31600</v>
      </c>
      <c r="C333" s="8">
        <f t="shared" si="17"/>
        <v>31774.232876712329</v>
      </c>
      <c r="D333" s="7">
        <f t="shared" si="18"/>
        <v>36019</v>
      </c>
      <c r="E333" s="9">
        <v>35</v>
      </c>
      <c r="F333" s="10">
        <v>5.7500000000000002E-2</v>
      </c>
      <c r="G333" s="11" t="s">
        <v>632</v>
      </c>
    </row>
    <row r="334" spans="1:7">
      <c r="A334" s="7">
        <v>35989</v>
      </c>
      <c r="B334" s="8">
        <v>10067</v>
      </c>
      <c r="C334" s="8">
        <f t="shared" si="17"/>
        <v>10129.056849315068</v>
      </c>
      <c r="D334" s="7">
        <f t="shared" si="18"/>
        <v>36019</v>
      </c>
      <c r="E334" s="9">
        <v>30</v>
      </c>
      <c r="F334" s="10">
        <v>7.4999999999999997E-2</v>
      </c>
      <c r="G334" s="11" t="s">
        <v>630</v>
      </c>
    </row>
    <row r="335" spans="1:7">
      <c r="A335" s="7">
        <v>35989</v>
      </c>
      <c r="B335" s="8">
        <v>10067</v>
      </c>
      <c r="C335" s="8">
        <f t="shared" si="17"/>
        <v>10129.056849315068</v>
      </c>
      <c r="D335" s="7">
        <f t="shared" si="18"/>
        <v>36019</v>
      </c>
      <c r="E335" s="9">
        <v>30</v>
      </c>
      <c r="F335" s="10">
        <v>7.4999999999999997E-2</v>
      </c>
      <c r="G335" s="11" t="s">
        <v>630</v>
      </c>
    </row>
    <row r="336" spans="1:7">
      <c r="A336" s="7">
        <v>35989</v>
      </c>
      <c r="B336" s="8">
        <v>10067</v>
      </c>
      <c r="C336" s="8">
        <f t="shared" si="17"/>
        <v>10129.056849315068</v>
      </c>
      <c r="D336" s="7">
        <f t="shared" si="18"/>
        <v>36019</v>
      </c>
      <c r="E336" s="9">
        <v>30</v>
      </c>
      <c r="F336" s="10">
        <v>7.4999999999999997E-2</v>
      </c>
      <c r="G336" s="11" t="s">
        <v>630</v>
      </c>
    </row>
    <row r="337" spans="1:7">
      <c r="A337" s="7">
        <v>35992</v>
      </c>
      <c r="B337" s="8">
        <f>37752.62+4600+(70436.3-50000)</f>
        <v>62788.920000000006</v>
      </c>
      <c r="C337" s="8">
        <f t="shared" si="17"/>
        <v>63151.547516054801</v>
      </c>
      <c r="D337" s="7">
        <f t="shared" si="18"/>
        <v>36026</v>
      </c>
      <c r="E337" s="9">
        <v>34</v>
      </c>
      <c r="F337" s="10">
        <v>6.2E-2</v>
      </c>
      <c r="G337" s="11" t="s">
        <v>569</v>
      </c>
    </row>
    <row r="338" spans="1:7">
      <c r="A338" s="7">
        <v>36000</v>
      </c>
      <c r="B338" s="8">
        <f>+C324+C325+C326-59000</f>
        <v>49662.808997260276</v>
      </c>
      <c r="C338" s="8">
        <f t="shared" si="17"/>
        <v>49941.19285262574</v>
      </c>
      <c r="D338" s="7">
        <f t="shared" si="18"/>
        <v>36033</v>
      </c>
      <c r="E338" s="9">
        <v>33</v>
      </c>
      <c r="F338" s="10">
        <v>6.2E-2</v>
      </c>
      <c r="G338" s="11" t="s">
        <v>569</v>
      </c>
    </row>
    <row r="339" spans="1:7">
      <c r="A339" s="7">
        <v>35998</v>
      </c>
      <c r="B339" s="8">
        <v>113082</v>
      </c>
      <c r="C339" s="8">
        <f t="shared" si="17"/>
        <v>113779.08082191781</v>
      </c>
      <c r="D339" s="7">
        <f t="shared" si="18"/>
        <v>36034</v>
      </c>
      <c r="E339" s="9">
        <v>36</v>
      </c>
      <c r="F339" s="10">
        <v>6.25E-2</v>
      </c>
      <c r="G339" s="11" t="s">
        <v>569</v>
      </c>
    </row>
    <row r="340" spans="1:7">
      <c r="A340" s="7">
        <v>36012</v>
      </c>
      <c r="B340" s="8">
        <f>+C327+C328+6000+19600</f>
        <v>49782.626191780822</v>
      </c>
      <c r="C340" s="8">
        <f t="shared" si="17"/>
        <v>49976.983020063803</v>
      </c>
      <c r="D340" s="7">
        <f t="shared" si="18"/>
        <v>36042</v>
      </c>
      <c r="E340" s="9">
        <v>30</v>
      </c>
      <c r="F340" s="10">
        <v>4.7500000000000001E-2</v>
      </c>
      <c r="G340" s="11" t="s">
        <v>633</v>
      </c>
    </row>
    <row r="341" spans="1:7">
      <c r="A341" s="7">
        <v>36012</v>
      </c>
      <c r="B341" s="8">
        <v>36661.54</v>
      </c>
      <c r="C341" s="8">
        <f t="shared" si="17"/>
        <v>36869.456130958904</v>
      </c>
      <c r="D341" s="7">
        <f t="shared" si="18"/>
        <v>36042</v>
      </c>
      <c r="E341" s="9">
        <v>30</v>
      </c>
      <c r="F341" s="10">
        <v>6.9000000000000006E-2</v>
      </c>
      <c r="G341" s="11" t="s">
        <v>120</v>
      </c>
    </row>
    <row r="342" spans="1:7">
      <c r="A342" s="7">
        <v>35956</v>
      </c>
      <c r="B342" s="8">
        <v>19700</v>
      </c>
      <c r="C342" s="8">
        <f t="shared" si="17"/>
        <v>20068.363013698628</v>
      </c>
      <c r="D342" s="7">
        <f t="shared" si="18"/>
        <v>36047</v>
      </c>
      <c r="E342" s="9">
        <v>91</v>
      </c>
      <c r="F342" s="10">
        <v>7.4999999999999997E-2</v>
      </c>
      <c r="G342" s="11" t="s">
        <v>630</v>
      </c>
    </row>
    <row r="343" spans="1:7">
      <c r="A343" s="7">
        <v>36019</v>
      </c>
      <c r="B343" s="8">
        <v>5129</v>
      </c>
      <c r="C343" s="8">
        <f t="shared" si="17"/>
        <v>5160.6171232876713</v>
      </c>
      <c r="D343" s="7">
        <f t="shared" si="18"/>
        <v>36049</v>
      </c>
      <c r="E343" s="9">
        <v>30</v>
      </c>
      <c r="F343" s="10">
        <v>7.4999999999999997E-2</v>
      </c>
      <c r="G343" s="11" t="s">
        <v>630</v>
      </c>
    </row>
    <row r="344" spans="1:7">
      <c r="A344" s="7">
        <v>36019</v>
      </c>
      <c r="B344" s="8">
        <v>5129</v>
      </c>
      <c r="C344" s="8">
        <f t="shared" si="17"/>
        <v>5160.6171232876713</v>
      </c>
      <c r="D344" s="7">
        <f t="shared" si="18"/>
        <v>36049</v>
      </c>
      <c r="E344" s="9">
        <v>30</v>
      </c>
      <c r="F344" s="10">
        <v>7.4999999999999997E-2</v>
      </c>
      <c r="G344" s="11" t="s">
        <v>630</v>
      </c>
    </row>
    <row r="345" spans="1:7">
      <c r="A345" s="7">
        <v>36019</v>
      </c>
      <c r="B345" s="8">
        <v>5129</v>
      </c>
      <c r="C345" s="8">
        <f t="shared" si="17"/>
        <v>5160.6171232876713</v>
      </c>
      <c r="D345" s="7">
        <f t="shared" si="18"/>
        <v>36049</v>
      </c>
      <c r="E345" s="9">
        <v>30</v>
      </c>
      <c r="F345" s="10">
        <v>7.4999999999999997E-2</v>
      </c>
      <c r="G345" s="11" t="s">
        <v>630</v>
      </c>
    </row>
    <row r="346" spans="1:7">
      <c r="A346" s="7">
        <v>36019</v>
      </c>
      <c r="B346" s="8">
        <v>31774.23</v>
      </c>
      <c r="C346" s="8">
        <f t="shared" si="17"/>
        <v>31949.423528424657</v>
      </c>
      <c r="D346" s="7">
        <f t="shared" si="18"/>
        <v>36054</v>
      </c>
      <c r="E346" s="9">
        <v>35</v>
      </c>
      <c r="F346" s="10">
        <v>5.7500000000000002E-2</v>
      </c>
      <c r="G346" s="11" t="s">
        <v>632</v>
      </c>
    </row>
    <row r="347" spans="1:7">
      <c r="A347" s="7">
        <v>36019</v>
      </c>
      <c r="B347" s="8">
        <v>32300</v>
      </c>
      <c r="C347" s="8">
        <f t="shared" si="17"/>
        <v>32492.030136986301</v>
      </c>
      <c r="D347" s="7">
        <f t="shared" si="18"/>
        <v>36054</v>
      </c>
      <c r="E347" s="9">
        <v>35</v>
      </c>
      <c r="F347" s="10">
        <v>6.2E-2</v>
      </c>
      <c r="G347" s="11" t="s">
        <v>569</v>
      </c>
    </row>
    <row r="348" spans="1:7">
      <c r="A348" s="7">
        <v>36019</v>
      </c>
      <c r="B348" s="8">
        <f>113220.1+15000</f>
        <v>128220.1</v>
      </c>
      <c r="C348" s="8">
        <f t="shared" si="17"/>
        <v>128982.3948410959</v>
      </c>
      <c r="D348" s="7">
        <f t="shared" si="18"/>
        <v>36054</v>
      </c>
      <c r="E348" s="9">
        <v>35</v>
      </c>
      <c r="F348" s="10">
        <v>6.2E-2</v>
      </c>
      <c r="G348" s="11" t="s">
        <v>628</v>
      </c>
    </row>
    <row r="349" spans="1:7">
      <c r="A349" s="7">
        <v>36119</v>
      </c>
      <c r="B349" s="8">
        <v>50500</v>
      </c>
      <c r="C349" s="8">
        <f t="shared" si="17"/>
        <v>50757.342465753427</v>
      </c>
      <c r="D349" s="7">
        <f t="shared" si="18"/>
        <v>36150</v>
      </c>
      <c r="E349" s="9">
        <v>31</v>
      </c>
      <c r="F349" s="10">
        <v>0.06</v>
      </c>
      <c r="G349" s="11" t="s">
        <v>441</v>
      </c>
    </row>
    <row r="350" spans="1:7">
      <c r="A350" s="7">
        <v>36119</v>
      </c>
      <c r="B350" s="8">
        <v>50500</v>
      </c>
      <c r="C350" s="8">
        <f t="shared" si="17"/>
        <v>50757.342465753427</v>
      </c>
      <c r="D350" s="7">
        <f t="shared" si="18"/>
        <v>36150</v>
      </c>
      <c r="E350" s="9">
        <v>31</v>
      </c>
      <c r="F350" s="10">
        <v>0.06</v>
      </c>
      <c r="G350" s="11" t="s">
        <v>441</v>
      </c>
    </row>
    <row r="351" spans="1:7">
      <c r="A351" s="7">
        <v>36144</v>
      </c>
      <c r="B351" s="8">
        <v>15000</v>
      </c>
      <c r="C351" s="8">
        <f t="shared" si="17"/>
        <v>15080.753424657534</v>
      </c>
      <c r="D351" s="7">
        <f t="shared" si="18"/>
        <v>36174</v>
      </c>
      <c r="E351" s="9">
        <v>30</v>
      </c>
      <c r="F351" s="10">
        <v>6.5500000000000003E-2</v>
      </c>
      <c r="G351" s="11" t="s">
        <v>628</v>
      </c>
    </row>
    <row r="352" spans="1:7">
      <c r="A352" s="7">
        <v>36144</v>
      </c>
      <c r="B352" s="8">
        <v>15000</v>
      </c>
      <c r="C352" s="8">
        <f t="shared" si="17"/>
        <v>15080.753424657534</v>
      </c>
      <c r="D352" s="7">
        <f t="shared" si="18"/>
        <v>36174</v>
      </c>
      <c r="E352" s="9">
        <v>30</v>
      </c>
      <c r="F352" s="10">
        <v>6.5500000000000003E-2</v>
      </c>
      <c r="G352" s="11" t="s">
        <v>628</v>
      </c>
    </row>
    <row r="353" spans="1:7">
      <c r="A353" s="7">
        <v>36053</v>
      </c>
      <c r="B353" s="8">
        <v>45000</v>
      </c>
      <c r="C353" s="8">
        <f t="shared" si="17"/>
        <v>46899.999999999993</v>
      </c>
      <c r="D353" s="7">
        <f t="shared" si="18"/>
        <v>36179</v>
      </c>
      <c r="E353" s="9">
        <v>126</v>
      </c>
      <c r="F353" s="10">
        <v>0.12231040564373843</v>
      </c>
      <c r="G353" s="11" t="s">
        <v>634</v>
      </c>
    </row>
    <row r="354" spans="1:7">
      <c r="A354" s="7">
        <v>36146</v>
      </c>
      <c r="B354" s="8">
        <v>50500</v>
      </c>
      <c r="C354" s="8">
        <f t="shared" si="17"/>
        <v>50782.246575342462</v>
      </c>
      <c r="D354" s="7">
        <f t="shared" si="18"/>
        <v>36180</v>
      </c>
      <c r="E354" s="9">
        <v>34</v>
      </c>
      <c r="F354" s="10">
        <v>0.06</v>
      </c>
      <c r="G354" s="11" t="s">
        <v>633</v>
      </c>
    </row>
    <row r="355" spans="1:7">
      <c r="A355" s="7">
        <v>36147</v>
      </c>
      <c r="B355" s="8">
        <v>50000</v>
      </c>
      <c r="C355" s="8">
        <f t="shared" si="17"/>
        <v>50271.232876712325</v>
      </c>
      <c r="D355" s="7">
        <f t="shared" si="18"/>
        <v>36180</v>
      </c>
      <c r="E355" s="9">
        <v>33</v>
      </c>
      <c r="F355" s="10">
        <v>0.06</v>
      </c>
      <c r="G355" s="11" t="s">
        <v>633</v>
      </c>
    </row>
    <row r="356" spans="1:7">
      <c r="A356" s="7">
        <v>36146</v>
      </c>
      <c r="B356" s="8">
        <v>50500</v>
      </c>
      <c r="C356" s="8">
        <f t="shared" si="17"/>
        <v>50782.246575342462</v>
      </c>
      <c r="D356" s="7">
        <f t="shared" si="18"/>
        <v>36180</v>
      </c>
      <c r="E356" s="9">
        <v>34</v>
      </c>
      <c r="F356" s="10">
        <v>0.06</v>
      </c>
      <c r="G356" s="11" t="s">
        <v>633</v>
      </c>
    </row>
    <row r="357" spans="1:7">
      <c r="A357" s="7">
        <v>36147</v>
      </c>
      <c r="B357" s="8">
        <v>50000</v>
      </c>
      <c r="C357" s="8">
        <f t="shared" si="17"/>
        <v>50271.232876712325</v>
      </c>
      <c r="D357" s="7">
        <f t="shared" si="18"/>
        <v>36180</v>
      </c>
      <c r="E357" s="9">
        <v>33</v>
      </c>
      <c r="F357" s="10">
        <v>0.06</v>
      </c>
      <c r="G357" s="11" t="s">
        <v>633</v>
      </c>
    </row>
    <row r="358" spans="1:7">
      <c r="A358" s="7">
        <v>36150</v>
      </c>
      <c r="B358" s="8">
        <v>50758</v>
      </c>
      <c r="C358" s="8">
        <f t="shared" si="17"/>
        <v>51050.03232876712</v>
      </c>
      <c r="D358" s="7">
        <f t="shared" si="18"/>
        <v>36180</v>
      </c>
      <c r="E358" s="9">
        <v>30</v>
      </c>
      <c r="F358" s="10">
        <v>7.0000000000000007E-2</v>
      </c>
      <c r="G358" s="11" t="s">
        <v>120</v>
      </c>
    </row>
    <row r="359" spans="1:7">
      <c r="A359" s="7">
        <v>36166</v>
      </c>
      <c r="B359" s="8">
        <v>74000</v>
      </c>
      <c r="C359" s="8">
        <f t="shared" si="17"/>
        <v>74468.328767123283</v>
      </c>
      <c r="D359" s="7">
        <f t="shared" si="18"/>
        <v>36201</v>
      </c>
      <c r="E359" s="9">
        <v>35</v>
      </c>
      <c r="F359" s="10">
        <v>6.6000000000000003E-2</v>
      </c>
      <c r="G359" s="11" t="s">
        <v>628</v>
      </c>
    </row>
    <row r="360" spans="1:7">
      <c r="A360" s="7">
        <v>36171</v>
      </c>
      <c r="B360" s="8">
        <v>3500</v>
      </c>
      <c r="C360" s="8">
        <f t="shared" si="17"/>
        <v>3518.6986301369861</v>
      </c>
      <c r="D360" s="7">
        <f t="shared" si="18"/>
        <v>36201</v>
      </c>
      <c r="E360" s="9">
        <v>30</v>
      </c>
      <c r="F360" s="10">
        <v>6.5000000000000002E-2</v>
      </c>
      <c r="G360" s="11" t="s">
        <v>628</v>
      </c>
    </row>
    <row r="361" spans="1:7">
      <c r="A361" s="7">
        <v>36179</v>
      </c>
      <c r="B361" s="8">
        <v>16900</v>
      </c>
      <c r="C361" s="8">
        <f t="shared" si="17"/>
        <v>17019.457534246576</v>
      </c>
      <c r="D361" s="7">
        <f t="shared" si="18"/>
        <v>36209</v>
      </c>
      <c r="E361" s="9">
        <v>30</v>
      </c>
      <c r="F361" s="10">
        <v>8.5999999999999993E-2</v>
      </c>
      <c r="G361" s="11" t="s">
        <v>120</v>
      </c>
    </row>
    <row r="362" spans="1:7">
      <c r="A362" s="7">
        <v>36179</v>
      </c>
      <c r="B362" s="8">
        <v>30000</v>
      </c>
      <c r="C362" s="8">
        <f t="shared" si="17"/>
        <v>30212.054794520547</v>
      </c>
      <c r="D362" s="7">
        <f t="shared" si="18"/>
        <v>36209</v>
      </c>
      <c r="E362" s="9">
        <v>30</v>
      </c>
      <c r="F362" s="10">
        <v>8.5999999999999993E-2</v>
      </c>
      <c r="G362" s="11" t="s">
        <v>120</v>
      </c>
    </row>
    <row r="363" spans="1:7">
      <c r="A363" s="7">
        <v>36180</v>
      </c>
      <c r="B363" s="8">
        <v>35053</v>
      </c>
      <c r="C363" s="8">
        <f t="shared" si="17"/>
        <v>35269.080136986304</v>
      </c>
      <c r="D363" s="7">
        <f t="shared" si="18"/>
        <v>36210</v>
      </c>
      <c r="E363" s="9">
        <v>30</v>
      </c>
      <c r="F363" s="10">
        <v>7.4999999999999997E-2</v>
      </c>
      <c r="G363" s="11" t="s">
        <v>633</v>
      </c>
    </row>
    <row r="364" spans="1:7">
      <c r="A364" s="7">
        <v>36180</v>
      </c>
      <c r="B364" s="8">
        <v>33000</v>
      </c>
      <c r="C364" s="8">
        <f t="shared" si="17"/>
        <v>33203.424657534248</v>
      </c>
      <c r="D364" s="7">
        <f t="shared" si="18"/>
        <v>36210</v>
      </c>
      <c r="E364" s="9">
        <v>30</v>
      </c>
      <c r="F364" s="10">
        <v>7.4999999999999997E-2</v>
      </c>
      <c r="G364" s="11" t="s">
        <v>633</v>
      </c>
    </row>
    <row r="365" spans="1:7">
      <c r="A365" s="7">
        <v>36180</v>
      </c>
      <c r="B365" s="8">
        <v>33000</v>
      </c>
      <c r="C365" s="8">
        <f t="shared" si="17"/>
        <v>33203.424657534248</v>
      </c>
      <c r="D365" s="7">
        <f t="shared" si="18"/>
        <v>36210</v>
      </c>
      <c r="E365" s="9">
        <v>30</v>
      </c>
      <c r="F365" s="10">
        <v>7.4999999999999997E-2</v>
      </c>
      <c r="G365" s="11" t="s">
        <v>633</v>
      </c>
    </row>
    <row r="366" spans="1:7">
      <c r="A366" s="7">
        <v>36180</v>
      </c>
      <c r="B366" s="8">
        <v>31000</v>
      </c>
      <c r="C366" s="8">
        <f t="shared" si="17"/>
        <v>31219.123287671231</v>
      </c>
      <c r="D366" s="7">
        <f t="shared" si="18"/>
        <v>36210</v>
      </c>
      <c r="E366" s="9">
        <v>30</v>
      </c>
      <c r="F366" s="10">
        <v>8.5999999999999993E-2</v>
      </c>
      <c r="G366" s="11" t="s">
        <v>120</v>
      </c>
    </row>
    <row r="367" spans="1:7">
      <c r="A367" s="7">
        <v>36180</v>
      </c>
      <c r="B367" s="8">
        <v>19758</v>
      </c>
      <c r="C367" s="8">
        <f t="shared" si="17"/>
        <v>19897.659287671231</v>
      </c>
      <c r="D367" s="7">
        <f t="shared" si="18"/>
        <v>36210</v>
      </c>
      <c r="E367" s="9">
        <v>30</v>
      </c>
      <c r="F367" s="10">
        <v>8.5999999999999993E-2</v>
      </c>
      <c r="G367" s="11" t="s">
        <v>120</v>
      </c>
    </row>
    <row r="368" spans="1:7">
      <c r="A368" s="7">
        <v>36180</v>
      </c>
      <c r="B368" s="8">
        <v>292</v>
      </c>
      <c r="C368" s="8">
        <f t="shared" si="17"/>
        <v>294.06400000000002</v>
      </c>
      <c r="D368" s="7">
        <f t="shared" si="18"/>
        <v>36210</v>
      </c>
      <c r="E368" s="9">
        <v>30</v>
      </c>
      <c r="F368" s="10">
        <v>8.5999999999999993E-2</v>
      </c>
      <c r="G368" s="11" t="s">
        <v>120</v>
      </c>
    </row>
    <row r="369" spans="1:7">
      <c r="A369" s="7">
        <v>36182</v>
      </c>
      <c r="B369" s="8">
        <v>20000</v>
      </c>
      <c r="C369" s="8">
        <f t="shared" si="17"/>
        <v>20131.506849315068</v>
      </c>
      <c r="D369" s="7">
        <f t="shared" si="18"/>
        <v>36212</v>
      </c>
      <c r="E369" s="9">
        <v>30</v>
      </c>
      <c r="F369" s="10">
        <v>0.08</v>
      </c>
      <c r="G369" s="11" t="s">
        <v>569</v>
      </c>
    </row>
    <row r="370" spans="1:7">
      <c r="A370" s="7">
        <v>36182</v>
      </c>
      <c r="B370" s="8">
        <v>20000</v>
      </c>
      <c r="C370" s="8">
        <f t="shared" si="17"/>
        <v>20131.506849315068</v>
      </c>
      <c r="D370" s="7">
        <f t="shared" si="18"/>
        <v>36212</v>
      </c>
      <c r="E370" s="9">
        <v>30</v>
      </c>
      <c r="F370" s="10">
        <v>0.08</v>
      </c>
      <c r="G370" s="11" t="s">
        <v>569</v>
      </c>
    </row>
    <row r="371" spans="1:7">
      <c r="A371" s="7">
        <v>36189</v>
      </c>
      <c r="B371" s="8">
        <v>7000</v>
      </c>
      <c r="C371" s="8">
        <f t="shared" si="17"/>
        <v>7051.1287671232876</v>
      </c>
      <c r="D371" s="7">
        <f t="shared" si="18"/>
        <v>36220</v>
      </c>
      <c r="E371" s="9">
        <v>31</v>
      </c>
      <c r="F371" s="10">
        <v>8.5999999999999993E-2</v>
      </c>
      <c r="G371" s="11" t="s">
        <v>120</v>
      </c>
    </row>
    <row r="372" spans="1:7">
      <c r="A372" s="7">
        <v>36202</v>
      </c>
      <c r="B372" s="8">
        <f>3519+74468</f>
        <v>77987</v>
      </c>
      <c r="C372" s="8">
        <f t="shared" si="17"/>
        <v>78499.791232876712</v>
      </c>
      <c r="D372" s="7">
        <f t="shared" si="18"/>
        <v>36234</v>
      </c>
      <c r="E372" s="9">
        <v>32</v>
      </c>
      <c r="F372" s="10">
        <v>7.4999999999999997E-2</v>
      </c>
      <c r="G372" s="11" t="s">
        <v>633</v>
      </c>
    </row>
    <row r="373" spans="1:7">
      <c r="A373" s="7">
        <v>36209</v>
      </c>
      <c r="B373" s="8">
        <v>30212</v>
      </c>
      <c r="C373" s="8">
        <f t="shared" si="17"/>
        <v>30384.167013698629</v>
      </c>
      <c r="D373" s="7">
        <f t="shared" si="18"/>
        <v>36241</v>
      </c>
      <c r="E373" s="9">
        <v>32</v>
      </c>
      <c r="F373" s="10">
        <v>6.5000000000000002E-2</v>
      </c>
      <c r="G373" s="11" t="s">
        <v>120</v>
      </c>
    </row>
    <row r="374" spans="1:7">
      <c r="A374" s="7">
        <v>36209</v>
      </c>
      <c r="B374" s="8">
        <v>17019</v>
      </c>
      <c r="C374" s="8">
        <f t="shared" si="17"/>
        <v>17115.98498630137</v>
      </c>
      <c r="D374" s="7">
        <f t="shared" si="18"/>
        <v>36241</v>
      </c>
      <c r="E374" s="9">
        <v>32</v>
      </c>
      <c r="F374" s="10">
        <v>6.5000000000000002E-2</v>
      </c>
      <c r="G374" s="11" t="s">
        <v>120</v>
      </c>
    </row>
    <row r="375" spans="1:7">
      <c r="A375" s="7">
        <v>36210</v>
      </c>
      <c r="B375" s="8">
        <v>25705</v>
      </c>
      <c r="C375" s="8">
        <f t="shared" si="17"/>
        <v>25857.821506849315</v>
      </c>
      <c r="D375" s="7">
        <f t="shared" si="18"/>
        <v>36241</v>
      </c>
      <c r="E375" s="9">
        <v>31</v>
      </c>
      <c r="F375" s="10">
        <v>7.0000000000000007E-2</v>
      </c>
      <c r="G375" s="11" t="s">
        <v>628</v>
      </c>
    </row>
    <row r="376" spans="1:7">
      <c r="A376" s="7">
        <v>36210</v>
      </c>
      <c r="B376" s="8">
        <v>25706</v>
      </c>
      <c r="C376" s="8">
        <f t="shared" si="17"/>
        <v>25858.827452054793</v>
      </c>
      <c r="D376" s="7">
        <f t="shared" si="18"/>
        <v>36241</v>
      </c>
      <c r="E376" s="9">
        <v>31</v>
      </c>
      <c r="F376" s="10">
        <v>7.0000000000000007E-2</v>
      </c>
      <c r="G376" s="11" t="s">
        <v>628</v>
      </c>
    </row>
    <row r="377" spans="1:7">
      <c r="A377" s="7">
        <v>36210</v>
      </c>
      <c r="B377" s="8">
        <v>35269</v>
      </c>
      <c r="C377" s="8">
        <f t="shared" si="17"/>
        <v>35493.658698630134</v>
      </c>
      <c r="D377" s="7">
        <f t="shared" si="18"/>
        <v>36241</v>
      </c>
      <c r="E377" s="9">
        <v>31</v>
      </c>
      <c r="F377" s="10">
        <v>7.4999999999999997E-2</v>
      </c>
      <c r="G377" s="11" t="s">
        <v>633</v>
      </c>
    </row>
    <row r="378" spans="1:7">
      <c r="A378" s="7">
        <v>36210</v>
      </c>
      <c r="B378" s="8">
        <v>33203</v>
      </c>
      <c r="C378" s="8">
        <f t="shared" si="17"/>
        <v>33414.498561643835</v>
      </c>
      <c r="D378" s="7">
        <f t="shared" si="18"/>
        <v>36241</v>
      </c>
      <c r="E378" s="9">
        <v>31</v>
      </c>
      <c r="F378" s="10">
        <v>7.4999999999999997E-2</v>
      </c>
      <c r="G378" s="11" t="s">
        <v>633</v>
      </c>
    </row>
    <row r="379" spans="1:7">
      <c r="A379" s="7">
        <v>36210</v>
      </c>
      <c r="B379" s="8">
        <v>33203</v>
      </c>
      <c r="C379" s="8">
        <f t="shared" si="17"/>
        <v>33414.498561643835</v>
      </c>
      <c r="D379" s="7">
        <f t="shared" si="18"/>
        <v>36241</v>
      </c>
      <c r="E379" s="9">
        <v>31</v>
      </c>
      <c r="F379" s="10">
        <v>7.4999999999999997E-2</v>
      </c>
      <c r="G379" s="11" t="s">
        <v>633</v>
      </c>
    </row>
    <row r="380" spans="1:7">
      <c r="A380" s="7">
        <v>36213</v>
      </c>
      <c r="B380" s="8">
        <v>20136</v>
      </c>
      <c r="C380" s="8">
        <f t="shared" si="17"/>
        <v>20251.85095890411</v>
      </c>
      <c r="D380" s="7">
        <f t="shared" si="18"/>
        <v>36243</v>
      </c>
      <c r="E380" s="9">
        <v>30</v>
      </c>
      <c r="F380" s="10">
        <v>7.0000000000000007E-2</v>
      </c>
      <c r="G380" s="11" t="s">
        <v>569</v>
      </c>
    </row>
    <row r="381" spans="1:7">
      <c r="A381" s="7">
        <v>36213</v>
      </c>
      <c r="B381" s="8">
        <v>20136</v>
      </c>
      <c r="C381" s="8">
        <f t="shared" si="17"/>
        <v>20251.85095890411</v>
      </c>
      <c r="D381" s="7">
        <f t="shared" si="18"/>
        <v>36243</v>
      </c>
      <c r="E381" s="9">
        <v>30</v>
      </c>
      <c r="F381" s="10">
        <v>7.0000000000000007E-2</v>
      </c>
      <c r="G381" s="11" t="s">
        <v>569</v>
      </c>
    </row>
    <row r="382" spans="1:7">
      <c r="A382" s="7">
        <v>36220</v>
      </c>
      <c r="B382" s="8">
        <v>7052</v>
      </c>
      <c r="C382" s="8">
        <f t="shared" si="17"/>
        <v>7091.7037260273974</v>
      </c>
      <c r="D382" s="7">
        <f t="shared" si="18"/>
        <v>36250</v>
      </c>
      <c r="E382" s="9">
        <v>30</v>
      </c>
      <c r="F382" s="10">
        <v>6.8500000000000005E-2</v>
      </c>
      <c r="G382" s="11" t="s">
        <v>120</v>
      </c>
    </row>
    <row r="383" spans="1:7">
      <c r="A383" s="7">
        <v>36229</v>
      </c>
      <c r="B383" s="8">
        <v>27162</v>
      </c>
      <c r="C383" s="8">
        <f t="shared" si="17"/>
        <v>27311.57704109589</v>
      </c>
      <c r="D383" s="7">
        <f t="shared" si="18"/>
        <v>36259</v>
      </c>
      <c r="E383" s="9">
        <v>30</v>
      </c>
      <c r="F383" s="10">
        <v>6.7000000000000004E-2</v>
      </c>
      <c r="G383" s="11" t="s">
        <v>628</v>
      </c>
    </row>
    <row r="384" spans="1:7">
      <c r="A384" s="7">
        <v>36235</v>
      </c>
      <c r="B384" s="8">
        <v>78500</v>
      </c>
      <c r="C384" s="8">
        <f t="shared" ref="C384:C447" si="19">B384+(B384*F384/365*E384)*1</f>
        <v>78903.253424657538</v>
      </c>
      <c r="D384" s="7">
        <f t="shared" ref="D384:D447" si="20">A384+E384</f>
        <v>36265</v>
      </c>
      <c r="E384" s="9">
        <v>30</v>
      </c>
      <c r="F384" s="10">
        <v>6.25E-2</v>
      </c>
      <c r="G384" s="11" t="s">
        <v>569</v>
      </c>
    </row>
    <row r="385" spans="1:7">
      <c r="A385" s="7">
        <v>36241</v>
      </c>
      <c r="B385" s="8">
        <v>26845</v>
      </c>
      <c r="C385" s="8">
        <f t="shared" si="19"/>
        <v>26988.418493150686</v>
      </c>
      <c r="D385" s="7">
        <f t="shared" si="20"/>
        <v>36271</v>
      </c>
      <c r="E385" s="9">
        <v>30</v>
      </c>
      <c r="F385" s="10">
        <v>6.5000000000000002E-2</v>
      </c>
      <c r="G385" s="11" t="s">
        <v>628</v>
      </c>
    </row>
    <row r="386" spans="1:7">
      <c r="A386" s="7">
        <v>36241</v>
      </c>
      <c r="B386" s="8">
        <v>26844</v>
      </c>
      <c r="C386" s="8">
        <f t="shared" si="19"/>
        <v>26987.41315068493</v>
      </c>
      <c r="D386" s="7">
        <f t="shared" si="20"/>
        <v>36271</v>
      </c>
      <c r="E386" s="9">
        <v>30</v>
      </c>
      <c r="F386" s="10">
        <v>6.5000000000000002E-2</v>
      </c>
      <c r="G386" s="11" t="s">
        <v>628</v>
      </c>
    </row>
    <row r="387" spans="1:7">
      <c r="A387" s="7">
        <v>36242</v>
      </c>
      <c r="B387" s="8">
        <v>30384</v>
      </c>
      <c r="C387" s="8">
        <f t="shared" si="19"/>
        <v>30550.071452054795</v>
      </c>
      <c r="D387" s="7">
        <f t="shared" si="20"/>
        <v>36272</v>
      </c>
      <c r="E387" s="9">
        <v>30</v>
      </c>
      <c r="F387" s="10">
        <v>6.6500000000000004E-2</v>
      </c>
      <c r="G387" s="11" t="s">
        <v>120</v>
      </c>
    </row>
    <row r="388" spans="1:7">
      <c r="A388" s="7">
        <v>36242</v>
      </c>
      <c r="B388" s="8">
        <v>17116</v>
      </c>
      <c r="C388" s="8">
        <f t="shared" si="19"/>
        <v>17209.551835616439</v>
      </c>
      <c r="D388" s="7">
        <f t="shared" si="20"/>
        <v>36272</v>
      </c>
      <c r="E388" s="9">
        <v>30</v>
      </c>
      <c r="F388" s="10">
        <v>6.6500000000000004E-2</v>
      </c>
      <c r="G388" s="11" t="s">
        <v>120</v>
      </c>
    </row>
    <row r="389" spans="1:7">
      <c r="A389" s="7">
        <v>36242</v>
      </c>
      <c r="B389" s="8">
        <v>102322</v>
      </c>
      <c r="C389" s="8">
        <f t="shared" si="19"/>
        <v>102868.65178082192</v>
      </c>
      <c r="D389" s="7">
        <f t="shared" si="20"/>
        <v>36272</v>
      </c>
      <c r="E389" s="9">
        <v>30</v>
      </c>
      <c r="F389" s="10">
        <v>6.5000000000000002E-2</v>
      </c>
      <c r="G389" s="11" t="s">
        <v>628</v>
      </c>
    </row>
    <row r="390" spans="1:7">
      <c r="A390" s="7">
        <v>36259</v>
      </c>
      <c r="B390" s="8">
        <v>27312</v>
      </c>
      <c r="C390" s="8">
        <f t="shared" si="19"/>
        <v>27456.978082191781</v>
      </c>
      <c r="D390" s="7">
        <f t="shared" si="20"/>
        <v>36290</v>
      </c>
      <c r="E390" s="9">
        <v>31</v>
      </c>
      <c r="F390" s="10">
        <v>6.25E-2</v>
      </c>
      <c r="G390" s="11" t="s">
        <v>628</v>
      </c>
    </row>
    <row r="391" spans="1:7">
      <c r="A391" s="7">
        <v>36265</v>
      </c>
      <c r="B391" s="8">
        <v>78903</v>
      </c>
      <c r="C391" s="8">
        <f t="shared" si="19"/>
        <v>79331.021753424662</v>
      </c>
      <c r="D391" s="7">
        <f t="shared" si="20"/>
        <v>36298</v>
      </c>
      <c r="E391" s="9">
        <v>33</v>
      </c>
      <c r="F391" s="10">
        <v>0.06</v>
      </c>
      <c r="G391" s="11" t="s">
        <v>569</v>
      </c>
    </row>
    <row r="392" spans="1:7">
      <c r="A392" s="7">
        <v>36271</v>
      </c>
      <c r="B392" s="8">
        <v>26987</v>
      </c>
      <c r="C392" s="8">
        <f t="shared" si="19"/>
        <v>27120.086575342466</v>
      </c>
      <c r="D392" s="7">
        <f t="shared" si="20"/>
        <v>36301</v>
      </c>
      <c r="E392" s="9">
        <v>30</v>
      </c>
      <c r="F392" s="10">
        <v>0.06</v>
      </c>
      <c r="G392" s="11" t="s">
        <v>628</v>
      </c>
    </row>
    <row r="393" spans="1:7">
      <c r="A393" s="7">
        <v>36271</v>
      </c>
      <c r="B393" s="8">
        <v>26988</v>
      </c>
      <c r="C393" s="8">
        <f t="shared" si="19"/>
        <v>27121.091506849316</v>
      </c>
      <c r="D393" s="7">
        <f t="shared" si="20"/>
        <v>36301</v>
      </c>
      <c r="E393" s="9">
        <v>30</v>
      </c>
      <c r="F393" s="10">
        <v>0.06</v>
      </c>
      <c r="G393" s="11" t="s">
        <v>628</v>
      </c>
    </row>
    <row r="394" spans="1:7">
      <c r="A394" s="7">
        <v>36273</v>
      </c>
      <c r="B394" s="8">
        <v>102869</v>
      </c>
      <c r="C394" s="8">
        <f t="shared" si="19"/>
        <v>103393.20915068492</v>
      </c>
      <c r="D394" s="7">
        <f t="shared" si="20"/>
        <v>36304</v>
      </c>
      <c r="E394" s="9">
        <v>31</v>
      </c>
      <c r="F394" s="10">
        <v>0.06</v>
      </c>
      <c r="G394" s="11" t="s">
        <v>569</v>
      </c>
    </row>
    <row r="395" spans="1:7">
      <c r="A395" s="7">
        <v>36266</v>
      </c>
      <c r="B395" s="8">
        <v>4259</v>
      </c>
      <c r="C395" s="8">
        <f t="shared" si="19"/>
        <v>4285.6041643835615</v>
      </c>
      <c r="D395" s="7">
        <f t="shared" si="20"/>
        <v>36304</v>
      </c>
      <c r="E395" s="9">
        <v>38</v>
      </c>
      <c r="F395" s="10">
        <v>0.06</v>
      </c>
      <c r="G395" s="11" t="s">
        <v>628</v>
      </c>
    </row>
    <row r="396" spans="1:7">
      <c r="A396" s="7">
        <v>36273</v>
      </c>
      <c r="B396" s="8">
        <v>20360</v>
      </c>
      <c r="C396" s="8">
        <f t="shared" si="19"/>
        <v>20463.752328767125</v>
      </c>
      <c r="D396" s="7">
        <f t="shared" si="20"/>
        <v>36304</v>
      </c>
      <c r="E396" s="9">
        <v>31</v>
      </c>
      <c r="F396" s="10">
        <v>0.06</v>
      </c>
      <c r="G396" s="11" t="s">
        <v>569</v>
      </c>
    </row>
    <row r="397" spans="1:7">
      <c r="A397" s="7">
        <v>36273</v>
      </c>
      <c r="B397" s="8">
        <v>20360</v>
      </c>
      <c r="C397" s="8">
        <f t="shared" si="19"/>
        <v>20463.752328767125</v>
      </c>
      <c r="D397" s="7">
        <f t="shared" si="20"/>
        <v>36304</v>
      </c>
      <c r="E397" s="9">
        <v>31</v>
      </c>
      <c r="F397" s="10">
        <v>0.06</v>
      </c>
      <c r="G397" s="11" t="s">
        <v>569</v>
      </c>
    </row>
    <row r="398" spans="1:7">
      <c r="A398" s="7">
        <v>36272</v>
      </c>
      <c r="B398" s="8">
        <v>30550</v>
      </c>
      <c r="C398" s="8">
        <f t="shared" si="19"/>
        <v>30714.718904109588</v>
      </c>
      <c r="D398" s="7">
        <f t="shared" si="20"/>
        <v>36304</v>
      </c>
      <c r="E398" s="9">
        <v>32</v>
      </c>
      <c r="F398" s="10">
        <v>6.1499999999999999E-2</v>
      </c>
      <c r="G398" s="11" t="s">
        <v>120</v>
      </c>
    </row>
    <row r="399" spans="1:7">
      <c r="A399" s="7">
        <v>36272</v>
      </c>
      <c r="B399" s="8">
        <v>17210</v>
      </c>
      <c r="C399" s="8">
        <f t="shared" si="19"/>
        <v>17302.792547945206</v>
      </c>
      <c r="D399" s="7">
        <f t="shared" si="20"/>
        <v>36304</v>
      </c>
      <c r="E399" s="9">
        <v>32</v>
      </c>
      <c r="F399" s="10">
        <v>6.1499999999999999E-2</v>
      </c>
      <c r="G399" s="11" t="s">
        <v>120</v>
      </c>
    </row>
    <row r="400" spans="1:7">
      <c r="A400" s="7">
        <v>36280</v>
      </c>
      <c r="B400" s="8">
        <f>14163+7000</f>
        <v>21163</v>
      </c>
      <c r="C400" s="8">
        <f t="shared" si="19"/>
        <v>21267.249517808221</v>
      </c>
      <c r="D400" s="7">
        <f t="shared" si="20"/>
        <v>36311</v>
      </c>
      <c r="E400" s="9">
        <v>31</v>
      </c>
      <c r="F400" s="10">
        <v>5.8000000000000003E-2</v>
      </c>
      <c r="G400" s="11" t="s">
        <v>120</v>
      </c>
    </row>
    <row r="401" spans="1:7">
      <c r="A401" s="7">
        <v>36290</v>
      </c>
      <c r="B401" s="8">
        <v>27457</v>
      </c>
      <c r="C401" s="8">
        <f t="shared" si="19"/>
        <v>27581.120684931506</v>
      </c>
      <c r="D401" s="7">
        <f t="shared" si="20"/>
        <v>36320</v>
      </c>
      <c r="E401" s="9">
        <v>30</v>
      </c>
      <c r="F401" s="10">
        <v>5.5E-2</v>
      </c>
      <c r="G401" s="11" t="s">
        <v>120</v>
      </c>
    </row>
    <row r="402" spans="1:7">
      <c r="A402" s="7">
        <v>36298</v>
      </c>
      <c r="B402" s="8">
        <f>79331+900</f>
        <v>80231</v>
      </c>
      <c r="C402" s="8">
        <f t="shared" si="19"/>
        <v>80639.84838356165</v>
      </c>
      <c r="D402" s="7">
        <f t="shared" si="20"/>
        <v>36329</v>
      </c>
      <c r="E402" s="9">
        <v>31</v>
      </c>
      <c r="F402" s="10">
        <v>0.06</v>
      </c>
      <c r="G402" s="11" t="s">
        <v>569</v>
      </c>
    </row>
    <row r="403" spans="1:7">
      <c r="A403" s="7">
        <v>36304</v>
      </c>
      <c r="B403" s="8">
        <v>103393</v>
      </c>
      <c r="C403" s="8">
        <f t="shared" si="19"/>
        <v>103924.12842465754</v>
      </c>
      <c r="D403" s="7">
        <f t="shared" si="20"/>
        <v>36334</v>
      </c>
      <c r="E403" s="9">
        <v>30</v>
      </c>
      <c r="F403" s="10">
        <v>6.25E-2</v>
      </c>
      <c r="G403" s="11" t="s">
        <v>635</v>
      </c>
    </row>
    <row r="404" spans="1:7">
      <c r="A404" s="7">
        <v>36304</v>
      </c>
      <c r="B404" s="8">
        <v>30715</v>
      </c>
      <c r="C404" s="8">
        <f t="shared" si="19"/>
        <v>30866.471232876713</v>
      </c>
      <c r="D404" s="7">
        <f t="shared" si="20"/>
        <v>36334</v>
      </c>
      <c r="E404" s="9">
        <v>30</v>
      </c>
      <c r="F404" s="10">
        <v>0.06</v>
      </c>
      <c r="G404" s="11" t="s">
        <v>120</v>
      </c>
    </row>
    <row r="405" spans="1:7">
      <c r="A405" s="7">
        <v>36304</v>
      </c>
      <c r="B405" s="8">
        <v>17303</v>
      </c>
      <c r="C405" s="8">
        <f t="shared" si="19"/>
        <v>17388.3298630137</v>
      </c>
      <c r="D405" s="7">
        <f t="shared" si="20"/>
        <v>36334</v>
      </c>
      <c r="E405" s="9">
        <v>30</v>
      </c>
      <c r="F405" s="10">
        <v>0.06</v>
      </c>
      <c r="G405" s="11" t="s">
        <v>120</v>
      </c>
    </row>
    <row r="406" spans="1:7">
      <c r="A406" s="7">
        <v>36308</v>
      </c>
      <c r="B406" s="8">
        <v>103400</v>
      </c>
      <c r="C406" s="8">
        <f t="shared" si="19"/>
        <v>103948.86986301369</v>
      </c>
      <c r="D406" s="7">
        <f t="shared" si="20"/>
        <v>36339</v>
      </c>
      <c r="E406" s="9">
        <v>31</v>
      </c>
      <c r="F406" s="10">
        <v>6.25E-2</v>
      </c>
      <c r="G406" s="11" t="s">
        <v>569</v>
      </c>
    </row>
    <row r="407" spans="1:7">
      <c r="A407" s="7">
        <v>36311</v>
      </c>
      <c r="B407" s="8">
        <f>21267+7000</f>
        <v>28267</v>
      </c>
      <c r="C407" s="8">
        <f t="shared" si="19"/>
        <v>28435.440342465754</v>
      </c>
      <c r="D407" s="7">
        <f t="shared" si="20"/>
        <v>36341</v>
      </c>
      <c r="E407" s="9">
        <v>30</v>
      </c>
      <c r="F407" s="10">
        <v>7.2499999999999995E-2</v>
      </c>
      <c r="G407" s="11" t="s">
        <v>120</v>
      </c>
    </row>
    <row r="408" spans="1:7">
      <c r="A408" s="7">
        <v>36320</v>
      </c>
      <c r="B408" s="8">
        <v>27581</v>
      </c>
      <c r="C408" s="8">
        <f t="shared" si="19"/>
        <v>27750.566476712327</v>
      </c>
      <c r="D408" s="7">
        <f t="shared" si="20"/>
        <v>36353</v>
      </c>
      <c r="E408" s="9">
        <v>33</v>
      </c>
      <c r="F408" s="10">
        <v>6.8000000000000005E-2</v>
      </c>
      <c r="G408" s="11" t="s">
        <v>120</v>
      </c>
    </row>
    <row r="409" spans="1:7">
      <c r="A409" s="7">
        <v>36320</v>
      </c>
      <c r="B409" s="8">
        <v>50000</v>
      </c>
      <c r="C409" s="8">
        <f t="shared" si="19"/>
        <v>50302.739726027394</v>
      </c>
      <c r="D409" s="7">
        <f t="shared" si="20"/>
        <v>36354</v>
      </c>
      <c r="E409" s="9">
        <v>34</v>
      </c>
      <c r="F409" s="10">
        <v>6.5000000000000002E-2</v>
      </c>
      <c r="G409" s="11" t="s">
        <v>628</v>
      </c>
    </row>
    <row r="410" spans="1:7">
      <c r="A410" s="7">
        <v>36329</v>
      </c>
      <c r="B410" s="8">
        <v>80640</v>
      </c>
      <c r="C410" s="8">
        <f t="shared" si="19"/>
        <v>81085.176986301376</v>
      </c>
      <c r="D410" s="7">
        <f t="shared" si="20"/>
        <v>36360</v>
      </c>
      <c r="E410" s="9">
        <v>31</v>
      </c>
      <c r="F410" s="10">
        <v>6.5000000000000002E-2</v>
      </c>
      <c r="G410" s="11" t="s">
        <v>569</v>
      </c>
    </row>
    <row r="411" spans="1:7">
      <c r="A411" s="7">
        <v>36334</v>
      </c>
      <c r="B411" s="8">
        <f>103924-35000</f>
        <v>68924</v>
      </c>
      <c r="C411" s="8">
        <f t="shared" si="19"/>
        <v>69292.224109589035</v>
      </c>
      <c r="D411" s="7">
        <f t="shared" si="20"/>
        <v>36364</v>
      </c>
      <c r="E411" s="9">
        <v>30</v>
      </c>
      <c r="F411" s="10">
        <v>6.5000000000000002E-2</v>
      </c>
      <c r="G411" s="11" t="s">
        <v>635</v>
      </c>
    </row>
    <row r="412" spans="1:7">
      <c r="A412" s="7">
        <v>36334</v>
      </c>
      <c r="B412" s="8">
        <v>30866</v>
      </c>
      <c r="C412" s="8">
        <f t="shared" si="19"/>
        <v>31038.511342465754</v>
      </c>
      <c r="D412" s="7">
        <f t="shared" si="20"/>
        <v>36364</v>
      </c>
      <c r="E412" s="9">
        <v>30</v>
      </c>
      <c r="F412" s="10">
        <v>6.8000000000000005E-2</v>
      </c>
      <c r="G412" s="11" t="s">
        <v>120</v>
      </c>
    </row>
    <row r="413" spans="1:7">
      <c r="A413" s="7">
        <v>36334</v>
      </c>
      <c r="B413" s="8">
        <v>17388</v>
      </c>
      <c r="C413" s="8">
        <f t="shared" si="19"/>
        <v>17485.182246575343</v>
      </c>
      <c r="D413" s="7">
        <f t="shared" si="20"/>
        <v>36364</v>
      </c>
      <c r="E413" s="9">
        <v>30</v>
      </c>
      <c r="F413" s="10">
        <v>6.8000000000000005E-2</v>
      </c>
      <c r="G413" s="11" t="s">
        <v>120</v>
      </c>
    </row>
    <row r="414" spans="1:7">
      <c r="A414" s="7">
        <v>36339</v>
      </c>
      <c r="B414" s="8">
        <v>103949</v>
      </c>
      <c r="C414" s="8">
        <f t="shared" si="19"/>
        <v>104495.80021917808</v>
      </c>
      <c r="D414" s="7">
        <f t="shared" si="20"/>
        <v>36369</v>
      </c>
      <c r="E414" s="9">
        <v>30</v>
      </c>
      <c r="F414" s="10">
        <v>6.4000000000000001E-2</v>
      </c>
      <c r="G414" s="11" t="s">
        <v>569</v>
      </c>
    </row>
    <row r="415" spans="1:7">
      <c r="A415" s="7">
        <v>36341</v>
      </c>
      <c r="B415" s="8">
        <f>28435+10500</f>
        <v>38935</v>
      </c>
      <c r="C415" s="8">
        <f t="shared" si="19"/>
        <v>39159.009589041096</v>
      </c>
      <c r="D415" s="7">
        <f t="shared" si="20"/>
        <v>36371</v>
      </c>
      <c r="E415" s="9">
        <v>30</v>
      </c>
      <c r="F415" s="10">
        <v>7.0000000000000007E-2</v>
      </c>
      <c r="G415" s="11" t="s">
        <v>120</v>
      </c>
    </row>
    <row r="416" spans="1:7">
      <c r="A416" s="7">
        <v>36353</v>
      </c>
      <c r="B416" s="8">
        <v>27751</v>
      </c>
      <c r="C416" s="8">
        <f t="shared" si="19"/>
        <v>27910.663287671232</v>
      </c>
      <c r="D416" s="7">
        <f t="shared" si="20"/>
        <v>36383</v>
      </c>
      <c r="E416" s="9">
        <v>30</v>
      </c>
      <c r="F416" s="10">
        <v>7.0000000000000007E-2</v>
      </c>
      <c r="G416" s="11" t="s">
        <v>120</v>
      </c>
    </row>
    <row r="417" spans="1:7">
      <c r="A417" s="7">
        <v>36354</v>
      </c>
      <c r="B417" s="8">
        <v>50303</v>
      </c>
      <c r="C417" s="8">
        <f t="shared" si="19"/>
        <v>50575.876547945205</v>
      </c>
      <c r="D417" s="7">
        <f t="shared" si="20"/>
        <v>36384</v>
      </c>
      <c r="E417" s="9">
        <v>30</v>
      </c>
      <c r="F417" s="10">
        <v>6.6000000000000003E-2</v>
      </c>
      <c r="G417" s="11" t="s">
        <v>628</v>
      </c>
    </row>
    <row r="418" spans="1:7">
      <c r="A418" s="7">
        <v>36360</v>
      </c>
      <c r="B418" s="8">
        <v>46085</v>
      </c>
      <c r="C418" s="8">
        <f t="shared" si="19"/>
        <v>46331.207534246576</v>
      </c>
      <c r="D418" s="7">
        <f t="shared" si="20"/>
        <v>36390</v>
      </c>
      <c r="E418" s="9">
        <v>30</v>
      </c>
      <c r="F418" s="10">
        <v>6.5000000000000002E-2</v>
      </c>
      <c r="G418" s="11" t="s">
        <v>569</v>
      </c>
    </row>
    <row r="419" spans="1:7">
      <c r="A419" s="7">
        <v>36360</v>
      </c>
      <c r="B419" s="8">
        <v>35000</v>
      </c>
      <c r="C419" s="8">
        <f t="shared" si="19"/>
        <v>35186.986301369863</v>
      </c>
      <c r="D419" s="7">
        <f t="shared" si="20"/>
        <v>36390</v>
      </c>
      <c r="E419" s="9">
        <v>30</v>
      </c>
      <c r="F419" s="10">
        <v>6.5000000000000002E-2</v>
      </c>
      <c r="G419" s="11" t="s">
        <v>569</v>
      </c>
    </row>
    <row r="420" spans="1:7">
      <c r="A420" s="7">
        <v>36357</v>
      </c>
      <c r="B420" s="8">
        <v>50850</v>
      </c>
      <c r="C420" s="8">
        <f t="shared" si="19"/>
        <v>51164.991369863012</v>
      </c>
      <c r="D420" s="7">
        <f t="shared" si="20"/>
        <v>36391</v>
      </c>
      <c r="E420" s="9">
        <v>34</v>
      </c>
      <c r="F420" s="10">
        <v>6.6500000000000004E-2</v>
      </c>
      <c r="G420" s="11" t="s">
        <v>628</v>
      </c>
    </row>
    <row r="421" spans="1:7">
      <c r="A421" s="7">
        <v>36357</v>
      </c>
      <c r="B421" s="8">
        <v>20576</v>
      </c>
      <c r="C421" s="8">
        <f t="shared" si="19"/>
        <v>20703.515954849314</v>
      </c>
      <c r="D421" s="7">
        <f t="shared" si="20"/>
        <v>36391</v>
      </c>
      <c r="E421" s="9">
        <v>34</v>
      </c>
      <c r="F421" s="10">
        <v>6.6530000000000006E-2</v>
      </c>
      <c r="G421" s="11" t="s">
        <v>628</v>
      </c>
    </row>
    <row r="422" spans="1:7">
      <c r="A422" s="7">
        <v>36364</v>
      </c>
      <c r="B422" s="8">
        <v>69292</v>
      </c>
      <c r="C422" s="8">
        <f t="shared" si="19"/>
        <v>69674.529808219173</v>
      </c>
      <c r="D422" s="7">
        <f t="shared" si="20"/>
        <v>36395</v>
      </c>
      <c r="E422" s="9">
        <v>31</v>
      </c>
      <c r="F422" s="10">
        <v>6.5000000000000002E-2</v>
      </c>
      <c r="G422" s="11" t="s">
        <v>635</v>
      </c>
    </row>
    <row r="423" spans="1:7">
      <c r="A423" s="7">
        <v>36367</v>
      </c>
      <c r="B423" s="8">
        <v>31039</v>
      </c>
      <c r="C423" s="8">
        <f t="shared" si="19"/>
        <v>31204.824794520548</v>
      </c>
      <c r="D423" s="7">
        <f t="shared" si="20"/>
        <v>36397</v>
      </c>
      <c r="E423" s="9">
        <v>30</v>
      </c>
      <c r="F423" s="10">
        <v>6.5000000000000002E-2</v>
      </c>
      <c r="G423" s="11" t="s">
        <v>120</v>
      </c>
    </row>
    <row r="424" spans="1:7">
      <c r="A424" s="7">
        <v>36367</v>
      </c>
      <c r="B424" s="8">
        <v>17485</v>
      </c>
      <c r="C424" s="8">
        <f t="shared" si="19"/>
        <v>17578.413013698631</v>
      </c>
      <c r="D424" s="7">
        <f t="shared" si="20"/>
        <v>36397</v>
      </c>
      <c r="E424" s="9">
        <v>30</v>
      </c>
      <c r="F424" s="10">
        <v>6.5000000000000002E-2</v>
      </c>
      <c r="G424" s="11" t="s">
        <v>120</v>
      </c>
    </row>
    <row r="425" spans="1:7">
      <c r="A425" s="7">
        <v>36369</v>
      </c>
      <c r="B425" s="8">
        <v>104496</v>
      </c>
      <c r="C425" s="8">
        <f t="shared" si="19"/>
        <v>105062.85501369863</v>
      </c>
      <c r="D425" s="7">
        <f t="shared" si="20"/>
        <v>36399</v>
      </c>
      <c r="E425" s="9">
        <v>30</v>
      </c>
      <c r="F425" s="10">
        <v>6.6000000000000003E-2</v>
      </c>
      <c r="G425" s="11" t="s">
        <v>569</v>
      </c>
    </row>
    <row r="426" spans="1:7">
      <c r="A426" s="7">
        <v>36371</v>
      </c>
      <c r="B426" s="8">
        <f>39159+7000</f>
        <v>46159</v>
      </c>
      <c r="C426" s="8">
        <f t="shared" si="19"/>
        <v>46433.424739726026</v>
      </c>
      <c r="D426" s="7">
        <f t="shared" si="20"/>
        <v>36402</v>
      </c>
      <c r="E426" s="9">
        <v>31</v>
      </c>
      <c r="F426" s="10">
        <v>7.0000000000000007E-2</v>
      </c>
      <c r="G426" s="11" t="s">
        <v>120</v>
      </c>
    </row>
    <row r="427" spans="1:7">
      <c r="A427" s="7">
        <v>36383</v>
      </c>
      <c r="B427" s="8">
        <v>27911</v>
      </c>
      <c r="C427" s="8">
        <f t="shared" si="19"/>
        <v>28081.907082191781</v>
      </c>
      <c r="D427" s="7">
        <f t="shared" si="20"/>
        <v>36413</v>
      </c>
      <c r="E427" s="9">
        <v>30</v>
      </c>
      <c r="F427" s="10">
        <v>7.4499999999999997E-2</v>
      </c>
      <c r="G427" s="11" t="s">
        <v>120</v>
      </c>
    </row>
    <row r="428" spans="1:7">
      <c r="A428" s="7">
        <v>36385</v>
      </c>
      <c r="B428" s="8">
        <v>50000</v>
      </c>
      <c r="C428" s="8">
        <f t="shared" si="19"/>
        <v>50244.178082191778</v>
      </c>
      <c r="D428" s="7">
        <f t="shared" si="20"/>
        <v>36416</v>
      </c>
      <c r="E428" s="9">
        <v>31</v>
      </c>
      <c r="F428" s="10">
        <v>5.7500000000000002E-2</v>
      </c>
      <c r="G428" s="11" t="s">
        <v>636</v>
      </c>
    </row>
    <row r="429" spans="1:7">
      <c r="A429" s="7">
        <v>36384</v>
      </c>
      <c r="B429" s="8">
        <v>55411</v>
      </c>
      <c r="C429" s="8">
        <f t="shared" si="19"/>
        <v>55731.624745205481</v>
      </c>
      <c r="D429" s="7">
        <f t="shared" si="20"/>
        <v>36416</v>
      </c>
      <c r="E429" s="9">
        <v>32</v>
      </c>
      <c r="F429" s="10">
        <v>6.6000000000000003E-2</v>
      </c>
      <c r="G429" s="11" t="s">
        <v>628</v>
      </c>
    </row>
    <row r="430" spans="1:7">
      <c r="A430" s="7">
        <v>36390</v>
      </c>
      <c r="B430" s="8">
        <v>35187</v>
      </c>
      <c r="C430" s="8">
        <f t="shared" si="19"/>
        <v>35377.877424657534</v>
      </c>
      <c r="D430" s="7">
        <f t="shared" si="20"/>
        <v>36420</v>
      </c>
      <c r="E430" s="9">
        <v>30</v>
      </c>
      <c r="F430" s="10">
        <v>6.6000000000000003E-2</v>
      </c>
      <c r="G430" s="11" t="s">
        <v>569</v>
      </c>
    </row>
    <row r="431" spans="1:7">
      <c r="A431" s="7">
        <v>36390</v>
      </c>
      <c r="B431" s="8">
        <v>46331</v>
      </c>
      <c r="C431" s="8">
        <f t="shared" si="19"/>
        <v>46582.329808219176</v>
      </c>
      <c r="D431" s="7">
        <f t="shared" si="20"/>
        <v>36420</v>
      </c>
      <c r="E431" s="9">
        <v>30</v>
      </c>
      <c r="F431" s="10">
        <v>6.6000000000000003E-2</v>
      </c>
      <c r="G431" s="11" t="s">
        <v>569</v>
      </c>
    </row>
    <row r="432" spans="1:7">
      <c r="A432" s="7">
        <v>36391</v>
      </c>
      <c r="B432" s="8">
        <v>51165</v>
      </c>
      <c r="C432" s="8">
        <f t="shared" si="19"/>
        <v>51456.570410958906</v>
      </c>
      <c r="D432" s="7">
        <f t="shared" si="20"/>
        <v>36423</v>
      </c>
      <c r="E432" s="9">
        <v>32</v>
      </c>
      <c r="F432" s="10">
        <v>6.5000000000000002E-2</v>
      </c>
      <c r="G432" s="11" t="s">
        <v>628</v>
      </c>
    </row>
    <row r="433" spans="1:7">
      <c r="A433" s="7">
        <v>36391</v>
      </c>
      <c r="B433" s="8">
        <v>20703</v>
      </c>
      <c r="C433" s="8">
        <f t="shared" si="19"/>
        <v>20820.978739726026</v>
      </c>
      <c r="D433" s="7">
        <f t="shared" si="20"/>
        <v>36423</v>
      </c>
      <c r="E433" s="9">
        <v>32</v>
      </c>
      <c r="F433" s="10">
        <v>6.5000000000000002E-2</v>
      </c>
      <c r="G433" s="11" t="s">
        <v>628</v>
      </c>
    </row>
    <row r="434" spans="1:7">
      <c r="A434" s="7">
        <v>36395</v>
      </c>
      <c r="B434" s="8">
        <v>69675</v>
      </c>
      <c r="C434" s="8">
        <f t="shared" si="19"/>
        <v>70052.963013698623</v>
      </c>
      <c r="D434" s="7">
        <f t="shared" si="20"/>
        <v>36425</v>
      </c>
      <c r="E434" s="9">
        <v>30</v>
      </c>
      <c r="F434" s="10">
        <v>6.6000000000000003E-2</v>
      </c>
      <c r="G434" s="11" t="s">
        <v>635</v>
      </c>
    </row>
    <row r="435" spans="1:7">
      <c r="A435" s="7">
        <v>36397</v>
      </c>
      <c r="B435" s="8">
        <v>31211</v>
      </c>
      <c r="C435" s="8">
        <f t="shared" si="19"/>
        <v>31384.156917808221</v>
      </c>
      <c r="D435" s="7">
        <f t="shared" si="20"/>
        <v>36427</v>
      </c>
      <c r="E435" s="9">
        <v>30</v>
      </c>
      <c r="F435" s="10">
        <v>6.7500000000000004E-2</v>
      </c>
      <c r="G435" s="11" t="s">
        <v>120</v>
      </c>
    </row>
    <row r="436" spans="1:7">
      <c r="A436" s="7">
        <v>36397</v>
      </c>
      <c r="B436" s="8">
        <v>17582</v>
      </c>
      <c r="C436" s="8">
        <f t="shared" si="19"/>
        <v>17679.54397260274</v>
      </c>
      <c r="D436" s="7">
        <f t="shared" si="20"/>
        <v>36427</v>
      </c>
      <c r="E436" s="9">
        <v>30</v>
      </c>
      <c r="F436" s="10">
        <v>6.7500000000000004E-2</v>
      </c>
      <c r="G436" s="11" t="s">
        <v>120</v>
      </c>
    </row>
    <row r="437" spans="1:7">
      <c r="A437" s="7">
        <v>36399</v>
      </c>
      <c r="B437" s="8">
        <v>105063</v>
      </c>
      <c r="C437" s="8">
        <f t="shared" si="19"/>
        <v>105651.92848767123</v>
      </c>
      <c r="D437" s="7">
        <f t="shared" si="20"/>
        <v>36430</v>
      </c>
      <c r="E437" s="9">
        <v>31</v>
      </c>
      <c r="F437" s="10">
        <v>6.6000000000000003E-2</v>
      </c>
      <c r="G437" s="11" t="s">
        <v>569</v>
      </c>
    </row>
    <row r="438" spans="1:7">
      <c r="A438" s="7">
        <v>36402</v>
      </c>
      <c r="B438" s="8">
        <v>46433</v>
      </c>
      <c r="C438" s="8">
        <f t="shared" si="19"/>
        <v>46690.607739726031</v>
      </c>
      <c r="D438" s="7">
        <f t="shared" si="20"/>
        <v>36432</v>
      </c>
      <c r="E438" s="9">
        <v>30</v>
      </c>
      <c r="F438" s="10">
        <v>6.7500000000000004E-2</v>
      </c>
      <c r="G438" s="11" t="s">
        <v>120</v>
      </c>
    </row>
    <row r="439" spans="1:7">
      <c r="A439" s="7">
        <v>36413</v>
      </c>
      <c r="B439" s="8">
        <v>28082</v>
      </c>
      <c r="C439" s="8">
        <f t="shared" si="19"/>
        <v>28254.338849315067</v>
      </c>
      <c r="D439" s="7">
        <f t="shared" si="20"/>
        <v>36445</v>
      </c>
      <c r="E439" s="9">
        <v>32</v>
      </c>
      <c r="F439" s="10">
        <v>7.0000000000000007E-2</v>
      </c>
      <c r="G439" s="11" t="s">
        <v>120</v>
      </c>
    </row>
    <row r="440" spans="1:7">
      <c r="A440" s="7">
        <v>36416</v>
      </c>
      <c r="B440" s="8">
        <f>55732-1000</f>
        <v>54732</v>
      </c>
      <c r="C440" s="8">
        <f t="shared" si="19"/>
        <v>55024.403835616438</v>
      </c>
      <c r="D440" s="7">
        <f t="shared" si="20"/>
        <v>36446</v>
      </c>
      <c r="E440" s="9">
        <v>30</v>
      </c>
      <c r="F440" s="10">
        <v>6.5000000000000002E-2</v>
      </c>
      <c r="G440" s="11" t="s">
        <v>628</v>
      </c>
    </row>
    <row r="441" spans="1:7">
      <c r="A441" s="7">
        <v>36416</v>
      </c>
      <c r="B441" s="8">
        <v>50244</v>
      </c>
      <c r="C441" s="8">
        <f t="shared" si="19"/>
        <v>50533.075068493148</v>
      </c>
      <c r="D441" s="7">
        <f t="shared" si="20"/>
        <v>36446</v>
      </c>
      <c r="E441" s="9">
        <v>30</v>
      </c>
      <c r="F441" s="10">
        <v>7.0000000000000007E-2</v>
      </c>
      <c r="G441" s="11" t="s">
        <v>120</v>
      </c>
    </row>
    <row r="442" spans="1:7">
      <c r="A442" s="7">
        <v>36420</v>
      </c>
      <c r="B442" s="8">
        <v>35378</v>
      </c>
      <c r="C442" s="8">
        <f t="shared" si="19"/>
        <v>35576.310652054795</v>
      </c>
      <c r="D442" s="7">
        <f t="shared" si="20"/>
        <v>36451</v>
      </c>
      <c r="E442" s="9">
        <v>31</v>
      </c>
      <c r="F442" s="10">
        <v>6.6000000000000003E-2</v>
      </c>
      <c r="G442" s="11" t="s">
        <v>569</v>
      </c>
    </row>
    <row r="443" spans="1:7">
      <c r="A443" s="7">
        <v>36420</v>
      </c>
      <c r="B443" s="8">
        <v>36582</v>
      </c>
      <c r="C443" s="8">
        <f t="shared" si="19"/>
        <v>36787.059649315066</v>
      </c>
      <c r="D443" s="7">
        <f t="shared" si="20"/>
        <v>36451</v>
      </c>
      <c r="E443" s="9">
        <v>31</v>
      </c>
      <c r="F443" s="10">
        <v>6.6000000000000003E-2</v>
      </c>
      <c r="G443" s="11" t="s">
        <v>569</v>
      </c>
    </row>
    <row r="444" spans="1:7">
      <c r="A444" s="7">
        <v>36423</v>
      </c>
      <c r="B444" s="8">
        <v>51457</v>
      </c>
      <c r="C444" s="8">
        <f t="shared" si="19"/>
        <v>51742.480616438355</v>
      </c>
      <c r="D444" s="7">
        <f t="shared" si="20"/>
        <v>36453</v>
      </c>
      <c r="E444" s="9">
        <v>30</v>
      </c>
      <c r="F444" s="10">
        <v>6.7500000000000004E-2</v>
      </c>
      <c r="G444" s="11" t="s">
        <v>628</v>
      </c>
    </row>
    <row r="445" spans="1:7">
      <c r="A445" s="7">
        <v>36423</v>
      </c>
      <c r="B445" s="8">
        <f>20821+1711</f>
        <v>22532</v>
      </c>
      <c r="C445" s="8">
        <f t="shared" si="19"/>
        <v>22657.006301369864</v>
      </c>
      <c r="D445" s="7">
        <f t="shared" si="20"/>
        <v>36453</v>
      </c>
      <c r="E445" s="9">
        <v>30</v>
      </c>
      <c r="F445" s="10">
        <v>6.7500000000000004E-2</v>
      </c>
      <c r="G445" s="11" t="s">
        <v>628</v>
      </c>
    </row>
    <row r="446" spans="1:7">
      <c r="A446" s="7">
        <v>36425</v>
      </c>
      <c r="B446" s="8">
        <v>70053</v>
      </c>
      <c r="C446" s="8">
        <f t="shared" si="19"/>
        <v>70484.833561643842</v>
      </c>
      <c r="D446" s="7">
        <f t="shared" si="20"/>
        <v>36455</v>
      </c>
      <c r="E446" s="9">
        <v>30</v>
      </c>
      <c r="F446" s="10">
        <v>7.4999999999999997E-2</v>
      </c>
      <c r="G446" s="11" t="s">
        <v>120</v>
      </c>
    </row>
    <row r="447" spans="1:7">
      <c r="A447" s="7">
        <v>36427</v>
      </c>
      <c r="B447" s="8">
        <v>31384</v>
      </c>
      <c r="C447" s="8">
        <f t="shared" si="19"/>
        <v>31583.911780821916</v>
      </c>
      <c r="D447" s="7">
        <f t="shared" si="20"/>
        <v>36458</v>
      </c>
      <c r="E447" s="9">
        <v>31</v>
      </c>
      <c r="F447" s="10">
        <v>7.4999999999999997E-2</v>
      </c>
      <c r="G447" s="11" t="s">
        <v>120</v>
      </c>
    </row>
    <row r="448" spans="1:7">
      <c r="A448" s="7">
        <v>36427</v>
      </c>
      <c r="B448" s="8">
        <v>17670</v>
      </c>
      <c r="C448" s="8">
        <f t="shared" ref="C448:C507" si="21">B448+(B448*F448/365*E448)*1</f>
        <v>17782.555479452054</v>
      </c>
      <c r="D448" s="7">
        <f t="shared" ref="D448:D507" si="22">A448+E448</f>
        <v>36458</v>
      </c>
      <c r="E448" s="9">
        <v>31</v>
      </c>
      <c r="F448" s="10">
        <v>7.4999999999999997E-2</v>
      </c>
      <c r="G448" s="11" t="s">
        <v>120</v>
      </c>
    </row>
    <row r="449" spans="1:8">
      <c r="A449" s="7">
        <v>36430</v>
      </c>
      <c r="B449" s="8">
        <v>46691</v>
      </c>
      <c r="C449" s="8">
        <f t="shared" si="21"/>
        <v>46998.009315068492</v>
      </c>
      <c r="D449" s="7">
        <f t="shared" si="22"/>
        <v>36462</v>
      </c>
      <c r="E449" s="9">
        <v>32</v>
      </c>
      <c r="F449" s="10">
        <v>7.4999999999999997E-2</v>
      </c>
      <c r="G449" s="11" t="s">
        <v>120</v>
      </c>
    </row>
    <row r="450" spans="1:8">
      <c r="A450" s="7">
        <v>36430</v>
      </c>
      <c r="B450" s="8">
        <v>105652</v>
      </c>
      <c r="C450" s="8">
        <f t="shared" si="21"/>
        <v>106361.17095890411</v>
      </c>
      <c r="D450" s="7">
        <f t="shared" si="22"/>
        <v>36465</v>
      </c>
      <c r="E450" s="9">
        <v>35</v>
      </c>
      <c r="F450" s="10">
        <v>7.0000000000000007E-2</v>
      </c>
      <c r="G450" s="11" t="s">
        <v>569</v>
      </c>
    </row>
    <row r="451" spans="1:8">
      <c r="A451" s="7">
        <v>36445</v>
      </c>
      <c r="B451" s="8">
        <v>28254</v>
      </c>
      <c r="C451" s="8">
        <f t="shared" si="21"/>
        <v>28428.168493150686</v>
      </c>
      <c r="D451" s="7">
        <f t="shared" si="22"/>
        <v>36475</v>
      </c>
      <c r="E451" s="9">
        <v>30</v>
      </c>
      <c r="F451" s="10">
        <v>7.4999999999999997E-2</v>
      </c>
      <c r="G451" s="11" t="s">
        <v>120</v>
      </c>
    </row>
    <row r="452" spans="1:8">
      <c r="A452" s="7">
        <v>36446</v>
      </c>
      <c r="B452" s="8">
        <v>50533</v>
      </c>
      <c r="C452" s="8">
        <f t="shared" si="21"/>
        <v>50865.271780821917</v>
      </c>
      <c r="D452" s="7">
        <f t="shared" si="22"/>
        <v>36476</v>
      </c>
      <c r="E452" s="9">
        <v>30</v>
      </c>
      <c r="F452" s="10">
        <v>0.08</v>
      </c>
      <c r="G452" s="11" t="s">
        <v>120</v>
      </c>
    </row>
    <row r="453" spans="1:8">
      <c r="A453" s="7">
        <v>36453</v>
      </c>
      <c r="B453" s="8">
        <v>22657</v>
      </c>
      <c r="C453" s="8">
        <f t="shared" si="21"/>
        <v>22804.115315068491</v>
      </c>
      <c r="D453" s="7">
        <f t="shared" si="22"/>
        <v>36483</v>
      </c>
      <c r="E453" s="9">
        <v>30</v>
      </c>
      <c r="F453" s="10">
        <v>7.9000000000000001E-2</v>
      </c>
      <c r="G453" s="11" t="s">
        <v>628</v>
      </c>
    </row>
    <row r="454" spans="1:8">
      <c r="A454" s="7">
        <v>36453</v>
      </c>
      <c r="B454" s="8">
        <v>51742</v>
      </c>
      <c r="C454" s="8">
        <f t="shared" si="21"/>
        <v>52077.968602739726</v>
      </c>
      <c r="D454" s="7">
        <f t="shared" si="22"/>
        <v>36483</v>
      </c>
      <c r="E454" s="9">
        <v>30</v>
      </c>
      <c r="F454" s="10">
        <v>7.9000000000000001E-2</v>
      </c>
      <c r="G454" s="11" t="s">
        <v>628</v>
      </c>
    </row>
    <row r="455" spans="1:8">
      <c r="A455" s="7">
        <v>36453</v>
      </c>
      <c r="B455" s="8">
        <v>70485</v>
      </c>
      <c r="C455" s="8">
        <f t="shared" si="21"/>
        <v>70963.911780821916</v>
      </c>
      <c r="D455" s="7">
        <f t="shared" si="22"/>
        <v>36484</v>
      </c>
      <c r="E455" s="9">
        <v>31</v>
      </c>
      <c r="F455" s="10">
        <v>0.08</v>
      </c>
      <c r="G455" s="11" t="s">
        <v>120</v>
      </c>
    </row>
    <row r="456" spans="1:8">
      <c r="A456" s="7">
        <v>36458</v>
      </c>
      <c r="B456" s="8">
        <v>31584</v>
      </c>
      <c r="C456" s="8">
        <f t="shared" si="21"/>
        <v>31791.675616438355</v>
      </c>
      <c r="D456" s="7">
        <f t="shared" si="22"/>
        <v>36488</v>
      </c>
      <c r="E456" s="9">
        <v>30</v>
      </c>
      <c r="F456" s="10">
        <v>0.08</v>
      </c>
      <c r="G456" s="11" t="s">
        <v>120</v>
      </c>
    </row>
    <row r="457" spans="1:8">
      <c r="A457" s="7">
        <v>36458</v>
      </c>
      <c r="B457" s="8">
        <v>17793</v>
      </c>
      <c r="C457" s="8">
        <f t="shared" si="21"/>
        <v>17909.99506849315</v>
      </c>
      <c r="D457" s="7">
        <f t="shared" si="22"/>
        <v>36488</v>
      </c>
      <c r="E457" s="9">
        <v>30</v>
      </c>
      <c r="F457" s="10">
        <v>0.08</v>
      </c>
      <c r="G457" s="11" t="s">
        <v>120</v>
      </c>
    </row>
    <row r="458" spans="1:8">
      <c r="A458" s="7">
        <v>36462</v>
      </c>
      <c r="B458" s="8">
        <v>46979</v>
      </c>
      <c r="C458" s="8">
        <f t="shared" si="21"/>
        <v>47288.224787671235</v>
      </c>
      <c r="D458" s="7">
        <f t="shared" si="22"/>
        <v>36493</v>
      </c>
      <c r="E458" s="9">
        <v>31</v>
      </c>
      <c r="F458" s="10">
        <v>7.7499999999999999E-2</v>
      </c>
      <c r="G458" s="11" t="s">
        <v>120</v>
      </c>
    </row>
    <row r="459" spans="1:8">
      <c r="A459" s="7">
        <v>36476</v>
      </c>
      <c r="B459" s="8">
        <v>28428</v>
      </c>
      <c r="C459" s="8">
        <f t="shared" si="21"/>
        <v>28615.118547945207</v>
      </c>
      <c r="D459" s="7">
        <f t="shared" si="22"/>
        <v>36507</v>
      </c>
      <c r="E459" s="9">
        <v>31</v>
      </c>
      <c r="F459" s="10">
        <v>7.7499999999999999E-2</v>
      </c>
      <c r="G459" s="11" t="s">
        <v>120</v>
      </c>
      <c r="H459" s="609"/>
    </row>
    <row r="460" spans="1:8">
      <c r="A460" s="7">
        <v>36476</v>
      </c>
      <c r="B460" s="8">
        <v>50865</v>
      </c>
      <c r="C460" s="8">
        <f t="shared" si="21"/>
        <v>51199.803184931508</v>
      </c>
      <c r="D460" s="7">
        <f t="shared" si="22"/>
        <v>36507</v>
      </c>
      <c r="E460" s="9">
        <v>31</v>
      </c>
      <c r="F460" s="10">
        <v>7.7499999999999999E-2</v>
      </c>
      <c r="G460" s="11" t="s">
        <v>120</v>
      </c>
      <c r="H460" s="609"/>
    </row>
    <row r="461" spans="1:8">
      <c r="A461" s="7">
        <v>36483</v>
      </c>
      <c r="B461" s="8">
        <v>22804</v>
      </c>
      <c r="C461" s="8">
        <f t="shared" si="21"/>
        <v>22949.258356164384</v>
      </c>
      <c r="D461" s="7">
        <f t="shared" si="22"/>
        <v>36514</v>
      </c>
      <c r="E461" s="9">
        <v>31</v>
      </c>
      <c r="F461" s="10">
        <v>7.4999999999999997E-2</v>
      </c>
      <c r="G461" s="11" t="s">
        <v>628</v>
      </c>
      <c r="H461" s="609"/>
    </row>
    <row r="462" spans="1:8">
      <c r="A462" s="7">
        <v>36483</v>
      </c>
      <c r="B462" s="8">
        <v>52078</v>
      </c>
      <c r="C462" s="8">
        <f t="shared" si="21"/>
        <v>52409.729726027399</v>
      </c>
      <c r="D462" s="7">
        <f t="shared" si="22"/>
        <v>36514</v>
      </c>
      <c r="E462" s="9">
        <v>31</v>
      </c>
      <c r="F462" s="10">
        <v>7.4999999999999997E-2</v>
      </c>
      <c r="G462" s="11" t="s">
        <v>628</v>
      </c>
      <c r="H462" s="609"/>
    </row>
    <row r="463" spans="1:8">
      <c r="A463" s="7">
        <v>36488</v>
      </c>
      <c r="B463" s="8">
        <v>70964</v>
      </c>
      <c r="C463" s="8">
        <f t="shared" si="21"/>
        <v>71386.867671232874</v>
      </c>
      <c r="D463" s="7">
        <f t="shared" si="22"/>
        <v>36518</v>
      </c>
      <c r="E463" s="9">
        <v>30</v>
      </c>
      <c r="F463" s="10">
        <v>7.2499999999999995E-2</v>
      </c>
      <c r="G463" s="11" t="s">
        <v>120</v>
      </c>
      <c r="H463" s="609"/>
    </row>
    <row r="464" spans="1:8">
      <c r="A464" s="7">
        <v>36488</v>
      </c>
      <c r="B464" s="8">
        <v>31792</v>
      </c>
      <c r="C464" s="8">
        <f t="shared" si="21"/>
        <v>31981.445479452053</v>
      </c>
      <c r="D464" s="7">
        <f t="shared" si="22"/>
        <v>36518</v>
      </c>
      <c r="E464" s="9">
        <v>30</v>
      </c>
      <c r="F464" s="10">
        <v>7.2499999999999995E-2</v>
      </c>
      <c r="G464" s="11" t="s">
        <v>120</v>
      </c>
      <c r="H464" s="609"/>
    </row>
    <row r="465" spans="1:8">
      <c r="A465" s="7">
        <v>36488</v>
      </c>
      <c r="B465" s="8">
        <v>17910</v>
      </c>
      <c r="C465" s="8">
        <f t="shared" si="21"/>
        <v>18016.72397260274</v>
      </c>
      <c r="D465" s="7">
        <f t="shared" si="22"/>
        <v>36518</v>
      </c>
      <c r="E465" s="9">
        <v>30</v>
      </c>
      <c r="F465" s="10">
        <v>7.2499999999999995E-2</v>
      </c>
      <c r="G465" s="11" t="s">
        <v>120</v>
      </c>
      <c r="H465" s="609"/>
    </row>
    <row r="466" spans="1:8">
      <c r="A466" s="7">
        <v>36507</v>
      </c>
      <c r="B466" s="8">
        <v>28615</v>
      </c>
      <c r="C466" s="8">
        <f t="shared" si="21"/>
        <v>28814.913013698631</v>
      </c>
      <c r="D466" s="7">
        <f t="shared" si="22"/>
        <v>36537</v>
      </c>
      <c r="E466" s="9">
        <v>30</v>
      </c>
      <c r="F466" s="10">
        <v>8.5000000000000006E-2</v>
      </c>
      <c r="G466" s="11" t="s">
        <v>120</v>
      </c>
      <c r="H466" s="609"/>
    </row>
    <row r="467" spans="1:8">
      <c r="A467" s="7">
        <v>36507</v>
      </c>
      <c r="B467" s="8">
        <v>51200</v>
      </c>
      <c r="C467" s="8">
        <f t="shared" si="21"/>
        <v>51557.698630136983</v>
      </c>
      <c r="D467" s="7">
        <f t="shared" si="22"/>
        <v>36537</v>
      </c>
      <c r="E467" s="9">
        <v>30</v>
      </c>
      <c r="F467" s="10">
        <v>8.5000000000000006E-2</v>
      </c>
      <c r="G467" s="11" t="s">
        <v>120</v>
      </c>
      <c r="H467" s="609"/>
    </row>
    <row r="468" spans="1:8">
      <c r="A468" s="7">
        <v>36518</v>
      </c>
      <c r="B468" s="8">
        <v>71387</v>
      </c>
      <c r="C468" s="8">
        <f t="shared" si="21"/>
        <v>71917.512979452062</v>
      </c>
      <c r="D468" s="7">
        <f t="shared" si="22"/>
        <v>36549</v>
      </c>
      <c r="E468" s="9">
        <v>31</v>
      </c>
      <c r="F468" s="10">
        <v>8.7499999999999994E-2</v>
      </c>
      <c r="G468" s="11" t="s">
        <v>120</v>
      </c>
      <c r="H468" s="609"/>
    </row>
    <row r="469" spans="1:8">
      <c r="A469" s="7">
        <v>36518</v>
      </c>
      <c r="B469" s="8">
        <v>31981</v>
      </c>
      <c r="C469" s="8">
        <f t="shared" si="21"/>
        <v>32218.667020547946</v>
      </c>
      <c r="D469" s="7">
        <f t="shared" si="22"/>
        <v>36549</v>
      </c>
      <c r="E469" s="9">
        <v>31</v>
      </c>
      <c r="F469" s="10">
        <v>8.7499999999999994E-2</v>
      </c>
      <c r="G469" s="11" t="s">
        <v>120</v>
      </c>
      <c r="H469" s="609"/>
    </row>
    <row r="470" spans="1:8">
      <c r="A470" s="7">
        <v>36518</v>
      </c>
      <c r="B470" s="8">
        <v>18017</v>
      </c>
      <c r="C470" s="8">
        <f t="shared" si="21"/>
        <v>18150.893458904109</v>
      </c>
      <c r="D470" s="7">
        <f t="shared" si="22"/>
        <v>36549</v>
      </c>
      <c r="E470" s="9">
        <v>31</v>
      </c>
      <c r="F470" s="10">
        <v>8.7499999999999994E-2</v>
      </c>
      <c r="G470" s="11" t="s">
        <v>120</v>
      </c>
      <c r="H470" s="609"/>
    </row>
    <row r="471" spans="1:8">
      <c r="A471" s="7">
        <v>36528</v>
      </c>
      <c r="B471" s="8">
        <v>80000</v>
      </c>
      <c r="C471" s="8">
        <f t="shared" si="21"/>
        <v>80542.465753424651</v>
      </c>
      <c r="D471" s="7">
        <f t="shared" si="22"/>
        <v>36558</v>
      </c>
      <c r="E471" s="9">
        <v>30</v>
      </c>
      <c r="F471" s="10">
        <v>8.2500000000000004E-2</v>
      </c>
      <c r="G471" s="11" t="s">
        <v>628</v>
      </c>
      <c r="H471" s="609"/>
    </row>
    <row r="472" spans="1:8">
      <c r="A472" s="7">
        <v>36538</v>
      </c>
      <c r="B472" s="8">
        <v>80373</v>
      </c>
      <c r="C472" s="8">
        <f t="shared" si="21"/>
        <v>80880.340800000005</v>
      </c>
      <c r="D472" s="7">
        <f t="shared" si="22"/>
        <v>36570</v>
      </c>
      <c r="E472" s="9">
        <v>32</v>
      </c>
      <c r="F472" s="10">
        <v>7.1999999999999995E-2</v>
      </c>
      <c r="G472" s="11" t="s">
        <v>628</v>
      </c>
      <c r="H472" s="609"/>
    </row>
    <row r="473" spans="1:8">
      <c r="A473" s="7">
        <v>36542</v>
      </c>
      <c r="B473" s="8">
        <v>25500</v>
      </c>
      <c r="C473" s="8">
        <f t="shared" si="21"/>
        <v>25625.753424657534</v>
      </c>
      <c r="D473" s="7">
        <f t="shared" si="22"/>
        <v>36572</v>
      </c>
      <c r="E473" s="9">
        <v>30</v>
      </c>
      <c r="F473" s="10">
        <v>0.06</v>
      </c>
      <c r="G473" s="11" t="s">
        <v>441</v>
      </c>
      <c r="H473" s="609"/>
    </row>
    <row r="474" spans="1:8">
      <c r="A474" s="7">
        <v>36549</v>
      </c>
      <c r="B474" s="8">
        <v>18151</v>
      </c>
      <c r="C474" s="8">
        <f t="shared" si="21"/>
        <v>18254.684479452055</v>
      </c>
      <c r="D474" s="7">
        <f t="shared" si="22"/>
        <v>36579</v>
      </c>
      <c r="E474" s="9">
        <v>30</v>
      </c>
      <c r="F474" s="10">
        <v>6.9500000000000006E-2</v>
      </c>
      <c r="G474" s="11" t="s">
        <v>120</v>
      </c>
      <c r="H474" s="609"/>
    </row>
    <row r="475" spans="1:8">
      <c r="A475" s="7">
        <v>36549</v>
      </c>
      <c r="B475" s="8">
        <v>32219</v>
      </c>
      <c r="C475" s="8">
        <f t="shared" si="21"/>
        <v>32403.045520547945</v>
      </c>
      <c r="D475" s="7">
        <f t="shared" si="22"/>
        <v>36579</v>
      </c>
      <c r="E475" s="9">
        <v>30</v>
      </c>
      <c r="F475" s="10">
        <v>6.9500000000000006E-2</v>
      </c>
      <c r="G475" s="11" t="s">
        <v>120</v>
      </c>
      <c r="H475" s="609"/>
    </row>
    <row r="476" spans="1:8">
      <c r="A476" s="7">
        <v>36549</v>
      </c>
      <c r="B476" s="8">
        <v>71918</v>
      </c>
      <c r="C476" s="8">
        <f t="shared" si="21"/>
        <v>72328.819260273973</v>
      </c>
      <c r="D476" s="7">
        <f t="shared" si="22"/>
        <v>36579</v>
      </c>
      <c r="E476" s="9">
        <v>30</v>
      </c>
      <c r="F476" s="10">
        <v>6.9500000000000006E-2</v>
      </c>
      <c r="G476" s="11" t="s">
        <v>120</v>
      </c>
      <c r="H476" s="609"/>
    </row>
    <row r="477" spans="1:8">
      <c r="A477" s="7">
        <v>36556</v>
      </c>
      <c r="B477" s="8">
        <v>7500</v>
      </c>
      <c r="C477" s="8">
        <f t="shared" si="21"/>
        <v>7541.9178082191784</v>
      </c>
      <c r="D477" s="7">
        <f t="shared" si="22"/>
        <v>36586</v>
      </c>
      <c r="E477" s="9">
        <v>30</v>
      </c>
      <c r="F477" s="10">
        <v>6.8000000000000005E-2</v>
      </c>
      <c r="G477" s="11" t="s">
        <v>120</v>
      </c>
      <c r="H477" s="609"/>
    </row>
    <row r="478" spans="1:8">
      <c r="A478" s="7">
        <v>36558</v>
      </c>
      <c r="B478" s="8">
        <v>80542</v>
      </c>
      <c r="C478" s="8">
        <f t="shared" si="21"/>
        <v>81015.322164383557</v>
      </c>
      <c r="D478" s="7">
        <f t="shared" si="22"/>
        <v>36588</v>
      </c>
      <c r="E478" s="9">
        <v>30</v>
      </c>
      <c r="F478" s="10">
        <v>7.1499999999999994E-2</v>
      </c>
      <c r="G478" s="11" t="s">
        <v>628</v>
      </c>
      <c r="H478" s="609"/>
    </row>
    <row r="479" spans="1:8">
      <c r="A479" s="7">
        <v>36559</v>
      </c>
      <c r="B479" s="8">
        <v>29000</v>
      </c>
      <c r="C479" s="8">
        <f t="shared" si="21"/>
        <v>29187.467123287672</v>
      </c>
      <c r="D479" s="7">
        <f t="shared" si="22"/>
        <v>36592</v>
      </c>
      <c r="E479" s="9">
        <v>33</v>
      </c>
      <c r="F479" s="10">
        <v>7.1499999999999994E-2</v>
      </c>
      <c r="G479" s="11" t="s">
        <v>628</v>
      </c>
      <c r="H479" s="609"/>
    </row>
    <row r="480" spans="1:8">
      <c r="A480" s="7">
        <v>36569</v>
      </c>
      <c r="B480" s="8">
        <v>80880</v>
      </c>
      <c r="C480" s="8">
        <f t="shared" si="21"/>
        <v>81358.632328767126</v>
      </c>
      <c r="D480" s="7">
        <f t="shared" si="22"/>
        <v>36599</v>
      </c>
      <c r="E480" s="9">
        <v>30</v>
      </c>
      <c r="F480" s="10">
        <v>7.1999999999999995E-2</v>
      </c>
      <c r="G480" s="11" t="s">
        <v>628</v>
      </c>
      <c r="H480" s="609"/>
    </row>
    <row r="481" spans="1:9">
      <c r="A481" s="7">
        <v>36585</v>
      </c>
      <c r="B481" s="8">
        <v>7000</v>
      </c>
      <c r="C481" s="8">
        <f t="shared" si="21"/>
        <v>7046.3726027397261</v>
      </c>
      <c r="D481" s="7">
        <f t="shared" si="22"/>
        <v>36616</v>
      </c>
      <c r="E481" s="9">
        <v>31</v>
      </c>
      <c r="F481" s="10">
        <v>7.8E-2</v>
      </c>
      <c r="G481" s="11" t="s">
        <v>120</v>
      </c>
    </row>
    <row r="482" spans="1:9">
      <c r="A482" s="7">
        <v>36586</v>
      </c>
      <c r="B482" s="8">
        <v>7542</v>
      </c>
      <c r="C482" s="8">
        <f t="shared" si="21"/>
        <v>7590.3514520547942</v>
      </c>
      <c r="D482" s="7">
        <f t="shared" si="22"/>
        <v>36616</v>
      </c>
      <c r="E482" s="9">
        <v>30</v>
      </c>
      <c r="F482" s="10">
        <v>7.8E-2</v>
      </c>
      <c r="G482" s="11" t="s">
        <v>120</v>
      </c>
    </row>
    <row r="483" spans="1:9">
      <c r="A483" s="7">
        <v>36588</v>
      </c>
      <c r="B483" s="8">
        <f>81015-17000</f>
        <v>64015</v>
      </c>
      <c r="C483" s="8">
        <f t="shared" si="21"/>
        <v>64419.083726027398</v>
      </c>
      <c r="D483" s="7">
        <f t="shared" si="22"/>
        <v>36620</v>
      </c>
      <c r="E483" s="9">
        <v>32</v>
      </c>
      <c r="F483" s="10">
        <v>7.1999999999999995E-2</v>
      </c>
      <c r="G483" s="11" t="s">
        <v>628</v>
      </c>
    </row>
    <row r="484" spans="1:9">
      <c r="A484" s="7">
        <v>36592</v>
      </c>
      <c r="B484" s="8">
        <v>29187</v>
      </c>
      <c r="C484" s="8">
        <f t="shared" si="21"/>
        <v>29358.523602739726</v>
      </c>
      <c r="D484" s="7">
        <f t="shared" si="22"/>
        <v>36622</v>
      </c>
      <c r="E484" s="9">
        <v>30</v>
      </c>
      <c r="F484" s="10">
        <v>7.1499999999999994E-2</v>
      </c>
      <c r="G484" s="11" t="s">
        <v>628</v>
      </c>
    </row>
    <row r="485" spans="1:9">
      <c r="A485" s="7">
        <v>36600</v>
      </c>
      <c r="B485" s="8">
        <v>62200</v>
      </c>
      <c r="C485" s="8">
        <f t="shared" si="21"/>
        <v>62532.301369863017</v>
      </c>
      <c r="D485" s="7">
        <f t="shared" si="22"/>
        <v>36630</v>
      </c>
      <c r="E485" s="9">
        <v>30</v>
      </c>
      <c r="F485" s="10">
        <v>6.5000000000000002E-2</v>
      </c>
      <c r="G485" s="11" t="s">
        <v>637</v>
      </c>
    </row>
    <row r="486" spans="1:9">
      <c r="A486" s="7">
        <v>36600</v>
      </c>
      <c r="B486" s="8">
        <v>62200</v>
      </c>
      <c r="C486" s="8">
        <f t="shared" si="21"/>
        <v>62532.301369863017</v>
      </c>
      <c r="D486" s="7">
        <f t="shared" si="22"/>
        <v>36630</v>
      </c>
      <c r="E486" s="9">
        <v>30</v>
      </c>
      <c r="F486" s="10">
        <v>6.5000000000000002E-2</v>
      </c>
      <c r="G486" s="11" t="s">
        <v>637</v>
      </c>
    </row>
    <row r="487" spans="1:9">
      <c r="A487" s="7">
        <v>36600</v>
      </c>
      <c r="B487" s="8">
        <v>81359</v>
      </c>
      <c r="C487" s="8">
        <f t="shared" si="21"/>
        <v>81905.10835616439</v>
      </c>
      <c r="D487" s="7">
        <f t="shared" si="22"/>
        <v>36635</v>
      </c>
      <c r="E487" s="9">
        <v>35</v>
      </c>
      <c r="F487" s="10">
        <v>7.0000000000000007E-2</v>
      </c>
      <c r="G487" s="11" t="s">
        <v>628</v>
      </c>
    </row>
    <row r="488" spans="1:9">
      <c r="A488" s="7">
        <v>36616</v>
      </c>
      <c r="B488" s="8">
        <v>14046</v>
      </c>
      <c r="C488" s="8">
        <f t="shared" si="21"/>
        <v>14124.811528767123</v>
      </c>
      <c r="D488" s="7">
        <f t="shared" si="22"/>
        <v>36648</v>
      </c>
      <c r="E488" s="9">
        <v>32</v>
      </c>
      <c r="F488" s="10">
        <v>6.4000000000000001E-2</v>
      </c>
      <c r="G488" s="11" t="s">
        <v>120</v>
      </c>
    </row>
    <row r="489" spans="1:9">
      <c r="A489" s="7">
        <v>36616</v>
      </c>
      <c r="B489" s="8">
        <v>7590</v>
      </c>
      <c r="C489" s="8">
        <f t="shared" si="21"/>
        <v>7632.5871780821917</v>
      </c>
      <c r="D489" s="7">
        <f t="shared" si="22"/>
        <v>36648</v>
      </c>
      <c r="E489" s="9">
        <v>32</v>
      </c>
      <c r="F489" s="10">
        <v>6.4000000000000001E-2</v>
      </c>
      <c r="G489" s="11" t="s">
        <v>120</v>
      </c>
    </row>
    <row r="490" spans="1:9">
      <c r="A490" s="7">
        <v>36620</v>
      </c>
      <c r="B490" s="8">
        <f>64419+2700</f>
        <v>67119</v>
      </c>
      <c r="C490" s="8">
        <f t="shared" si="21"/>
        <v>67472.064328767126</v>
      </c>
      <c r="D490" s="7">
        <f t="shared" si="22"/>
        <v>36650</v>
      </c>
      <c r="E490" s="9">
        <v>30</v>
      </c>
      <c r="F490" s="10">
        <v>6.4000000000000001E-2</v>
      </c>
      <c r="G490" s="11" t="s">
        <v>628</v>
      </c>
    </row>
    <row r="491" spans="1:9">
      <c r="A491" s="7">
        <v>36622</v>
      </c>
      <c r="B491" s="8">
        <v>29359</v>
      </c>
      <c r="C491" s="8">
        <f t="shared" si="21"/>
        <v>29526.306082191782</v>
      </c>
      <c r="D491" s="7">
        <f t="shared" si="22"/>
        <v>36654</v>
      </c>
      <c r="E491" s="9">
        <v>32</v>
      </c>
      <c r="F491" s="10">
        <v>6.5000000000000002E-2</v>
      </c>
      <c r="G491" s="11" t="s">
        <v>628</v>
      </c>
    </row>
    <row r="492" spans="1:9">
      <c r="A492" s="7">
        <v>36630</v>
      </c>
      <c r="B492" s="8">
        <v>62532</v>
      </c>
      <c r="C492" s="8">
        <f t="shared" si="21"/>
        <v>62909.076526027398</v>
      </c>
      <c r="D492" s="7">
        <f t="shared" si="22"/>
        <v>36661</v>
      </c>
      <c r="E492" s="9">
        <v>31</v>
      </c>
      <c r="F492" s="10">
        <v>7.0999999999999994E-2</v>
      </c>
      <c r="G492" s="11" t="s">
        <v>120</v>
      </c>
      <c r="H492" s="609"/>
      <c r="I492" s="609"/>
    </row>
    <row r="493" spans="1:9">
      <c r="A493" s="7">
        <v>36630</v>
      </c>
      <c r="B493" s="8">
        <v>62532</v>
      </c>
      <c r="C493" s="8">
        <f t="shared" si="21"/>
        <v>62909.076526027398</v>
      </c>
      <c r="D493" s="7">
        <f t="shared" si="22"/>
        <v>36661</v>
      </c>
      <c r="E493" s="9">
        <v>31</v>
      </c>
      <c r="F493" s="10">
        <v>7.0999999999999994E-2</v>
      </c>
      <c r="G493" s="11" t="s">
        <v>120</v>
      </c>
      <c r="H493" s="609"/>
      <c r="I493" s="609"/>
    </row>
    <row r="494" spans="1:9">
      <c r="A494" s="7">
        <v>36633</v>
      </c>
      <c r="B494" s="8">
        <v>17000</v>
      </c>
      <c r="C494" s="8">
        <f t="shared" si="21"/>
        <v>17090.821917808218</v>
      </c>
      <c r="D494" s="7">
        <f t="shared" si="22"/>
        <v>36663</v>
      </c>
      <c r="E494" s="9">
        <v>30</v>
      </c>
      <c r="F494" s="10">
        <v>6.5000000000000002E-2</v>
      </c>
      <c r="G494" s="11" t="s">
        <v>628</v>
      </c>
      <c r="H494" s="609"/>
      <c r="I494" s="609"/>
    </row>
    <row r="495" spans="1:9">
      <c r="A495" s="7">
        <v>36635</v>
      </c>
      <c r="B495" s="8">
        <v>81905</v>
      </c>
      <c r="C495" s="8">
        <f t="shared" si="21"/>
        <v>82349.30657534246</v>
      </c>
      <c r="D495" s="7">
        <f t="shared" si="22"/>
        <v>36665</v>
      </c>
      <c r="E495" s="9">
        <v>30</v>
      </c>
      <c r="F495" s="10">
        <v>6.6000000000000003E-2</v>
      </c>
      <c r="G495" s="11" t="s">
        <v>628</v>
      </c>
      <c r="H495" s="609"/>
      <c r="I495" s="609"/>
    </row>
    <row r="496" spans="1:9">
      <c r="A496" s="7">
        <v>36644</v>
      </c>
      <c r="B496" s="8">
        <v>33800</v>
      </c>
      <c r="C496" s="8">
        <f t="shared" si="21"/>
        <v>33995.206575342469</v>
      </c>
      <c r="D496" s="7">
        <f t="shared" si="22"/>
        <v>36675</v>
      </c>
      <c r="E496" s="9">
        <v>31</v>
      </c>
      <c r="F496" s="10">
        <v>6.8000000000000005E-2</v>
      </c>
      <c r="G496" s="11" t="s">
        <v>120</v>
      </c>
      <c r="H496" s="609"/>
      <c r="I496" s="609"/>
    </row>
    <row r="497" spans="1:9">
      <c r="A497" s="7">
        <v>36648</v>
      </c>
      <c r="B497" s="8">
        <v>14125</v>
      </c>
      <c r="C497" s="8">
        <f t="shared" si="21"/>
        <v>14207.42808219178</v>
      </c>
      <c r="D497" s="7">
        <f t="shared" si="22"/>
        <v>36678</v>
      </c>
      <c r="E497" s="9">
        <v>30</v>
      </c>
      <c r="F497" s="10">
        <v>7.0999999999999994E-2</v>
      </c>
      <c r="G497" s="11" t="s">
        <v>120</v>
      </c>
      <c r="H497" s="609"/>
      <c r="I497" s="609"/>
    </row>
    <row r="498" spans="1:9">
      <c r="A498" s="7">
        <v>36648</v>
      </c>
      <c r="B498" s="8">
        <v>7633</v>
      </c>
      <c r="C498" s="8">
        <f t="shared" si="21"/>
        <v>7677.8569452054799</v>
      </c>
      <c r="D498" s="7">
        <f t="shared" si="22"/>
        <v>36678</v>
      </c>
      <c r="E498" s="9">
        <v>30</v>
      </c>
      <c r="F498" s="10">
        <v>7.1499999999999994E-2</v>
      </c>
      <c r="G498" s="11" t="s">
        <v>120</v>
      </c>
      <c r="H498" s="609"/>
      <c r="I498" s="609"/>
    </row>
    <row r="499" spans="1:9">
      <c r="A499" s="7">
        <v>36644</v>
      </c>
      <c r="B499" s="8">
        <v>7000</v>
      </c>
      <c r="C499" s="8">
        <f t="shared" si="21"/>
        <v>7047.6575342465758</v>
      </c>
      <c r="D499" s="7">
        <f t="shared" si="22"/>
        <v>36679</v>
      </c>
      <c r="E499" s="9">
        <v>35</v>
      </c>
      <c r="F499" s="10">
        <v>7.0999999999999994E-2</v>
      </c>
      <c r="G499" s="11" t="s">
        <v>120</v>
      </c>
      <c r="H499" s="609"/>
      <c r="I499" s="609"/>
    </row>
    <row r="500" spans="1:9">
      <c r="A500" s="7">
        <v>36651</v>
      </c>
      <c r="B500" s="8">
        <v>67472</v>
      </c>
      <c r="C500" s="8">
        <f t="shared" si="21"/>
        <v>67884.595901369859</v>
      </c>
      <c r="D500" s="7">
        <f t="shared" si="22"/>
        <v>36682</v>
      </c>
      <c r="E500" s="9">
        <v>31</v>
      </c>
      <c r="F500" s="10">
        <v>7.1999999999999995E-2</v>
      </c>
      <c r="G500" s="11" t="s">
        <v>120</v>
      </c>
      <c r="H500" s="609"/>
      <c r="I500" s="609"/>
    </row>
    <row r="501" spans="1:9">
      <c r="A501" s="7">
        <v>36654</v>
      </c>
      <c r="B501" s="8">
        <v>151186</v>
      </c>
      <c r="C501" s="8">
        <f t="shared" si="21"/>
        <v>152142.82098630138</v>
      </c>
      <c r="D501" s="7">
        <f t="shared" si="22"/>
        <v>36684</v>
      </c>
      <c r="E501" s="9">
        <v>30</v>
      </c>
      <c r="F501" s="10">
        <v>7.6999999999999999E-2</v>
      </c>
      <c r="G501" s="11" t="s">
        <v>120</v>
      </c>
    </row>
    <row r="502" spans="1:9">
      <c r="A502" s="7">
        <v>36655</v>
      </c>
      <c r="B502" s="8">
        <v>29526</v>
      </c>
      <c r="C502" s="8">
        <f t="shared" si="21"/>
        <v>29699.515808219177</v>
      </c>
      <c r="D502" s="7">
        <f t="shared" si="22"/>
        <v>36685</v>
      </c>
      <c r="E502" s="9">
        <v>30</v>
      </c>
      <c r="F502" s="10">
        <v>7.1499999999999994E-2</v>
      </c>
      <c r="G502" s="11" t="s">
        <v>628</v>
      </c>
    </row>
    <row r="503" spans="1:9">
      <c r="A503" s="7">
        <v>36661</v>
      </c>
      <c r="B503" s="8">
        <v>62909</v>
      </c>
      <c r="C503" s="8">
        <f t="shared" si="21"/>
        <v>63330.40412328767</v>
      </c>
      <c r="D503" s="7">
        <f t="shared" si="22"/>
        <v>36691</v>
      </c>
      <c r="E503" s="9">
        <v>30</v>
      </c>
      <c r="F503" s="10">
        <v>8.1500000000000003E-2</v>
      </c>
      <c r="G503" s="11" t="s">
        <v>120</v>
      </c>
    </row>
    <row r="504" spans="1:9">
      <c r="A504" s="7">
        <v>36661</v>
      </c>
      <c r="B504" s="8">
        <v>62909</v>
      </c>
      <c r="C504" s="8">
        <f t="shared" si="21"/>
        <v>63330.40412328767</v>
      </c>
      <c r="D504" s="7">
        <f t="shared" si="22"/>
        <v>36691</v>
      </c>
      <c r="E504" s="9">
        <v>30</v>
      </c>
      <c r="F504" s="10">
        <v>8.1500000000000003E-2</v>
      </c>
      <c r="G504" s="11" t="s">
        <v>120</v>
      </c>
      <c r="H504" s="21"/>
      <c r="I504" s="21"/>
    </row>
    <row r="505" spans="1:9">
      <c r="A505" s="7">
        <v>36663</v>
      </c>
      <c r="B505" s="8">
        <v>17090</v>
      </c>
      <c r="C505" s="8">
        <f t="shared" si="21"/>
        <v>17202.372602739724</v>
      </c>
      <c r="D505" s="7">
        <f t="shared" si="22"/>
        <v>36693</v>
      </c>
      <c r="E505" s="9">
        <v>30</v>
      </c>
      <c r="F505" s="10">
        <v>0.08</v>
      </c>
      <c r="G505" s="11" t="s">
        <v>628</v>
      </c>
      <c r="H505" s="609"/>
      <c r="I505" s="609"/>
    </row>
    <row r="506" spans="1:9">
      <c r="A506" s="7">
        <v>36664</v>
      </c>
      <c r="B506" s="8">
        <v>16250</v>
      </c>
      <c r="C506" s="8">
        <f t="shared" si="21"/>
        <v>16367.534246575342</v>
      </c>
      <c r="D506" s="7">
        <f t="shared" si="22"/>
        <v>36697</v>
      </c>
      <c r="E506" s="9">
        <v>33</v>
      </c>
      <c r="F506" s="10">
        <v>0.08</v>
      </c>
      <c r="G506" s="11" t="s">
        <v>628</v>
      </c>
    </row>
    <row r="507" spans="1:9">
      <c r="A507" s="7">
        <v>36665</v>
      </c>
      <c r="B507" s="8">
        <v>88849</v>
      </c>
      <c r="C507" s="8">
        <f t="shared" si="21"/>
        <v>89483.844361643831</v>
      </c>
      <c r="D507" s="7">
        <f t="shared" si="22"/>
        <v>36697</v>
      </c>
      <c r="E507" s="9">
        <v>32</v>
      </c>
      <c r="F507" s="10">
        <v>8.1500000000000003E-2</v>
      </c>
      <c r="G507" s="11" t="s">
        <v>628</v>
      </c>
    </row>
    <row r="508" spans="1:9">
      <c r="A508" s="7">
        <v>36675</v>
      </c>
      <c r="B508" s="8">
        <v>33995</v>
      </c>
      <c r="C508" s="8">
        <v>34218.528767123287</v>
      </c>
      <c r="D508" s="7">
        <v>36705</v>
      </c>
      <c r="E508" s="9">
        <v>30</v>
      </c>
      <c r="F508" s="10">
        <v>0.08</v>
      </c>
      <c r="G508" s="11" t="s">
        <v>628</v>
      </c>
    </row>
    <row r="509" spans="1:9">
      <c r="A509" s="7">
        <v>36675</v>
      </c>
      <c r="B509" s="8">
        <v>33995</v>
      </c>
      <c r="C509" s="8">
        <f>B509+(B509*F509/365*E509)*1</f>
        <v>34218.528767123287</v>
      </c>
      <c r="D509" s="7">
        <f>A509+E509</f>
        <v>36705</v>
      </c>
      <c r="E509" s="9">
        <v>30</v>
      </c>
      <c r="F509" s="10">
        <v>0.08</v>
      </c>
      <c r="G509" s="11" t="s">
        <v>628</v>
      </c>
    </row>
    <row r="510" spans="1:9">
      <c r="A510" s="7">
        <v>36678</v>
      </c>
      <c r="B510" s="8">
        <v>14207</v>
      </c>
      <c r="C510" s="8">
        <v>14306.643616438356</v>
      </c>
      <c r="D510" s="7">
        <v>36710</v>
      </c>
      <c r="E510" s="9">
        <v>32</v>
      </c>
      <c r="F510" s="10">
        <v>0.08</v>
      </c>
      <c r="G510" s="11" t="s">
        <v>120</v>
      </c>
    </row>
    <row r="511" spans="1:9">
      <c r="A511" s="7">
        <v>36678</v>
      </c>
      <c r="B511" s="8">
        <v>7678</v>
      </c>
      <c r="C511" s="8">
        <v>7731.8511780821918</v>
      </c>
      <c r="D511" s="7">
        <v>36710</v>
      </c>
      <c r="E511" s="9">
        <v>32</v>
      </c>
      <c r="F511" s="10">
        <v>0.08</v>
      </c>
      <c r="G511" s="11" t="s">
        <v>120</v>
      </c>
    </row>
    <row r="512" spans="1:9">
      <c r="A512" s="7">
        <v>36679</v>
      </c>
      <c r="B512" s="8">
        <v>7048</v>
      </c>
      <c r="C512" s="8">
        <v>7095.8877808219177</v>
      </c>
      <c r="D512" s="7">
        <v>36710</v>
      </c>
      <c r="E512" s="9">
        <v>31</v>
      </c>
      <c r="F512" s="10">
        <v>0.08</v>
      </c>
      <c r="G512" s="11" t="s">
        <v>120</v>
      </c>
    </row>
    <row r="513" spans="1:7">
      <c r="A513" s="7">
        <v>36677</v>
      </c>
      <c r="B513" s="8">
        <v>7000</v>
      </c>
      <c r="C513" s="8">
        <v>7050.6301369863013</v>
      </c>
      <c r="D513" s="7">
        <v>36710</v>
      </c>
      <c r="E513" s="9">
        <v>33</v>
      </c>
      <c r="F513" s="10">
        <v>0.08</v>
      </c>
      <c r="G513" s="11" t="s">
        <v>120</v>
      </c>
    </row>
    <row r="514" spans="1:7">
      <c r="A514" s="7">
        <v>36678</v>
      </c>
      <c r="B514" s="8">
        <v>14207</v>
      </c>
      <c r="C514" s="8">
        <f t="shared" ref="C514:C545" si="23">B514+(B514*F514/365*E514)*1</f>
        <v>14306.643616438356</v>
      </c>
      <c r="D514" s="7">
        <f t="shared" ref="D514:D545" si="24">A514+E514</f>
        <v>36710</v>
      </c>
      <c r="E514" s="9">
        <v>32</v>
      </c>
      <c r="F514" s="10">
        <v>0.08</v>
      </c>
      <c r="G514" s="11" t="s">
        <v>120</v>
      </c>
    </row>
    <row r="515" spans="1:7">
      <c r="A515" s="7">
        <v>36678</v>
      </c>
      <c r="B515" s="8">
        <v>7678</v>
      </c>
      <c r="C515" s="8">
        <f t="shared" si="23"/>
        <v>7731.8511780821918</v>
      </c>
      <c r="D515" s="7">
        <f t="shared" si="24"/>
        <v>36710</v>
      </c>
      <c r="E515" s="9">
        <v>32</v>
      </c>
      <c r="F515" s="10">
        <v>0.08</v>
      </c>
      <c r="G515" s="11" t="s">
        <v>120</v>
      </c>
    </row>
    <row r="516" spans="1:7">
      <c r="A516" s="7">
        <v>36677</v>
      </c>
      <c r="B516" s="8">
        <v>7000</v>
      </c>
      <c r="C516" s="8">
        <f t="shared" si="23"/>
        <v>7050.6301369863013</v>
      </c>
      <c r="D516" s="7">
        <f t="shared" si="24"/>
        <v>36710</v>
      </c>
      <c r="E516" s="9">
        <v>33</v>
      </c>
      <c r="F516" s="10">
        <v>0.08</v>
      </c>
      <c r="G516" s="11" t="s">
        <v>120</v>
      </c>
    </row>
    <row r="517" spans="1:7">
      <c r="A517" s="7">
        <v>36679</v>
      </c>
      <c r="B517" s="8">
        <v>7048</v>
      </c>
      <c r="C517" s="8">
        <f t="shared" si="23"/>
        <v>7098.9773150684932</v>
      </c>
      <c r="D517" s="7">
        <f t="shared" si="24"/>
        <v>36712</v>
      </c>
      <c r="E517" s="9">
        <v>33</v>
      </c>
      <c r="F517" s="10">
        <v>0.08</v>
      </c>
      <c r="G517" s="11" t="s">
        <v>120</v>
      </c>
    </row>
    <row r="518" spans="1:7">
      <c r="A518" s="7">
        <v>36682</v>
      </c>
      <c r="B518" s="8">
        <v>67885</v>
      </c>
      <c r="C518" s="8">
        <f t="shared" si="23"/>
        <v>68314.62835616438</v>
      </c>
      <c r="D518" s="7">
        <f t="shared" si="24"/>
        <v>36712</v>
      </c>
      <c r="E518" s="9">
        <v>30</v>
      </c>
      <c r="F518" s="10">
        <v>7.6999999999999999E-2</v>
      </c>
      <c r="G518" s="11" t="s">
        <v>120</v>
      </c>
    </row>
    <row r="519" spans="1:7">
      <c r="A519" s="7">
        <v>36684</v>
      </c>
      <c r="B519" s="8">
        <v>152143</v>
      </c>
      <c r="C519" s="8">
        <f t="shared" si="23"/>
        <v>153043.3530958904</v>
      </c>
      <c r="D519" s="7">
        <f t="shared" si="24"/>
        <v>36714</v>
      </c>
      <c r="E519" s="9">
        <v>30</v>
      </c>
      <c r="F519" s="10">
        <v>7.1999999999999995E-2</v>
      </c>
      <c r="G519" s="11" t="s">
        <v>120</v>
      </c>
    </row>
    <row r="520" spans="1:7">
      <c r="A520" s="7">
        <v>36685</v>
      </c>
      <c r="B520" s="8">
        <v>29700</v>
      </c>
      <c r="C520" s="8">
        <f t="shared" si="23"/>
        <v>29913.026301369864</v>
      </c>
      <c r="D520" s="7">
        <f t="shared" si="24"/>
        <v>36719</v>
      </c>
      <c r="E520" s="9">
        <v>34</v>
      </c>
      <c r="F520" s="10">
        <v>7.6999999999999999E-2</v>
      </c>
      <c r="G520" s="11" t="s">
        <v>628</v>
      </c>
    </row>
    <row r="521" spans="1:7">
      <c r="A521" s="7">
        <v>36685</v>
      </c>
      <c r="B521" s="8">
        <v>50815</v>
      </c>
      <c r="C521" s="8">
        <f t="shared" si="23"/>
        <v>51179.475808219177</v>
      </c>
      <c r="D521" s="7">
        <f t="shared" si="24"/>
        <v>36719</v>
      </c>
      <c r="E521" s="9">
        <v>34</v>
      </c>
      <c r="F521" s="10">
        <v>7.6999999999999999E-2</v>
      </c>
      <c r="G521" s="11" t="s">
        <v>628</v>
      </c>
    </row>
    <row r="522" spans="1:7">
      <c r="A522" s="7">
        <v>36691</v>
      </c>
      <c r="B522" s="8">
        <v>126660</v>
      </c>
      <c r="C522" s="8">
        <f t="shared" si="23"/>
        <v>127541.76180821918</v>
      </c>
      <c r="D522" s="7">
        <f t="shared" si="24"/>
        <v>36724</v>
      </c>
      <c r="E522" s="9">
        <v>33</v>
      </c>
      <c r="F522" s="10">
        <v>7.6999999999999999E-2</v>
      </c>
      <c r="G522" s="11" t="s">
        <v>628</v>
      </c>
    </row>
    <row r="523" spans="1:7">
      <c r="A523" s="7">
        <v>36693</v>
      </c>
      <c r="B523" s="8">
        <v>17203</v>
      </c>
      <c r="C523" s="8">
        <f t="shared" si="23"/>
        <v>17312.580753424656</v>
      </c>
      <c r="D523" s="7">
        <f t="shared" si="24"/>
        <v>36724</v>
      </c>
      <c r="E523" s="9">
        <v>31</v>
      </c>
      <c r="F523" s="10">
        <v>7.4999999999999997E-2</v>
      </c>
      <c r="G523" s="11" t="s">
        <v>628</v>
      </c>
    </row>
    <row r="524" spans="1:7">
      <c r="A524" s="7">
        <v>36697</v>
      </c>
      <c r="B524" s="8">
        <v>16368</v>
      </c>
      <c r="C524" s="8">
        <f t="shared" si="23"/>
        <v>16468.898630136988</v>
      </c>
      <c r="D524" s="7">
        <f t="shared" si="24"/>
        <v>36727</v>
      </c>
      <c r="E524" s="9">
        <v>30</v>
      </c>
      <c r="F524" s="10">
        <v>7.4999999999999997E-2</v>
      </c>
      <c r="G524" s="11" t="s">
        <v>628</v>
      </c>
    </row>
    <row r="525" spans="1:7">
      <c r="A525" s="7">
        <v>36697</v>
      </c>
      <c r="B525" s="8">
        <v>89484</v>
      </c>
      <c r="C525" s="8">
        <f t="shared" si="23"/>
        <v>90035.613698630143</v>
      </c>
      <c r="D525" s="7">
        <f t="shared" si="24"/>
        <v>36727</v>
      </c>
      <c r="E525" s="9">
        <v>30</v>
      </c>
      <c r="F525" s="10">
        <v>7.4999999999999997E-2</v>
      </c>
      <c r="G525" s="11" t="s">
        <v>628</v>
      </c>
    </row>
    <row r="526" spans="1:7">
      <c r="A526" s="7">
        <v>36705</v>
      </c>
      <c r="B526" s="8">
        <v>34219</v>
      </c>
      <c r="C526" s="8">
        <f t="shared" si="23"/>
        <v>34454.876723287671</v>
      </c>
      <c r="D526" s="7">
        <f t="shared" si="24"/>
        <v>36739</v>
      </c>
      <c r="E526" s="9">
        <v>34</v>
      </c>
      <c r="F526" s="10">
        <v>7.3999999999999996E-2</v>
      </c>
      <c r="G526" s="11" t="s">
        <v>628</v>
      </c>
    </row>
    <row r="527" spans="1:7">
      <c r="A527" s="7">
        <v>36707</v>
      </c>
      <c r="B527" s="8">
        <v>12000</v>
      </c>
      <c r="C527" s="8">
        <f t="shared" si="23"/>
        <v>12080.284931506849</v>
      </c>
      <c r="D527" s="7">
        <f t="shared" si="24"/>
        <v>36740</v>
      </c>
      <c r="E527" s="9">
        <v>33</v>
      </c>
      <c r="F527" s="10">
        <v>7.3999999999999996E-2</v>
      </c>
      <c r="G527" s="11" t="s">
        <v>628</v>
      </c>
    </row>
    <row r="528" spans="1:7">
      <c r="A528" s="7">
        <v>36710</v>
      </c>
      <c r="B528" s="8">
        <v>7051</v>
      </c>
      <c r="C528" s="8">
        <f t="shared" si="23"/>
        <v>7093.8855342465749</v>
      </c>
      <c r="D528" s="7">
        <f t="shared" si="24"/>
        <v>36740</v>
      </c>
      <c r="E528" s="9">
        <v>30</v>
      </c>
      <c r="F528" s="10">
        <v>7.3999999999999996E-2</v>
      </c>
      <c r="G528" s="11" t="s">
        <v>628</v>
      </c>
    </row>
    <row r="529" spans="1:7">
      <c r="A529" s="7">
        <v>36710</v>
      </c>
      <c r="B529" s="8">
        <v>14307</v>
      </c>
      <c r="C529" s="8">
        <f t="shared" si="23"/>
        <v>14389.314246575343</v>
      </c>
      <c r="D529" s="7">
        <f t="shared" si="24"/>
        <v>36740</v>
      </c>
      <c r="E529" s="9">
        <v>30</v>
      </c>
      <c r="F529" s="10">
        <v>7.0000000000000007E-2</v>
      </c>
      <c r="G529" s="11" t="s">
        <v>120</v>
      </c>
    </row>
    <row r="530" spans="1:7">
      <c r="A530" s="7">
        <v>36710</v>
      </c>
      <c r="B530" s="8">
        <v>7732</v>
      </c>
      <c r="C530" s="8">
        <f t="shared" si="23"/>
        <v>7776.4854794520552</v>
      </c>
      <c r="D530" s="7">
        <f t="shared" si="24"/>
        <v>36740</v>
      </c>
      <c r="E530" s="9">
        <v>30</v>
      </c>
      <c r="F530" s="10">
        <v>7.0000000000000007E-2</v>
      </c>
      <c r="G530" s="11" t="s">
        <v>120</v>
      </c>
    </row>
    <row r="531" spans="1:7">
      <c r="A531" s="7">
        <v>36714</v>
      </c>
      <c r="B531" s="8">
        <v>153043</v>
      </c>
      <c r="C531" s="8">
        <f t="shared" si="23"/>
        <v>154017.86294520547</v>
      </c>
      <c r="D531" s="7">
        <f t="shared" si="24"/>
        <v>36745</v>
      </c>
      <c r="E531" s="9">
        <v>31</v>
      </c>
      <c r="F531" s="10">
        <v>7.4999999999999997E-2</v>
      </c>
      <c r="G531" s="11" t="s">
        <v>635</v>
      </c>
    </row>
    <row r="532" spans="1:7">
      <c r="A532" s="7">
        <v>36713</v>
      </c>
      <c r="B532" s="8">
        <v>7099</v>
      </c>
      <c r="C532" s="8">
        <f t="shared" si="23"/>
        <v>7143.1888438356164</v>
      </c>
      <c r="D532" s="7">
        <f t="shared" si="24"/>
        <v>36745</v>
      </c>
      <c r="E532" s="9">
        <v>32</v>
      </c>
      <c r="F532" s="10">
        <v>7.0999999999999994E-2</v>
      </c>
      <c r="G532" s="11" t="s">
        <v>120</v>
      </c>
    </row>
    <row r="533" spans="1:7">
      <c r="A533" s="7">
        <v>36713</v>
      </c>
      <c r="B533" s="8">
        <v>68315</v>
      </c>
      <c r="C533" s="8">
        <f t="shared" si="23"/>
        <v>68740.237479452058</v>
      </c>
      <c r="D533" s="7">
        <f t="shared" si="24"/>
        <v>36745</v>
      </c>
      <c r="E533" s="9">
        <v>32</v>
      </c>
      <c r="F533" s="10">
        <v>7.0999999999999994E-2</v>
      </c>
      <c r="G533" s="11" t="s">
        <v>120</v>
      </c>
    </row>
    <row r="534" spans="1:7">
      <c r="A534" s="7">
        <v>36719</v>
      </c>
      <c r="B534" s="8">
        <v>38700</v>
      </c>
      <c r="C534" s="8">
        <f t="shared" si="23"/>
        <v>38903.572602739725</v>
      </c>
      <c r="D534" s="7">
        <f t="shared" si="24"/>
        <v>36749</v>
      </c>
      <c r="E534" s="9">
        <v>30</v>
      </c>
      <c r="F534" s="10">
        <v>6.4000000000000001E-2</v>
      </c>
      <c r="G534" s="11" t="s">
        <v>638</v>
      </c>
    </row>
    <row r="535" spans="1:7">
      <c r="A535" s="7">
        <v>36719</v>
      </c>
      <c r="B535" s="8">
        <v>29913</v>
      </c>
      <c r="C535" s="8">
        <f t="shared" si="23"/>
        <v>30128.127739726027</v>
      </c>
      <c r="D535" s="7">
        <f t="shared" si="24"/>
        <v>36754</v>
      </c>
      <c r="E535" s="9">
        <v>35</v>
      </c>
      <c r="F535" s="10">
        <v>7.4999999999999997E-2</v>
      </c>
      <c r="G535" s="11" t="s">
        <v>628</v>
      </c>
    </row>
    <row r="536" spans="1:7">
      <c r="A536" s="7">
        <v>36719</v>
      </c>
      <c r="B536" s="8">
        <v>51179</v>
      </c>
      <c r="C536" s="8">
        <f t="shared" si="23"/>
        <v>51547.068150684929</v>
      </c>
      <c r="D536" s="7">
        <f t="shared" si="24"/>
        <v>36754</v>
      </c>
      <c r="E536" s="9">
        <v>35</v>
      </c>
      <c r="F536" s="10">
        <v>7.4999999999999997E-2</v>
      </c>
      <c r="G536" s="11" t="s">
        <v>628</v>
      </c>
    </row>
    <row r="537" spans="1:7">
      <c r="A537" s="7">
        <v>36724</v>
      </c>
      <c r="B537" s="8">
        <v>100000</v>
      </c>
      <c r="C537" s="8">
        <f t="shared" si="23"/>
        <v>100600</v>
      </c>
      <c r="D537" s="7">
        <f t="shared" si="24"/>
        <v>36754</v>
      </c>
      <c r="E537" s="9">
        <v>30</v>
      </c>
      <c r="F537" s="10">
        <v>7.2999999999999995E-2</v>
      </c>
      <c r="G537" s="11" t="s">
        <v>628</v>
      </c>
    </row>
    <row r="538" spans="1:7">
      <c r="A538" s="7">
        <v>36739</v>
      </c>
      <c r="B538" s="8">
        <v>34455</v>
      </c>
      <c r="C538" s="8">
        <f t="shared" si="23"/>
        <v>34667.157842465756</v>
      </c>
      <c r="D538" s="7">
        <f t="shared" si="24"/>
        <v>36770</v>
      </c>
      <c r="E538" s="9">
        <v>31</v>
      </c>
      <c r="F538" s="10">
        <v>7.2499999999999995E-2</v>
      </c>
      <c r="G538" s="11" t="s">
        <v>628</v>
      </c>
    </row>
    <row r="539" spans="1:7">
      <c r="A539" s="7">
        <v>36740</v>
      </c>
      <c r="B539" s="8">
        <v>12080</v>
      </c>
      <c r="C539" s="8">
        <f t="shared" si="23"/>
        <v>12151.983561643836</v>
      </c>
      <c r="D539" s="7">
        <f t="shared" si="24"/>
        <v>36770</v>
      </c>
      <c r="E539" s="9">
        <v>30</v>
      </c>
      <c r="F539" s="10">
        <v>7.2499999999999995E-2</v>
      </c>
      <c r="G539" s="11" t="s">
        <v>628</v>
      </c>
    </row>
    <row r="540" spans="1:7">
      <c r="A540" s="7">
        <v>36740</v>
      </c>
      <c r="B540" s="8">
        <v>7094</v>
      </c>
      <c r="C540" s="8">
        <f t="shared" si="23"/>
        <v>7136.2724657534245</v>
      </c>
      <c r="D540" s="7">
        <f t="shared" si="24"/>
        <v>36770</v>
      </c>
      <c r="E540" s="9">
        <v>30</v>
      </c>
      <c r="F540" s="10">
        <v>7.2499999999999995E-2</v>
      </c>
      <c r="G540" s="11" t="s">
        <v>628</v>
      </c>
    </row>
    <row r="541" spans="1:7">
      <c r="A541" s="7">
        <v>36740</v>
      </c>
      <c r="B541" s="8">
        <v>14390</v>
      </c>
      <c r="C541" s="8">
        <f t="shared" si="23"/>
        <v>14472.791780821917</v>
      </c>
      <c r="D541" s="7">
        <f t="shared" si="24"/>
        <v>36770</v>
      </c>
      <c r="E541" s="9">
        <v>30</v>
      </c>
      <c r="F541" s="10">
        <v>7.0000000000000007E-2</v>
      </c>
      <c r="G541" s="11" t="s">
        <v>120</v>
      </c>
    </row>
    <row r="542" spans="1:7">
      <c r="A542" s="7">
        <v>36738</v>
      </c>
      <c r="B542" s="8">
        <v>7000</v>
      </c>
      <c r="C542" s="8">
        <f t="shared" si="23"/>
        <v>7042.9589041095887</v>
      </c>
      <c r="D542" s="7">
        <f t="shared" si="24"/>
        <v>36770</v>
      </c>
      <c r="E542" s="9">
        <v>32</v>
      </c>
      <c r="F542" s="10">
        <v>7.0000000000000007E-2</v>
      </c>
      <c r="G542" s="11" t="s">
        <v>120</v>
      </c>
    </row>
    <row r="543" spans="1:7">
      <c r="A543" s="7">
        <v>36740</v>
      </c>
      <c r="B543" s="8">
        <v>7776</v>
      </c>
      <c r="C543" s="8">
        <f t="shared" si="23"/>
        <v>7820.7386301369861</v>
      </c>
      <c r="D543" s="7">
        <f t="shared" si="24"/>
        <v>36770</v>
      </c>
      <c r="E543" s="9">
        <v>30</v>
      </c>
      <c r="F543" s="10">
        <v>7.0000000000000007E-2</v>
      </c>
      <c r="G543" s="11" t="s">
        <v>120</v>
      </c>
    </row>
    <row r="544" spans="1:7">
      <c r="A544" s="7">
        <v>36745</v>
      </c>
      <c r="B544" s="8">
        <v>68740</v>
      </c>
      <c r="C544" s="8">
        <f t="shared" si="23"/>
        <v>69141.140273972604</v>
      </c>
      <c r="D544" s="7">
        <f t="shared" si="24"/>
        <v>36775</v>
      </c>
      <c r="E544" s="9">
        <v>30</v>
      </c>
      <c r="F544" s="10">
        <v>7.0999999999999994E-2</v>
      </c>
      <c r="G544" s="11" t="s">
        <v>120</v>
      </c>
    </row>
    <row r="545" spans="1:7">
      <c r="A545" s="7">
        <v>36745</v>
      </c>
      <c r="B545" s="8">
        <v>7143</v>
      </c>
      <c r="C545" s="8">
        <f t="shared" si="23"/>
        <v>7184.683808219178</v>
      </c>
      <c r="D545" s="7">
        <f t="shared" si="24"/>
        <v>36775</v>
      </c>
      <c r="E545" s="9">
        <v>30</v>
      </c>
      <c r="F545" s="10">
        <v>7.0999999999999994E-2</v>
      </c>
      <c r="G545" s="11" t="s">
        <v>120</v>
      </c>
    </row>
    <row r="546" spans="1:7">
      <c r="A546" s="7">
        <v>36745</v>
      </c>
      <c r="B546" s="8">
        <v>154018</v>
      </c>
      <c r="C546" s="8">
        <f t="shared" ref="C546:C577" si="25">B546+(B546*F546/365*E546)*1</f>
        <v>154948.43750684932</v>
      </c>
      <c r="D546" s="7">
        <f t="shared" ref="D546:D577" si="26">A546+E546</f>
        <v>36775</v>
      </c>
      <c r="E546" s="9">
        <v>30</v>
      </c>
      <c r="F546" s="10">
        <v>7.3499999999999996E-2</v>
      </c>
      <c r="G546" s="11" t="s">
        <v>635</v>
      </c>
    </row>
    <row r="547" spans="1:7">
      <c r="A547" s="7">
        <v>36754</v>
      </c>
      <c r="B547" s="8">
        <v>30128</v>
      </c>
      <c r="C547" s="8">
        <f t="shared" si="25"/>
        <v>30308.768</v>
      </c>
      <c r="D547" s="7">
        <f t="shared" si="26"/>
        <v>36784</v>
      </c>
      <c r="E547" s="9">
        <v>30</v>
      </c>
      <c r="F547" s="10">
        <v>7.2999999999999995E-2</v>
      </c>
      <c r="G547" s="11" t="s">
        <v>628</v>
      </c>
    </row>
    <row r="548" spans="1:7">
      <c r="A548" s="7">
        <v>36754</v>
      </c>
      <c r="B548" s="8">
        <v>51547</v>
      </c>
      <c r="C548" s="8">
        <f t="shared" si="25"/>
        <v>51856.281999999999</v>
      </c>
      <c r="D548" s="7">
        <f t="shared" si="26"/>
        <v>36784</v>
      </c>
      <c r="E548" s="9">
        <v>30</v>
      </c>
      <c r="F548" s="10">
        <v>7.2999999999999995E-2</v>
      </c>
      <c r="G548" s="11" t="s">
        <v>628</v>
      </c>
    </row>
    <row r="549" spans="1:7">
      <c r="A549" s="7">
        <v>36754</v>
      </c>
      <c r="B549" s="8">
        <v>100600</v>
      </c>
      <c r="C549" s="8">
        <f t="shared" si="25"/>
        <v>101203.6</v>
      </c>
      <c r="D549" s="7">
        <f t="shared" si="26"/>
        <v>36784</v>
      </c>
      <c r="E549" s="9">
        <v>30</v>
      </c>
      <c r="F549" s="10">
        <v>7.2999999999999995E-2</v>
      </c>
      <c r="G549" s="11" t="s">
        <v>628</v>
      </c>
    </row>
    <row r="550" spans="1:7">
      <c r="A550" s="7">
        <v>36756</v>
      </c>
      <c r="B550" s="8">
        <v>6800</v>
      </c>
      <c r="C550" s="8">
        <f t="shared" si="25"/>
        <v>6841.8712328767124</v>
      </c>
      <c r="D550" s="7">
        <f t="shared" si="26"/>
        <v>36787</v>
      </c>
      <c r="E550" s="9">
        <v>31</v>
      </c>
      <c r="F550" s="10">
        <v>7.2499999999999995E-2</v>
      </c>
      <c r="G550" s="11" t="s">
        <v>628</v>
      </c>
    </row>
    <row r="551" spans="1:7">
      <c r="A551" s="7">
        <v>36770</v>
      </c>
      <c r="B551" s="8">
        <v>14473</v>
      </c>
      <c r="C551" s="8">
        <f t="shared" si="25"/>
        <v>14559.044958904109</v>
      </c>
      <c r="D551" s="7">
        <f t="shared" si="26"/>
        <v>36801</v>
      </c>
      <c r="E551" s="9">
        <v>31</v>
      </c>
      <c r="F551" s="10">
        <v>7.0000000000000007E-2</v>
      </c>
      <c r="G551" s="11" t="s">
        <v>120</v>
      </c>
    </row>
    <row r="552" spans="1:7">
      <c r="A552" s="7">
        <v>36770</v>
      </c>
      <c r="B552" s="8">
        <v>7043</v>
      </c>
      <c r="C552" s="8">
        <f t="shared" si="25"/>
        <v>7084.8720821917805</v>
      </c>
      <c r="D552" s="7">
        <f t="shared" si="26"/>
        <v>36801</v>
      </c>
      <c r="E552" s="9">
        <v>31</v>
      </c>
      <c r="F552" s="10">
        <v>7.0000000000000007E-2</v>
      </c>
      <c r="G552" s="11" t="s">
        <v>120</v>
      </c>
    </row>
    <row r="553" spans="1:7">
      <c r="A553" s="7">
        <v>36770</v>
      </c>
      <c r="B553" s="8">
        <v>7821</v>
      </c>
      <c r="C553" s="8">
        <f t="shared" si="25"/>
        <v>7867.4974520547948</v>
      </c>
      <c r="D553" s="7">
        <f t="shared" si="26"/>
        <v>36801</v>
      </c>
      <c r="E553" s="9">
        <v>31</v>
      </c>
      <c r="F553" s="10">
        <v>7.0000000000000007E-2</v>
      </c>
      <c r="G553" s="11" t="s">
        <v>120</v>
      </c>
    </row>
    <row r="554" spans="1:7">
      <c r="A554" s="7">
        <v>36770</v>
      </c>
      <c r="B554" s="8">
        <v>13636</v>
      </c>
      <c r="C554" s="8">
        <f t="shared" si="25"/>
        <v>13724.148334246574</v>
      </c>
      <c r="D554" s="7">
        <f t="shared" si="26"/>
        <v>36803</v>
      </c>
      <c r="E554" s="9">
        <v>33</v>
      </c>
      <c r="F554" s="10">
        <v>7.1499999999999994E-2</v>
      </c>
      <c r="G554" s="11" t="s">
        <v>628</v>
      </c>
    </row>
    <row r="555" spans="1:7">
      <c r="A555" s="7">
        <v>36770</v>
      </c>
      <c r="B555" s="8">
        <v>34667</v>
      </c>
      <c r="C555" s="8">
        <f t="shared" si="25"/>
        <v>34891.100784931506</v>
      </c>
      <c r="D555" s="7">
        <f t="shared" si="26"/>
        <v>36803</v>
      </c>
      <c r="E555" s="9">
        <v>33</v>
      </c>
      <c r="F555" s="10">
        <v>7.1499999999999994E-2</v>
      </c>
      <c r="G555" s="11" t="s">
        <v>628</v>
      </c>
    </row>
    <row r="556" spans="1:7">
      <c r="A556" s="7">
        <v>36770</v>
      </c>
      <c r="B556" s="8">
        <v>12152</v>
      </c>
      <c r="C556" s="8">
        <f t="shared" si="25"/>
        <v>12230.555189041095</v>
      </c>
      <c r="D556" s="7">
        <f t="shared" si="26"/>
        <v>36803</v>
      </c>
      <c r="E556" s="9">
        <v>33</v>
      </c>
      <c r="F556" s="10">
        <v>7.1499999999999994E-2</v>
      </c>
      <c r="G556" s="11" t="s">
        <v>628</v>
      </c>
    </row>
    <row r="557" spans="1:7">
      <c r="A557" s="7">
        <v>36775</v>
      </c>
      <c r="B557" s="8">
        <v>69141</v>
      </c>
      <c r="C557" s="8">
        <f t="shared" si="25"/>
        <v>69550.163178082192</v>
      </c>
      <c r="D557" s="7">
        <f t="shared" si="26"/>
        <v>36805</v>
      </c>
      <c r="E557" s="9">
        <v>30</v>
      </c>
      <c r="F557" s="10">
        <v>7.1999999999999995E-2</v>
      </c>
      <c r="G557" s="11" t="s">
        <v>120</v>
      </c>
    </row>
    <row r="558" spans="1:7">
      <c r="A558" s="7">
        <v>36775</v>
      </c>
      <c r="B558" s="8">
        <v>7185</v>
      </c>
      <c r="C558" s="8">
        <f t="shared" si="25"/>
        <v>7227.5194520547948</v>
      </c>
      <c r="D558" s="7">
        <f t="shared" si="26"/>
        <v>36805</v>
      </c>
      <c r="E558" s="9">
        <v>30</v>
      </c>
      <c r="F558" s="10">
        <v>7.1999999999999995E-2</v>
      </c>
      <c r="G558" s="11" t="s">
        <v>120</v>
      </c>
    </row>
    <row r="559" spans="1:7">
      <c r="A559" s="7">
        <v>36775</v>
      </c>
      <c r="B559" s="8">
        <v>154948</v>
      </c>
      <c r="C559" s="8">
        <f t="shared" si="25"/>
        <v>155903.15890410959</v>
      </c>
      <c r="D559" s="7">
        <f t="shared" si="26"/>
        <v>36805</v>
      </c>
      <c r="E559" s="9">
        <v>30</v>
      </c>
      <c r="F559" s="10">
        <v>7.4999999999999997E-2</v>
      </c>
      <c r="G559" s="11" t="s">
        <v>635</v>
      </c>
    </row>
    <row r="560" spans="1:7">
      <c r="A560" s="7">
        <v>36784</v>
      </c>
      <c r="B560" s="8">
        <v>91684</v>
      </c>
      <c r="C560" s="8">
        <f t="shared" si="25"/>
        <v>92286.853698630133</v>
      </c>
      <c r="D560" s="7">
        <f t="shared" si="26"/>
        <v>36816</v>
      </c>
      <c r="E560" s="9">
        <v>32</v>
      </c>
      <c r="F560" s="10">
        <v>7.4999999999999997E-2</v>
      </c>
      <c r="G560" s="11" t="s">
        <v>628</v>
      </c>
    </row>
    <row r="561" spans="1:7">
      <c r="A561" s="7">
        <v>36784</v>
      </c>
      <c r="B561" s="8">
        <v>91685</v>
      </c>
      <c r="C561" s="8">
        <f t="shared" si="25"/>
        <v>92419.735958904115</v>
      </c>
      <c r="D561" s="7">
        <f t="shared" si="26"/>
        <v>36823</v>
      </c>
      <c r="E561" s="9">
        <v>39</v>
      </c>
      <c r="F561" s="10">
        <v>7.4999999999999997E-2</v>
      </c>
      <c r="G561" s="11" t="s">
        <v>628</v>
      </c>
    </row>
    <row r="562" spans="1:7">
      <c r="A562" s="7">
        <v>36797</v>
      </c>
      <c r="B562" s="8">
        <v>24425</v>
      </c>
      <c r="C562" s="8">
        <f t="shared" si="25"/>
        <v>24600.190821917808</v>
      </c>
      <c r="D562" s="7">
        <f t="shared" si="26"/>
        <v>36831</v>
      </c>
      <c r="E562" s="9">
        <v>34</v>
      </c>
      <c r="F562" s="10">
        <v>7.6999999999999999E-2</v>
      </c>
      <c r="G562" s="11" t="s">
        <v>628</v>
      </c>
    </row>
    <row r="563" spans="1:7">
      <c r="A563" s="7">
        <v>36798</v>
      </c>
      <c r="B563" s="8">
        <f>50500+5600</f>
        <v>56100</v>
      </c>
      <c r="C563" s="8">
        <f t="shared" si="25"/>
        <v>56505.764383561647</v>
      </c>
      <c r="D563" s="7">
        <f t="shared" si="26"/>
        <v>36831</v>
      </c>
      <c r="E563" s="9">
        <v>33</v>
      </c>
      <c r="F563" s="10">
        <v>0.08</v>
      </c>
      <c r="G563" s="11" t="s">
        <v>120</v>
      </c>
    </row>
    <row r="564" spans="1:7">
      <c r="A564" s="7">
        <v>36801</v>
      </c>
      <c r="B564" s="8">
        <v>14559</v>
      </c>
      <c r="C564" s="8">
        <f t="shared" si="25"/>
        <v>14655.927041095891</v>
      </c>
      <c r="D564" s="7">
        <f t="shared" si="26"/>
        <v>36831</v>
      </c>
      <c r="E564" s="9">
        <v>30</v>
      </c>
      <c r="F564" s="10">
        <v>8.1000000000000003E-2</v>
      </c>
      <c r="G564" s="11" t="s">
        <v>120</v>
      </c>
    </row>
    <row r="565" spans="1:7">
      <c r="A565" s="7">
        <v>36801</v>
      </c>
      <c r="B565" s="8">
        <v>7868</v>
      </c>
      <c r="C565" s="8">
        <f t="shared" si="25"/>
        <v>7920.3814794520549</v>
      </c>
      <c r="D565" s="7">
        <f t="shared" si="26"/>
        <v>36831</v>
      </c>
      <c r="E565" s="9">
        <v>30</v>
      </c>
      <c r="F565" s="10">
        <v>8.1000000000000003E-2</v>
      </c>
      <c r="G565" s="11" t="s">
        <v>120</v>
      </c>
    </row>
    <row r="566" spans="1:7">
      <c r="A566" s="7">
        <v>36801</v>
      </c>
      <c r="B566" s="8">
        <v>7085</v>
      </c>
      <c r="C566" s="8">
        <f t="shared" si="25"/>
        <v>7132.1686301369864</v>
      </c>
      <c r="D566" s="7">
        <f t="shared" si="26"/>
        <v>36831</v>
      </c>
      <c r="E566" s="9">
        <v>30</v>
      </c>
      <c r="F566" s="10">
        <v>8.1000000000000003E-2</v>
      </c>
      <c r="G566" s="11" t="s">
        <v>120</v>
      </c>
    </row>
    <row r="567" spans="1:7">
      <c r="A567" s="7">
        <v>36805</v>
      </c>
      <c r="B567" s="8">
        <v>7228</v>
      </c>
      <c r="C567" s="8">
        <f t="shared" si="25"/>
        <v>7278.9722520547948</v>
      </c>
      <c r="D567" s="7">
        <f t="shared" si="26"/>
        <v>36838</v>
      </c>
      <c r="E567" s="9">
        <v>33</v>
      </c>
      <c r="F567" s="10">
        <v>7.8E-2</v>
      </c>
      <c r="G567" s="11" t="s">
        <v>120</v>
      </c>
    </row>
    <row r="568" spans="1:7">
      <c r="A568" s="7">
        <v>36805</v>
      </c>
      <c r="B568" s="8">
        <v>69550</v>
      </c>
      <c r="C568" s="8">
        <f t="shared" si="25"/>
        <v>70040.470410958907</v>
      </c>
      <c r="D568" s="7">
        <f t="shared" si="26"/>
        <v>36838</v>
      </c>
      <c r="E568" s="9">
        <v>33</v>
      </c>
      <c r="F568" s="10">
        <v>7.8E-2</v>
      </c>
      <c r="G568" s="11" t="s">
        <v>120</v>
      </c>
    </row>
    <row r="569" spans="1:7">
      <c r="A569" s="7">
        <v>36805</v>
      </c>
      <c r="B569" s="8">
        <v>77900</v>
      </c>
      <c r="C569" s="8">
        <f t="shared" si="25"/>
        <v>78463.441095890405</v>
      </c>
      <c r="D569" s="7">
        <f t="shared" si="26"/>
        <v>36838</v>
      </c>
      <c r="E569" s="9">
        <v>33</v>
      </c>
      <c r="F569" s="10">
        <v>0.08</v>
      </c>
      <c r="G569" s="11" t="s">
        <v>635</v>
      </c>
    </row>
    <row r="570" spans="1:7">
      <c r="A570" s="7">
        <v>36803</v>
      </c>
      <c r="B570" s="8">
        <v>34891</v>
      </c>
      <c r="C570" s="8">
        <f t="shared" si="25"/>
        <v>35148.619849315066</v>
      </c>
      <c r="D570" s="7">
        <f t="shared" si="26"/>
        <v>36838</v>
      </c>
      <c r="E570" s="9">
        <v>35</v>
      </c>
      <c r="F570" s="10">
        <v>7.6999999999999999E-2</v>
      </c>
      <c r="G570" s="11" t="s">
        <v>628</v>
      </c>
    </row>
    <row r="571" spans="1:7">
      <c r="A571" s="7">
        <v>36803</v>
      </c>
      <c r="B571" s="8">
        <v>13724</v>
      </c>
      <c r="C571" s="8">
        <f t="shared" si="25"/>
        <v>13825.332</v>
      </c>
      <c r="D571" s="7">
        <f t="shared" si="26"/>
        <v>36838</v>
      </c>
      <c r="E571" s="9">
        <v>35</v>
      </c>
      <c r="F571" s="10">
        <v>7.6999999999999999E-2</v>
      </c>
      <c r="G571" s="11" t="s">
        <v>628</v>
      </c>
    </row>
    <row r="572" spans="1:7">
      <c r="A572" s="7">
        <v>36803</v>
      </c>
      <c r="B572" s="8">
        <v>12231</v>
      </c>
      <c r="C572" s="8">
        <f t="shared" si="25"/>
        <v>12321.308342465754</v>
      </c>
      <c r="D572" s="7">
        <f t="shared" si="26"/>
        <v>36838</v>
      </c>
      <c r="E572" s="9">
        <v>35</v>
      </c>
      <c r="F572" s="10">
        <v>7.6999999999999999E-2</v>
      </c>
      <c r="G572" s="11" t="s">
        <v>628</v>
      </c>
    </row>
    <row r="573" spans="1:7">
      <c r="A573" s="7">
        <v>36753</v>
      </c>
      <c r="B573" s="8">
        <v>38903</v>
      </c>
      <c r="C573" s="8">
        <f t="shared" si="25"/>
        <v>39574.476438356163</v>
      </c>
      <c r="D573" s="7">
        <f t="shared" si="26"/>
        <v>36843</v>
      </c>
      <c r="E573" s="9">
        <v>90</v>
      </c>
      <c r="F573" s="10">
        <v>7.0000000000000007E-2</v>
      </c>
      <c r="G573" s="11" t="s">
        <v>569</v>
      </c>
    </row>
    <row r="574" spans="1:7">
      <c r="A574" s="7">
        <v>36811</v>
      </c>
      <c r="B574" s="8">
        <v>20350</v>
      </c>
      <c r="C574" s="8">
        <f t="shared" si="25"/>
        <v>20487.432191780823</v>
      </c>
      <c r="D574" s="7">
        <f t="shared" si="26"/>
        <v>36845</v>
      </c>
      <c r="E574" s="9">
        <v>34</v>
      </c>
      <c r="F574" s="10">
        <v>7.2499999999999995E-2</v>
      </c>
      <c r="G574" s="11" t="s">
        <v>569</v>
      </c>
    </row>
    <row r="575" spans="1:7">
      <c r="A575" s="7">
        <v>36805</v>
      </c>
      <c r="B575" s="8">
        <v>78003</v>
      </c>
      <c r="C575" s="8">
        <f t="shared" si="25"/>
        <v>78686.861917808215</v>
      </c>
      <c r="D575" s="7">
        <f t="shared" si="26"/>
        <v>36845</v>
      </c>
      <c r="E575" s="9">
        <v>40</v>
      </c>
      <c r="F575" s="10">
        <v>0.08</v>
      </c>
      <c r="G575" s="11" t="s">
        <v>635</v>
      </c>
    </row>
    <row r="576" spans="1:7">
      <c r="A576" s="7">
        <v>36805</v>
      </c>
      <c r="B576" s="8">
        <v>37050</v>
      </c>
      <c r="C576" s="8">
        <f t="shared" si="25"/>
        <v>37382.536438356161</v>
      </c>
      <c r="D576" s="7">
        <f t="shared" si="26"/>
        <v>36847</v>
      </c>
      <c r="E576" s="9">
        <v>42</v>
      </c>
      <c r="F576" s="10">
        <v>7.8E-2</v>
      </c>
      <c r="G576" s="11" t="s">
        <v>120</v>
      </c>
    </row>
    <row r="577" spans="1:7">
      <c r="A577" s="7">
        <v>36816</v>
      </c>
      <c r="B577" s="8">
        <v>92287</v>
      </c>
      <c r="C577" s="8">
        <f t="shared" si="25"/>
        <v>92898.369769863013</v>
      </c>
      <c r="D577" s="7">
        <f t="shared" si="26"/>
        <v>36847</v>
      </c>
      <c r="E577" s="9">
        <v>31</v>
      </c>
      <c r="F577" s="10">
        <v>7.8E-2</v>
      </c>
      <c r="G577" s="11" t="s">
        <v>628</v>
      </c>
    </row>
    <row r="578" spans="1:7">
      <c r="A578" s="7">
        <v>36817</v>
      </c>
      <c r="B578" s="8">
        <v>28800</v>
      </c>
      <c r="C578" s="8">
        <f t="shared" ref="C578:C609" si="27">B578+(B578*F578/365*E578)*1</f>
        <v>28989.369863013697</v>
      </c>
      <c r="D578" s="7">
        <f t="shared" ref="D578:D609" si="28">A578+E578</f>
        <v>36847</v>
      </c>
      <c r="E578" s="9">
        <v>30</v>
      </c>
      <c r="F578" s="10">
        <v>0.08</v>
      </c>
      <c r="G578" s="11" t="s">
        <v>628</v>
      </c>
    </row>
    <row r="579" spans="1:7">
      <c r="A579" s="7">
        <v>36830</v>
      </c>
      <c r="B579" s="8">
        <v>92420</v>
      </c>
      <c r="C579" s="8">
        <f t="shared" si="27"/>
        <v>93107.452876712327</v>
      </c>
      <c r="D579" s="7">
        <f t="shared" si="28"/>
        <v>36860</v>
      </c>
      <c r="E579" s="9">
        <v>30</v>
      </c>
      <c r="F579" s="10">
        <v>9.0499999999999997E-2</v>
      </c>
      <c r="G579" s="11" t="s">
        <v>120</v>
      </c>
    </row>
    <row r="580" spans="1:7">
      <c r="A580" s="7">
        <v>36831</v>
      </c>
      <c r="B580" s="8">
        <v>24600</v>
      </c>
      <c r="C580" s="8">
        <f t="shared" si="27"/>
        <v>24761.753424657534</v>
      </c>
      <c r="D580" s="7">
        <f t="shared" si="28"/>
        <v>36861</v>
      </c>
      <c r="E580" s="9">
        <v>30</v>
      </c>
      <c r="F580" s="10">
        <v>0.08</v>
      </c>
      <c r="G580" s="11" t="s">
        <v>628</v>
      </c>
    </row>
    <row r="581" spans="1:7">
      <c r="A581" s="7">
        <v>36831</v>
      </c>
      <c r="B581" s="8">
        <v>56506</v>
      </c>
      <c r="C581" s="8">
        <f t="shared" si="27"/>
        <v>56928.63391780822</v>
      </c>
      <c r="D581" s="7">
        <f t="shared" si="28"/>
        <v>36861</v>
      </c>
      <c r="E581" s="9">
        <v>30</v>
      </c>
      <c r="F581" s="10">
        <v>9.0999999999999998E-2</v>
      </c>
      <c r="G581" s="11" t="s">
        <v>120</v>
      </c>
    </row>
    <row r="582" spans="1:7">
      <c r="A582" s="7">
        <v>36831</v>
      </c>
      <c r="B582" s="8">
        <v>14656</v>
      </c>
      <c r="C582" s="8">
        <f t="shared" si="27"/>
        <v>14765.618849315069</v>
      </c>
      <c r="D582" s="7">
        <f t="shared" si="28"/>
        <v>36861</v>
      </c>
      <c r="E582" s="9">
        <v>30</v>
      </c>
      <c r="F582" s="10">
        <v>9.0999999999999998E-2</v>
      </c>
      <c r="G582" s="11" t="s">
        <v>120</v>
      </c>
    </row>
    <row r="583" spans="1:7">
      <c r="A583" s="7">
        <v>36831</v>
      </c>
      <c r="B583" s="8">
        <v>7919</v>
      </c>
      <c r="C583" s="8">
        <f t="shared" si="27"/>
        <v>7978.2297808219182</v>
      </c>
      <c r="D583" s="7">
        <f t="shared" si="28"/>
        <v>36861</v>
      </c>
      <c r="E583" s="9">
        <v>30</v>
      </c>
      <c r="F583" s="10">
        <v>9.0999999999999998E-2</v>
      </c>
      <c r="G583" s="11" t="s">
        <v>120</v>
      </c>
    </row>
    <row r="584" spans="1:7">
      <c r="A584" s="7">
        <v>36831</v>
      </c>
      <c r="B584" s="8">
        <v>7132</v>
      </c>
      <c r="C584" s="8">
        <f t="shared" si="27"/>
        <v>7185.3434520547944</v>
      </c>
      <c r="D584" s="7">
        <f t="shared" si="28"/>
        <v>36861</v>
      </c>
      <c r="E584" s="9">
        <v>30</v>
      </c>
      <c r="F584" s="10">
        <v>9.0999999999999998E-2</v>
      </c>
      <c r="G584" s="11" t="s">
        <v>120</v>
      </c>
    </row>
    <row r="585" spans="1:7">
      <c r="A585" s="7">
        <v>36845</v>
      </c>
      <c r="B585" s="8">
        <v>78687</v>
      </c>
      <c r="C585" s="8">
        <f t="shared" si="27"/>
        <v>79278.769356164383</v>
      </c>
      <c r="D585" s="7">
        <f t="shared" si="28"/>
        <v>36875</v>
      </c>
      <c r="E585" s="9">
        <v>30</v>
      </c>
      <c r="F585" s="10">
        <v>9.1499999999999998E-2</v>
      </c>
      <c r="G585" s="11" t="s">
        <v>569</v>
      </c>
    </row>
    <row r="586" spans="1:7">
      <c r="A586" s="7">
        <v>36847</v>
      </c>
      <c r="B586" s="8">
        <v>92898</v>
      </c>
      <c r="C586" s="8">
        <f t="shared" si="27"/>
        <v>93627.821958904111</v>
      </c>
      <c r="D586" s="7">
        <f t="shared" si="28"/>
        <v>36878</v>
      </c>
      <c r="E586" s="9">
        <v>31</v>
      </c>
      <c r="F586" s="10">
        <v>9.2499999999999999E-2</v>
      </c>
      <c r="G586" s="11" t="s">
        <v>628</v>
      </c>
    </row>
    <row r="587" spans="1:7">
      <c r="A587" s="7">
        <v>36847</v>
      </c>
      <c r="B587" s="8">
        <v>13989</v>
      </c>
      <c r="C587" s="8">
        <f t="shared" si="27"/>
        <v>14098.899883561644</v>
      </c>
      <c r="D587" s="7">
        <f t="shared" si="28"/>
        <v>36878</v>
      </c>
      <c r="E587" s="9">
        <v>31</v>
      </c>
      <c r="F587" s="10">
        <v>9.2499999999999999E-2</v>
      </c>
      <c r="G587" s="11" t="s">
        <v>628</v>
      </c>
    </row>
    <row r="588" spans="1:7">
      <c r="A588" s="7">
        <v>36847</v>
      </c>
      <c r="B588" s="8">
        <v>37383</v>
      </c>
      <c r="C588" s="8">
        <f t="shared" si="27"/>
        <v>37668.749506849315</v>
      </c>
      <c r="D588" s="7">
        <f t="shared" si="28"/>
        <v>36878</v>
      </c>
      <c r="E588" s="9">
        <v>31</v>
      </c>
      <c r="F588" s="10">
        <v>0.09</v>
      </c>
      <c r="G588" s="11" t="s">
        <v>120</v>
      </c>
    </row>
    <row r="589" spans="1:7">
      <c r="A589" s="7">
        <v>36858</v>
      </c>
      <c r="B589" s="8">
        <v>50000</v>
      </c>
      <c r="C589" s="8">
        <f t="shared" si="27"/>
        <v>50390.410958904111</v>
      </c>
      <c r="D589" s="7">
        <f t="shared" si="28"/>
        <v>36888</v>
      </c>
      <c r="E589" s="9">
        <v>30</v>
      </c>
      <c r="F589" s="10">
        <v>9.5000000000000001E-2</v>
      </c>
      <c r="G589" s="11" t="s">
        <v>441</v>
      </c>
    </row>
    <row r="590" spans="1:7">
      <c r="A590" s="7">
        <v>36858</v>
      </c>
      <c r="B590" s="8">
        <v>50000</v>
      </c>
      <c r="C590" s="8">
        <f t="shared" si="27"/>
        <v>50390.410958904111</v>
      </c>
      <c r="D590" s="7">
        <f t="shared" si="28"/>
        <v>36888</v>
      </c>
      <c r="E590" s="9">
        <v>30</v>
      </c>
      <c r="F590" s="10">
        <v>9.5000000000000001E-2</v>
      </c>
      <c r="G590" s="11" t="s">
        <v>441</v>
      </c>
    </row>
    <row r="591" spans="1:7">
      <c r="A591" s="7">
        <v>36858</v>
      </c>
      <c r="B591" s="8">
        <v>50000</v>
      </c>
      <c r="C591" s="8">
        <f t="shared" si="27"/>
        <v>50390.410958904111</v>
      </c>
      <c r="D591" s="7">
        <f t="shared" si="28"/>
        <v>36888</v>
      </c>
      <c r="E591" s="9">
        <v>30</v>
      </c>
      <c r="F591" s="10">
        <v>9.5000000000000001E-2</v>
      </c>
      <c r="G591" s="11" t="s">
        <v>441</v>
      </c>
    </row>
    <row r="592" spans="1:7">
      <c r="A592" s="7">
        <v>36861</v>
      </c>
      <c r="B592" s="8">
        <v>56929</v>
      </c>
      <c r="C592" s="8">
        <f t="shared" si="27"/>
        <v>57388.175276712325</v>
      </c>
      <c r="D592" s="7">
        <f t="shared" si="28"/>
        <v>36893</v>
      </c>
      <c r="E592" s="9">
        <v>32</v>
      </c>
      <c r="F592" s="10">
        <v>9.1999999999999998E-2</v>
      </c>
      <c r="G592" s="11" t="s">
        <v>120</v>
      </c>
    </row>
    <row r="593" spans="1:7">
      <c r="A593" s="7">
        <v>36860</v>
      </c>
      <c r="B593" s="8">
        <v>93160</v>
      </c>
      <c r="C593" s="8">
        <f t="shared" si="27"/>
        <v>94005.33128767123</v>
      </c>
      <c r="D593" s="7">
        <f t="shared" si="28"/>
        <v>36896</v>
      </c>
      <c r="E593" s="9">
        <v>36</v>
      </c>
      <c r="F593" s="10">
        <v>9.1999999999999998E-2</v>
      </c>
      <c r="G593" s="11" t="s">
        <v>120</v>
      </c>
    </row>
    <row r="594" spans="1:7">
      <c r="A594" s="7">
        <v>36861</v>
      </c>
      <c r="B594" s="8">
        <v>24762</v>
      </c>
      <c r="C594" s="8">
        <f t="shared" si="27"/>
        <v>24975.699452054796</v>
      </c>
      <c r="D594" s="7">
        <f t="shared" si="28"/>
        <v>36896</v>
      </c>
      <c r="E594" s="9">
        <v>35</v>
      </c>
      <c r="F594" s="10">
        <v>0.09</v>
      </c>
      <c r="G594" s="11" t="s">
        <v>628</v>
      </c>
    </row>
    <row r="595" spans="1:7">
      <c r="A595" s="7">
        <v>36878</v>
      </c>
      <c r="B595" s="8">
        <v>107727</v>
      </c>
      <c r="C595" s="8">
        <f t="shared" si="27"/>
        <v>108700.9701369863</v>
      </c>
      <c r="D595" s="7">
        <f t="shared" si="28"/>
        <v>36908</v>
      </c>
      <c r="E595" s="9">
        <v>30</v>
      </c>
      <c r="F595" s="10">
        <v>0.11</v>
      </c>
      <c r="G595" s="11" t="s">
        <v>569</v>
      </c>
    </row>
    <row r="596" spans="1:7">
      <c r="A596" s="7">
        <v>36878</v>
      </c>
      <c r="B596" s="8">
        <v>37669</v>
      </c>
      <c r="C596" s="8">
        <f t="shared" si="27"/>
        <v>38009.569041095892</v>
      </c>
      <c r="D596" s="7">
        <f t="shared" si="28"/>
        <v>36908</v>
      </c>
      <c r="E596" s="9">
        <v>30</v>
      </c>
      <c r="F596" s="10">
        <v>0.11</v>
      </c>
      <c r="G596" s="11" t="s">
        <v>120</v>
      </c>
    </row>
    <row r="597" spans="1:7">
      <c r="A597" s="7">
        <v>36888</v>
      </c>
      <c r="B597" s="8">
        <v>50390.41</v>
      </c>
      <c r="C597" s="8">
        <f t="shared" si="27"/>
        <v>50912.261369315071</v>
      </c>
      <c r="D597" s="7">
        <f t="shared" si="28"/>
        <v>36924</v>
      </c>
      <c r="E597" s="9">
        <v>36</v>
      </c>
      <c r="F597" s="10">
        <v>0.105</v>
      </c>
      <c r="G597" s="11" t="s">
        <v>441</v>
      </c>
    </row>
    <row r="598" spans="1:7">
      <c r="A598" s="7">
        <v>36888</v>
      </c>
      <c r="B598" s="8">
        <v>50390.41</v>
      </c>
      <c r="C598" s="8">
        <f t="shared" si="27"/>
        <v>50912.261369315071</v>
      </c>
      <c r="D598" s="7">
        <f t="shared" si="28"/>
        <v>36924</v>
      </c>
      <c r="E598" s="9">
        <v>36</v>
      </c>
      <c r="F598" s="10">
        <v>0.105</v>
      </c>
      <c r="G598" s="11" t="s">
        <v>441</v>
      </c>
    </row>
    <row r="599" spans="1:7">
      <c r="A599" s="7">
        <v>36888</v>
      </c>
      <c r="B599" s="8">
        <v>50390.41</v>
      </c>
      <c r="C599" s="8">
        <f t="shared" si="27"/>
        <v>50912.261369315071</v>
      </c>
      <c r="D599" s="7">
        <f t="shared" si="28"/>
        <v>36924</v>
      </c>
      <c r="E599" s="9">
        <v>36</v>
      </c>
      <c r="F599" s="10">
        <v>0.105</v>
      </c>
      <c r="G599" s="11" t="s">
        <v>441</v>
      </c>
    </row>
    <row r="600" spans="1:7">
      <c r="A600" s="7">
        <v>36888</v>
      </c>
      <c r="B600" s="8">
        <v>5100</v>
      </c>
      <c r="C600" s="8">
        <f t="shared" si="27"/>
        <v>5152.8164383561643</v>
      </c>
      <c r="D600" s="7">
        <f t="shared" si="28"/>
        <v>36924</v>
      </c>
      <c r="E600" s="9">
        <v>36</v>
      </c>
      <c r="F600" s="10">
        <v>0.105</v>
      </c>
      <c r="G600" s="11" t="s">
        <v>441</v>
      </c>
    </row>
    <row r="601" spans="1:7">
      <c r="A601" s="7">
        <v>36894</v>
      </c>
      <c r="B601" s="8">
        <v>57388</v>
      </c>
      <c r="C601" s="8">
        <f t="shared" si="27"/>
        <v>57859.682191780819</v>
      </c>
      <c r="D601" s="7">
        <f t="shared" si="28"/>
        <v>36924</v>
      </c>
      <c r="E601" s="9">
        <v>30</v>
      </c>
      <c r="F601" s="10">
        <v>0.1</v>
      </c>
      <c r="G601" s="11" t="s">
        <v>441</v>
      </c>
    </row>
    <row r="602" spans="1:7">
      <c r="A602" s="7">
        <v>36896</v>
      </c>
      <c r="B602" s="8">
        <v>94005</v>
      </c>
      <c r="C602" s="8">
        <f t="shared" si="27"/>
        <v>94700.379452054796</v>
      </c>
      <c r="D602" s="7">
        <f t="shared" si="28"/>
        <v>36926</v>
      </c>
      <c r="E602" s="9">
        <v>30</v>
      </c>
      <c r="F602" s="10">
        <v>0.09</v>
      </c>
      <c r="G602" s="11" t="s">
        <v>120</v>
      </c>
    </row>
    <row r="603" spans="1:7">
      <c r="A603" s="7">
        <v>36896</v>
      </c>
      <c r="B603" s="8">
        <v>24976</v>
      </c>
      <c r="C603" s="8">
        <f t="shared" si="27"/>
        <v>25166.912438356165</v>
      </c>
      <c r="D603" s="7">
        <f t="shared" si="28"/>
        <v>36927</v>
      </c>
      <c r="E603" s="9">
        <v>31</v>
      </c>
      <c r="F603" s="10">
        <v>0.09</v>
      </c>
      <c r="G603" s="11" t="s">
        <v>628</v>
      </c>
    </row>
    <row r="604" spans="1:7">
      <c r="A604" s="7">
        <v>36838</v>
      </c>
      <c r="B604" s="8">
        <v>70040</v>
      </c>
      <c r="C604" s="8">
        <f t="shared" si="27"/>
        <v>72026.065753424657</v>
      </c>
      <c r="D604" s="7">
        <f t="shared" si="28"/>
        <v>36928</v>
      </c>
      <c r="E604" s="9">
        <v>90</v>
      </c>
      <c r="F604" s="10">
        <v>0.115</v>
      </c>
      <c r="G604" s="11" t="s">
        <v>120</v>
      </c>
    </row>
    <row r="605" spans="1:7">
      <c r="A605" s="7">
        <v>36838</v>
      </c>
      <c r="B605" s="8">
        <v>7279</v>
      </c>
      <c r="C605" s="8">
        <f t="shared" si="27"/>
        <v>7485.4045205479451</v>
      </c>
      <c r="D605" s="7">
        <f t="shared" si="28"/>
        <v>36928</v>
      </c>
      <c r="E605" s="9">
        <v>90</v>
      </c>
      <c r="F605" s="10">
        <v>0.115</v>
      </c>
      <c r="G605" s="11" t="s">
        <v>120</v>
      </c>
    </row>
    <row r="606" spans="1:7">
      <c r="A606" s="7">
        <v>36840</v>
      </c>
      <c r="B606" s="8">
        <v>78400</v>
      </c>
      <c r="C606" s="8">
        <f t="shared" si="27"/>
        <v>80623.123287671231</v>
      </c>
      <c r="D606" s="7">
        <f t="shared" si="28"/>
        <v>36930</v>
      </c>
      <c r="E606" s="9">
        <v>90</v>
      </c>
      <c r="F606" s="10">
        <v>0.115</v>
      </c>
      <c r="G606" s="11" t="s">
        <v>120</v>
      </c>
    </row>
    <row r="607" spans="1:7">
      <c r="A607" s="7">
        <v>36901</v>
      </c>
      <c r="B607" s="8">
        <v>16359</v>
      </c>
      <c r="C607" s="8">
        <f t="shared" si="27"/>
        <v>16446.397397260273</v>
      </c>
      <c r="D607" s="7">
        <f t="shared" si="28"/>
        <v>36931</v>
      </c>
      <c r="E607" s="9">
        <v>30</v>
      </c>
      <c r="F607" s="10">
        <v>6.5000000000000002E-2</v>
      </c>
      <c r="G607" s="11" t="s">
        <v>569</v>
      </c>
    </row>
    <row r="608" spans="1:7">
      <c r="A608" s="7">
        <v>36843</v>
      </c>
      <c r="B608" s="8">
        <v>39574.57</v>
      </c>
      <c r="C608" s="8">
        <f t="shared" si="27"/>
        <v>40541.490589753426</v>
      </c>
      <c r="D608" s="7">
        <f t="shared" si="28"/>
        <v>36934</v>
      </c>
      <c r="E608" s="9">
        <v>91</v>
      </c>
      <c r="F608" s="10">
        <v>9.8000000000000004E-2</v>
      </c>
      <c r="G608" s="11" t="s">
        <v>569</v>
      </c>
    </row>
    <row r="609" spans="1:8">
      <c r="A609" s="7">
        <v>36875</v>
      </c>
      <c r="B609" s="8">
        <v>79279</v>
      </c>
      <c r="C609" s="8">
        <f t="shared" si="27"/>
        <v>80760.322684931511</v>
      </c>
      <c r="D609" s="7">
        <f t="shared" si="28"/>
        <v>36937</v>
      </c>
      <c r="E609" s="9">
        <v>62</v>
      </c>
      <c r="F609" s="10">
        <v>0.11</v>
      </c>
      <c r="G609" s="11" t="s">
        <v>569</v>
      </c>
    </row>
    <row r="610" spans="1:8">
      <c r="A610" s="7">
        <v>36908</v>
      </c>
      <c r="B610" s="8">
        <v>108701</v>
      </c>
      <c r="C610" s="8">
        <f t="shared" ref="C610:C641" si="29">B610+(B610*F610/365*E610)*1</f>
        <v>109415.74630136986</v>
      </c>
      <c r="D610" s="7">
        <f t="shared" ref="D610:D641" si="30">A610+E610</f>
        <v>36938</v>
      </c>
      <c r="E610" s="9">
        <v>30</v>
      </c>
      <c r="F610" s="10">
        <v>0.08</v>
      </c>
      <c r="G610" s="11" t="s">
        <v>569</v>
      </c>
    </row>
    <row r="611" spans="1:8" s="39" customFormat="1">
      <c r="A611" s="105">
        <v>36924</v>
      </c>
      <c r="B611" s="106">
        <v>50912</v>
      </c>
      <c r="C611" s="106">
        <f t="shared" si="29"/>
        <v>51236.302465753426</v>
      </c>
      <c r="D611" s="105">
        <f t="shared" si="30"/>
        <v>36955</v>
      </c>
      <c r="E611" s="107">
        <v>31</v>
      </c>
      <c r="F611" s="108">
        <v>7.4999999999999997E-2</v>
      </c>
      <c r="G611" s="109" t="s">
        <v>441</v>
      </c>
    </row>
    <row r="612" spans="1:8" s="39" customFormat="1">
      <c r="A612" s="105">
        <v>36924</v>
      </c>
      <c r="B612" s="106">
        <v>50912</v>
      </c>
      <c r="C612" s="106">
        <f t="shared" si="29"/>
        <v>51236.302465753426</v>
      </c>
      <c r="D612" s="105">
        <f t="shared" si="30"/>
        <v>36955</v>
      </c>
      <c r="E612" s="107">
        <v>31</v>
      </c>
      <c r="F612" s="108">
        <v>7.4999999999999997E-2</v>
      </c>
      <c r="G612" s="109" t="s">
        <v>441</v>
      </c>
    </row>
    <row r="613" spans="1:8" s="39" customFormat="1">
      <c r="A613" s="105">
        <v>36924</v>
      </c>
      <c r="B613" s="106">
        <v>50912</v>
      </c>
      <c r="C613" s="106">
        <f t="shared" si="29"/>
        <v>51236.302465753426</v>
      </c>
      <c r="D613" s="105">
        <f t="shared" si="30"/>
        <v>36955</v>
      </c>
      <c r="E613" s="107">
        <v>31</v>
      </c>
      <c r="F613" s="108">
        <v>7.4999999999999997E-2</v>
      </c>
      <c r="G613" s="109" t="s">
        <v>441</v>
      </c>
    </row>
    <row r="614" spans="1:8" s="39" customFormat="1">
      <c r="A614" s="105">
        <v>36924</v>
      </c>
      <c r="B614" s="106">
        <v>5153</v>
      </c>
      <c r="C614" s="106">
        <f t="shared" si="29"/>
        <v>5185.8239041095894</v>
      </c>
      <c r="D614" s="105">
        <f t="shared" si="30"/>
        <v>36955</v>
      </c>
      <c r="E614" s="107">
        <v>31</v>
      </c>
      <c r="F614" s="108">
        <v>7.4999999999999997E-2</v>
      </c>
      <c r="G614" s="109" t="s">
        <v>441</v>
      </c>
    </row>
    <row r="615" spans="1:8">
      <c r="A615" s="7">
        <v>36927</v>
      </c>
      <c r="B615" s="8">
        <v>57859.68</v>
      </c>
      <c r="C615" s="8">
        <f t="shared" si="29"/>
        <v>58289.66460821918</v>
      </c>
      <c r="D615" s="7">
        <f t="shared" si="30"/>
        <v>36962</v>
      </c>
      <c r="E615" s="9">
        <v>35</v>
      </c>
      <c r="F615" s="10">
        <v>7.7499999999999999E-2</v>
      </c>
      <c r="G615" s="11" t="s">
        <v>441</v>
      </c>
    </row>
    <row r="616" spans="1:8">
      <c r="A616" s="7">
        <v>36927</v>
      </c>
      <c r="B616" s="8">
        <v>94724</v>
      </c>
      <c r="C616" s="8">
        <f t="shared" si="29"/>
        <v>95427.942054794519</v>
      </c>
      <c r="D616" s="7">
        <f t="shared" si="30"/>
        <v>36962</v>
      </c>
      <c r="E616" s="9">
        <v>35</v>
      </c>
      <c r="F616" s="10">
        <v>7.7499999999999999E-2</v>
      </c>
      <c r="G616" s="11" t="s">
        <v>569</v>
      </c>
    </row>
    <row r="617" spans="1:8">
      <c r="A617" s="7">
        <v>36930</v>
      </c>
      <c r="B617" s="8">
        <v>22226.27</v>
      </c>
      <c r="C617" s="8">
        <f t="shared" si="29"/>
        <v>22367.543825753426</v>
      </c>
      <c r="D617" s="7">
        <f t="shared" si="30"/>
        <v>36962</v>
      </c>
      <c r="E617" s="9">
        <v>32</v>
      </c>
      <c r="F617" s="10">
        <v>7.2499999999999995E-2</v>
      </c>
      <c r="G617" s="11" t="s">
        <v>441</v>
      </c>
    </row>
    <row r="618" spans="1:8">
      <c r="A618" s="7">
        <v>36935</v>
      </c>
      <c r="B618" s="8">
        <v>40541.57</v>
      </c>
      <c r="C618" s="8">
        <f t="shared" si="29"/>
        <v>40771.490684657532</v>
      </c>
      <c r="D618" s="7">
        <f t="shared" si="30"/>
        <v>36965</v>
      </c>
      <c r="E618" s="9">
        <v>30</v>
      </c>
      <c r="F618" s="10">
        <v>6.9000000000000006E-2</v>
      </c>
      <c r="G618" s="11" t="s">
        <v>569</v>
      </c>
    </row>
    <row r="619" spans="1:8">
      <c r="A619" s="7">
        <v>36928</v>
      </c>
      <c r="B619" s="8">
        <v>40000</v>
      </c>
      <c r="C619" s="8">
        <f t="shared" si="29"/>
        <v>40325.753424657538</v>
      </c>
      <c r="D619" s="7">
        <f t="shared" si="30"/>
        <v>36969</v>
      </c>
      <c r="E619" s="9">
        <v>41</v>
      </c>
      <c r="F619" s="10">
        <v>7.2499999999999995E-2</v>
      </c>
      <c r="G619" s="11" t="s">
        <v>569</v>
      </c>
    </row>
    <row r="620" spans="1:8">
      <c r="A620" s="7">
        <v>36928</v>
      </c>
      <c r="B620" s="8">
        <v>39511</v>
      </c>
      <c r="C620" s="8">
        <f t="shared" si="29"/>
        <v>39832.771089041096</v>
      </c>
      <c r="D620" s="7">
        <f t="shared" si="30"/>
        <v>36969</v>
      </c>
      <c r="E620" s="9">
        <v>41</v>
      </c>
      <c r="F620" s="10">
        <v>7.2499999999999995E-2</v>
      </c>
      <c r="G620" s="11" t="s">
        <v>569</v>
      </c>
    </row>
    <row r="621" spans="1:8">
      <c r="A621" s="7">
        <v>36931</v>
      </c>
      <c r="B621" s="8">
        <v>16446</v>
      </c>
      <c r="C621" s="8">
        <f t="shared" si="29"/>
        <v>16578.694438356164</v>
      </c>
      <c r="D621" s="7">
        <f t="shared" si="30"/>
        <v>36969</v>
      </c>
      <c r="E621" s="9">
        <v>38</v>
      </c>
      <c r="F621" s="10">
        <v>7.7499999999999999E-2</v>
      </c>
      <c r="G621" s="11" t="s">
        <v>569</v>
      </c>
    </row>
    <row r="622" spans="1:8">
      <c r="A622" s="7">
        <v>36938</v>
      </c>
      <c r="B622" s="8">
        <v>109416</v>
      </c>
      <c r="C622" s="8">
        <f t="shared" si="29"/>
        <v>110029.32913972603</v>
      </c>
      <c r="D622" s="7">
        <f t="shared" si="30"/>
        <v>36969</v>
      </c>
      <c r="E622" s="9">
        <v>31</v>
      </c>
      <c r="F622" s="10">
        <v>6.6000000000000003E-2</v>
      </c>
      <c r="G622" s="11" t="s">
        <v>569</v>
      </c>
    </row>
    <row r="623" spans="1:8">
      <c r="A623" s="7">
        <v>36937</v>
      </c>
      <c r="B623" s="8">
        <v>80760</v>
      </c>
      <c r="C623" s="8">
        <f t="shared" si="29"/>
        <v>81227.301698630137</v>
      </c>
      <c r="D623" s="7">
        <f t="shared" si="30"/>
        <v>36969</v>
      </c>
      <c r="E623" s="9">
        <v>32</v>
      </c>
      <c r="F623" s="10">
        <v>6.6000000000000003E-2</v>
      </c>
      <c r="G623" s="11" t="s">
        <v>569</v>
      </c>
    </row>
    <row r="624" spans="1:8">
      <c r="A624" s="7">
        <v>36930</v>
      </c>
      <c r="B624" s="8">
        <v>80623</v>
      </c>
      <c r="C624" s="8">
        <f t="shared" si="29"/>
        <v>81410.454780821921</v>
      </c>
      <c r="D624" s="7">
        <f t="shared" si="30"/>
        <v>36976</v>
      </c>
      <c r="E624" s="9">
        <v>46</v>
      </c>
      <c r="F624" s="10">
        <v>7.7499999999999999E-2</v>
      </c>
      <c r="G624" s="11" t="s">
        <v>441</v>
      </c>
      <c r="H624" s="110">
        <f>SUM(C611:C624)</f>
        <v>745155.67704602727</v>
      </c>
    </row>
    <row r="625" spans="1:8">
      <c r="A625" s="7">
        <v>36955</v>
      </c>
      <c r="B625" s="8">
        <v>51236.56</v>
      </c>
      <c r="C625" s="8">
        <f t="shared" si="29"/>
        <v>51531.34568767123</v>
      </c>
      <c r="D625" s="7">
        <f t="shared" si="30"/>
        <v>36985</v>
      </c>
      <c r="E625" s="9">
        <v>30</v>
      </c>
      <c r="F625" s="10">
        <v>7.0000000000000007E-2</v>
      </c>
      <c r="G625" s="11" t="s">
        <v>441</v>
      </c>
      <c r="H625" s="110"/>
    </row>
    <row r="626" spans="1:8">
      <c r="A626" s="7">
        <v>36955</v>
      </c>
      <c r="B626" s="8">
        <v>51236.56</v>
      </c>
      <c r="C626" s="8">
        <f t="shared" si="29"/>
        <v>51531.34568767123</v>
      </c>
      <c r="D626" s="7">
        <f t="shared" si="30"/>
        <v>36985</v>
      </c>
      <c r="E626" s="9">
        <v>30</v>
      </c>
      <c r="F626" s="10">
        <v>7.0000000000000007E-2</v>
      </c>
      <c r="G626" s="11" t="s">
        <v>441</v>
      </c>
      <c r="H626" s="110" t="s">
        <v>639</v>
      </c>
    </row>
    <row r="627" spans="1:8">
      <c r="A627" s="7">
        <v>36955</v>
      </c>
      <c r="B627" s="8">
        <v>51236.56</v>
      </c>
      <c r="C627" s="8">
        <f t="shared" si="29"/>
        <v>51531.34568767123</v>
      </c>
      <c r="D627" s="7">
        <f t="shared" si="30"/>
        <v>36985</v>
      </c>
      <c r="E627" s="9">
        <v>30</v>
      </c>
      <c r="F627" s="10">
        <v>7.0000000000000007E-2</v>
      </c>
      <c r="G627" s="11" t="s">
        <v>441</v>
      </c>
      <c r="H627" s="110">
        <v>200000</v>
      </c>
    </row>
    <row r="628" spans="1:8">
      <c r="A628" s="7">
        <v>36955</v>
      </c>
      <c r="B628" s="8">
        <v>5185.63</v>
      </c>
      <c r="C628" s="8">
        <f t="shared" si="29"/>
        <v>5215.4651315068495</v>
      </c>
      <c r="D628" s="7">
        <f t="shared" si="30"/>
        <v>36985</v>
      </c>
      <c r="E628" s="9">
        <v>30</v>
      </c>
      <c r="F628" s="10">
        <v>7.0000000000000007E-2</v>
      </c>
      <c r="G628" s="11" t="s">
        <v>441</v>
      </c>
      <c r="H628" s="110" t="s">
        <v>640</v>
      </c>
    </row>
    <row r="629" spans="1:8">
      <c r="A629" s="7">
        <v>36962</v>
      </c>
      <c r="B629" s="8">
        <v>22372.41</v>
      </c>
      <c r="C629" s="8">
        <f t="shared" si="29"/>
        <v>22542.501610273972</v>
      </c>
      <c r="D629" s="7">
        <f t="shared" si="30"/>
        <v>36999</v>
      </c>
      <c r="E629" s="9">
        <v>37</v>
      </c>
      <c r="F629" s="10">
        <v>7.4999999999999997E-2</v>
      </c>
      <c r="G629" s="11" t="s">
        <v>441</v>
      </c>
      <c r="H629" s="110"/>
    </row>
    <row r="630" spans="1:8">
      <c r="A630" s="7">
        <v>36963</v>
      </c>
      <c r="B630" s="8">
        <v>58289.66</v>
      </c>
      <c r="C630" s="8">
        <f t="shared" si="29"/>
        <v>58712.220110575348</v>
      </c>
      <c r="D630" s="7">
        <f t="shared" si="30"/>
        <v>36999</v>
      </c>
      <c r="E630" s="9">
        <v>36</v>
      </c>
      <c r="F630" s="10">
        <v>7.3499999999999996E-2</v>
      </c>
      <c r="G630" s="11" t="s">
        <v>632</v>
      </c>
      <c r="H630" s="40"/>
    </row>
    <row r="631" spans="1:8">
      <c r="A631" s="7">
        <v>36963</v>
      </c>
      <c r="B631" s="8">
        <v>95428</v>
      </c>
      <c r="C631" s="8">
        <f t="shared" si="29"/>
        <v>96119.787638356167</v>
      </c>
      <c r="D631" s="7">
        <f t="shared" si="30"/>
        <v>36999</v>
      </c>
      <c r="E631" s="9">
        <v>36</v>
      </c>
      <c r="F631" s="10">
        <v>7.3499999999999996E-2</v>
      </c>
      <c r="G631" s="11" t="s">
        <v>632</v>
      </c>
      <c r="H631" s="40"/>
    </row>
    <row r="632" spans="1:8">
      <c r="A632" s="7">
        <v>36976</v>
      </c>
      <c r="B632" s="8">
        <v>81410.45</v>
      </c>
      <c r="C632" s="8">
        <f t="shared" si="29"/>
        <v>82046.120636986292</v>
      </c>
      <c r="D632" s="7">
        <f t="shared" si="30"/>
        <v>37006</v>
      </c>
      <c r="E632" s="9">
        <v>30</v>
      </c>
      <c r="F632" s="10">
        <v>9.5000000000000001E-2</v>
      </c>
      <c r="G632" s="11" t="s">
        <v>441</v>
      </c>
      <c r="H632" s="40"/>
    </row>
    <row r="633" spans="1:8">
      <c r="A633" s="7">
        <v>36977</v>
      </c>
      <c r="B633" s="8">
        <v>100000</v>
      </c>
      <c r="C633" s="8">
        <f t="shared" si="29"/>
        <v>100821.91780821918</v>
      </c>
      <c r="D633" s="7">
        <f t="shared" si="30"/>
        <v>37007</v>
      </c>
      <c r="E633" s="9">
        <v>30</v>
      </c>
      <c r="F633" s="10">
        <v>0.1</v>
      </c>
      <c r="G633" s="11" t="s">
        <v>120</v>
      </c>
      <c r="H633" s="110">
        <f>SUM(C625:C633)</f>
        <v>520052.04999893147</v>
      </c>
    </row>
    <row r="634" spans="1:8">
      <c r="A634" s="7">
        <v>36980</v>
      </c>
      <c r="B634" s="8">
        <v>5600</v>
      </c>
      <c r="C634" s="8">
        <f t="shared" si="29"/>
        <v>5645.1835616438357</v>
      </c>
      <c r="D634" s="7">
        <f t="shared" si="30"/>
        <v>37011</v>
      </c>
      <c r="E634" s="9">
        <v>31</v>
      </c>
      <c r="F634" s="10">
        <v>9.5000000000000001E-2</v>
      </c>
      <c r="G634" s="11" t="s">
        <v>632</v>
      </c>
    </row>
    <row r="635" spans="1:8">
      <c r="A635" s="7">
        <v>36979</v>
      </c>
      <c r="B635" s="8">
        <v>50000</v>
      </c>
      <c r="C635" s="8">
        <f t="shared" si="29"/>
        <v>50442.465753424658</v>
      </c>
      <c r="D635" s="7">
        <f t="shared" si="30"/>
        <v>37013</v>
      </c>
      <c r="E635" s="9">
        <v>34</v>
      </c>
      <c r="F635" s="10">
        <v>9.5000000000000001E-2</v>
      </c>
      <c r="G635" s="11" t="s">
        <v>120</v>
      </c>
    </row>
    <row r="636" spans="1:8">
      <c r="A636" s="7">
        <v>36979</v>
      </c>
      <c r="B636" s="8">
        <v>37000</v>
      </c>
      <c r="C636" s="8">
        <f t="shared" si="29"/>
        <v>37320.531506849315</v>
      </c>
      <c r="D636" s="7">
        <f t="shared" si="30"/>
        <v>37013</v>
      </c>
      <c r="E636" s="9">
        <v>34</v>
      </c>
      <c r="F636" s="10">
        <v>9.2999999999999999E-2</v>
      </c>
      <c r="G636" s="11" t="s">
        <v>632</v>
      </c>
    </row>
    <row r="637" spans="1:8">
      <c r="A637" s="7">
        <v>36985</v>
      </c>
      <c r="B637" s="8">
        <v>51531</v>
      </c>
      <c r="C637" s="8">
        <f t="shared" si="29"/>
        <v>52074.546164383559</v>
      </c>
      <c r="D637" s="7">
        <f t="shared" si="30"/>
        <v>37020</v>
      </c>
      <c r="E637" s="9">
        <v>35</v>
      </c>
      <c r="F637" s="10">
        <v>0.11</v>
      </c>
      <c r="G637" s="11" t="s">
        <v>441</v>
      </c>
    </row>
    <row r="638" spans="1:8">
      <c r="A638" s="7">
        <v>36985</v>
      </c>
      <c r="B638" s="8">
        <v>51531</v>
      </c>
      <c r="C638" s="8">
        <f t="shared" si="29"/>
        <v>52074.546164383559</v>
      </c>
      <c r="D638" s="7">
        <f t="shared" si="30"/>
        <v>37020</v>
      </c>
      <c r="E638" s="9">
        <v>35</v>
      </c>
      <c r="F638" s="10">
        <v>0.11</v>
      </c>
      <c r="G638" s="11" t="s">
        <v>441</v>
      </c>
    </row>
    <row r="639" spans="1:8">
      <c r="A639" s="7">
        <v>36985</v>
      </c>
      <c r="B639" s="8">
        <v>51531</v>
      </c>
      <c r="C639" s="8">
        <f t="shared" si="29"/>
        <v>52074.546164383559</v>
      </c>
      <c r="D639" s="7">
        <f t="shared" si="30"/>
        <v>37020</v>
      </c>
      <c r="E639" s="9">
        <v>35</v>
      </c>
      <c r="F639" s="10">
        <v>0.11</v>
      </c>
      <c r="G639" s="11" t="s">
        <v>441</v>
      </c>
    </row>
    <row r="640" spans="1:8">
      <c r="A640" s="7">
        <v>36985</v>
      </c>
      <c r="B640" s="8">
        <v>5215</v>
      </c>
      <c r="C640" s="8">
        <f t="shared" si="29"/>
        <v>5270.0075342465752</v>
      </c>
      <c r="D640" s="7">
        <f t="shared" si="30"/>
        <v>37020</v>
      </c>
      <c r="E640" s="9">
        <v>35</v>
      </c>
      <c r="F640" s="10">
        <v>0.11</v>
      </c>
      <c r="G640" s="11" t="s">
        <v>441</v>
      </c>
    </row>
    <row r="641" spans="1:7">
      <c r="A641" s="7">
        <v>36999</v>
      </c>
      <c r="B641" s="8">
        <v>22542.5</v>
      </c>
      <c r="C641" s="8">
        <f t="shared" si="29"/>
        <v>22783.365068493149</v>
      </c>
      <c r="D641" s="7">
        <f t="shared" si="30"/>
        <v>37029</v>
      </c>
      <c r="E641" s="9">
        <v>30</v>
      </c>
      <c r="F641" s="10">
        <v>0.13</v>
      </c>
      <c r="G641" s="11" t="s">
        <v>441</v>
      </c>
    </row>
    <row r="642" spans="1:7">
      <c r="A642" s="7">
        <v>36999</v>
      </c>
      <c r="B642" s="8">
        <v>58713</v>
      </c>
      <c r="C642" s="8">
        <f t="shared" ref="C642:C645" si="31">B642+(B642*F642/365*E642)*1</f>
        <v>59219.701232876716</v>
      </c>
      <c r="D642" s="7">
        <f t="shared" ref="D642:D645" si="32">A642+E642</f>
        <v>37029</v>
      </c>
      <c r="E642" s="9">
        <v>30</v>
      </c>
      <c r="F642" s="10">
        <v>0.105</v>
      </c>
      <c r="G642" s="11" t="s">
        <v>632</v>
      </c>
    </row>
    <row r="643" spans="1:7">
      <c r="A643" s="7">
        <v>36999</v>
      </c>
      <c r="B643" s="8">
        <v>8200</v>
      </c>
      <c r="C643" s="8">
        <f t="shared" si="31"/>
        <v>8270.767123287671</v>
      </c>
      <c r="D643" s="7">
        <f t="shared" si="32"/>
        <v>37029</v>
      </c>
      <c r="E643" s="9">
        <v>30</v>
      </c>
      <c r="F643" s="10">
        <v>0.105</v>
      </c>
      <c r="G643" s="11" t="s">
        <v>632</v>
      </c>
    </row>
    <row r="644" spans="1:7">
      <c r="A644" s="7">
        <v>36999</v>
      </c>
      <c r="B644" s="8">
        <v>96120</v>
      </c>
      <c r="C644" s="8">
        <f t="shared" si="31"/>
        <v>97087.783561643839</v>
      </c>
      <c r="D644" s="7">
        <f t="shared" si="32"/>
        <v>37034</v>
      </c>
      <c r="E644" s="9">
        <v>35</v>
      </c>
      <c r="F644" s="10">
        <v>0.105</v>
      </c>
      <c r="G644" s="11" t="s">
        <v>632</v>
      </c>
    </row>
    <row r="645" spans="1:7">
      <c r="A645" s="7">
        <v>37006</v>
      </c>
      <c r="B645" s="8">
        <v>82046</v>
      </c>
      <c r="C645" s="8">
        <f t="shared" si="31"/>
        <v>82950.753835616444</v>
      </c>
      <c r="D645" s="7">
        <f t="shared" si="32"/>
        <v>37041</v>
      </c>
      <c r="E645" s="9">
        <v>35</v>
      </c>
      <c r="F645" s="10">
        <v>0.115</v>
      </c>
      <c r="G645" s="11" t="s">
        <v>441</v>
      </c>
    </row>
    <row r="646" spans="1:7">
      <c r="A646" s="7">
        <v>37007</v>
      </c>
      <c r="B646" s="8">
        <v>100822</v>
      </c>
      <c r="C646" s="8">
        <v>101902.03841095891</v>
      </c>
      <c r="D646" s="7">
        <v>37041</v>
      </c>
      <c r="E646" s="9">
        <v>34</v>
      </c>
      <c r="F646" s="10">
        <v>0.115</v>
      </c>
      <c r="G646" s="11" t="s">
        <v>120</v>
      </c>
    </row>
    <row r="647" spans="1:7">
      <c r="A647" s="7">
        <v>37011</v>
      </c>
      <c r="B647" s="8">
        <v>11245</v>
      </c>
      <c r="C647" s="8">
        <v>11346.667123287671</v>
      </c>
      <c r="D647" s="7">
        <v>37041</v>
      </c>
      <c r="E647" s="9">
        <v>30</v>
      </c>
      <c r="F647" s="10">
        <v>0.11</v>
      </c>
      <c r="G647" s="11" t="s">
        <v>120</v>
      </c>
    </row>
    <row r="648" spans="1:7">
      <c r="A648" s="7">
        <v>37013</v>
      </c>
      <c r="B648" s="8">
        <v>37321</v>
      </c>
      <c r="C648" s="8">
        <f t="shared" ref="C648:C679" si="33">B648+(B648*F648/365*E648)*1</f>
        <v>37658.422739726026</v>
      </c>
      <c r="D648" s="7">
        <f t="shared" ref="D648:D679" si="34">A648+E648</f>
        <v>37043</v>
      </c>
      <c r="E648" s="9">
        <v>30</v>
      </c>
      <c r="F648" s="10">
        <v>0.11</v>
      </c>
      <c r="G648" s="11" t="s">
        <v>632</v>
      </c>
    </row>
    <row r="649" spans="1:7">
      <c r="A649" s="7">
        <v>37013</v>
      </c>
      <c r="B649" s="8">
        <v>50442</v>
      </c>
      <c r="C649" s="8">
        <f t="shared" si="33"/>
        <v>50974.059452054797</v>
      </c>
      <c r="D649" s="7">
        <f t="shared" si="34"/>
        <v>37048</v>
      </c>
      <c r="E649" s="9">
        <v>35</v>
      </c>
      <c r="F649" s="10">
        <v>0.11</v>
      </c>
      <c r="G649" s="11" t="s">
        <v>120</v>
      </c>
    </row>
    <row r="650" spans="1:7">
      <c r="A650" s="7">
        <v>37020</v>
      </c>
      <c r="B650" s="8">
        <v>52075</v>
      </c>
      <c r="C650" s="8">
        <f t="shared" si="33"/>
        <v>52761.605308219179</v>
      </c>
      <c r="D650" s="7">
        <f t="shared" si="34"/>
        <v>37055</v>
      </c>
      <c r="E650" s="9">
        <v>35</v>
      </c>
      <c r="F650" s="10">
        <v>0.13750000000000001</v>
      </c>
      <c r="G650" s="11" t="s">
        <v>441</v>
      </c>
    </row>
    <row r="651" spans="1:7">
      <c r="A651" s="7">
        <v>37020</v>
      </c>
      <c r="B651" s="8">
        <v>52075</v>
      </c>
      <c r="C651" s="8">
        <f t="shared" si="33"/>
        <v>52761.605308219179</v>
      </c>
      <c r="D651" s="7">
        <f t="shared" si="34"/>
        <v>37055</v>
      </c>
      <c r="E651" s="9">
        <v>35</v>
      </c>
      <c r="F651" s="10">
        <v>0.13750000000000001</v>
      </c>
      <c r="G651" s="11" t="s">
        <v>441</v>
      </c>
    </row>
    <row r="652" spans="1:7">
      <c r="A652" s="7">
        <v>37020</v>
      </c>
      <c r="B652" s="8">
        <v>52075</v>
      </c>
      <c r="C652" s="8">
        <f t="shared" si="33"/>
        <v>52761.605308219179</v>
      </c>
      <c r="D652" s="7">
        <f t="shared" si="34"/>
        <v>37055</v>
      </c>
      <c r="E652" s="9">
        <v>35</v>
      </c>
      <c r="F652" s="10">
        <v>0.13750000000000001</v>
      </c>
      <c r="G652" s="11" t="s">
        <v>441</v>
      </c>
    </row>
    <row r="653" spans="1:7">
      <c r="A653" s="7">
        <v>37020</v>
      </c>
      <c r="B653" s="8">
        <v>5270</v>
      </c>
      <c r="C653" s="8">
        <f t="shared" si="33"/>
        <v>5339.4845890410961</v>
      </c>
      <c r="D653" s="7">
        <f t="shared" si="34"/>
        <v>37055</v>
      </c>
      <c r="E653" s="9">
        <v>35</v>
      </c>
      <c r="F653" s="10">
        <v>0.13750000000000001</v>
      </c>
      <c r="G653" s="11" t="s">
        <v>441</v>
      </c>
    </row>
    <row r="654" spans="1:7">
      <c r="A654" s="7">
        <v>37029</v>
      </c>
      <c r="B654" s="8">
        <v>22783.37</v>
      </c>
      <c r="C654" s="8">
        <f t="shared" si="33"/>
        <v>23071.751286027396</v>
      </c>
      <c r="D654" s="7">
        <f t="shared" si="34"/>
        <v>37062</v>
      </c>
      <c r="E654" s="9">
        <v>33</v>
      </c>
      <c r="F654" s="10">
        <v>0.14000000000000001</v>
      </c>
      <c r="G654" s="11" t="s">
        <v>441</v>
      </c>
    </row>
    <row r="655" spans="1:7">
      <c r="A655" s="7">
        <v>37029</v>
      </c>
      <c r="B655" s="8">
        <f>59220+8271</f>
        <v>67491</v>
      </c>
      <c r="C655" s="8">
        <f t="shared" si="33"/>
        <v>68177.466678082186</v>
      </c>
      <c r="D655" s="7">
        <f t="shared" si="34"/>
        <v>37062</v>
      </c>
      <c r="E655" s="9">
        <v>33</v>
      </c>
      <c r="F655" s="10">
        <v>0.1125</v>
      </c>
      <c r="G655" s="11" t="s">
        <v>632</v>
      </c>
    </row>
    <row r="656" spans="1:7">
      <c r="A656" s="7">
        <v>37034</v>
      </c>
      <c r="B656" s="8">
        <v>97088</v>
      </c>
      <c r="C656" s="8">
        <f t="shared" si="33"/>
        <v>97965.781917808214</v>
      </c>
      <c r="D656" s="7">
        <f t="shared" si="34"/>
        <v>37064</v>
      </c>
      <c r="E656" s="9">
        <v>30</v>
      </c>
      <c r="F656" s="10">
        <v>0.11</v>
      </c>
      <c r="G656" s="11" t="s">
        <v>632</v>
      </c>
    </row>
    <row r="657" spans="1:16">
      <c r="A657" s="7">
        <v>36979</v>
      </c>
      <c r="B657" s="8">
        <v>150000</v>
      </c>
      <c r="C657" s="8">
        <f t="shared" si="33"/>
        <v>151758.08219178082</v>
      </c>
      <c r="D657" s="7">
        <f t="shared" si="34"/>
        <v>37071</v>
      </c>
      <c r="E657" s="9">
        <v>92</v>
      </c>
      <c r="F657" s="10">
        <v>4.65E-2</v>
      </c>
      <c r="G657" s="11" t="s">
        <v>120</v>
      </c>
    </row>
    <row r="658" spans="1:16">
      <c r="A658" s="7">
        <v>37041</v>
      </c>
      <c r="B658" s="8">
        <v>82950.75</v>
      </c>
      <c r="C658" s="8">
        <f t="shared" si="33"/>
        <v>83825.709965753427</v>
      </c>
      <c r="D658" s="7">
        <f t="shared" si="34"/>
        <v>37076</v>
      </c>
      <c r="E658" s="9">
        <v>35</v>
      </c>
      <c r="F658" s="10">
        <v>0.11</v>
      </c>
      <c r="G658" s="11" t="s">
        <v>441</v>
      </c>
    </row>
    <row r="659" spans="1:16">
      <c r="A659" s="7">
        <v>37043</v>
      </c>
      <c r="B659" s="8">
        <v>37658</v>
      </c>
      <c r="C659" s="8">
        <f t="shared" si="33"/>
        <v>38070.690410958901</v>
      </c>
      <c r="D659" s="7">
        <f t="shared" si="34"/>
        <v>37083</v>
      </c>
      <c r="E659" s="9">
        <v>40</v>
      </c>
      <c r="F659" s="10">
        <v>0.1</v>
      </c>
      <c r="G659" s="11" t="s">
        <v>632</v>
      </c>
    </row>
    <row r="660" spans="1:16">
      <c r="A660" s="7">
        <v>37055</v>
      </c>
      <c r="B660" s="8">
        <v>52762</v>
      </c>
      <c r="C660" s="8">
        <f t="shared" si="33"/>
        <v>53318.530684931509</v>
      </c>
      <c r="D660" s="7">
        <f t="shared" si="34"/>
        <v>37090</v>
      </c>
      <c r="E660" s="9">
        <v>35</v>
      </c>
      <c r="F660" s="10">
        <v>0.11</v>
      </c>
      <c r="G660" s="11" t="s">
        <v>441</v>
      </c>
      <c r="P660">
        <v>1000</v>
      </c>
    </row>
    <row r="661" spans="1:16">
      <c r="A661" s="7">
        <v>37055</v>
      </c>
      <c r="B661" s="8">
        <v>52762</v>
      </c>
      <c r="C661" s="8">
        <f t="shared" si="33"/>
        <v>53318.530684931509</v>
      </c>
      <c r="D661" s="7">
        <f t="shared" si="34"/>
        <v>37090</v>
      </c>
      <c r="E661" s="9">
        <v>35</v>
      </c>
      <c r="F661" s="10">
        <v>0.11</v>
      </c>
      <c r="G661" s="11" t="s">
        <v>441</v>
      </c>
      <c r="P661">
        <v>1000</v>
      </c>
    </row>
    <row r="662" spans="1:16">
      <c r="A662" s="7">
        <v>37055</v>
      </c>
      <c r="B662" s="8">
        <v>52762</v>
      </c>
      <c r="C662" s="8">
        <f t="shared" si="33"/>
        <v>53318.530684931509</v>
      </c>
      <c r="D662" s="7">
        <f t="shared" si="34"/>
        <v>37090</v>
      </c>
      <c r="E662" s="9">
        <v>35</v>
      </c>
      <c r="F662" s="10">
        <v>0.11</v>
      </c>
      <c r="G662" s="11" t="s">
        <v>441</v>
      </c>
      <c r="P662">
        <v>1000</v>
      </c>
    </row>
    <row r="663" spans="1:16">
      <c r="A663" s="7">
        <v>37055</v>
      </c>
      <c r="B663" s="8">
        <v>5339</v>
      </c>
      <c r="C663" s="8">
        <f t="shared" si="33"/>
        <v>5395.3154794520551</v>
      </c>
      <c r="D663" s="7">
        <f t="shared" si="34"/>
        <v>37090</v>
      </c>
      <c r="E663" s="9">
        <v>35</v>
      </c>
      <c r="F663" s="10">
        <v>0.11</v>
      </c>
      <c r="G663" s="11" t="s">
        <v>441</v>
      </c>
      <c r="P663">
        <f>SUM(P649:P662)</f>
        <v>3000</v>
      </c>
    </row>
    <row r="664" spans="1:16">
      <c r="A664" s="7">
        <v>37062</v>
      </c>
      <c r="B664" s="8">
        <v>68177</v>
      </c>
      <c r="C664" s="8">
        <f t="shared" si="33"/>
        <v>68875.580767123291</v>
      </c>
      <c r="D664" s="7">
        <f t="shared" si="34"/>
        <v>37096</v>
      </c>
      <c r="E664" s="9">
        <v>34</v>
      </c>
      <c r="F664" s="10">
        <v>0.11</v>
      </c>
      <c r="G664" s="11" t="s">
        <v>632</v>
      </c>
    </row>
    <row r="665" spans="1:16">
      <c r="A665" s="7">
        <v>37064</v>
      </c>
      <c r="B665" s="8">
        <v>97966</v>
      </c>
      <c r="C665" s="8">
        <f t="shared" si="33"/>
        <v>98910.767999999996</v>
      </c>
      <c r="D665" s="7">
        <f t="shared" si="34"/>
        <v>37096</v>
      </c>
      <c r="E665" s="9">
        <v>32</v>
      </c>
      <c r="F665" s="10">
        <v>0.11</v>
      </c>
      <c r="G665" s="11" t="s">
        <v>632</v>
      </c>
    </row>
    <row r="666" spans="1:16">
      <c r="A666" s="7">
        <v>37067</v>
      </c>
      <c r="B666" s="8">
        <v>50000</v>
      </c>
      <c r="C666" s="8">
        <f t="shared" si="33"/>
        <v>50557.534246575342</v>
      </c>
      <c r="D666" s="7">
        <f t="shared" si="34"/>
        <v>37104</v>
      </c>
      <c r="E666" s="9">
        <v>37</v>
      </c>
      <c r="F666" s="10">
        <v>0.11</v>
      </c>
      <c r="G666" s="11" t="s">
        <v>632</v>
      </c>
    </row>
    <row r="667" spans="1:16">
      <c r="A667" s="7">
        <v>37067</v>
      </c>
      <c r="B667" s="8">
        <v>50000</v>
      </c>
      <c r="C667" s="8">
        <f t="shared" si="33"/>
        <v>50557.534246575342</v>
      </c>
      <c r="D667" s="7">
        <f t="shared" si="34"/>
        <v>37104</v>
      </c>
      <c r="E667" s="9">
        <v>37</v>
      </c>
      <c r="F667" s="10">
        <v>0.11</v>
      </c>
      <c r="G667" s="11" t="s">
        <v>632</v>
      </c>
    </row>
    <row r="668" spans="1:16">
      <c r="A668" s="7">
        <v>37067</v>
      </c>
      <c r="B668" s="8">
        <v>50000</v>
      </c>
      <c r="C668" s="8">
        <f t="shared" si="33"/>
        <v>50557.534246575342</v>
      </c>
      <c r="D668" s="7">
        <f t="shared" si="34"/>
        <v>37104</v>
      </c>
      <c r="E668" s="9">
        <v>37</v>
      </c>
      <c r="F668" s="10">
        <v>0.11</v>
      </c>
      <c r="G668" s="11" t="s">
        <v>632</v>
      </c>
    </row>
    <row r="669" spans="1:16">
      <c r="A669" s="7">
        <v>37067</v>
      </c>
      <c r="B669" s="8">
        <v>50000</v>
      </c>
      <c r="C669" s="8">
        <f t="shared" si="33"/>
        <v>50557.534246575342</v>
      </c>
      <c r="D669" s="7">
        <f t="shared" si="34"/>
        <v>37104</v>
      </c>
      <c r="E669" s="9">
        <v>37</v>
      </c>
      <c r="F669" s="10">
        <v>0.11</v>
      </c>
      <c r="G669" s="11" t="s">
        <v>632</v>
      </c>
    </row>
    <row r="670" spans="1:16">
      <c r="A670" s="7">
        <v>37076</v>
      </c>
      <c r="B670" s="8">
        <v>83825.83</v>
      </c>
      <c r="C670" s="8">
        <f t="shared" si="33"/>
        <v>84770.305961301376</v>
      </c>
      <c r="D670" s="7">
        <f t="shared" si="34"/>
        <v>37111</v>
      </c>
      <c r="E670" s="9">
        <v>35</v>
      </c>
      <c r="F670" s="10">
        <v>0.11749999999999999</v>
      </c>
      <c r="G670" s="11" t="s">
        <v>441</v>
      </c>
    </row>
    <row r="671" spans="1:16">
      <c r="A671" s="7">
        <v>37083</v>
      </c>
      <c r="B671" s="8">
        <v>38071</v>
      </c>
      <c r="C671" s="8">
        <f t="shared" si="33"/>
        <v>38509.077260273974</v>
      </c>
      <c r="D671" s="7">
        <f t="shared" si="34"/>
        <v>37113</v>
      </c>
      <c r="E671" s="9">
        <v>30</v>
      </c>
      <c r="F671" s="10">
        <v>0.14000000000000001</v>
      </c>
      <c r="G671" s="11" t="s">
        <v>632</v>
      </c>
    </row>
    <row r="672" spans="1:16">
      <c r="A672" s="7">
        <v>37090</v>
      </c>
      <c r="B672" s="8">
        <v>65350.28</v>
      </c>
      <c r="C672" s="8">
        <f t="shared" si="33"/>
        <v>66352.914432876714</v>
      </c>
      <c r="D672" s="7">
        <f t="shared" si="34"/>
        <v>37125</v>
      </c>
      <c r="E672" s="9">
        <v>35</v>
      </c>
      <c r="F672" s="10">
        <v>0.16</v>
      </c>
      <c r="G672" s="11" t="s">
        <v>441</v>
      </c>
    </row>
    <row r="673" spans="1:7">
      <c r="A673" s="7">
        <v>37098</v>
      </c>
      <c r="B673" s="8">
        <v>23359.34</v>
      </c>
      <c r="C673" s="8">
        <f t="shared" si="33"/>
        <v>23838.046474520546</v>
      </c>
      <c r="D673" s="7">
        <f t="shared" si="34"/>
        <v>37132</v>
      </c>
      <c r="E673" s="9">
        <v>34</v>
      </c>
      <c r="F673" s="10">
        <v>0.22</v>
      </c>
      <c r="G673" s="11" t="s">
        <v>569</v>
      </c>
    </row>
    <row r="674" spans="1:7">
      <c r="A674" s="7">
        <v>37096</v>
      </c>
      <c r="B674" s="8">
        <v>68876</v>
      </c>
      <c r="C674" s="8">
        <f t="shared" si="33"/>
        <v>70030.852383561651</v>
      </c>
      <c r="D674" s="7">
        <f t="shared" si="34"/>
        <v>37132</v>
      </c>
      <c r="E674" s="9">
        <v>36</v>
      </c>
      <c r="F674" s="10">
        <v>0.17</v>
      </c>
      <c r="G674" s="11" t="s">
        <v>632</v>
      </c>
    </row>
    <row r="675" spans="1:7">
      <c r="A675" s="7">
        <v>37096</v>
      </c>
      <c r="B675" s="8">
        <v>98911</v>
      </c>
      <c r="C675" s="8">
        <f t="shared" si="33"/>
        <v>100569.45293150685</v>
      </c>
      <c r="D675" s="7">
        <f t="shared" si="34"/>
        <v>37132</v>
      </c>
      <c r="E675" s="9">
        <v>36</v>
      </c>
      <c r="F675" s="10">
        <v>0.17</v>
      </c>
      <c r="G675" s="11" t="s">
        <v>632</v>
      </c>
    </row>
    <row r="676" spans="1:7">
      <c r="A676" s="7">
        <v>37104</v>
      </c>
      <c r="B676" s="8">
        <v>50558</v>
      </c>
      <c r="C676" s="8">
        <f t="shared" si="33"/>
        <v>51455.577643835619</v>
      </c>
      <c r="D676" s="7">
        <f t="shared" si="34"/>
        <v>37140</v>
      </c>
      <c r="E676" s="9">
        <v>36</v>
      </c>
      <c r="F676" s="10">
        <v>0.18</v>
      </c>
      <c r="G676" s="11" t="s">
        <v>632</v>
      </c>
    </row>
    <row r="677" spans="1:7">
      <c r="A677" s="7">
        <v>37104</v>
      </c>
      <c r="B677" s="8">
        <v>50558</v>
      </c>
      <c r="C677" s="8">
        <f t="shared" si="33"/>
        <v>51455.577643835619</v>
      </c>
      <c r="D677" s="7">
        <f t="shared" si="34"/>
        <v>37140</v>
      </c>
      <c r="E677" s="9">
        <v>36</v>
      </c>
      <c r="F677" s="10">
        <v>0.18</v>
      </c>
      <c r="G677" s="11" t="s">
        <v>632</v>
      </c>
    </row>
    <row r="678" spans="1:7">
      <c r="A678" s="7">
        <v>37104</v>
      </c>
      <c r="B678" s="8">
        <v>50558</v>
      </c>
      <c r="C678" s="8">
        <f t="shared" si="33"/>
        <v>51455.577643835619</v>
      </c>
      <c r="D678" s="7">
        <f t="shared" si="34"/>
        <v>37140</v>
      </c>
      <c r="E678" s="9">
        <v>36</v>
      </c>
      <c r="F678" s="10">
        <v>0.18</v>
      </c>
      <c r="G678" s="11" t="s">
        <v>632</v>
      </c>
    </row>
    <row r="679" spans="1:7">
      <c r="A679" s="7">
        <v>37104</v>
      </c>
      <c r="B679" s="8">
        <v>50558</v>
      </c>
      <c r="C679" s="8">
        <f t="shared" si="33"/>
        <v>51455.577643835619</v>
      </c>
      <c r="D679" s="7">
        <f t="shared" si="34"/>
        <v>37140</v>
      </c>
      <c r="E679" s="9">
        <v>36</v>
      </c>
      <c r="F679" s="10">
        <v>0.18</v>
      </c>
      <c r="G679" s="11" t="s">
        <v>632</v>
      </c>
    </row>
    <row r="680" spans="1:7">
      <c r="A680" s="7">
        <v>37125</v>
      </c>
      <c r="B680" s="8">
        <v>38600</v>
      </c>
      <c r="C680" s="8">
        <f t="shared" ref="C680:C711" si="35">B680+(B680*F680/365*E680)*1</f>
        <v>39229.232876712325</v>
      </c>
      <c r="D680" s="7">
        <f t="shared" ref="D680:D711" si="36">A680+E680</f>
        <v>37160</v>
      </c>
      <c r="E680" s="9">
        <v>35</v>
      </c>
      <c r="F680" s="10">
        <v>0.17</v>
      </c>
      <c r="G680" s="11" t="s">
        <v>632</v>
      </c>
    </row>
    <row r="681" spans="1:7">
      <c r="A681" s="7">
        <v>37127</v>
      </c>
      <c r="B681" s="8">
        <v>66353</v>
      </c>
      <c r="C681" s="8">
        <f t="shared" si="35"/>
        <v>67432.826904109592</v>
      </c>
      <c r="D681" s="7">
        <f t="shared" si="36"/>
        <v>37160</v>
      </c>
      <c r="E681" s="9">
        <v>33</v>
      </c>
      <c r="F681" s="10">
        <v>0.18</v>
      </c>
      <c r="G681" s="11" t="s">
        <v>120</v>
      </c>
    </row>
    <row r="682" spans="1:7">
      <c r="A682" s="7">
        <v>37127</v>
      </c>
      <c r="B682" s="8">
        <v>50000</v>
      </c>
      <c r="C682" s="8">
        <f t="shared" si="35"/>
        <v>50813.698630136983</v>
      </c>
      <c r="D682" s="7">
        <f t="shared" si="36"/>
        <v>37160</v>
      </c>
      <c r="E682" s="9">
        <v>33</v>
      </c>
      <c r="F682" s="10">
        <v>0.18</v>
      </c>
      <c r="G682" s="11" t="s">
        <v>120</v>
      </c>
    </row>
    <row r="683" spans="1:7">
      <c r="A683" s="7">
        <v>37127</v>
      </c>
      <c r="B683" s="8">
        <v>50000</v>
      </c>
      <c r="C683" s="8">
        <f t="shared" si="35"/>
        <v>50813.698630136983</v>
      </c>
      <c r="D683" s="7">
        <f t="shared" si="36"/>
        <v>37160</v>
      </c>
      <c r="E683" s="9">
        <v>33</v>
      </c>
      <c r="F683" s="10">
        <v>0.18</v>
      </c>
      <c r="G683" s="11" t="s">
        <v>120</v>
      </c>
    </row>
    <row r="684" spans="1:7">
      <c r="A684" s="7">
        <v>37132</v>
      </c>
      <c r="B684" s="8">
        <v>6000</v>
      </c>
      <c r="C684" s="8">
        <f t="shared" si="35"/>
        <v>6083.8356164383558</v>
      </c>
      <c r="D684" s="7">
        <f t="shared" si="36"/>
        <v>37162</v>
      </c>
      <c r="E684" s="9">
        <v>30</v>
      </c>
      <c r="F684" s="10">
        <v>0.17</v>
      </c>
      <c r="G684" s="11" t="s">
        <v>569</v>
      </c>
    </row>
    <row r="685" spans="1:7">
      <c r="A685" s="7">
        <v>37132</v>
      </c>
      <c r="B685" s="8">
        <v>50000</v>
      </c>
      <c r="C685" s="8">
        <f t="shared" si="35"/>
        <v>50698.630136986299</v>
      </c>
      <c r="D685" s="7">
        <f t="shared" si="36"/>
        <v>37162</v>
      </c>
      <c r="E685" s="9">
        <v>30</v>
      </c>
      <c r="F685" s="10">
        <v>0.17</v>
      </c>
      <c r="G685" s="11" t="s">
        <v>569</v>
      </c>
    </row>
    <row r="686" spans="1:7">
      <c r="A686" s="7">
        <v>37132</v>
      </c>
      <c r="B686" s="8">
        <v>50000</v>
      </c>
      <c r="C686" s="8">
        <f t="shared" si="35"/>
        <v>50698.630136986299</v>
      </c>
      <c r="D686" s="7">
        <f t="shared" si="36"/>
        <v>37162</v>
      </c>
      <c r="E686" s="9">
        <v>30</v>
      </c>
      <c r="F686" s="10">
        <v>0.17</v>
      </c>
      <c r="G686" s="11" t="s">
        <v>569</v>
      </c>
    </row>
    <row r="687" spans="1:7">
      <c r="A687" s="7">
        <v>37132</v>
      </c>
      <c r="B687" s="8">
        <v>20176.54</v>
      </c>
      <c r="C687" s="8">
        <f t="shared" si="35"/>
        <v>20458.458778082193</v>
      </c>
      <c r="D687" s="7">
        <f t="shared" si="36"/>
        <v>37162</v>
      </c>
      <c r="E687" s="9">
        <v>30</v>
      </c>
      <c r="F687" s="10">
        <v>0.17</v>
      </c>
      <c r="G687" s="11" t="s">
        <v>569</v>
      </c>
    </row>
    <row r="688" spans="1:7">
      <c r="A688" s="7">
        <v>37132</v>
      </c>
      <c r="B688" s="8">
        <v>50000</v>
      </c>
      <c r="C688" s="8">
        <f t="shared" si="35"/>
        <v>50698.630136986299</v>
      </c>
      <c r="D688" s="7">
        <f t="shared" si="36"/>
        <v>37162</v>
      </c>
      <c r="E688" s="9">
        <v>30</v>
      </c>
      <c r="F688" s="10">
        <v>0.17</v>
      </c>
      <c r="G688" s="11" t="s">
        <v>569</v>
      </c>
    </row>
    <row r="689" spans="1:7">
      <c r="A689" s="7">
        <v>37132</v>
      </c>
      <c r="B689" s="8">
        <v>50000</v>
      </c>
      <c r="C689" s="8">
        <f t="shared" si="35"/>
        <v>50698.630136986299</v>
      </c>
      <c r="D689" s="7">
        <f t="shared" si="36"/>
        <v>37162</v>
      </c>
      <c r="E689" s="9">
        <v>30</v>
      </c>
      <c r="F689" s="10">
        <v>0.17</v>
      </c>
      <c r="G689" s="11" t="s">
        <v>569</v>
      </c>
    </row>
    <row r="690" spans="1:7">
      <c r="A690" s="7">
        <v>37132</v>
      </c>
      <c r="B690" s="8">
        <v>50000</v>
      </c>
      <c r="C690" s="8">
        <f t="shared" si="35"/>
        <v>50698.630136986299</v>
      </c>
      <c r="D690" s="7">
        <f t="shared" si="36"/>
        <v>37162</v>
      </c>
      <c r="E690" s="9">
        <v>30</v>
      </c>
      <c r="F690" s="10">
        <v>0.17</v>
      </c>
      <c r="G690" s="11" t="s">
        <v>569</v>
      </c>
    </row>
    <row r="691" spans="1:7">
      <c r="A691" s="7">
        <v>37132</v>
      </c>
      <c r="B691" s="8">
        <v>20600</v>
      </c>
      <c r="C691" s="8">
        <f t="shared" si="35"/>
        <v>20887.835616438355</v>
      </c>
      <c r="D691" s="7">
        <f t="shared" si="36"/>
        <v>37162</v>
      </c>
      <c r="E691" s="9">
        <v>30</v>
      </c>
      <c r="F691" s="10">
        <v>0.17</v>
      </c>
      <c r="G691" s="11" t="s">
        <v>569</v>
      </c>
    </row>
    <row r="692" spans="1:7">
      <c r="A692" s="7">
        <v>37140</v>
      </c>
      <c r="B692" s="8">
        <v>51456</v>
      </c>
      <c r="C692" s="8">
        <f t="shared" si="35"/>
        <v>52318.769095890413</v>
      </c>
      <c r="D692" s="7">
        <f t="shared" si="36"/>
        <v>37174</v>
      </c>
      <c r="E692" s="9">
        <v>34</v>
      </c>
      <c r="F692" s="10">
        <v>0.18</v>
      </c>
      <c r="G692" s="11" t="s">
        <v>441</v>
      </c>
    </row>
    <row r="693" spans="1:7">
      <c r="A693" s="7">
        <v>37140</v>
      </c>
      <c r="B693" s="8">
        <v>51456</v>
      </c>
      <c r="C693" s="8">
        <f t="shared" si="35"/>
        <v>52318.769095890413</v>
      </c>
      <c r="D693" s="7">
        <f t="shared" si="36"/>
        <v>37174</v>
      </c>
      <c r="E693" s="9">
        <v>34</v>
      </c>
      <c r="F693" s="10">
        <v>0.18</v>
      </c>
      <c r="G693" s="11" t="s">
        <v>441</v>
      </c>
    </row>
    <row r="694" spans="1:7">
      <c r="A694" s="7">
        <v>37140</v>
      </c>
      <c r="B694" s="8">
        <v>51456</v>
      </c>
      <c r="C694" s="8">
        <f t="shared" si="35"/>
        <v>52222.905863013701</v>
      </c>
      <c r="D694" s="7">
        <f t="shared" si="36"/>
        <v>37174</v>
      </c>
      <c r="E694" s="9">
        <v>34</v>
      </c>
      <c r="F694" s="10">
        <v>0.16</v>
      </c>
      <c r="G694" s="11" t="s">
        <v>120</v>
      </c>
    </row>
    <row r="695" spans="1:7">
      <c r="A695" s="7">
        <v>37140</v>
      </c>
      <c r="B695" s="8">
        <v>51456</v>
      </c>
      <c r="C695" s="8">
        <f t="shared" si="35"/>
        <v>52222.905863013701</v>
      </c>
      <c r="D695" s="7">
        <f t="shared" si="36"/>
        <v>37174</v>
      </c>
      <c r="E695" s="9">
        <v>34</v>
      </c>
      <c r="F695" s="10">
        <v>0.16</v>
      </c>
      <c r="G695" s="11" t="s">
        <v>120</v>
      </c>
    </row>
    <row r="696" spans="1:7">
      <c r="A696" s="7">
        <v>37160</v>
      </c>
      <c r="B696" s="8">
        <v>39280</v>
      </c>
      <c r="C696" s="8">
        <f t="shared" si="35"/>
        <v>39920.317808219181</v>
      </c>
      <c r="D696" s="7">
        <f t="shared" si="36"/>
        <v>37195</v>
      </c>
      <c r="E696" s="9">
        <v>35</v>
      </c>
      <c r="F696" s="10">
        <v>0.17</v>
      </c>
      <c r="G696" s="11" t="s">
        <v>632</v>
      </c>
    </row>
    <row r="697" spans="1:7">
      <c r="A697" s="7">
        <v>37162</v>
      </c>
      <c r="B697" s="8">
        <v>67433</v>
      </c>
      <c r="C697" s="8">
        <f t="shared" si="35"/>
        <v>68499.919383561646</v>
      </c>
      <c r="D697" s="7">
        <f t="shared" si="36"/>
        <v>37195</v>
      </c>
      <c r="E697" s="9">
        <v>33</v>
      </c>
      <c r="F697" s="10">
        <v>0.17499999999999999</v>
      </c>
      <c r="G697" s="11" t="s">
        <v>632</v>
      </c>
    </row>
    <row r="698" spans="1:7">
      <c r="A698" s="7">
        <v>37162</v>
      </c>
      <c r="B698" s="8">
        <v>50814</v>
      </c>
      <c r="C698" s="8">
        <f t="shared" si="35"/>
        <v>51595.004219178081</v>
      </c>
      <c r="D698" s="7">
        <f t="shared" si="36"/>
        <v>37195</v>
      </c>
      <c r="E698" s="9">
        <v>33</v>
      </c>
      <c r="F698" s="10">
        <v>0.17</v>
      </c>
      <c r="G698" s="11" t="s">
        <v>632</v>
      </c>
    </row>
    <row r="699" spans="1:7">
      <c r="A699" s="7">
        <v>37162</v>
      </c>
      <c r="B699" s="8">
        <v>50814</v>
      </c>
      <c r="C699" s="8">
        <f t="shared" si="35"/>
        <v>51595.004219178081</v>
      </c>
      <c r="D699" s="7">
        <f t="shared" si="36"/>
        <v>37195</v>
      </c>
      <c r="E699" s="9">
        <v>33</v>
      </c>
      <c r="F699" s="10">
        <v>0.17</v>
      </c>
      <c r="G699" s="11" t="s">
        <v>632</v>
      </c>
    </row>
    <row r="700" spans="1:7">
      <c r="A700" s="7">
        <v>37162</v>
      </c>
      <c r="B700" s="8">
        <v>52000</v>
      </c>
      <c r="C700" s="8">
        <f t="shared" si="35"/>
        <v>52997.260273972606</v>
      </c>
      <c r="D700" s="7">
        <f t="shared" si="36"/>
        <v>37202</v>
      </c>
      <c r="E700" s="9">
        <v>40</v>
      </c>
      <c r="F700" s="10">
        <v>0.17499999999999999</v>
      </c>
      <c r="G700" s="11" t="s">
        <v>632</v>
      </c>
    </row>
    <row r="701" spans="1:7">
      <c r="A701" s="7">
        <v>37162</v>
      </c>
      <c r="B701" s="8">
        <v>52000</v>
      </c>
      <c r="C701" s="8">
        <f t="shared" si="35"/>
        <v>52997.260273972606</v>
      </c>
      <c r="D701" s="7">
        <f t="shared" si="36"/>
        <v>37202</v>
      </c>
      <c r="E701" s="9">
        <v>40</v>
      </c>
      <c r="F701" s="10">
        <v>0.17499999999999999</v>
      </c>
      <c r="G701" s="11" t="s">
        <v>632</v>
      </c>
    </row>
    <row r="702" spans="1:7">
      <c r="A702" s="7">
        <v>37162</v>
      </c>
      <c r="B702" s="8">
        <v>52000</v>
      </c>
      <c r="C702" s="8">
        <f t="shared" si="35"/>
        <v>52968.767123287675</v>
      </c>
      <c r="D702" s="7">
        <f t="shared" si="36"/>
        <v>37202</v>
      </c>
      <c r="E702" s="9">
        <v>40</v>
      </c>
      <c r="F702" s="10">
        <v>0.17</v>
      </c>
      <c r="G702" s="11" t="s">
        <v>632</v>
      </c>
    </row>
    <row r="703" spans="1:7">
      <c r="A703" s="7">
        <v>37162</v>
      </c>
      <c r="B703" s="8">
        <v>52000</v>
      </c>
      <c r="C703" s="8">
        <f t="shared" si="35"/>
        <v>52968.767123287675</v>
      </c>
      <c r="D703" s="7">
        <f t="shared" si="36"/>
        <v>37202</v>
      </c>
      <c r="E703" s="9">
        <v>40</v>
      </c>
      <c r="F703" s="10">
        <v>0.17</v>
      </c>
      <c r="G703" s="11" t="s">
        <v>632</v>
      </c>
    </row>
    <row r="704" spans="1:7">
      <c r="A704" s="7">
        <v>37162</v>
      </c>
      <c r="B704" s="8">
        <v>52000</v>
      </c>
      <c r="C704" s="8">
        <f t="shared" si="35"/>
        <v>52968.767123287675</v>
      </c>
      <c r="D704" s="7">
        <f t="shared" si="36"/>
        <v>37202</v>
      </c>
      <c r="E704" s="9">
        <v>40</v>
      </c>
      <c r="F704" s="10">
        <v>0.17</v>
      </c>
      <c r="G704" s="11" t="s">
        <v>632</v>
      </c>
    </row>
    <row r="705" spans="1:16">
      <c r="A705" s="7">
        <v>37174</v>
      </c>
      <c r="B705" s="8">
        <v>52318.76</v>
      </c>
      <c r="C705" s="8">
        <f t="shared" si="35"/>
        <v>53171.627457534247</v>
      </c>
      <c r="D705" s="7">
        <f t="shared" si="36"/>
        <v>37209</v>
      </c>
      <c r="E705" s="9">
        <v>35</v>
      </c>
      <c r="F705" s="10">
        <v>0.17</v>
      </c>
      <c r="G705" s="11" t="s">
        <v>441</v>
      </c>
    </row>
    <row r="706" spans="1:16">
      <c r="A706" s="7">
        <v>37174</v>
      </c>
      <c r="B706" s="8">
        <v>52318.76</v>
      </c>
      <c r="C706" s="8">
        <f t="shared" si="35"/>
        <v>53171.627457534247</v>
      </c>
      <c r="D706" s="7">
        <f t="shared" si="36"/>
        <v>37209</v>
      </c>
      <c r="E706" s="9">
        <v>35</v>
      </c>
      <c r="F706" s="10">
        <v>0.17</v>
      </c>
      <c r="G706" s="11" t="s">
        <v>441</v>
      </c>
    </row>
    <row r="707" spans="1:16">
      <c r="A707" s="7">
        <v>37183</v>
      </c>
      <c r="B707" s="8">
        <v>29000</v>
      </c>
      <c r="C707" s="8">
        <f t="shared" si="35"/>
        <v>29445.726027397261</v>
      </c>
      <c r="D707" s="7">
        <f t="shared" si="36"/>
        <v>37216</v>
      </c>
      <c r="E707" s="9">
        <v>33</v>
      </c>
      <c r="F707" s="10">
        <v>0.17</v>
      </c>
      <c r="G707" s="11" t="s">
        <v>632</v>
      </c>
    </row>
    <row r="708" spans="1:16">
      <c r="A708" s="7">
        <v>37196</v>
      </c>
      <c r="B708" s="8">
        <v>51595</v>
      </c>
      <c r="C708" s="8">
        <f t="shared" si="35"/>
        <v>52436.069178082194</v>
      </c>
      <c r="D708" s="7">
        <f t="shared" si="36"/>
        <v>37230</v>
      </c>
      <c r="E708" s="9">
        <v>34</v>
      </c>
      <c r="F708" s="10">
        <v>0.17499999999999999</v>
      </c>
      <c r="G708" s="11" t="s">
        <v>120</v>
      </c>
      <c r="H708">
        <f t="shared" ref="H708:H716" si="37">+D708</f>
        <v>37230</v>
      </c>
      <c r="I708">
        <f t="shared" ref="I708:I716" si="38">+C708</f>
        <v>52436.069178082194</v>
      </c>
    </row>
    <row r="709" spans="1:16">
      <c r="A709" s="7">
        <v>37196</v>
      </c>
      <c r="B709" s="8">
        <v>51595</v>
      </c>
      <c r="C709" s="8">
        <f t="shared" si="35"/>
        <v>52436.069178082194</v>
      </c>
      <c r="D709" s="7">
        <f t="shared" si="36"/>
        <v>37230</v>
      </c>
      <c r="E709" s="9">
        <v>34</v>
      </c>
      <c r="F709" s="10">
        <v>0.17499999999999999</v>
      </c>
      <c r="G709" s="11" t="s">
        <v>120</v>
      </c>
      <c r="H709">
        <f t="shared" si="37"/>
        <v>37230</v>
      </c>
      <c r="I709">
        <f t="shared" si="38"/>
        <v>52436.069178082194</v>
      </c>
    </row>
    <row r="710" spans="1:16">
      <c r="A710" s="7">
        <v>37197</v>
      </c>
      <c r="B710" s="8">
        <v>100000</v>
      </c>
      <c r="C710" s="8">
        <f t="shared" si="35"/>
        <v>102079.45205479451</v>
      </c>
      <c r="D710" s="7">
        <f t="shared" si="36"/>
        <v>37230</v>
      </c>
      <c r="E710" s="9">
        <v>33</v>
      </c>
      <c r="F710" s="10">
        <v>0.23</v>
      </c>
      <c r="G710" s="11" t="s">
        <v>120</v>
      </c>
      <c r="H710">
        <f t="shared" si="37"/>
        <v>37230</v>
      </c>
      <c r="I710">
        <f t="shared" si="38"/>
        <v>102079.45205479451</v>
      </c>
    </row>
    <row r="711" spans="1:16">
      <c r="A711" s="7">
        <v>37203</v>
      </c>
      <c r="B711" s="8">
        <v>52997</v>
      </c>
      <c r="C711" s="8">
        <f t="shared" si="35"/>
        <v>53833.336219178083</v>
      </c>
      <c r="D711" s="7">
        <f t="shared" si="36"/>
        <v>37235</v>
      </c>
      <c r="E711" s="9">
        <v>32</v>
      </c>
      <c r="F711" s="10">
        <v>0.18</v>
      </c>
      <c r="G711" s="11" t="s">
        <v>569</v>
      </c>
      <c r="H711">
        <f t="shared" si="37"/>
        <v>37235</v>
      </c>
      <c r="I711">
        <f t="shared" si="38"/>
        <v>53833.336219178083</v>
      </c>
    </row>
    <row r="712" spans="1:16">
      <c r="A712" s="7">
        <v>37203</v>
      </c>
      <c r="B712" s="8">
        <v>52997</v>
      </c>
      <c r="C712" s="8">
        <f t="shared" ref="C712:C743" si="39">B712+(B712*F712/365*E712)*1</f>
        <v>53833.336219178083</v>
      </c>
      <c r="D712" s="7">
        <f t="shared" ref="D712:D743" si="40">A712+E712</f>
        <v>37235</v>
      </c>
      <c r="E712" s="9">
        <v>32</v>
      </c>
      <c r="F712" s="10">
        <v>0.18</v>
      </c>
      <c r="G712" s="11" t="s">
        <v>569</v>
      </c>
      <c r="H712">
        <f t="shared" si="37"/>
        <v>37235</v>
      </c>
      <c r="I712">
        <f t="shared" si="38"/>
        <v>53833.336219178083</v>
      </c>
    </row>
    <row r="713" spans="1:16">
      <c r="A713" s="7">
        <v>37203</v>
      </c>
      <c r="B713" s="8">
        <v>52969</v>
      </c>
      <c r="C713" s="8">
        <f t="shared" si="39"/>
        <v>53804.894356164383</v>
      </c>
      <c r="D713" s="7">
        <f t="shared" si="40"/>
        <v>37235</v>
      </c>
      <c r="E713" s="9">
        <v>32</v>
      </c>
      <c r="F713" s="10">
        <v>0.18</v>
      </c>
      <c r="G713" s="11" t="s">
        <v>569</v>
      </c>
      <c r="H713">
        <f t="shared" si="37"/>
        <v>37235</v>
      </c>
      <c r="I713">
        <f t="shared" si="38"/>
        <v>53804.894356164383</v>
      </c>
    </row>
    <row r="714" spans="1:16">
      <c r="A714" s="7">
        <v>37203</v>
      </c>
      <c r="B714" s="8">
        <v>52969</v>
      </c>
      <c r="C714" s="8">
        <f t="shared" si="39"/>
        <v>53804.894356164383</v>
      </c>
      <c r="D714" s="7">
        <f t="shared" si="40"/>
        <v>37235</v>
      </c>
      <c r="E714" s="9">
        <v>32</v>
      </c>
      <c r="F714" s="10">
        <v>0.18</v>
      </c>
      <c r="G714" s="11" t="s">
        <v>569</v>
      </c>
      <c r="H714">
        <f t="shared" si="37"/>
        <v>37235</v>
      </c>
      <c r="I714">
        <f t="shared" si="38"/>
        <v>53804.894356164383</v>
      </c>
    </row>
    <row r="715" spans="1:16">
      <c r="A715" s="7">
        <v>37203</v>
      </c>
      <c r="B715" s="8">
        <v>52969</v>
      </c>
      <c r="C715" s="8">
        <f t="shared" si="39"/>
        <v>53804.894356164383</v>
      </c>
      <c r="D715" s="7">
        <f t="shared" si="40"/>
        <v>37235</v>
      </c>
      <c r="E715" s="9">
        <v>32</v>
      </c>
      <c r="F715" s="10">
        <v>0.18</v>
      </c>
      <c r="G715" s="11" t="s">
        <v>569</v>
      </c>
      <c r="H715">
        <f t="shared" si="37"/>
        <v>37235</v>
      </c>
      <c r="I715">
        <f t="shared" si="38"/>
        <v>53804.894356164383</v>
      </c>
    </row>
    <row r="716" spans="1:16">
      <c r="A716" s="7">
        <v>37211</v>
      </c>
      <c r="B716" s="8">
        <v>106344</v>
      </c>
      <c r="C716" s="8">
        <f t="shared" si="39"/>
        <v>108266.93260273973</v>
      </c>
      <c r="D716" s="7">
        <f t="shared" si="40"/>
        <v>37244</v>
      </c>
      <c r="E716" s="9">
        <v>33</v>
      </c>
      <c r="F716" s="10">
        <v>0.2</v>
      </c>
      <c r="G716" s="11" t="s">
        <v>120</v>
      </c>
      <c r="H716">
        <f t="shared" si="37"/>
        <v>37244</v>
      </c>
      <c r="I716">
        <f t="shared" si="38"/>
        <v>108266.93260273973</v>
      </c>
    </row>
    <row r="717" spans="1:16">
      <c r="A717" s="7">
        <v>37379</v>
      </c>
      <c r="B717" s="8">
        <v>20000</v>
      </c>
      <c r="C717" s="8">
        <f t="shared" si="39"/>
        <v>20038.219178082192</v>
      </c>
      <c r="D717" s="7">
        <f t="shared" si="40"/>
        <v>37410</v>
      </c>
      <c r="E717" s="9">
        <v>31</v>
      </c>
      <c r="F717" s="10">
        <v>2.2499999999999999E-2</v>
      </c>
      <c r="G717" s="11" t="s">
        <v>276</v>
      </c>
      <c r="H717">
        <v>37342</v>
      </c>
      <c r="I717">
        <v>19850</v>
      </c>
      <c r="L717">
        <v>37408</v>
      </c>
      <c r="M717" t="e">
        <f>+$H$14*#REF!+#REF!+#REF!</f>
        <v>#REF!</v>
      </c>
      <c r="P717">
        <v>1000</v>
      </c>
    </row>
    <row r="718" spans="1:16">
      <c r="A718" s="7">
        <v>37475</v>
      </c>
      <c r="B718" s="8">
        <v>418000</v>
      </c>
      <c r="C718" s="8">
        <f t="shared" si="39"/>
        <v>433231.23287671234</v>
      </c>
      <c r="D718" s="7">
        <f t="shared" si="40"/>
        <v>37489</v>
      </c>
      <c r="E718" s="9">
        <v>14</v>
      </c>
      <c r="F718" s="10">
        <v>0.95</v>
      </c>
      <c r="G718" s="11" t="s">
        <v>120</v>
      </c>
      <c r="H718">
        <f t="shared" ref="H718:H729" si="41">+D718</f>
        <v>37489</v>
      </c>
      <c r="I718">
        <f t="shared" ref="I718:I729" si="42">+C718</f>
        <v>433231.23287671234</v>
      </c>
    </row>
    <row r="719" spans="1:16">
      <c r="A719" s="7">
        <v>37489</v>
      </c>
      <c r="B719" s="8">
        <v>160000</v>
      </c>
      <c r="C719" s="8">
        <f t="shared" si="39"/>
        <v>166246.57534246575</v>
      </c>
      <c r="D719" s="7">
        <f t="shared" si="40"/>
        <v>37508</v>
      </c>
      <c r="E719" s="9">
        <v>19</v>
      </c>
      <c r="F719" s="10">
        <v>0.75</v>
      </c>
      <c r="G719" s="11" t="s">
        <v>276</v>
      </c>
      <c r="H719">
        <f t="shared" si="41"/>
        <v>37508</v>
      </c>
      <c r="I719">
        <f t="shared" si="42"/>
        <v>166246.57534246575</v>
      </c>
    </row>
    <row r="720" spans="1:16">
      <c r="A720" s="7">
        <v>37494</v>
      </c>
      <c r="B720" s="8">
        <v>280000</v>
      </c>
      <c r="C720" s="8">
        <f t="shared" si="39"/>
        <v>288054.79452054796</v>
      </c>
      <c r="D720" s="7">
        <f t="shared" si="40"/>
        <v>37508</v>
      </c>
      <c r="E720" s="9">
        <v>14</v>
      </c>
      <c r="F720" s="10">
        <v>0.75</v>
      </c>
      <c r="G720" s="11" t="s">
        <v>276</v>
      </c>
      <c r="H720">
        <f t="shared" si="41"/>
        <v>37508</v>
      </c>
      <c r="I720">
        <f t="shared" si="42"/>
        <v>288054.79452054796</v>
      </c>
    </row>
    <row r="721" spans="1:9">
      <c r="A721" s="7">
        <v>37496</v>
      </c>
      <c r="B721" s="8">
        <v>11000</v>
      </c>
      <c r="C721" s="8">
        <f t="shared" si="39"/>
        <v>11235.068493150686</v>
      </c>
      <c r="D721" s="7">
        <f t="shared" si="40"/>
        <v>37508</v>
      </c>
      <c r="E721" s="9">
        <v>12</v>
      </c>
      <c r="F721" s="10">
        <v>0.65</v>
      </c>
      <c r="G721" s="11" t="s">
        <v>276</v>
      </c>
      <c r="H721">
        <f t="shared" si="41"/>
        <v>37508</v>
      </c>
      <c r="I721">
        <f t="shared" si="42"/>
        <v>11235.068493150686</v>
      </c>
    </row>
    <row r="722" spans="1:9">
      <c r="A722" s="7">
        <v>37508</v>
      </c>
      <c r="B722" s="8">
        <v>220700</v>
      </c>
      <c r="C722" s="8">
        <f t="shared" si="39"/>
        <v>225355.86301369863</v>
      </c>
      <c r="D722" s="7">
        <f t="shared" si="40"/>
        <v>37522</v>
      </c>
      <c r="E722" s="9">
        <v>14</v>
      </c>
      <c r="F722" s="10">
        <v>0.55000000000000004</v>
      </c>
      <c r="G722" s="11" t="s">
        <v>276</v>
      </c>
      <c r="H722">
        <f t="shared" si="41"/>
        <v>37522</v>
      </c>
      <c r="I722">
        <f t="shared" si="42"/>
        <v>225355.86301369863</v>
      </c>
    </row>
    <row r="723" spans="1:9">
      <c r="A723" s="7">
        <v>37508</v>
      </c>
      <c r="B723" s="8">
        <v>177481.65</v>
      </c>
      <c r="C723" s="8">
        <f t="shared" si="39"/>
        <v>181566.15920547946</v>
      </c>
      <c r="D723" s="7">
        <f t="shared" si="40"/>
        <v>37522</v>
      </c>
      <c r="E723" s="9">
        <v>14</v>
      </c>
      <c r="F723" s="10">
        <v>0.6</v>
      </c>
      <c r="G723" s="11" t="s">
        <v>276</v>
      </c>
      <c r="H723">
        <f t="shared" si="41"/>
        <v>37522</v>
      </c>
      <c r="I723">
        <f t="shared" si="42"/>
        <v>181566.15920547946</v>
      </c>
    </row>
    <row r="724" spans="1:9">
      <c r="A724" s="7">
        <v>37522</v>
      </c>
      <c r="B724" s="8">
        <v>220000</v>
      </c>
      <c r="C724" s="8">
        <f t="shared" si="39"/>
        <v>223375.34246575343</v>
      </c>
      <c r="D724" s="7">
        <f t="shared" si="40"/>
        <v>37536</v>
      </c>
      <c r="E724" s="9">
        <v>14</v>
      </c>
      <c r="F724" s="10">
        <v>0.4</v>
      </c>
      <c r="G724" s="11" t="s">
        <v>276</v>
      </c>
      <c r="H724">
        <f t="shared" si="41"/>
        <v>37536</v>
      </c>
      <c r="I724">
        <f t="shared" si="42"/>
        <v>223375.34246575343</v>
      </c>
    </row>
    <row r="725" spans="1:9">
      <c r="A725" s="7">
        <v>37522</v>
      </c>
      <c r="B725" s="8">
        <v>184466.16</v>
      </c>
      <c r="C725" s="8">
        <f t="shared" si="39"/>
        <v>187650.09646027398</v>
      </c>
      <c r="D725" s="7">
        <f t="shared" si="40"/>
        <v>37536</v>
      </c>
      <c r="E725" s="9">
        <v>14</v>
      </c>
      <c r="F725" s="10">
        <v>0.45</v>
      </c>
      <c r="G725" s="11" t="s">
        <v>276</v>
      </c>
      <c r="H725">
        <f t="shared" si="41"/>
        <v>37536</v>
      </c>
      <c r="I725">
        <f t="shared" si="42"/>
        <v>187650.09646027398</v>
      </c>
    </row>
    <row r="726" spans="1:9">
      <c r="A726" s="7">
        <v>37525</v>
      </c>
      <c r="B726" s="8">
        <v>3200</v>
      </c>
      <c r="C726" s="8">
        <f t="shared" si="39"/>
        <v>3255.2328767123286</v>
      </c>
      <c r="D726" s="7">
        <f t="shared" si="40"/>
        <v>37540</v>
      </c>
      <c r="E726" s="9">
        <v>15</v>
      </c>
      <c r="F726" s="10">
        <v>0.42</v>
      </c>
      <c r="G726" s="11" t="s">
        <v>276</v>
      </c>
      <c r="H726">
        <f t="shared" si="41"/>
        <v>37540</v>
      </c>
      <c r="I726">
        <f t="shared" si="42"/>
        <v>3255.2328767123286</v>
      </c>
    </row>
    <row r="727" spans="1:9">
      <c r="A727" s="7">
        <v>37536</v>
      </c>
      <c r="B727" s="8">
        <v>193750.1</v>
      </c>
      <c r="C727" s="8">
        <f t="shared" si="39"/>
        <v>197094.27980821917</v>
      </c>
      <c r="D727" s="7">
        <f t="shared" si="40"/>
        <v>37550</v>
      </c>
      <c r="E727" s="9">
        <v>14</v>
      </c>
      <c r="F727" s="10">
        <v>0.45</v>
      </c>
      <c r="G727" s="11" t="s">
        <v>276</v>
      </c>
      <c r="H727">
        <f t="shared" si="41"/>
        <v>37550</v>
      </c>
      <c r="I727">
        <f t="shared" si="42"/>
        <v>197094.27980821917</v>
      </c>
    </row>
    <row r="728" spans="1:9">
      <c r="A728" s="7">
        <v>37536</v>
      </c>
      <c r="B728" s="8">
        <v>220875.34</v>
      </c>
      <c r="C728" s="8">
        <f t="shared" si="39"/>
        <v>224264.11233972604</v>
      </c>
      <c r="D728" s="7">
        <f t="shared" si="40"/>
        <v>37550</v>
      </c>
      <c r="E728" s="9">
        <v>14</v>
      </c>
      <c r="F728" s="10">
        <v>0.4</v>
      </c>
      <c r="G728" s="11" t="s">
        <v>276</v>
      </c>
      <c r="H728">
        <f t="shared" si="41"/>
        <v>37550</v>
      </c>
      <c r="I728">
        <f t="shared" si="42"/>
        <v>224264.11233972604</v>
      </c>
    </row>
    <row r="729" spans="1:9">
      <c r="A729" s="7">
        <v>37540</v>
      </c>
      <c r="B729" s="8">
        <v>3255.26</v>
      </c>
      <c r="C729" s="8">
        <f t="shared" si="39"/>
        <v>3311.4466794520549</v>
      </c>
      <c r="D729" s="7">
        <f t="shared" si="40"/>
        <v>37554</v>
      </c>
      <c r="E729" s="9">
        <v>14</v>
      </c>
      <c r="F729" s="10">
        <v>0.45</v>
      </c>
      <c r="G729" s="11" t="s">
        <v>276</v>
      </c>
      <c r="H729">
        <f t="shared" si="41"/>
        <v>37554</v>
      </c>
      <c r="I729">
        <f t="shared" si="42"/>
        <v>3311.4466794520549</v>
      </c>
    </row>
    <row r="730" spans="1:9">
      <c r="A730" s="7">
        <v>37550</v>
      </c>
      <c r="B730" s="8">
        <v>123600</v>
      </c>
      <c r="C730" s="8">
        <f t="shared" si="39"/>
        <v>125117.06301369863</v>
      </c>
      <c r="D730" s="7">
        <f t="shared" si="40"/>
        <v>37564</v>
      </c>
      <c r="E730" s="9">
        <v>14</v>
      </c>
      <c r="F730" s="10">
        <v>0.32</v>
      </c>
      <c r="G730" s="11" t="s">
        <v>276</v>
      </c>
    </row>
    <row r="731" spans="1:9">
      <c r="A731" s="7">
        <v>37564</v>
      </c>
      <c r="B731" s="8">
        <v>4500</v>
      </c>
      <c r="C731" s="8">
        <f t="shared" si="39"/>
        <v>4529.3424657534242</v>
      </c>
      <c r="D731" s="7">
        <f t="shared" si="40"/>
        <v>37578</v>
      </c>
      <c r="E731" s="9">
        <v>14</v>
      </c>
      <c r="F731" s="10">
        <v>0.17</v>
      </c>
      <c r="G731" s="11" t="s">
        <v>276</v>
      </c>
      <c r="H731">
        <f>+D731</f>
        <v>37578</v>
      </c>
      <c r="I731">
        <f>+C731</f>
        <v>4529.3424657534242</v>
      </c>
    </row>
    <row r="732" spans="1:9">
      <c r="A732" s="7">
        <v>37550</v>
      </c>
      <c r="B732" s="8">
        <v>198294.28</v>
      </c>
      <c r="C732" s="8">
        <f t="shared" si="39"/>
        <v>205465.47039999999</v>
      </c>
      <c r="D732" s="7">
        <f t="shared" si="40"/>
        <v>37580</v>
      </c>
      <c r="E732" s="9">
        <v>30</v>
      </c>
      <c r="F732" s="10">
        <v>0.44</v>
      </c>
      <c r="G732" s="11" t="s">
        <v>276</v>
      </c>
    </row>
    <row r="733" spans="1:9">
      <c r="A733" s="7">
        <v>37550</v>
      </c>
      <c r="B733" s="8">
        <v>100000</v>
      </c>
      <c r="C733" s="8">
        <f t="shared" si="39"/>
        <v>103123.28767123287</v>
      </c>
      <c r="D733" s="7">
        <f t="shared" si="40"/>
        <v>37580</v>
      </c>
      <c r="E733" s="9">
        <v>30</v>
      </c>
      <c r="F733" s="10">
        <v>0.38</v>
      </c>
      <c r="G733" s="11" t="s">
        <v>276</v>
      </c>
    </row>
    <row r="734" spans="1:9">
      <c r="A734" s="7">
        <v>37554</v>
      </c>
      <c r="B734" s="8">
        <v>8811.42</v>
      </c>
      <c r="C734" s="8">
        <f t="shared" si="39"/>
        <v>9095.7995276712336</v>
      </c>
      <c r="D734" s="7">
        <f t="shared" si="40"/>
        <v>37585</v>
      </c>
      <c r="E734" s="9">
        <v>31</v>
      </c>
      <c r="F734" s="10">
        <v>0.38</v>
      </c>
      <c r="G734" s="11" t="s">
        <v>276</v>
      </c>
    </row>
    <row r="735" spans="1:9">
      <c r="A735" s="7">
        <v>37564</v>
      </c>
      <c r="B735" s="8">
        <v>110000</v>
      </c>
      <c r="C735" s="8">
        <f t="shared" si="39"/>
        <v>112242.19178082192</v>
      </c>
      <c r="D735" s="7">
        <f t="shared" si="40"/>
        <v>37595</v>
      </c>
      <c r="E735" s="9">
        <v>31</v>
      </c>
      <c r="F735" s="10">
        <v>0.24</v>
      </c>
      <c r="G735" s="11" t="s">
        <v>276</v>
      </c>
      <c r="H735">
        <f>+D735</f>
        <v>37595</v>
      </c>
    </row>
    <row r="736" spans="1:9">
      <c r="A736" s="7">
        <v>37568</v>
      </c>
      <c r="B736" s="8">
        <v>4300</v>
      </c>
      <c r="C736" s="8">
        <f t="shared" si="39"/>
        <v>4405.9095890410963</v>
      </c>
      <c r="D736" s="7">
        <f t="shared" si="40"/>
        <v>37599</v>
      </c>
      <c r="E736" s="9">
        <v>31</v>
      </c>
      <c r="F736" s="10">
        <v>0.28999999999999998</v>
      </c>
      <c r="G736" s="11" t="s">
        <v>276</v>
      </c>
    </row>
    <row r="737" spans="1:9">
      <c r="A737" s="7">
        <v>37578</v>
      </c>
      <c r="B737" s="8">
        <v>5700</v>
      </c>
      <c r="C737" s="8">
        <f t="shared" si="39"/>
        <v>5840.5479452054797</v>
      </c>
      <c r="D737" s="7">
        <f t="shared" si="40"/>
        <v>37608</v>
      </c>
      <c r="E737" s="9">
        <v>30</v>
      </c>
      <c r="F737" s="10">
        <v>0.3</v>
      </c>
      <c r="G737" s="11" t="s">
        <v>276</v>
      </c>
    </row>
    <row r="738" spans="1:9">
      <c r="A738" s="7">
        <v>37580</v>
      </c>
      <c r="B738" s="8">
        <v>86500</v>
      </c>
      <c r="C738" s="8">
        <f t="shared" si="39"/>
        <v>88206.301369863009</v>
      </c>
      <c r="D738" s="7">
        <f t="shared" si="40"/>
        <v>37610</v>
      </c>
      <c r="E738" s="9">
        <v>30</v>
      </c>
      <c r="F738" s="10">
        <v>0.24</v>
      </c>
      <c r="G738" s="11" t="s">
        <v>276</v>
      </c>
    </row>
    <row r="739" spans="1:9">
      <c r="A739" s="7">
        <v>37581</v>
      </c>
      <c r="B739" s="8">
        <v>4244.66</v>
      </c>
      <c r="C739" s="8">
        <f t="shared" si="39"/>
        <v>4366.7666575342464</v>
      </c>
      <c r="D739" s="7">
        <f t="shared" si="40"/>
        <v>37616</v>
      </c>
      <c r="E739" s="9">
        <v>35</v>
      </c>
      <c r="F739" s="10">
        <v>0.3</v>
      </c>
      <c r="G739" s="11" t="s">
        <v>276</v>
      </c>
    </row>
    <row r="740" spans="1:9">
      <c r="A740" s="7">
        <v>37582</v>
      </c>
      <c r="B740" s="8">
        <v>4700</v>
      </c>
      <c r="C740" s="8">
        <f t="shared" si="39"/>
        <v>4826.9643835616434</v>
      </c>
      <c r="D740" s="7">
        <f t="shared" si="40"/>
        <v>37616</v>
      </c>
      <c r="E740" s="9">
        <v>34</v>
      </c>
      <c r="F740" s="10">
        <v>0.28999999999999998</v>
      </c>
      <c r="G740" s="11" t="s">
        <v>276</v>
      </c>
    </row>
    <row r="741" spans="1:9">
      <c r="A741" s="7">
        <v>37585</v>
      </c>
      <c r="B741" s="8">
        <v>9595.7999999999993</v>
      </c>
      <c r="C741" s="8">
        <f t="shared" si="39"/>
        <v>9823.9960109589028</v>
      </c>
      <c r="D741" s="7">
        <f t="shared" si="40"/>
        <v>37616</v>
      </c>
      <c r="E741" s="9">
        <v>31</v>
      </c>
      <c r="F741" s="10">
        <v>0.28000000000000003</v>
      </c>
      <c r="G741" s="11" t="s">
        <v>276</v>
      </c>
    </row>
    <row r="742" spans="1:9">
      <c r="A742" s="7">
        <v>37580</v>
      </c>
      <c r="B742" s="8">
        <v>206265.47</v>
      </c>
      <c r="C742" s="8">
        <f t="shared" si="39"/>
        <v>213046.80052054796</v>
      </c>
      <c r="D742" s="7">
        <f t="shared" si="40"/>
        <v>37620</v>
      </c>
      <c r="E742" s="9">
        <v>40</v>
      </c>
      <c r="F742" s="10">
        <v>0.3</v>
      </c>
      <c r="G742" s="11" t="s">
        <v>276</v>
      </c>
      <c r="I742">
        <f>+C742</f>
        <v>213046.80052054796</v>
      </c>
    </row>
    <row r="743" spans="1:9">
      <c r="A743" s="7">
        <v>37595</v>
      </c>
      <c r="B743" s="8">
        <v>111000</v>
      </c>
      <c r="C743" s="8">
        <f t="shared" si="39"/>
        <v>115525.1506849315</v>
      </c>
      <c r="D743" s="7">
        <f t="shared" si="40"/>
        <v>37643</v>
      </c>
      <c r="E743" s="9">
        <v>48</v>
      </c>
      <c r="F743" s="10">
        <v>0.31</v>
      </c>
      <c r="G743" s="11" t="s">
        <v>276</v>
      </c>
      <c r="H743">
        <f t="shared" ref="H743:H774" si="43">+C743-B743</f>
        <v>4525.1506849315047</v>
      </c>
    </row>
    <row r="744" spans="1:9">
      <c r="A744" s="7">
        <v>37610</v>
      </c>
      <c r="B744" s="8">
        <v>89506.3</v>
      </c>
      <c r="C744" s="8">
        <f t="shared" ref="C744:C775" si="44">B744+(B744*F744/365*E744)*1</f>
        <v>93079.195317808219</v>
      </c>
      <c r="D744" s="7">
        <f t="shared" ref="D744:D775" si="45">A744+E744</f>
        <v>37657</v>
      </c>
      <c r="E744" s="9">
        <v>47</v>
      </c>
      <c r="F744" s="10">
        <v>0.31</v>
      </c>
      <c r="G744" s="11" t="s">
        <v>276</v>
      </c>
      <c r="H744">
        <f t="shared" si="43"/>
        <v>3572.8953178082156</v>
      </c>
    </row>
    <row r="745" spans="1:9">
      <c r="A745" s="7">
        <v>37608</v>
      </c>
      <c r="B745" s="8">
        <v>6390.55</v>
      </c>
      <c r="C745" s="8">
        <f t="shared" si="44"/>
        <v>6656.5019301369866</v>
      </c>
      <c r="D745" s="7">
        <f t="shared" si="45"/>
        <v>37657</v>
      </c>
      <c r="E745" s="9">
        <v>49</v>
      </c>
      <c r="F745" s="10">
        <v>0.31</v>
      </c>
      <c r="G745" s="11" t="s">
        <v>276</v>
      </c>
      <c r="H745">
        <f t="shared" si="43"/>
        <v>265.95193013698645</v>
      </c>
    </row>
    <row r="746" spans="1:9">
      <c r="A746" s="7">
        <v>37616</v>
      </c>
      <c r="B746" s="8">
        <v>19017.73</v>
      </c>
      <c r="C746" s="8">
        <f t="shared" si="44"/>
        <v>19768.018526027397</v>
      </c>
      <c r="D746" s="7">
        <f t="shared" si="45"/>
        <v>37664</v>
      </c>
      <c r="E746" s="9">
        <v>48</v>
      </c>
      <c r="F746" s="10">
        <v>0.3</v>
      </c>
      <c r="G746" s="11" t="s">
        <v>276</v>
      </c>
      <c r="H746">
        <f t="shared" si="43"/>
        <v>750.28852602739789</v>
      </c>
    </row>
    <row r="747" spans="1:9">
      <c r="A747" s="7">
        <v>37620</v>
      </c>
      <c r="B747" s="8">
        <v>210046.8</v>
      </c>
      <c r="C747" s="8">
        <f t="shared" si="44"/>
        <v>217815.65424657532</v>
      </c>
      <c r="D747" s="7">
        <f t="shared" si="45"/>
        <v>37665</v>
      </c>
      <c r="E747" s="9">
        <v>45</v>
      </c>
      <c r="F747" s="10">
        <v>0.3</v>
      </c>
      <c r="G747" s="11" t="s">
        <v>276</v>
      </c>
      <c r="H747">
        <f t="shared" si="43"/>
        <v>7768.8542465753271</v>
      </c>
    </row>
    <row r="748" spans="1:9">
      <c r="A748" s="7">
        <v>37657</v>
      </c>
      <c r="B748" s="8">
        <v>99235.7</v>
      </c>
      <c r="C748" s="8">
        <f t="shared" si="44"/>
        <v>100785.40819178082</v>
      </c>
      <c r="D748" s="7">
        <f t="shared" si="45"/>
        <v>37687</v>
      </c>
      <c r="E748" s="9">
        <v>30</v>
      </c>
      <c r="F748" s="10">
        <v>0.19</v>
      </c>
      <c r="G748" s="11" t="s">
        <v>276</v>
      </c>
      <c r="H748">
        <f t="shared" si="43"/>
        <v>1549.7081917808246</v>
      </c>
      <c r="I748">
        <v>-41.884005183265529</v>
      </c>
    </row>
    <row r="749" spans="1:9">
      <c r="A749" s="7">
        <v>37664</v>
      </c>
      <c r="B749" s="8">
        <v>20168.02</v>
      </c>
      <c r="C749" s="8">
        <f t="shared" si="44"/>
        <v>20560.053155890411</v>
      </c>
      <c r="D749" s="7">
        <f t="shared" si="45"/>
        <v>37697</v>
      </c>
      <c r="E749" s="9">
        <v>33</v>
      </c>
      <c r="F749" s="10">
        <v>0.215</v>
      </c>
      <c r="G749" s="11" t="s">
        <v>276</v>
      </c>
      <c r="H749">
        <f t="shared" si="43"/>
        <v>392.03315589041085</v>
      </c>
    </row>
    <row r="750" spans="1:9">
      <c r="A750" s="7">
        <v>37665</v>
      </c>
      <c r="B750" s="8">
        <v>216815.65</v>
      </c>
      <c r="C750" s="8">
        <f t="shared" si="44"/>
        <v>220902.47649863013</v>
      </c>
      <c r="D750" s="7">
        <f t="shared" si="45"/>
        <v>37697</v>
      </c>
      <c r="E750" s="9">
        <v>32</v>
      </c>
      <c r="F750" s="10">
        <v>0.215</v>
      </c>
      <c r="G750" s="11" t="s">
        <v>276</v>
      </c>
      <c r="H750">
        <f t="shared" si="43"/>
        <v>4086.8264986301365</v>
      </c>
    </row>
    <row r="751" spans="1:9">
      <c r="A751" s="7">
        <v>37666</v>
      </c>
      <c r="B751" s="8">
        <v>6200</v>
      </c>
      <c r="C751" s="8">
        <f t="shared" si="44"/>
        <v>6313.2136986301366</v>
      </c>
      <c r="D751" s="7">
        <f t="shared" si="45"/>
        <v>37697</v>
      </c>
      <c r="E751" s="9">
        <v>31</v>
      </c>
      <c r="F751" s="10">
        <v>0.215</v>
      </c>
      <c r="G751" s="11" t="s">
        <v>276</v>
      </c>
      <c r="H751">
        <f t="shared" si="43"/>
        <v>113.21369863013661</v>
      </c>
    </row>
    <row r="752" spans="1:9">
      <c r="A752" s="7">
        <v>37643</v>
      </c>
      <c r="B752" s="8">
        <v>119725.15</v>
      </c>
      <c r="C752" s="8">
        <f t="shared" si="44"/>
        <v>124127.09935068492</v>
      </c>
      <c r="D752" s="7">
        <f t="shared" si="45"/>
        <v>37704</v>
      </c>
      <c r="E752" s="9">
        <v>61</v>
      </c>
      <c r="F752" s="10">
        <v>0.22</v>
      </c>
      <c r="G752" s="11" t="s">
        <v>276</v>
      </c>
      <c r="H752">
        <f t="shared" si="43"/>
        <v>4401.9493506849249</v>
      </c>
    </row>
    <row r="753" spans="1:8">
      <c r="A753" s="7">
        <v>37687</v>
      </c>
      <c r="B753" s="8">
        <v>103785.41</v>
      </c>
      <c r="C753" s="8">
        <f t="shared" si="44"/>
        <v>106077.21932767124</v>
      </c>
      <c r="D753" s="7">
        <f t="shared" si="45"/>
        <v>37718</v>
      </c>
      <c r="E753" s="9">
        <v>31</v>
      </c>
      <c r="F753" s="10">
        <v>0.26</v>
      </c>
      <c r="G753" s="11" t="s">
        <v>276</v>
      </c>
      <c r="H753">
        <f t="shared" si="43"/>
        <v>2291.8093276712316</v>
      </c>
    </row>
    <row r="754" spans="1:8">
      <c r="A754" s="7">
        <v>37687</v>
      </c>
      <c r="B754" s="8">
        <v>6600</v>
      </c>
      <c r="C754" s="8">
        <f t="shared" si="44"/>
        <v>6745.7424657534248</v>
      </c>
      <c r="D754" s="7">
        <f t="shared" si="45"/>
        <v>37718</v>
      </c>
      <c r="E754" s="9">
        <v>31</v>
      </c>
      <c r="F754" s="10">
        <v>0.26</v>
      </c>
      <c r="G754" s="11" t="s">
        <v>276</v>
      </c>
      <c r="H754">
        <f t="shared" si="43"/>
        <v>145.74246575342477</v>
      </c>
    </row>
    <row r="755" spans="1:8">
      <c r="A755" s="7">
        <v>37676</v>
      </c>
      <c r="B755" s="8">
        <v>6000</v>
      </c>
      <c r="C755" s="8">
        <f t="shared" si="44"/>
        <v>6173.8356164383558</v>
      </c>
      <c r="D755" s="7">
        <f t="shared" si="45"/>
        <v>37721</v>
      </c>
      <c r="E755" s="9">
        <v>45</v>
      </c>
      <c r="F755" s="10">
        <v>0.23499999999999999</v>
      </c>
      <c r="G755" s="11" t="s">
        <v>276</v>
      </c>
      <c r="H755">
        <f t="shared" si="43"/>
        <v>173.83561643835583</v>
      </c>
    </row>
    <row r="756" spans="1:8">
      <c r="A756" s="7">
        <v>37697</v>
      </c>
      <c r="B756" s="8">
        <v>247775.74</v>
      </c>
      <c r="C756" s="8">
        <f t="shared" si="44"/>
        <v>253681.62750136986</v>
      </c>
      <c r="D756" s="7">
        <f t="shared" si="45"/>
        <v>37727</v>
      </c>
      <c r="E756" s="9">
        <v>30</v>
      </c>
      <c r="F756" s="10">
        <v>0.28999999999999998</v>
      </c>
      <c r="G756" s="11" t="s">
        <v>276</v>
      </c>
      <c r="H756">
        <f t="shared" si="43"/>
        <v>5905.8875013698707</v>
      </c>
    </row>
    <row r="757" spans="1:8">
      <c r="A757" s="7">
        <v>37704</v>
      </c>
      <c r="B757" s="8">
        <v>124127.1</v>
      </c>
      <c r="C757" s="8">
        <f t="shared" si="44"/>
        <v>127085.74594520549</v>
      </c>
      <c r="D757" s="7">
        <f t="shared" si="45"/>
        <v>37734</v>
      </c>
      <c r="E757" s="9">
        <v>30</v>
      </c>
      <c r="F757" s="10">
        <v>0.28999999999999998</v>
      </c>
      <c r="G757" s="11" t="s">
        <v>276</v>
      </c>
      <c r="H757">
        <f t="shared" si="43"/>
        <v>2958.6459452054842</v>
      </c>
    </row>
    <row r="758" spans="1:8">
      <c r="A758" s="7">
        <v>37707</v>
      </c>
      <c r="B758" s="8">
        <v>6000</v>
      </c>
      <c r="C758" s="8">
        <f t="shared" si="44"/>
        <v>6152.5479452054797</v>
      </c>
      <c r="D758" s="7">
        <f t="shared" si="45"/>
        <v>37739</v>
      </c>
      <c r="E758" s="9">
        <v>32</v>
      </c>
      <c r="F758" s="10">
        <v>0.28999999999999998</v>
      </c>
      <c r="G758" s="11" t="s">
        <v>276</v>
      </c>
      <c r="H758">
        <f t="shared" si="43"/>
        <v>152.54794520547966</v>
      </c>
    </row>
    <row r="759" spans="1:8">
      <c r="A759" s="7">
        <v>37718</v>
      </c>
      <c r="B759" s="8">
        <v>112822.96</v>
      </c>
      <c r="C759" s="8">
        <f t="shared" si="44"/>
        <v>115512.16480000001</v>
      </c>
      <c r="D759" s="7">
        <f t="shared" si="45"/>
        <v>37748</v>
      </c>
      <c r="E759" s="9">
        <v>30</v>
      </c>
      <c r="F759" s="10">
        <v>0.28999999999999998</v>
      </c>
      <c r="G759" s="11" t="s">
        <v>276</v>
      </c>
      <c r="H759">
        <f t="shared" si="43"/>
        <v>2689.2048000000068</v>
      </c>
    </row>
    <row r="760" spans="1:8">
      <c r="A760" s="7">
        <v>37721</v>
      </c>
      <c r="B760" s="8">
        <f>6173.84+3500</f>
        <v>9673.84</v>
      </c>
      <c r="C760" s="8">
        <f t="shared" si="44"/>
        <v>9919.794069041096</v>
      </c>
      <c r="D760" s="7">
        <f t="shared" si="45"/>
        <v>37753</v>
      </c>
      <c r="E760" s="9">
        <v>32</v>
      </c>
      <c r="F760" s="10">
        <v>0.28999999999999998</v>
      </c>
      <c r="G760" s="11" t="s">
        <v>276</v>
      </c>
      <c r="H760">
        <f t="shared" si="43"/>
        <v>245.95406904109586</v>
      </c>
    </row>
    <row r="761" spans="1:8">
      <c r="A761" s="7">
        <v>37722</v>
      </c>
      <c r="B761" s="8">
        <v>5300</v>
      </c>
      <c r="C761" s="8">
        <f t="shared" si="44"/>
        <v>5430.5397260273976</v>
      </c>
      <c r="D761" s="7">
        <f t="shared" si="45"/>
        <v>37753</v>
      </c>
      <c r="E761" s="9">
        <v>31</v>
      </c>
      <c r="F761" s="10">
        <v>0.28999999999999998</v>
      </c>
      <c r="G761" s="11" t="s">
        <v>276</v>
      </c>
      <c r="H761">
        <f t="shared" si="43"/>
        <v>130.53972602739759</v>
      </c>
    </row>
    <row r="762" spans="1:8">
      <c r="A762" s="7">
        <v>37727</v>
      </c>
      <c r="B762" s="8">
        <v>253681.63</v>
      </c>
      <c r="C762" s="8">
        <f t="shared" si="44"/>
        <v>263318.0568491781</v>
      </c>
      <c r="D762" s="7">
        <f t="shared" si="45"/>
        <v>37774</v>
      </c>
      <c r="E762" s="9">
        <v>47</v>
      </c>
      <c r="F762" s="10">
        <v>0.29499999999999998</v>
      </c>
      <c r="G762" s="11" t="s">
        <v>276</v>
      </c>
      <c r="H762">
        <f t="shared" si="43"/>
        <v>9636.4268491780967</v>
      </c>
    </row>
    <row r="763" spans="1:8">
      <c r="A763" s="7">
        <v>37734</v>
      </c>
      <c r="B763" s="8">
        <v>127085.75</v>
      </c>
      <c r="C763" s="8">
        <f t="shared" si="44"/>
        <v>131504.15593835615</v>
      </c>
      <c r="D763" s="7">
        <f t="shared" si="45"/>
        <v>37781</v>
      </c>
      <c r="E763" s="9">
        <v>47</v>
      </c>
      <c r="F763" s="10">
        <v>0.27</v>
      </c>
      <c r="G763" s="11" t="s">
        <v>276</v>
      </c>
      <c r="H763">
        <f t="shared" si="43"/>
        <v>4418.4059383561544</v>
      </c>
    </row>
    <row r="764" spans="1:8">
      <c r="A764" s="7">
        <v>37739</v>
      </c>
      <c r="B764" s="8">
        <v>6152.55</v>
      </c>
      <c r="C764" s="8">
        <f t="shared" si="44"/>
        <v>6353.5613938356164</v>
      </c>
      <c r="D764" s="7">
        <f t="shared" si="45"/>
        <v>37784</v>
      </c>
      <c r="E764" s="9">
        <v>45</v>
      </c>
      <c r="F764" s="10">
        <v>0.26500000000000001</v>
      </c>
      <c r="G764" s="11" t="s">
        <v>276</v>
      </c>
      <c r="H764">
        <f t="shared" si="43"/>
        <v>201.01139383561622</v>
      </c>
    </row>
    <row r="765" spans="1:8">
      <c r="A765" s="7">
        <v>37748</v>
      </c>
      <c r="B765" s="8">
        <v>115512.16</v>
      </c>
      <c r="C765" s="8">
        <f t="shared" si="44"/>
        <v>118784.47708054795</v>
      </c>
      <c r="D765" s="7">
        <f t="shared" si="45"/>
        <v>37795</v>
      </c>
      <c r="E765" s="9">
        <v>47</v>
      </c>
      <c r="F765" s="10">
        <v>0.22</v>
      </c>
      <c r="G765" s="11" t="s">
        <v>276</v>
      </c>
      <c r="H765">
        <f t="shared" si="43"/>
        <v>3272.3170805479458</v>
      </c>
    </row>
    <row r="766" spans="1:8">
      <c r="A766" s="7">
        <v>37753</v>
      </c>
      <c r="B766" s="8">
        <v>9919.7900000000009</v>
      </c>
      <c r="C766" s="8">
        <f t="shared" si="44"/>
        <v>10139.927805479452</v>
      </c>
      <c r="D766" s="7">
        <f t="shared" si="45"/>
        <v>37798</v>
      </c>
      <c r="E766" s="9">
        <v>45</v>
      </c>
      <c r="F766" s="10">
        <v>0.18</v>
      </c>
      <c r="G766" s="11" t="s">
        <v>276</v>
      </c>
      <c r="H766">
        <f t="shared" si="43"/>
        <v>220.13780547945134</v>
      </c>
    </row>
    <row r="767" spans="1:8">
      <c r="A767" s="7">
        <v>37753</v>
      </c>
      <c r="B767" s="8">
        <v>8426.64</v>
      </c>
      <c r="C767" s="8">
        <f t="shared" si="44"/>
        <v>8613.6421479452056</v>
      </c>
      <c r="D767" s="7">
        <f t="shared" si="45"/>
        <v>37798</v>
      </c>
      <c r="E767" s="9">
        <v>45</v>
      </c>
      <c r="F767" s="10">
        <v>0.18</v>
      </c>
      <c r="G767" s="11" t="s">
        <v>276</v>
      </c>
      <c r="H767">
        <f t="shared" si="43"/>
        <v>187.00214794520616</v>
      </c>
    </row>
    <row r="768" spans="1:8">
      <c r="A768" s="7">
        <v>37774</v>
      </c>
      <c r="B768" s="8">
        <v>263318.06</v>
      </c>
      <c r="C768" s="8">
        <f t="shared" si="44"/>
        <v>266023.3825342466</v>
      </c>
      <c r="D768" s="7">
        <f t="shared" si="45"/>
        <v>37804</v>
      </c>
      <c r="E768" s="9">
        <v>30</v>
      </c>
      <c r="F768" s="10">
        <v>0.125</v>
      </c>
      <c r="G768" s="11" t="s">
        <v>276</v>
      </c>
      <c r="H768">
        <f t="shared" si="43"/>
        <v>2705.322534246603</v>
      </c>
    </row>
    <row r="769" spans="1:8">
      <c r="A769" s="7">
        <v>37781</v>
      </c>
      <c r="B769" s="8">
        <v>131500</v>
      </c>
      <c r="C769" s="8">
        <f t="shared" si="44"/>
        <v>133139.24657534246</v>
      </c>
      <c r="D769" s="7">
        <f t="shared" si="45"/>
        <v>37816</v>
      </c>
      <c r="E769" s="9">
        <v>35</v>
      </c>
      <c r="F769" s="10">
        <v>0.13</v>
      </c>
      <c r="G769" s="11" t="s">
        <v>632</v>
      </c>
      <c r="H769">
        <f t="shared" si="43"/>
        <v>1639.2465753424622</v>
      </c>
    </row>
    <row r="770" spans="1:8">
      <c r="A770" s="7">
        <v>37784</v>
      </c>
      <c r="B770" s="8">
        <v>6353.56</v>
      </c>
      <c r="C770" s="8">
        <f t="shared" si="44"/>
        <v>6420.4029326027403</v>
      </c>
      <c r="D770" s="7">
        <f t="shared" si="45"/>
        <v>37816</v>
      </c>
      <c r="E770" s="9">
        <v>32</v>
      </c>
      <c r="F770" s="10">
        <v>0.12</v>
      </c>
      <c r="G770" s="11" t="s">
        <v>276</v>
      </c>
      <c r="H770">
        <f t="shared" si="43"/>
        <v>66.842932602739893</v>
      </c>
    </row>
    <row r="771" spans="1:8">
      <c r="A771" s="7">
        <v>37795</v>
      </c>
      <c r="B771" s="8">
        <f>118784.48+3800</f>
        <v>122584.48</v>
      </c>
      <c r="C771" s="8">
        <f t="shared" si="44"/>
        <v>124554.22787726027</v>
      </c>
      <c r="D771" s="7">
        <f t="shared" si="45"/>
        <v>37841</v>
      </c>
      <c r="E771" s="9">
        <v>46</v>
      </c>
      <c r="F771" s="10">
        <v>0.1275</v>
      </c>
      <c r="G771" s="11" t="s">
        <v>276</v>
      </c>
      <c r="H771">
        <f t="shared" si="43"/>
        <v>1969.7478772602772</v>
      </c>
    </row>
    <row r="772" spans="1:8">
      <c r="A772" s="7">
        <v>37796</v>
      </c>
      <c r="B772" s="8">
        <v>6600</v>
      </c>
      <c r="C772" s="8">
        <f t="shared" si="44"/>
        <v>6687.8794520547945</v>
      </c>
      <c r="D772" s="7">
        <f t="shared" si="45"/>
        <v>37841</v>
      </c>
      <c r="E772" s="9">
        <v>45</v>
      </c>
      <c r="F772" s="10">
        <v>0.108</v>
      </c>
      <c r="G772" s="11" t="s">
        <v>276</v>
      </c>
      <c r="H772">
        <f t="shared" si="43"/>
        <v>87.879452054794456</v>
      </c>
    </row>
    <row r="773" spans="1:8">
      <c r="A773" s="7">
        <v>37798</v>
      </c>
      <c r="B773" s="8">
        <v>8613.64</v>
      </c>
      <c r="C773" s="8">
        <f t="shared" si="44"/>
        <v>8727.6232361643833</v>
      </c>
      <c r="D773" s="7">
        <f t="shared" si="45"/>
        <v>37844</v>
      </c>
      <c r="E773" s="9">
        <v>46</v>
      </c>
      <c r="F773" s="10">
        <v>0.105</v>
      </c>
      <c r="G773" s="11" t="s">
        <v>276</v>
      </c>
      <c r="H773">
        <f t="shared" si="43"/>
        <v>113.98323616438392</v>
      </c>
    </row>
    <row r="774" spans="1:8">
      <c r="A774" s="7">
        <v>37798</v>
      </c>
      <c r="B774" s="8">
        <v>10139.93</v>
      </c>
      <c r="C774" s="8">
        <f t="shared" si="44"/>
        <v>10274.110443561643</v>
      </c>
      <c r="D774" s="7">
        <f t="shared" si="45"/>
        <v>37844</v>
      </c>
      <c r="E774" s="9">
        <v>46</v>
      </c>
      <c r="F774" s="10">
        <v>0.105</v>
      </c>
      <c r="G774" s="11" t="s">
        <v>276</v>
      </c>
      <c r="H774">
        <f t="shared" si="43"/>
        <v>134.18044356164319</v>
      </c>
    </row>
    <row r="775" spans="1:8">
      <c r="A775" s="7">
        <v>37804</v>
      </c>
      <c r="B775" s="8">
        <v>265500</v>
      </c>
      <c r="C775" s="8">
        <f t="shared" si="44"/>
        <v>270824.54794520547</v>
      </c>
      <c r="D775" s="7">
        <f t="shared" si="45"/>
        <v>37865</v>
      </c>
      <c r="E775" s="9">
        <v>61</v>
      </c>
      <c r="F775" s="10">
        <v>0.12</v>
      </c>
      <c r="G775" s="11" t="s">
        <v>632</v>
      </c>
      <c r="H775">
        <f t="shared" ref="H775:H801" si="46">+C775-B775</f>
        <v>5324.5479452054715</v>
      </c>
    </row>
    <row r="776" spans="1:8">
      <c r="A776" s="7">
        <v>37816</v>
      </c>
      <c r="B776" s="8">
        <v>50000</v>
      </c>
      <c r="C776" s="8">
        <f t="shared" ref="C776:C778" si="47">B776+(B776*F776/365*E776)*1</f>
        <v>50904.109589041094</v>
      </c>
      <c r="D776" s="7">
        <f t="shared" ref="D776:D778" si="48">A776+E776</f>
        <v>37876</v>
      </c>
      <c r="E776" s="9">
        <v>60</v>
      </c>
      <c r="F776" s="10">
        <v>0.11</v>
      </c>
      <c r="G776" s="11" t="s">
        <v>441</v>
      </c>
      <c r="H776">
        <f t="shared" si="46"/>
        <v>904.1095890410943</v>
      </c>
    </row>
    <row r="777" spans="1:8">
      <c r="A777" s="7">
        <v>37816</v>
      </c>
      <c r="B777" s="8">
        <v>50000</v>
      </c>
      <c r="C777" s="8">
        <f t="shared" si="47"/>
        <v>50904.109589041094</v>
      </c>
      <c r="D777" s="7">
        <f t="shared" si="48"/>
        <v>37876</v>
      </c>
      <c r="E777" s="9">
        <v>60</v>
      </c>
      <c r="F777" s="10">
        <v>0.11</v>
      </c>
      <c r="G777" s="11" t="s">
        <v>441</v>
      </c>
      <c r="H777">
        <f t="shared" si="46"/>
        <v>904.1095890410943</v>
      </c>
    </row>
    <row r="778" spans="1:8">
      <c r="A778" s="7">
        <v>37816</v>
      </c>
      <c r="B778" s="8">
        <v>40000</v>
      </c>
      <c r="C778" s="8">
        <f t="shared" si="47"/>
        <v>40723.28767123288</v>
      </c>
      <c r="D778" s="7">
        <f t="shared" si="48"/>
        <v>37876</v>
      </c>
      <c r="E778" s="9">
        <v>60</v>
      </c>
      <c r="F778" s="10">
        <v>0.11</v>
      </c>
      <c r="G778" s="11" t="s">
        <v>441</v>
      </c>
      <c r="H778">
        <f t="shared" si="46"/>
        <v>723.2876712328798</v>
      </c>
    </row>
    <row r="779" spans="1:8">
      <c r="A779" s="7">
        <v>37841</v>
      </c>
      <c r="B779" s="8">
        <v>50000</v>
      </c>
      <c r="C779" s="8">
        <f>B768+(B768*F768/365*E768)*1</f>
        <v>266023.3825342466</v>
      </c>
      <c r="D779" s="7">
        <f>A768+E768</f>
        <v>37804</v>
      </c>
      <c r="E779" s="9">
        <v>60</v>
      </c>
      <c r="F779" s="10">
        <v>0.09</v>
      </c>
      <c r="G779" s="11" t="s">
        <v>441</v>
      </c>
      <c r="H779">
        <f t="shared" si="46"/>
        <v>216023.3825342466</v>
      </c>
    </row>
    <row r="780" spans="1:8">
      <c r="A780" s="7">
        <v>37841</v>
      </c>
      <c r="B780" s="8">
        <v>25000</v>
      </c>
      <c r="C780" s="8">
        <f>B769+(B769*F769/365*E769)*1</f>
        <v>133139.24657534246</v>
      </c>
      <c r="D780" s="7">
        <f>A769+E769</f>
        <v>37816</v>
      </c>
      <c r="E780" s="9">
        <v>60</v>
      </c>
      <c r="F780" s="10">
        <v>0.09</v>
      </c>
      <c r="G780" s="11" t="s">
        <v>441</v>
      </c>
      <c r="H780">
        <f t="shared" si="46"/>
        <v>108139.24657534246</v>
      </c>
    </row>
    <row r="781" spans="1:8">
      <c r="A781" s="7">
        <v>37848</v>
      </c>
      <c r="B781" s="8">
        <v>50000</v>
      </c>
      <c r="C781" s="8">
        <f>B770+(B770*F770/365*E770)*1</f>
        <v>6420.4029326027403</v>
      </c>
      <c r="D781" s="7">
        <f>A770+E770</f>
        <v>37816</v>
      </c>
      <c r="E781" s="9">
        <v>60</v>
      </c>
      <c r="F781" s="10">
        <v>0.09</v>
      </c>
      <c r="G781" s="11" t="s">
        <v>441</v>
      </c>
      <c r="H781">
        <f t="shared" si="46"/>
        <v>-43579.597067397262</v>
      </c>
    </row>
    <row r="782" spans="1:8">
      <c r="A782" s="7">
        <v>37848</v>
      </c>
      <c r="B782" s="8">
        <v>25000</v>
      </c>
      <c r="C782" s="8">
        <f>B771+(B771*F771/365*E771)*1</f>
        <v>124554.22787726027</v>
      </c>
      <c r="D782" s="7">
        <f>A771+E771</f>
        <v>37841</v>
      </c>
      <c r="E782" s="9">
        <v>60</v>
      </c>
      <c r="F782" s="10">
        <v>0.09</v>
      </c>
      <c r="G782" s="11" t="s">
        <v>441</v>
      </c>
      <c r="H782">
        <f t="shared" si="46"/>
        <v>99554.227877260273</v>
      </c>
    </row>
    <row r="783" spans="1:8">
      <c r="A783" s="7">
        <v>37865</v>
      </c>
      <c r="B783" s="8">
        <v>270824.55</v>
      </c>
      <c r="C783" s="8">
        <f t="shared" ref="C783:C799" si="49">B783+(B783*F783/365*E783)*1</f>
        <v>273829.58952739724</v>
      </c>
      <c r="D783" s="7">
        <f t="shared" ref="D783:D799" si="50">A783+E783</f>
        <v>37925</v>
      </c>
      <c r="E783" s="9">
        <v>60</v>
      </c>
      <c r="F783" s="10">
        <v>6.7500000000000004E-2</v>
      </c>
      <c r="G783" s="11" t="s">
        <v>632</v>
      </c>
      <c r="H783">
        <f t="shared" si="46"/>
        <v>3005.0395273972536</v>
      </c>
    </row>
    <row r="784" spans="1:8">
      <c r="A784" s="7">
        <v>37876</v>
      </c>
      <c r="B784" s="8">
        <v>50904.11</v>
      </c>
      <c r="C784" s="8">
        <f t="shared" si="49"/>
        <v>51594.453409589041</v>
      </c>
      <c r="D784" s="7">
        <f t="shared" si="50"/>
        <v>37936</v>
      </c>
      <c r="E784" s="9">
        <v>60</v>
      </c>
      <c r="F784" s="10">
        <v>8.2500000000000004E-2</v>
      </c>
      <c r="G784" s="11" t="s">
        <v>441</v>
      </c>
      <c r="H784">
        <f t="shared" si="46"/>
        <v>690.34340958904068</v>
      </c>
    </row>
    <row r="785" spans="1:8">
      <c r="A785" s="7">
        <v>37876</v>
      </c>
      <c r="B785" s="8">
        <v>50904.11</v>
      </c>
      <c r="C785" s="8">
        <f t="shared" si="49"/>
        <v>51594.453409589041</v>
      </c>
      <c r="D785" s="7">
        <f t="shared" si="50"/>
        <v>37936</v>
      </c>
      <c r="E785" s="9">
        <v>60</v>
      </c>
      <c r="F785" s="10">
        <v>8.2500000000000004E-2</v>
      </c>
      <c r="G785" s="11" t="s">
        <v>441</v>
      </c>
      <c r="H785">
        <f t="shared" si="46"/>
        <v>690.34340958904068</v>
      </c>
    </row>
    <row r="786" spans="1:8">
      <c r="A786" s="7">
        <v>37876</v>
      </c>
      <c r="B786" s="8">
        <v>40723.29</v>
      </c>
      <c r="C786" s="8">
        <f t="shared" si="49"/>
        <v>41275.564754794519</v>
      </c>
      <c r="D786" s="7">
        <f t="shared" si="50"/>
        <v>37936</v>
      </c>
      <c r="E786" s="9">
        <v>60</v>
      </c>
      <c r="F786" s="10">
        <v>8.2500000000000004E-2</v>
      </c>
      <c r="G786" s="11" t="s">
        <v>441</v>
      </c>
      <c r="H786">
        <f t="shared" si="46"/>
        <v>552.27475479451823</v>
      </c>
    </row>
    <row r="787" spans="1:8">
      <c r="A787" s="7">
        <v>37897</v>
      </c>
      <c r="B787" s="8">
        <v>18000</v>
      </c>
      <c r="C787" s="8">
        <f t="shared" si="49"/>
        <v>18244.109589041094</v>
      </c>
      <c r="D787" s="7">
        <f t="shared" si="50"/>
        <v>37957</v>
      </c>
      <c r="E787" s="9">
        <v>60</v>
      </c>
      <c r="F787" s="10">
        <v>8.2500000000000004E-2</v>
      </c>
      <c r="G787" s="11" t="s">
        <v>441</v>
      </c>
      <c r="H787">
        <f t="shared" si="46"/>
        <v>244.1095890410943</v>
      </c>
    </row>
    <row r="788" spans="1:8">
      <c r="A788" s="7">
        <v>37901</v>
      </c>
      <c r="B788" s="8">
        <v>50739.726027397257</v>
      </c>
      <c r="C788" s="8">
        <f t="shared" si="49"/>
        <v>51703.085757177701</v>
      </c>
      <c r="D788" s="7">
        <f t="shared" si="50"/>
        <v>37985</v>
      </c>
      <c r="E788" s="9">
        <v>84</v>
      </c>
      <c r="F788" s="10">
        <v>8.2500000000000004E-2</v>
      </c>
      <c r="G788" s="11" t="s">
        <v>441</v>
      </c>
      <c r="H788">
        <f t="shared" si="46"/>
        <v>963.35972978044447</v>
      </c>
    </row>
    <row r="789" spans="1:8">
      <c r="A789" s="7">
        <v>37901</v>
      </c>
      <c r="B789" s="8">
        <v>25369.863013698628</v>
      </c>
      <c r="C789" s="8">
        <f t="shared" si="49"/>
        <v>25851.542878588851</v>
      </c>
      <c r="D789" s="7">
        <f t="shared" si="50"/>
        <v>37985</v>
      </c>
      <c r="E789" s="9">
        <v>84</v>
      </c>
      <c r="F789" s="10">
        <v>8.2500000000000004E-2</v>
      </c>
      <c r="G789" s="11" t="s">
        <v>441</v>
      </c>
      <c r="H789">
        <f t="shared" si="46"/>
        <v>481.67986489022223</v>
      </c>
    </row>
    <row r="790" spans="1:8">
      <c r="A790" s="7">
        <v>37908</v>
      </c>
      <c r="B790" s="8">
        <v>50739.726027397257</v>
      </c>
      <c r="C790" s="8">
        <f t="shared" si="49"/>
        <v>51622.805779695998</v>
      </c>
      <c r="D790" s="7">
        <f t="shared" si="50"/>
        <v>37985</v>
      </c>
      <c r="E790" s="9">
        <v>77</v>
      </c>
      <c r="F790" s="10">
        <v>8.2500000000000004E-2</v>
      </c>
      <c r="G790" s="11" t="s">
        <v>441</v>
      </c>
      <c r="H790">
        <f t="shared" si="46"/>
        <v>883.07975229874137</v>
      </c>
    </row>
    <row r="791" spans="1:8">
      <c r="A791" s="7">
        <v>37908</v>
      </c>
      <c r="B791" s="8">
        <v>25369.863013698628</v>
      </c>
      <c r="C791" s="8">
        <f t="shared" si="49"/>
        <v>25811.402889847999</v>
      </c>
      <c r="D791" s="7">
        <f t="shared" si="50"/>
        <v>37985</v>
      </c>
      <c r="E791" s="9">
        <v>77</v>
      </c>
      <c r="F791" s="10">
        <v>8.2500000000000004E-2</v>
      </c>
      <c r="G791" s="11" t="s">
        <v>441</v>
      </c>
      <c r="H791">
        <f t="shared" si="46"/>
        <v>441.53987614937068</v>
      </c>
    </row>
    <row r="792" spans="1:8">
      <c r="A792" s="7">
        <v>37925</v>
      </c>
      <c r="B792" s="8">
        <v>50000</v>
      </c>
      <c r="C792" s="8">
        <f t="shared" si="49"/>
        <v>50545.547945205479</v>
      </c>
      <c r="D792" s="7">
        <f t="shared" si="50"/>
        <v>37984</v>
      </c>
      <c r="E792" s="9">
        <v>59</v>
      </c>
      <c r="F792" s="10">
        <v>6.7500000000000004E-2</v>
      </c>
      <c r="G792" s="11" t="s">
        <v>632</v>
      </c>
      <c r="H792">
        <f t="shared" si="46"/>
        <v>545.54794520547875</v>
      </c>
    </row>
    <row r="793" spans="1:8">
      <c r="A793" s="7">
        <v>37925</v>
      </c>
      <c r="B793" s="8">
        <v>50000</v>
      </c>
      <c r="C793" s="8">
        <f t="shared" si="49"/>
        <v>50545.547945205479</v>
      </c>
      <c r="D793" s="7">
        <f t="shared" si="50"/>
        <v>37984</v>
      </c>
      <c r="E793" s="9">
        <v>59</v>
      </c>
      <c r="F793" s="10">
        <v>6.7500000000000004E-2</v>
      </c>
      <c r="G793" s="11" t="s">
        <v>632</v>
      </c>
      <c r="H793">
        <f t="shared" si="46"/>
        <v>545.54794520547875</v>
      </c>
    </row>
    <row r="794" spans="1:8">
      <c r="A794" s="7">
        <v>37925</v>
      </c>
      <c r="B794" s="8">
        <v>50000</v>
      </c>
      <c r="C794" s="8">
        <f t="shared" si="49"/>
        <v>50545.547945205479</v>
      </c>
      <c r="D794" s="7">
        <f t="shared" si="50"/>
        <v>37984</v>
      </c>
      <c r="E794" s="9">
        <v>59</v>
      </c>
      <c r="F794" s="10">
        <v>6.7500000000000004E-2</v>
      </c>
      <c r="G794" s="11" t="s">
        <v>632</v>
      </c>
      <c r="H794">
        <f t="shared" si="46"/>
        <v>545.54794520547875</v>
      </c>
    </row>
    <row r="795" spans="1:8">
      <c r="A795" s="7">
        <v>37925</v>
      </c>
      <c r="B795" s="8">
        <v>61914</v>
      </c>
      <c r="C795" s="8">
        <f t="shared" si="49"/>
        <v>62589.541109589038</v>
      </c>
      <c r="D795" s="7">
        <f t="shared" si="50"/>
        <v>37984</v>
      </c>
      <c r="E795" s="9">
        <v>59</v>
      </c>
      <c r="F795" s="10">
        <v>6.7500000000000004E-2</v>
      </c>
      <c r="G795" s="11" t="s">
        <v>632</v>
      </c>
      <c r="H795">
        <f t="shared" si="46"/>
        <v>675.54110958903766</v>
      </c>
    </row>
    <row r="796" spans="1:8">
      <c r="A796" s="7">
        <v>37925</v>
      </c>
      <c r="B796" s="8">
        <v>61914</v>
      </c>
      <c r="C796" s="8">
        <f t="shared" si="49"/>
        <v>62589.541109589038</v>
      </c>
      <c r="D796" s="7">
        <f t="shared" si="50"/>
        <v>37984</v>
      </c>
      <c r="E796" s="9">
        <v>59</v>
      </c>
      <c r="F796" s="10">
        <v>6.7500000000000004E-2</v>
      </c>
      <c r="G796" s="11" t="s">
        <v>632</v>
      </c>
      <c r="H796">
        <f t="shared" si="46"/>
        <v>675.54110958903766</v>
      </c>
    </row>
    <row r="797" spans="1:8">
      <c r="A797" s="7">
        <v>37936</v>
      </c>
      <c r="B797" s="8">
        <v>51594.45</v>
      </c>
      <c r="C797" s="8">
        <f t="shared" si="49"/>
        <v>52317.479073287672</v>
      </c>
      <c r="D797" s="7">
        <f t="shared" si="50"/>
        <v>37998</v>
      </c>
      <c r="E797" s="9">
        <v>62</v>
      </c>
      <c r="F797" s="10">
        <v>8.2500000000000004E-2</v>
      </c>
      <c r="G797" s="11" t="s">
        <v>441</v>
      </c>
      <c r="H797">
        <f t="shared" si="46"/>
        <v>723.02907328767469</v>
      </c>
    </row>
    <row r="798" spans="1:8">
      <c r="A798" s="7">
        <v>37936</v>
      </c>
      <c r="B798" s="8">
        <v>51594.45</v>
      </c>
      <c r="C798" s="8">
        <f t="shared" si="49"/>
        <v>52317.479073287672</v>
      </c>
      <c r="D798" s="7">
        <f t="shared" si="50"/>
        <v>37998</v>
      </c>
      <c r="E798" s="9">
        <v>62</v>
      </c>
      <c r="F798" s="10">
        <v>8.2500000000000004E-2</v>
      </c>
      <c r="G798" s="11" t="s">
        <v>441</v>
      </c>
      <c r="H798">
        <f t="shared" si="46"/>
        <v>723.02907328767469</v>
      </c>
    </row>
    <row r="799" spans="1:8">
      <c r="A799" s="7">
        <v>37936</v>
      </c>
      <c r="B799" s="8">
        <v>41275.56</v>
      </c>
      <c r="C799" s="8">
        <f t="shared" si="49"/>
        <v>41853.983258630135</v>
      </c>
      <c r="D799" s="7">
        <f t="shared" si="50"/>
        <v>37998</v>
      </c>
      <c r="E799" s="9">
        <v>62</v>
      </c>
      <c r="F799" s="10">
        <v>8.2500000000000004E-2</v>
      </c>
      <c r="G799" s="11" t="s">
        <v>441</v>
      </c>
      <c r="H799">
        <f t="shared" si="46"/>
        <v>578.42325863013684</v>
      </c>
    </row>
    <row r="800" spans="1:8">
      <c r="A800" s="7">
        <v>37958</v>
      </c>
      <c r="B800" s="8">
        <v>18244.189999999999</v>
      </c>
      <c r="C800" s="8">
        <f>B767+(B767*F767/365*E767)*1</f>
        <v>8613.6421479452056</v>
      </c>
      <c r="D800" s="7">
        <f>A767+E767</f>
        <v>37798</v>
      </c>
      <c r="E800" s="9">
        <v>61</v>
      </c>
      <c r="F800" s="10">
        <v>7.3999999999999996E-2</v>
      </c>
      <c r="G800" s="11" t="s">
        <v>441</v>
      </c>
      <c r="H800">
        <f t="shared" si="46"/>
        <v>-9630.5478520547931</v>
      </c>
    </row>
    <row r="801" spans="1:8">
      <c r="A801" s="7">
        <v>37958</v>
      </c>
      <c r="B801" s="8">
        <v>18200</v>
      </c>
      <c r="C801" s="8">
        <f>B768+(B768*F768/365*E768)*1</f>
        <v>266023.3825342466</v>
      </c>
      <c r="D801" s="7">
        <f>A768+E768</f>
        <v>37804</v>
      </c>
      <c r="E801" s="9">
        <v>61</v>
      </c>
      <c r="F801" s="10">
        <v>7.3999999999999996E-2</v>
      </c>
      <c r="G801" s="11" t="s">
        <v>441</v>
      </c>
      <c r="H801">
        <f t="shared" si="46"/>
        <v>247823.3825342466</v>
      </c>
    </row>
    <row r="802" spans="1:8">
      <c r="A802" s="7">
        <v>37985</v>
      </c>
      <c r="B802" s="8">
        <v>51703.085757177701</v>
      </c>
      <c r="C802" s="8">
        <f>B802+(B802*F802/365*E802)*1</f>
        <v>52295.900589763427</v>
      </c>
      <c r="D802" s="7">
        <f>A802+E802</f>
        <v>38047</v>
      </c>
      <c r="E802" s="9">
        <v>62</v>
      </c>
      <c r="F802" s="10">
        <v>6.7500000000000004E-2</v>
      </c>
      <c r="G802" s="11" t="s">
        <v>441</v>
      </c>
    </row>
    <row r="803" spans="1:8">
      <c r="A803" s="7">
        <v>37985</v>
      </c>
      <c r="B803" s="8">
        <v>25851.542878588851</v>
      </c>
      <c r="C803" s="8">
        <f>B803+(B803*F803/365*E803)*1</f>
        <v>26147.950294881713</v>
      </c>
      <c r="D803" s="7">
        <f>A803+E803</f>
        <v>38047</v>
      </c>
      <c r="E803" s="9">
        <v>62</v>
      </c>
      <c r="F803" s="10">
        <v>6.7500000000000004E-2</v>
      </c>
      <c r="G803" s="11" t="s">
        <v>441</v>
      </c>
    </row>
    <row r="804" spans="1:8">
      <c r="A804" s="7">
        <v>37985</v>
      </c>
      <c r="B804" s="8">
        <v>51622.805779695998</v>
      </c>
      <c r="C804" s="8">
        <f>B804+(B804*F804/365*E804)*1</f>
        <v>52214.700141854977</v>
      </c>
      <c r="D804" s="7">
        <f>A804+E804</f>
        <v>38047</v>
      </c>
      <c r="E804" s="9">
        <v>62</v>
      </c>
      <c r="F804" s="10">
        <v>6.7500000000000004E-2</v>
      </c>
      <c r="G804" s="11" t="s">
        <v>441</v>
      </c>
    </row>
    <row r="805" spans="1:8" ht="13" thickBot="1">
      <c r="A805" s="7">
        <v>37985</v>
      </c>
      <c r="B805" s="8">
        <v>25811.402889847999</v>
      </c>
      <c r="C805" s="8">
        <f>B805+(B805*F805/365*E805)*1</f>
        <v>26107.350070927489</v>
      </c>
      <c r="D805" s="7">
        <f>A805+E805</f>
        <v>38047</v>
      </c>
      <c r="E805" s="9">
        <v>62</v>
      </c>
      <c r="F805" s="10">
        <v>6.7500000000000004E-2</v>
      </c>
      <c r="G805" s="11" t="s">
        <v>441</v>
      </c>
    </row>
    <row r="806" spans="1:8" ht="14" thickTop="1" thickBot="1">
      <c r="A806" s="2" t="s">
        <v>521</v>
      </c>
      <c r="B806" s="3" t="s">
        <v>522</v>
      </c>
      <c r="C806" s="3" t="s">
        <v>523</v>
      </c>
      <c r="D806" s="5" t="s">
        <v>525</v>
      </c>
      <c r="E806" s="4" t="s">
        <v>524</v>
      </c>
      <c r="F806" s="4" t="s">
        <v>526</v>
      </c>
      <c r="G806" s="6"/>
    </row>
    <row r="807" spans="1:8" ht="13.5" thickTop="1">
      <c r="A807" s="42">
        <v>37987</v>
      </c>
      <c r="B807" s="43">
        <v>90000</v>
      </c>
      <c r="C807" s="43">
        <v>90867.328767123283</v>
      </c>
      <c r="D807" s="42">
        <v>38054</v>
      </c>
      <c r="E807" s="44">
        <v>67</v>
      </c>
      <c r="F807" s="45">
        <v>5.2499999999999998E-2</v>
      </c>
      <c r="G807" s="46" t="s">
        <v>641</v>
      </c>
      <c r="H807" s="47"/>
    </row>
    <row r="808" spans="1:8" ht="13">
      <c r="A808" s="42">
        <v>37988</v>
      </c>
      <c r="B808" s="43">
        <v>200000</v>
      </c>
      <c r="C808" s="43">
        <v>201927.39726027398</v>
      </c>
      <c r="D808" s="42">
        <v>38055</v>
      </c>
      <c r="E808" s="44">
        <v>67</v>
      </c>
      <c r="F808" s="45">
        <v>5.2499999999999998E-2</v>
      </c>
      <c r="G808" s="46" t="s">
        <v>276</v>
      </c>
      <c r="H808" s="47"/>
    </row>
    <row r="809" spans="1:8" ht="13">
      <c r="A809" s="49">
        <v>37998</v>
      </c>
      <c r="B809" s="50">
        <v>52317.479073287672</v>
      </c>
      <c r="C809" s="50">
        <f>B809+(B809*F809/365*E809)*1</f>
        <v>52841.227206256968</v>
      </c>
      <c r="D809" s="49">
        <f>A809+E809</f>
        <v>38061</v>
      </c>
      <c r="E809" s="51">
        <v>63</v>
      </c>
      <c r="F809" s="52">
        <v>5.8000000000000003E-2</v>
      </c>
      <c r="G809" s="53" t="s">
        <v>441</v>
      </c>
      <c r="H809" s="47"/>
    </row>
    <row r="810" spans="1:8" ht="13">
      <c r="A810" s="49">
        <v>37998</v>
      </c>
      <c r="B810" s="50">
        <v>52317.479073287672</v>
      </c>
      <c r="C810" s="50">
        <f>B810+(B810*F810/365*E810)*1</f>
        <v>52841.227206256968</v>
      </c>
      <c r="D810" s="49">
        <f>A810+E810</f>
        <v>38061</v>
      </c>
      <c r="E810" s="51">
        <v>63</v>
      </c>
      <c r="F810" s="52">
        <v>5.8000000000000003E-2</v>
      </c>
      <c r="G810" s="53" t="s">
        <v>441</v>
      </c>
      <c r="H810" s="47"/>
    </row>
    <row r="811" spans="1:8" ht="13">
      <c r="A811" s="49">
        <v>37998</v>
      </c>
      <c r="B811" s="50">
        <v>41853.983258630135</v>
      </c>
      <c r="C811" s="50">
        <f>B811+(B811*F811/365*E811)*1</f>
        <v>42272.98176500557</v>
      </c>
      <c r="D811" s="49">
        <f>A811+E811</f>
        <v>38061</v>
      </c>
      <c r="E811" s="51">
        <v>63</v>
      </c>
      <c r="F811" s="52">
        <v>5.8000000000000003E-2</v>
      </c>
      <c r="G811" s="53" t="s">
        <v>441</v>
      </c>
      <c r="H811" s="47"/>
    </row>
    <row r="812" spans="1:8" ht="13">
      <c r="A812" s="42">
        <v>37998</v>
      </c>
      <c r="B812" s="43">
        <v>42272.959999999999</v>
      </c>
      <c r="C812" s="43">
        <v>42272.98176500557</v>
      </c>
      <c r="D812" s="42">
        <v>38061</v>
      </c>
      <c r="E812" s="44">
        <v>60</v>
      </c>
      <c r="F812" s="45">
        <v>0.05</v>
      </c>
      <c r="G812" s="46" t="s">
        <v>441</v>
      </c>
      <c r="H812" s="48"/>
    </row>
    <row r="813" spans="1:8" ht="13">
      <c r="A813" s="42">
        <v>38061</v>
      </c>
      <c r="B813" s="43">
        <v>52841.2</v>
      </c>
      <c r="C813" s="43">
        <v>52841.227206256968</v>
      </c>
      <c r="D813" s="42">
        <v>38061</v>
      </c>
      <c r="E813" s="44">
        <v>60</v>
      </c>
      <c r="F813" s="45">
        <v>0.05</v>
      </c>
      <c r="G813" s="46" t="s">
        <v>441</v>
      </c>
      <c r="H813" s="48"/>
    </row>
    <row r="814" spans="1:8" ht="13">
      <c r="A814" s="42">
        <v>38061</v>
      </c>
      <c r="B814" s="43">
        <v>52841.2</v>
      </c>
      <c r="C814" s="43">
        <v>52841.227206256968</v>
      </c>
      <c r="D814" s="42">
        <v>38061</v>
      </c>
      <c r="E814" s="44">
        <v>60</v>
      </c>
      <c r="F814" s="45">
        <v>0.05</v>
      </c>
      <c r="G814" s="46" t="s">
        <v>441</v>
      </c>
      <c r="H814" s="48"/>
    </row>
    <row r="815" spans="1:8" ht="13">
      <c r="A815" s="49">
        <v>38055</v>
      </c>
      <c r="B815" s="50">
        <v>201927.4</v>
      </c>
      <c r="C815" s="50">
        <f t="shared" ref="C815:C857" si="51">B815+(B815*F815/365*E815)*1</f>
        <v>202773.83540273973</v>
      </c>
      <c r="D815" s="49">
        <f t="shared" ref="D815:D856" si="52">A815+E815</f>
        <v>38089</v>
      </c>
      <c r="E815" s="51">
        <v>34</v>
      </c>
      <c r="F815" s="52">
        <v>4.4999999999999998E-2</v>
      </c>
      <c r="G815" s="53" t="s">
        <v>276</v>
      </c>
      <c r="H815" s="48"/>
    </row>
    <row r="816" spans="1:8" ht="13">
      <c r="A816" s="49">
        <v>38047</v>
      </c>
      <c r="B816" s="50">
        <v>52214.68</v>
      </c>
      <c r="C816" s="50">
        <f t="shared" si="51"/>
        <v>52622.383665753427</v>
      </c>
      <c r="D816" s="49">
        <f t="shared" si="52"/>
        <v>38107</v>
      </c>
      <c r="E816" s="51">
        <v>60</v>
      </c>
      <c r="F816" s="52">
        <v>4.7500000000000001E-2</v>
      </c>
      <c r="G816" s="53" t="s">
        <v>441</v>
      </c>
      <c r="H816" s="48"/>
    </row>
    <row r="817" spans="1:8" ht="13">
      <c r="A817" s="49">
        <v>38047</v>
      </c>
      <c r="B817" s="50">
        <v>26147.93</v>
      </c>
      <c r="C817" s="50">
        <f t="shared" si="51"/>
        <v>26352.09876849315</v>
      </c>
      <c r="D817" s="49">
        <f t="shared" si="52"/>
        <v>38107</v>
      </c>
      <c r="E817" s="51">
        <v>60</v>
      </c>
      <c r="F817" s="52">
        <v>4.7500000000000001E-2</v>
      </c>
      <c r="G817" s="53" t="s">
        <v>441</v>
      </c>
      <c r="H817" s="48"/>
    </row>
    <row r="818" spans="1:8" ht="13">
      <c r="A818" s="49">
        <v>38089</v>
      </c>
      <c r="B818" s="50">
        <v>102773.84</v>
      </c>
      <c r="C818" s="50">
        <f t="shared" si="51"/>
        <v>103077.93793753424</v>
      </c>
      <c r="D818" s="49">
        <f t="shared" si="52"/>
        <v>38119</v>
      </c>
      <c r="E818" s="51">
        <v>30</v>
      </c>
      <c r="F818" s="52">
        <v>3.5999999999999997E-2</v>
      </c>
      <c r="G818" s="53" t="s">
        <v>276</v>
      </c>
      <c r="H818" s="48"/>
    </row>
    <row r="819" spans="1:8" ht="13">
      <c r="A819" s="42">
        <v>38061</v>
      </c>
      <c r="B819" s="43">
        <v>52841.2</v>
      </c>
      <c r="C819" s="50">
        <f t="shared" si="51"/>
        <v>53275.511232876706</v>
      </c>
      <c r="D819" s="49">
        <f t="shared" si="52"/>
        <v>38121</v>
      </c>
      <c r="E819" s="44">
        <v>60</v>
      </c>
      <c r="F819" s="45">
        <v>0.05</v>
      </c>
      <c r="G819" s="46" t="s">
        <v>441</v>
      </c>
      <c r="H819" s="48"/>
    </row>
    <row r="820" spans="1:8" ht="13">
      <c r="A820" s="42">
        <v>38061</v>
      </c>
      <c r="B820" s="43">
        <v>52841.2</v>
      </c>
      <c r="C820" s="50">
        <f t="shared" si="51"/>
        <v>53275.511232876706</v>
      </c>
      <c r="D820" s="49">
        <f t="shared" si="52"/>
        <v>38121</v>
      </c>
      <c r="E820" s="44">
        <v>60</v>
      </c>
      <c r="F820" s="45">
        <v>0.05</v>
      </c>
      <c r="G820" s="46" t="s">
        <v>441</v>
      </c>
      <c r="H820" s="48"/>
    </row>
    <row r="821" spans="1:8" ht="13">
      <c r="A821" s="42">
        <v>38061</v>
      </c>
      <c r="B821" s="43">
        <v>42272.959999999999</v>
      </c>
      <c r="C821" s="50">
        <f t="shared" si="51"/>
        <v>42620.408986301372</v>
      </c>
      <c r="D821" s="49">
        <f t="shared" si="52"/>
        <v>38121</v>
      </c>
      <c r="E821" s="44">
        <v>60</v>
      </c>
      <c r="F821" s="45">
        <v>0.05</v>
      </c>
      <c r="G821" s="46" t="s">
        <v>441</v>
      </c>
      <c r="H821" s="48"/>
    </row>
    <row r="822" spans="1:8" ht="13">
      <c r="A822" s="49">
        <v>38047</v>
      </c>
      <c r="B822" s="50">
        <v>52295.88</v>
      </c>
      <c r="C822" s="50">
        <f t="shared" si="51"/>
        <v>53168.429999999993</v>
      </c>
      <c r="D822" s="49">
        <f t="shared" si="52"/>
        <v>38139</v>
      </c>
      <c r="E822" s="51">
        <v>92</v>
      </c>
      <c r="F822" s="52">
        <v>6.619541123715085E-2</v>
      </c>
      <c r="G822" s="53" t="s">
        <v>642</v>
      </c>
      <c r="H822" s="48"/>
    </row>
    <row r="823" spans="1:8" ht="13">
      <c r="A823" s="49">
        <v>38047</v>
      </c>
      <c r="B823" s="50">
        <v>26107.33</v>
      </c>
      <c r="C823" s="50">
        <f t="shared" si="51"/>
        <v>26542.957623649316</v>
      </c>
      <c r="D823" s="49">
        <f t="shared" si="52"/>
        <v>38139</v>
      </c>
      <c r="E823" s="51">
        <v>92</v>
      </c>
      <c r="F823" s="52">
        <v>6.6199999999999995E-2</v>
      </c>
      <c r="G823" s="53" t="s">
        <v>642</v>
      </c>
      <c r="H823" s="47"/>
    </row>
    <row r="824" spans="1:8" ht="13">
      <c r="A824" s="49">
        <v>38107</v>
      </c>
      <c r="B824" s="50">
        <v>52622.38</v>
      </c>
      <c r="C824" s="50">
        <f t="shared" si="51"/>
        <v>52799.998553863014</v>
      </c>
      <c r="D824" s="49">
        <f t="shared" si="52"/>
        <v>38139</v>
      </c>
      <c r="E824" s="51">
        <v>32</v>
      </c>
      <c r="F824" s="52">
        <v>3.85E-2</v>
      </c>
      <c r="G824" s="53" t="s">
        <v>441</v>
      </c>
      <c r="H824" s="47"/>
    </row>
    <row r="825" spans="1:8" ht="13">
      <c r="A825" s="49">
        <v>38107</v>
      </c>
      <c r="B825" s="50">
        <v>26352.1</v>
      </c>
      <c r="C825" s="50">
        <f t="shared" si="51"/>
        <v>26441.047362191781</v>
      </c>
      <c r="D825" s="49">
        <f t="shared" si="52"/>
        <v>38139</v>
      </c>
      <c r="E825" s="51">
        <v>32</v>
      </c>
      <c r="F825" s="52">
        <v>3.85E-2</v>
      </c>
      <c r="G825" s="53" t="s">
        <v>441</v>
      </c>
      <c r="H825" s="47"/>
    </row>
    <row r="826" spans="1:8" ht="13">
      <c r="A826" s="49">
        <v>38055</v>
      </c>
      <c r="B826" s="50">
        <v>90000</v>
      </c>
      <c r="C826" s="50">
        <f t="shared" si="51"/>
        <v>90665.753424657538</v>
      </c>
      <c r="D826" s="49">
        <f t="shared" si="52"/>
        <v>38145</v>
      </c>
      <c r="E826" s="51">
        <v>90</v>
      </c>
      <c r="F826" s="52">
        <v>0.03</v>
      </c>
      <c r="G826" s="53" t="s">
        <v>643</v>
      </c>
      <c r="H826" s="48"/>
    </row>
    <row r="827" spans="1:8" ht="13">
      <c r="A827" s="49">
        <v>38119</v>
      </c>
      <c r="B827" s="50">
        <v>51000</v>
      </c>
      <c r="C827" s="50">
        <f t="shared" si="51"/>
        <v>51172.910958904111</v>
      </c>
      <c r="D827" s="49">
        <f t="shared" si="52"/>
        <v>38152</v>
      </c>
      <c r="E827" s="51">
        <v>33</v>
      </c>
      <c r="F827" s="52">
        <v>3.7499999999999999E-2</v>
      </c>
      <c r="G827" s="53" t="s">
        <v>643</v>
      </c>
      <c r="H827" s="48"/>
    </row>
    <row r="828" spans="1:8" ht="13">
      <c r="A828" s="42">
        <v>38121</v>
      </c>
      <c r="B828" s="43">
        <f>53275.51-25000</f>
        <v>28275.510000000002</v>
      </c>
      <c r="C828" s="50">
        <f t="shared" si="51"/>
        <v>28367.967044342469</v>
      </c>
      <c r="D828" s="49">
        <f t="shared" si="52"/>
        <v>38152</v>
      </c>
      <c r="E828" s="44">
        <v>31</v>
      </c>
      <c r="F828" s="45">
        <v>3.85E-2</v>
      </c>
      <c r="G828" s="46" t="s">
        <v>441</v>
      </c>
      <c r="H828" s="48"/>
    </row>
    <row r="829" spans="1:8" ht="13">
      <c r="A829" s="42">
        <v>38121</v>
      </c>
      <c r="B829" s="43">
        <v>53275.51</v>
      </c>
      <c r="C829" s="50">
        <f t="shared" si="51"/>
        <v>53449.713619684931</v>
      </c>
      <c r="D829" s="49">
        <f t="shared" si="52"/>
        <v>38152</v>
      </c>
      <c r="E829" s="44">
        <v>31</v>
      </c>
      <c r="F829" s="45">
        <v>3.85E-2</v>
      </c>
      <c r="G829" s="46" t="s">
        <v>441</v>
      </c>
      <c r="H829" s="48"/>
    </row>
    <row r="830" spans="1:8" ht="13">
      <c r="A830" s="42">
        <v>38121</v>
      </c>
      <c r="B830" s="43">
        <v>42620.4</v>
      </c>
      <c r="C830" s="50">
        <f t="shared" si="51"/>
        <v>42759.762869589045</v>
      </c>
      <c r="D830" s="49">
        <f t="shared" si="52"/>
        <v>38152</v>
      </c>
      <c r="E830" s="44">
        <v>31</v>
      </c>
      <c r="F830" s="45">
        <v>3.85E-2</v>
      </c>
      <c r="G830" s="46" t="s">
        <v>441</v>
      </c>
      <c r="H830" s="48"/>
    </row>
    <row r="831" spans="1:8" ht="13">
      <c r="A831" s="49">
        <v>38139</v>
      </c>
      <c r="B831" s="50">
        <v>52799.99</v>
      </c>
      <c r="C831" s="50">
        <f t="shared" si="51"/>
        <v>52973.579008219174</v>
      </c>
      <c r="D831" s="49">
        <f t="shared" si="52"/>
        <v>38169</v>
      </c>
      <c r="E831" s="51">
        <v>30</v>
      </c>
      <c r="F831" s="52">
        <v>0.04</v>
      </c>
      <c r="G831" s="53" t="s">
        <v>441</v>
      </c>
      <c r="H831" s="48"/>
    </row>
    <row r="832" spans="1:8" ht="13">
      <c r="A832" s="49">
        <v>38139</v>
      </c>
      <c r="B832" s="50">
        <v>26441.03</v>
      </c>
      <c r="C832" s="50">
        <f t="shared" si="51"/>
        <v>26527.959413698631</v>
      </c>
      <c r="D832" s="49">
        <f t="shared" si="52"/>
        <v>38169</v>
      </c>
      <c r="E832" s="51">
        <v>30</v>
      </c>
      <c r="F832" s="52">
        <v>0.04</v>
      </c>
      <c r="G832" s="53" t="s">
        <v>441</v>
      </c>
      <c r="H832" s="48"/>
    </row>
    <row r="833" spans="1:8" ht="13">
      <c r="A833" s="49">
        <v>38089</v>
      </c>
      <c r="B833" s="50">
        <v>100000</v>
      </c>
      <c r="C833" s="50">
        <f t="shared" si="51"/>
        <v>102351.59</v>
      </c>
      <c r="D833" s="49">
        <f t="shared" si="52"/>
        <v>38180</v>
      </c>
      <c r="E833" s="51">
        <v>91</v>
      </c>
      <c r="F833" s="52">
        <v>9.4322016483516208E-2</v>
      </c>
      <c r="G833" s="53" t="s">
        <v>643</v>
      </c>
      <c r="H833" s="48"/>
    </row>
    <row r="834" spans="1:8" ht="13">
      <c r="A834" s="49">
        <v>38156</v>
      </c>
      <c r="B834" s="50">
        <v>51172.91</v>
      </c>
      <c r="C834" s="50">
        <f t="shared" si="51"/>
        <v>51335.892213356165</v>
      </c>
      <c r="D834" s="49">
        <f t="shared" si="52"/>
        <v>38187</v>
      </c>
      <c r="E834" s="51">
        <v>31</v>
      </c>
      <c r="F834" s="52">
        <v>3.7499999999999999E-2</v>
      </c>
      <c r="G834" s="53" t="s">
        <v>644</v>
      </c>
      <c r="H834" s="48"/>
    </row>
    <row r="835" spans="1:8" ht="13">
      <c r="A835" s="42">
        <v>38155</v>
      </c>
      <c r="B835" s="43">
        <v>28367.96</v>
      </c>
      <c r="C835" s="50">
        <f t="shared" si="51"/>
        <v>28466.703816931506</v>
      </c>
      <c r="D835" s="49">
        <f t="shared" si="52"/>
        <v>38188</v>
      </c>
      <c r="E835" s="44">
        <v>33</v>
      </c>
      <c r="F835" s="45">
        <v>3.85E-2</v>
      </c>
      <c r="G835" s="46" t="s">
        <v>441</v>
      </c>
      <c r="H835" s="48"/>
    </row>
    <row r="836" spans="1:8" ht="13">
      <c r="A836" s="42">
        <v>38155</v>
      </c>
      <c r="B836" s="43">
        <v>53449.71</v>
      </c>
      <c r="C836" s="50">
        <f t="shared" si="51"/>
        <v>53635.758922068489</v>
      </c>
      <c r="D836" s="49">
        <f t="shared" si="52"/>
        <v>38188</v>
      </c>
      <c r="E836" s="44">
        <v>33</v>
      </c>
      <c r="F836" s="45">
        <v>3.85E-2</v>
      </c>
      <c r="G836" s="46" t="s">
        <v>441</v>
      </c>
      <c r="H836" s="47"/>
    </row>
    <row r="837" spans="1:8" ht="13">
      <c r="A837" s="42">
        <v>38155</v>
      </c>
      <c r="B837" s="43">
        <v>42759.76</v>
      </c>
      <c r="C837" s="50">
        <f t="shared" si="51"/>
        <v>42908.599109808223</v>
      </c>
      <c r="D837" s="49">
        <f t="shared" si="52"/>
        <v>38188</v>
      </c>
      <c r="E837" s="44">
        <v>33</v>
      </c>
      <c r="F837" s="45">
        <v>3.85E-2</v>
      </c>
      <c r="G837" s="46" t="s">
        <v>441</v>
      </c>
      <c r="H837" s="47"/>
    </row>
    <row r="838" spans="1:8" ht="13">
      <c r="A838" s="49">
        <v>38169</v>
      </c>
      <c r="B838" s="50">
        <v>52973.58</v>
      </c>
      <c r="C838" s="50">
        <f t="shared" si="51"/>
        <v>53152.383974136988</v>
      </c>
      <c r="D838" s="49">
        <f t="shared" si="52"/>
        <v>38201</v>
      </c>
      <c r="E838" s="51">
        <v>32</v>
      </c>
      <c r="F838" s="45">
        <v>3.85E-2</v>
      </c>
      <c r="G838" s="53" t="s">
        <v>441</v>
      </c>
      <c r="H838" s="47"/>
    </row>
    <row r="839" spans="1:8" ht="13">
      <c r="A839" s="49">
        <v>38169</v>
      </c>
      <c r="B839" s="50">
        <v>26527.95</v>
      </c>
      <c r="C839" s="50">
        <f t="shared" si="51"/>
        <v>26617.490916164385</v>
      </c>
      <c r="D839" s="49">
        <f t="shared" si="52"/>
        <v>38201</v>
      </c>
      <c r="E839" s="51">
        <v>32</v>
      </c>
      <c r="F839" s="45">
        <v>3.85E-2</v>
      </c>
      <c r="G839" s="53" t="s">
        <v>441</v>
      </c>
      <c r="H839" s="48"/>
    </row>
    <row r="840" spans="1:8" ht="13">
      <c r="A840" s="49">
        <v>38119</v>
      </c>
      <c r="B840" s="50">
        <v>51000</v>
      </c>
      <c r="C840" s="50">
        <f t="shared" si="51"/>
        <v>52106.630136986299</v>
      </c>
      <c r="D840" s="49">
        <f t="shared" si="52"/>
        <v>38209</v>
      </c>
      <c r="E840" s="51">
        <v>90</v>
      </c>
      <c r="F840" s="52">
        <v>8.7999999999999995E-2</v>
      </c>
      <c r="G840" s="53" t="s">
        <v>643</v>
      </c>
      <c r="H840" s="48"/>
    </row>
    <row r="841" spans="1:8" ht="13">
      <c r="A841" s="49">
        <v>38139</v>
      </c>
      <c r="B841" s="50">
        <v>39900</v>
      </c>
      <c r="C841" s="50">
        <f t="shared" si="51"/>
        <v>40293.534246575342</v>
      </c>
      <c r="D841" s="49">
        <f t="shared" si="52"/>
        <v>38229</v>
      </c>
      <c r="E841" s="51">
        <v>90</v>
      </c>
      <c r="F841" s="52">
        <v>0.04</v>
      </c>
      <c r="G841" s="53" t="s">
        <v>642</v>
      </c>
      <c r="H841" s="48"/>
    </row>
    <row r="842" spans="1:8" ht="13">
      <c r="A842" s="49">
        <v>38139</v>
      </c>
      <c r="B842" s="50">
        <v>39900</v>
      </c>
      <c r="C842" s="50">
        <f t="shared" si="51"/>
        <v>40293.534246575342</v>
      </c>
      <c r="D842" s="49">
        <f t="shared" si="52"/>
        <v>38229</v>
      </c>
      <c r="E842" s="51">
        <v>90</v>
      </c>
      <c r="F842" s="52">
        <v>0.04</v>
      </c>
      <c r="G842" s="53" t="s">
        <v>642</v>
      </c>
      <c r="H842" s="48"/>
    </row>
    <row r="843" spans="1:8" ht="13">
      <c r="A843" s="49">
        <v>38145</v>
      </c>
      <c r="B843" s="50">
        <v>91561.84</v>
      </c>
      <c r="C843" s="50">
        <f t="shared" si="51"/>
        <v>93243.650000000009</v>
      </c>
      <c r="D843" s="49">
        <f t="shared" si="52"/>
        <v>38236</v>
      </c>
      <c r="E843" s="51">
        <v>91</v>
      </c>
      <c r="F843" s="52">
        <v>7.3673939149447656E-2</v>
      </c>
      <c r="G843" s="53" t="s">
        <v>643</v>
      </c>
      <c r="H843" s="48"/>
    </row>
    <row r="844" spans="1:8" ht="13">
      <c r="A844" s="42">
        <v>38218</v>
      </c>
      <c r="B844" s="43">
        <v>28550.93</v>
      </c>
      <c r="C844" s="50">
        <f t="shared" si="51"/>
        <v>28641.041428383563</v>
      </c>
      <c r="D844" s="49">
        <f t="shared" si="52"/>
        <v>38250</v>
      </c>
      <c r="E844" s="44">
        <v>32</v>
      </c>
      <c r="F844" s="45">
        <v>3.5999999999999997E-2</v>
      </c>
      <c r="G844" s="46" t="s">
        <v>441</v>
      </c>
      <c r="H844" s="47"/>
    </row>
    <row r="845" spans="1:8" ht="13">
      <c r="A845" s="49">
        <v>38236</v>
      </c>
      <c r="B845" s="50">
        <v>93243.65</v>
      </c>
      <c r="C845" s="50">
        <f t="shared" si="51"/>
        <v>93542.540604109585</v>
      </c>
      <c r="D845" s="49">
        <f t="shared" si="52"/>
        <v>38266</v>
      </c>
      <c r="E845" s="51">
        <v>30</v>
      </c>
      <c r="F845" s="52">
        <v>3.9E-2</v>
      </c>
      <c r="G845" s="53" t="s">
        <v>276</v>
      </c>
      <c r="H845" s="47"/>
    </row>
    <row r="846" spans="1:8" ht="13">
      <c r="A846" s="49">
        <v>38180</v>
      </c>
      <c r="B846" s="50">
        <v>102351.59</v>
      </c>
      <c r="C846" s="50">
        <f t="shared" si="51"/>
        <v>103744.8</v>
      </c>
      <c r="D846" s="49">
        <f t="shared" si="52"/>
        <v>38272</v>
      </c>
      <c r="E846" s="51">
        <v>92</v>
      </c>
      <c r="F846" s="52">
        <v>5.4004136517375539E-2</v>
      </c>
      <c r="G846" s="53" t="s">
        <v>643</v>
      </c>
      <c r="H846" s="47"/>
    </row>
    <row r="847" spans="1:8" ht="13">
      <c r="A847" s="49">
        <v>38187</v>
      </c>
      <c r="B847" s="50">
        <v>51335.89</v>
      </c>
      <c r="C847" s="50">
        <f t="shared" si="51"/>
        <v>52032.320000000007</v>
      </c>
      <c r="D847" s="49">
        <f t="shared" si="52"/>
        <v>38278</v>
      </c>
      <c r="E847" s="51">
        <v>91</v>
      </c>
      <c r="F847" s="52">
        <v>5.4413648558992479E-2</v>
      </c>
      <c r="G847" s="53" t="s">
        <v>643</v>
      </c>
      <c r="H847" s="47"/>
    </row>
    <row r="848" spans="1:8" ht="13">
      <c r="A848" s="42">
        <v>38250</v>
      </c>
      <c r="B848" s="43">
        <v>28641.040000000001</v>
      </c>
      <c r="C848" s="50">
        <f t="shared" si="51"/>
        <v>28735.202323287671</v>
      </c>
      <c r="D848" s="49">
        <f t="shared" si="52"/>
        <v>38280</v>
      </c>
      <c r="E848" s="44">
        <v>30</v>
      </c>
      <c r="F848" s="45">
        <v>0.04</v>
      </c>
      <c r="G848" s="46" t="s">
        <v>441</v>
      </c>
      <c r="H848" s="48"/>
    </row>
    <row r="849" spans="1:8" ht="13">
      <c r="A849" s="49">
        <v>38201</v>
      </c>
      <c r="B849" s="50">
        <v>70000</v>
      </c>
      <c r="C849" s="50">
        <f t="shared" si="51"/>
        <v>71015.999999999985</v>
      </c>
      <c r="D849" s="49">
        <f t="shared" si="52"/>
        <v>38293</v>
      </c>
      <c r="E849" s="51">
        <v>92</v>
      </c>
      <c r="F849" s="52">
        <v>5.7583850931675847E-2</v>
      </c>
      <c r="G849" s="53" t="s">
        <v>645</v>
      </c>
      <c r="H849" s="48"/>
    </row>
    <row r="850" spans="1:8" ht="13">
      <c r="A850" s="49">
        <v>38209</v>
      </c>
      <c r="B850" s="50">
        <v>52000</v>
      </c>
      <c r="C850" s="50">
        <f t="shared" si="51"/>
        <v>52750.560000000005</v>
      </c>
      <c r="D850" s="49">
        <f t="shared" si="52"/>
        <v>38300</v>
      </c>
      <c r="E850" s="51">
        <v>91</v>
      </c>
      <c r="F850" s="52">
        <v>5.7893998309383278E-2</v>
      </c>
      <c r="G850" s="53" t="s">
        <v>645</v>
      </c>
      <c r="H850" s="48"/>
    </row>
    <row r="851" spans="1:8" ht="13">
      <c r="A851" s="42">
        <v>38218</v>
      </c>
      <c r="B851" s="43">
        <v>41758.94</v>
      </c>
      <c r="C851" s="50">
        <f t="shared" si="51"/>
        <v>42345.679999999993</v>
      </c>
      <c r="D851" s="49">
        <f t="shared" si="52"/>
        <v>38308</v>
      </c>
      <c r="E851" s="44">
        <v>90</v>
      </c>
      <c r="F851" s="45">
        <v>5.698316735689718E-2</v>
      </c>
      <c r="G851" s="53" t="s">
        <v>642</v>
      </c>
      <c r="H851" s="48"/>
    </row>
    <row r="852" spans="1:8" ht="13">
      <c r="A852" s="42">
        <v>38218</v>
      </c>
      <c r="B852" s="43">
        <v>43035.55</v>
      </c>
      <c r="C852" s="50">
        <f t="shared" si="51"/>
        <v>43640.239999999991</v>
      </c>
      <c r="D852" s="49">
        <f t="shared" si="52"/>
        <v>38308</v>
      </c>
      <c r="E852" s="44">
        <v>90</v>
      </c>
      <c r="F852" s="45">
        <v>5.6984374287974579E-2</v>
      </c>
      <c r="G852" s="53" t="s">
        <v>642</v>
      </c>
      <c r="H852" s="48"/>
    </row>
    <row r="853" spans="1:8" ht="13">
      <c r="A853" s="42">
        <v>38280</v>
      </c>
      <c r="B853" s="43">
        <v>27000</v>
      </c>
      <c r="C853" s="50">
        <f t="shared" si="51"/>
        <v>27107.408219178084</v>
      </c>
      <c r="D853" s="49">
        <f t="shared" si="52"/>
        <v>38313</v>
      </c>
      <c r="E853" s="44">
        <v>33</v>
      </c>
      <c r="F853" s="45">
        <v>4.3999999999999997E-2</v>
      </c>
      <c r="G853" s="46" t="s">
        <v>120</v>
      </c>
      <c r="H853" s="48"/>
    </row>
    <row r="854" spans="1:8" ht="13">
      <c r="A854" s="49">
        <v>38229</v>
      </c>
      <c r="B854" s="50">
        <v>40500</v>
      </c>
      <c r="C854" s="50">
        <f t="shared" si="51"/>
        <v>41068.699999999997</v>
      </c>
      <c r="D854" s="49">
        <f t="shared" si="52"/>
        <v>38320</v>
      </c>
      <c r="E854" s="51">
        <v>91</v>
      </c>
      <c r="F854" s="52">
        <v>5.6322208655541398E-2</v>
      </c>
      <c r="G854" s="53" t="s">
        <v>642</v>
      </c>
      <c r="H854" s="48"/>
    </row>
    <row r="855" spans="1:8" ht="13">
      <c r="A855" s="42">
        <v>38313</v>
      </c>
      <c r="B855" s="43">
        <v>27107.41</v>
      </c>
      <c r="C855" s="50">
        <f t="shared" si="51"/>
        <v>27196.530252054796</v>
      </c>
      <c r="D855" s="49">
        <f t="shared" si="52"/>
        <v>38343</v>
      </c>
      <c r="E855" s="44">
        <v>30</v>
      </c>
      <c r="F855" s="45">
        <v>0.04</v>
      </c>
      <c r="G855" s="46" t="s">
        <v>120</v>
      </c>
      <c r="H855" s="48"/>
    </row>
    <row r="856" spans="1:8" ht="13">
      <c r="A856" s="49">
        <v>38229</v>
      </c>
      <c r="B856" s="50">
        <v>40500</v>
      </c>
      <c r="C856" s="50">
        <f t="shared" si="51"/>
        <v>41122.18</v>
      </c>
      <c r="D856" s="49">
        <f t="shared" si="52"/>
        <v>38351</v>
      </c>
      <c r="E856" s="51">
        <v>122</v>
      </c>
      <c r="F856" s="52">
        <v>4.5961485529245324E-2</v>
      </c>
      <c r="G856" s="53" t="s">
        <v>642</v>
      </c>
      <c r="H856" s="48"/>
    </row>
    <row r="857" spans="1:8" ht="13">
      <c r="A857" s="42">
        <v>38373</v>
      </c>
      <c r="B857" s="43">
        <v>20000</v>
      </c>
      <c r="C857" s="50">
        <f t="shared" si="51"/>
        <v>20063.287671232876</v>
      </c>
      <c r="D857" s="49">
        <f>A850+E850</f>
        <v>38300</v>
      </c>
      <c r="E857" s="44">
        <v>33</v>
      </c>
      <c r="F857" s="45">
        <v>3.5000000000000003E-2</v>
      </c>
      <c r="G857" s="46" t="s">
        <v>120</v>
      </c>
      <c r="H857" s="48"/>
    </row>
    <row r="858" spans="1:8" ht="13">
      <c r="A858" s="49">
        <v>38320</v>
      </c>
      <c r="B858" s="50">
        <v>27000</v>
      </c>
      <c r="C858" s="50">
        <f>B852+(B852*F852/365*E852)*1</f>
        <v>43640.239999999991</v>
      </c>
      <c r="D858" s="49">
        <f>A852+E852</f>
        <v>38308</v>
      </c>
      <c r="E858" s="51">
        <v>91</v>
      </c>
      <c r="F858" s="52">
        <v>8.1191330891330682E-2</v>
      </c>
      <c r="G858" s="53" t="s">
        <v>646</v>
      </c>
      <c r="H858" s="47"/>
    </row>
    <row r="859" spans="1:8" ht="13">
      <c r="A859" s="42">
        <v>38343</v>
      </c>
      <c r="B859" s="43">
        <v>27196.53</v>
      </c>
      <c r="C859" s="50">
        <f>B852+(B852*F852/365*E852)*1</f>
        <v>43640.239999999991</v>
      </c>
      <c r="D859" s="49">
        <f>A852+E852</f>
        <v>38308</v>
      </c>
      <c r="E859" s="44">
        <v>30</v>
      </c>
      <c r="F859" s="45">
        <v>4.1000000000000002E-2</v>
      </c>
      <c r="G859" s="46" t="s">
        <v>120</v>
      </c>
      <c r="H859" s="47"/>
    </row>
    <row r="861" spans="1:8" ht="13">
      <c r="A861" s="49">
        <v>38266</v>
      </c>
      <c r="B861" s="50">
        <v>93542.54</v>
      </c>
      <c r="C861" s="50">
        <f t="shared" ref="C861:C892" si="53">B861+(B861*F861/365*E861)*1</f>
        <v>94525.959999999992</v>
      </c>
      <c r="D861" s="49">
        <f t="shared" ref="D861:D892" si="54">A861+E861</f>
        <v>38356</v>
      </c>
      <c r="E861" s="51">
        <v>90</v>
      </c>
      <c r="F861" s="52">
        <v>4.2636371050480688E-2</v>
      </c>
      <c r="G861" s="53" t="s">
        <v>643</v>
      </c>
      <c r="H861" s="47"/>
    </row>
    <row r="862" spans="1:8" ht="13">
      <c r="A862" s="49">
        <v>38272</v>
      </c>
      <c r="B862" s="50">
        <v>103744.8</v>
      </c>
      <c r="C862" s="50">
        <f t="shared" si="53"/>
        <v>104848.90999999993</v>
      </c>
      <c r="D862" s="49">
        <f t="shared" si="54"/>
        <v>38364</v>
      </c>
      <c r="E862" s="51">
        <v>92</v>
      </c>
      <c r="F862" s="52">
        <v>4.222319010729416E-2</v>
      </c>
      <c r="G862" s="53" t="s">
        <v>643</v>
      </c>
      <c r="H862" s="48"/>
    </row>
    <row r="863" spans="1:8" ht="13">
      <c r="A863" s="42">
        <v>38278</v>
      </c>
      <c r="B863" s="43">
        <v>52062.32</v>
      </c>
      <c r="C863" s="50">
        <f t="shared" si="53"/>
        <v>52653.259999999995</v>
      </c>
      <c r="D863" s="49">
        <f t="shared" si="54"/>
        <v>38371</v>
      </c>
      <c r="E863" s="44">
        <v>93</v>
      </c>
      <c r="F863" s="45">
        <v>4.4548161610187036E-2</v>
      </c>
      <c r="G863" s="46" t="s">
        <v>643</v>
      </c>
      <c r="H863" s="48"/>
    </row>
    <row r="864" spans="1:8" ht="13">
      <c r="A864" s="49">
        <v>38293</v>
      </c>
      <c r="B864" s="50">
        <v>70000</v>
      </c>
      <c r="C864" s="50">
        <f t="shared" si="53"/>
        <v>70818.850000000006</v>
      </c>
      <c r="D864" s="49">
        <f t="shared" si="54"/>
        <v>38383</v>
      </c>
      <c r="E864" s="51">
        <v>90</v>
      </c>
      <c r="F864" s="52">
        <v>4.7441309523810177E-2</v>
      </c>
      <c r="G864" s="53" t="s">
        <v>645</v>
      </c>
      <c r="H864" s="48"/>
    </row>
    <row r="865" spans="1:7" ht="13">
      <c r="A865" s="49">
        <v>38351</v>
      </c>
      <c r="B865" s="50">
        <v>41122.18</v>
      </c>
      <c r="C865" s="50">
        <f t="shared" si="53"/>
        <v>41279.232928547943</v>
      </c>
      <c r="D865" s="49">
        <f t="shared" si="54"/>
        <v>38385</v>
      </c>
      <c r="E865" s="51">
        <v>34</v>
      </c>
      <c r="F865" s="52">
        <v>4.1000000000000002E-2</v>
      </c>
      <c r="G865" s="53" t="s">
        <v>441</v>
      </c>
    </row>
    <row r="866" spans="1:7" ht="13">
      <c r="A866" s="49">
        <v>38300</v>
      </c>
      <c r="B866" s="50">
        <v>50000</v>
      </c>
      <c r="C866" s="50">
        <f t="shared" si="53"/>
        <v>50665.88</v>
      </c>
      <c r="D866" s="49">
        <f t="shared" si="54"/>
        <v>38391</v>
      </c>
      <c r="E866" s="51">
        <v>91</v>
      </c>
      <c r="F866" s="52">
        <v>5.341674725274731E-2</v>
      </c>
      <c r="G866" s="53" t="s">
        <v>645</v>
      </c>
    </row>
    <row r="867" spans="1:7" ht="13">
      <c r="A867" s="42">
        <v>38308</v>
      </c>
      <c r="B867" s="43">
        <v>42345.68</v>
      </c>
      <c r="C867" s="50">
        <f t="shared" si="53"/>
        <v>43001.53</v>
      </c>
      <c r="D867" s="49">
        <f t="shared" si="54"/>
        <v>38398</v>
      </c>
      <c r="E867" s="44">
        <v>90</v>
      </c>
      <c r="F867" s="45">
        <v>6.2812454803208073E-2</v>
      </c>
      <c r="G867" s="53" t="s">
        <v>642</v>
      </c>
    </row>
    <row r="868" spans="1:7" ht="13">
      <c r="A868" s="42">
        <v>38308</v>
      </c>
      <c r="B868" s="43">
        <v>43640.24</v>
      </c>
      <c r="C868" s="50">
        <f t="shared" si="53"/>
        <v>44316.14</v>
      </c>
      <c r="D868" s="49">
        <f t="shared" si="54"/>
        <v>38398</v>
      </c>
      <c r="E868" s="44">
        <v>90</v>
      </c>
      <c r="F868" s="45">
        <v>6.2812440994825275E-2</v>
      </c>
      <c r="G868" s="53" t="s">
        <v>642</v>
      </c>
    </row>
    <row r="869" spans="1:7" ht="13">
      <c r="A869" s="49">
        <v>38398</v>
      </c>
      <c r="B869" s="50">
        <v>20000</v>
      </c>
      <c r="C869" s="50">
        <f t="shared" si="53"/>
        <v>20059.178082191782</v>
      </c>
      <c r="D869" s="49">
        <f t="shared" si="54"/>
        <v>38428</v>
      </c>
      <c r="E869" s="51">
        <v>30</v>
      </c>
      <c r="F869" s="52">
        <v>3.5999999999999997E-2</v>
      </c>
      <c r="G869" s="53" t="s">
        <v>647</v>
      </c>
    </row>
    <row r="870" spans="1:7" ht="13">
      <c r="A870" s="42">
        <v>38343</v>
      </c>
      <c r="B870" s="43">
        <v>16000</v>
      </c>
      <c r="C870" s="50">
        <f t="shared" si="53"/>
        <v>16446.740000000005</v>
      </c>
      <c r="D870" s="49">
        <f t="shared" si="54"/>
        <v>38433</v>
      </c>
      <c r="E870" s="44">
        <v>90</v>
      </c>
      <c r="F870" s="45">
        <v>0.11323618055555651</v>
      </c>
      <c r="G870" s="53" t="s">
        <v>646</v>
      </c>
    </row>
    <row r="871" spans="1:7" ht="13">
      <c r="A871" s="49">
        <v>38356</v>
      </c>
      <c r="B871" s="50">
        <v>50000</v>
      </c>
      <c r="C871" s="50">
        <f t="shared" si="53"/>
        <v>51646.37999999999</v>
      </c>
      <c r="D871" s="49">
        <f t="shared" si="54"/>
        <v>38448</v>
      </c>
      <c r="E871" s="51">
        <v>92</v>
      </c>
      <c r="F871" s="52">
        <v>0.13063667391304282</v>
      </c>
      <c r="G871" s="53" t="s">
        <v>643</v>
      </c>
    </row>
    <row r="872" spans="1:7" s="47" customFormat="1" ht="13">
      <c r="A872" s="49">
        <v>38356</v>
      </c>
      <c r="B872" s="50">
        <v>44525.96</v>
      </c>
      <c r="C872" s="50">
        <f t="shared" si="53"/>
        <v>46148.999999996049</v>
      </c>
      <c r="D872" s="49">
        <f t="shared" si="54"/>
        <v>38455</v>
      </c>
      <c r="E872" s="51">
        <v>99</v>
      </c>
      <c r="F872" s="52">
        <v>0.13439205698250589</v>
      </c>
      <c r="G872" s="53" t="s">
        <v>643</v>
      </c>
    </row>
    <row r="873" spans="1:7" ht="13">
      <c r="A873" s="49">
        <v>38364</v>
      </c>
      <c r="B873" s="50">
        <v>50000</v>
      </c>
      <c r="C873" s="50">
        <f t="shared" si="53"/>
        <v>51937.509999999995</v>
      </c>
      <c r="D873" s="49">
        <f t="shared" si="54"/>
        <v>38462</v>
      </c>
      <c r="E873" s="51">
        <v>98</v>
      </c>
      <c r="F873" s="52">
        <v>0.14432472448979528</v>
      </c>
      <c r="G873" s="53" t="s">
        <v>643</v>
      </c>
    </row>
    <row r="874" spans="1:7" ht="13">
      <c r="A874" s="49">
        <v>38364</v>
      </c>
      <c r="B874" s="50">
        <v>54848.91</v>
      </c>
      <c r="C874" s="50">
        <f t="shared" si="53"/>
        <v>57178.649999999987</v>
      </c>
      <c r="D874" s="49">
        <f t="shared" si="54"/>
        <v>38469</v>
      </c>
      <c r="E874" s="51">
        <v>105</v>
      </c>
      <c r="F874" s="52">
        <v>0.14765325327340048</v>
      </c>
      <c r="G874" s="53" t="s">
        <v>643</v>
      </c>
    </row>
    <row r="875" spans="1:7" ht="13">
      <c r="A875" s="49">
        <v>38383</v>
      </c>
      <c r="B875" s="50">
        <v>70000</v>
      </c>
      <c r="C875" s="50">
        <f t="shared" si="53"/>
        <v>72859.76999999999</v>
      </c>
      <c r="D875" s="49">
        <f t="shared" si="54"/>
        <v>38476</v>
      </c>
      <c r="E875" s="51">
        <v>93</v>
      </c>
      <c r="F875" s="52">
        <v>0.16034040706605179</v>
      </c>
      <c r="G875" s="53" t="s">
        <v>645</v>
      </c>
    </row>
    <row r="876" spans="1:7" ht="13">
      <c r="A876" s="49">
        <v>38371</v>
      </c>
      <c r="B876" s="50">
        <v>25000</v>
      </c>
      <c r="C876" s="50">
        <f t="shared" si="53"/>
        <v>26103.700000000004</v>
      </c>
      <c r="D876" s="49">
        <f t="shared" si="54"/>
        <v>38476</v>
      </c>
      <c r="E876" s="51">
        <v>105</v>
      </c>
      <c r="F876" s="52">
        <v>0.15346685714285779</v>
      </c>
      <c r="G876" s="53" t="s">
        <v>643</v>
      </c>
    </row>
    <row r="877" spans="1:7" ht="13">
      <c r="A877" s="49">
        <v>38371</v>
      </c>
      <c r="B877" s="50">
        <v>27653</v>
      </c>
      <c r="C877" s="50">
        <f t="shared" si="53"/>
        <v>28935.65</v>
      </c>
      <c r="D877" s="49">
        <f t="shared" si="54"/>
        <v>38483</v>
      </c>
      <c r="E877" s="51">
        <v>112</v>
      </c>
      <c r="F877" s="52">
        <v>0.15116134712844387</v>
      </c>
      <c r="G877" s="53" t="s">
        <v>643</v>
      </c>
    </row>
    <row r="878" spans="1:7" ht="13">
      <c r="A878" s="49">
        <v>38391</v>
      </c>
      <c r="B878" s="50">
        <v>50000</v>
      </c>
      <c r="C878" s="50">
        <f t="shared" si="53"/>
        <v>52064</v>
      </c>
      <c r="D878" s="49">
        <f t="shared" si="54"/>
        <v>38490</v>
      </c>
      <c r="E878" s="51">
        <v>99</v>
      </c>
      <c r="F878" s="52">
        <v>0.15219393939393935</v>
      </c>
      <c r="G878" s="53" t="s">
        <v>645</v>
      </c>
    </row>
    <row r="879" spans="1:7" ht="13">
      <c r="A879" s="49">
        <v>38385</v>
      </c>
      <c r="B879" s="50">
        <v>41000</v>
      </c>
      <c r="C879" s="50">
        <f t="shared" si="53"/>
        <v>42784.65</v>
      </c>
      <c r="D879" s="49">
        <f t="shared" si="54"/>
        <v>38490</v>
      </c>
      <c r="E879" s="51">
        <v>105</v>
      </c>
      <c r="F879" s="52">
        <v>0.15131178861788636</v>
      </c>
      <c r="G879" s="53" t="s">
        <v>643</v>
      </c>
    </row>
    <row r="880" spans="1:7" ht="13">
      <c r="A880" s="49">
        <v>38398</v>
      </c>
      <c r="B880" s="50">
        <v>33658.5</v>
      </c>
      <c r="C880" s="50">
        <f t="shared" si="53"/>
        <v>34119.390912328767</v>
      </c>
      <c r="D880" s="49">
        <f t="shared" si="54"/>
        <v>38496</v>
      </c>
      <c r="E880" s="51">
        <v>98</v>
      </c>
      <c r="F880" s="52">
        <v>5.0999999999999997E-2</v>
      </c>
      <c r="G880" s="53" t="s">
        <v>647</v>
      </c>
    </row>
    <row r="881" spans="1:7" ht="13">
      <c r="A881" s="49">
        <v>38398</v>
      </c>
      <c r="B881" s="50">
        <v>33659.17</v>
      </c>
      <c r="C881" s="50">
        <f t="shared" si="53"/>
        <v>34152.991521506847</v>
      </c>
      <c r="D881" s="49">
        <f t="shared" si="54"/>
        <v>38503</v>
      </c>
      <c r="E881" s="51">
        <v>105</v>
      </c>
      <c r="F881" s="52">
        <v>5.0999999999999997E-2</v>
      </c>
      <c r="G881" s="53" t="s">
        <v>647</v>
      </c>
    </row>
    <row r="882" spans="1:7" ht="13">
      <c r="A882" s="49">
        <v>38477</v>
      </c>
      <c r="B882" s="50">
        <v>35000</v>
      </c>
      <c r="C882" s="50">
        <f t="shared" si="53"/>
        <v>35139.616438356163</v>
      </c>
      <c r="D882" s="49">
        <f t="shared" si="54"/>
        <v>38509</v>
      </c>
      <c r="E882" s="51">
        <v>32</v>
      </c>
      <c r="F882" s="52">
        <v>4.5499999999999999E-2</v>
      </c>
      <c r="G882" s="53" t="s">
        <v>632</v>
      </c>
    </row>
    <row r="883" spans="1:7" ht="13">
      <c r="A883" s="49">
        <v>38413</v>
      </c>
      <c r="B883" s="50">
        <v>35000</v>
      </c>
      <c r="C883" s="50">
        <f t="shared" si="53"/>
        <v>35465.164383561641</v>
      </c>
      <c r="D883" s="49">
        <f t="shared" si="54"/>
        <v>38511</v>
      </c>
      <c r="E883" s="51">
        <v>98</v>
      </c>
      <c r="F883" s="52">
        <v>4.9500000000000002E-2</v>
      </c>
      <c r="G883" s="53" t="s">
        <v>647</v>
      </c>
    </row>
    <row r="884" spans="1:7" ht="13">
      <c r="A884" s="49">
        <v>38455</v>
      </c>
      <c r="B884" s="50">
        <v>44500</v>
      </c>
      <c r="C884" s="50">
        <f t="shared" si="53"/>
        <v>44845.636986301368</v>
      </c>
      <c r="D884" s="49">
        <f t="shared" si="54"/>
        <v>38518</v>
      </c>
      <c r="E884" s="51">
        <v>63</v>
      </c>
      <c r="F884" s="52">
        <v>4.4999999999999998E-2</v>
      </c>
      <c r="G884" s="53" t="s">
        <v>276</v>
      </c>
    </row>
    <row r="885" spans="1:7" ht="13">
      <c r="A885" s="49">
        <v>38483</v>
      </c>
      <c r="B885" s="50">
        <v>28935.65</v>
      </c>
      <c r="C885" s="50">
        <f t="shared" si="53"/>
        <v>29074.382568493151</v>
      </c>
      <c r="D885" s="49">
        <f t="shared" si="54"/>
        <v>38518</v>
      </c>
      <c r="E885" s="51">
        <v>35</v>
      </c>
      <c r="F885" s="52">
        <v>0.05</v>
      </c>
      <c r="G885" s="53" t="s">
        <v>276</v>
      </c>
    </row>
    <row r="886" spans="1:7" s="47" customFormat="1" ht="13">
      <c r="A886" s="49">
        <v>38428</v>
      </c>
      <c r="B886" s="50">
        <v>20059.169999999998</v>
      </c>
      <c r="C886" s="50">
        <f t="shared" si="53"/>
        <v>20304.001787260273</v>
      </c>
      <c r="D886" s="49">
        <f t="shared" si="54"/>
        <v>38518</v>
      </c>
      <c r="E886" s="51">
        <v>90</v>
      </c>
      <c r="F886" s="52">
        <v>4.9500000000000002E-2</v>
      </c>
      <c r="G886" s="53" t="s">
        <v>647</v>
      </c>
    </row>
    <row r="887" spans="1:7" s="47" customFormat="1" ht="13">
      <c r="A887" s="42">
        <v>38433</v>
      </c>
      <c r="B887" s="43">
        <v>16400</v>
      </c>
      <c r="C887" s="50">
        <f t="shared" si="53"/>
        <v>16606.68493150685</v>
      </c>
      <c r="D887" s="49">
        <f t="shared" si="54"/>
        <v>38525</v>
      </c>
      <c r="E887" s="44">
        <v>92</v>
      </c>
      <c r="F887" s="45">
        <v>0.05</v>
      </c>
      <c r="G887" s="53" t="s">
        <v>276</v>
      </c>
    </row>
    <row r="888" spans="1:7" s="47" customFormat="1" ht="13">
      <c r="A888" s="49">
        <v>38462</v>
      </c>
      <c r="B888" s="50">
        <v>51937.51</v>
      </c>
      <c r="C888" s="50">
        <f t="shared" si="53"/>
        <v>52340.915043424662</v>
      </c>
      <c r="D888" s="49">
        <f t="shared" si="54"/>
        <v>38525</v>
      </c>
      <c r="E888" s="51">
        <v>63</v>
      </c>
      <c r="F888" s="52">
        <v>4.4999999999999998E-2</v>
      </c>
      <c r="G888" s="53" t="s">
        <v>276</v>
      </c>
    </row>
    <row r="889" spans="1:7" s="47" customFormat="1" ht="13">
      <c r="A889" s="49">
        <v>38469</v>
      </c>
      <c r="B889" s="50">
        <v>55178.65</v>
      </c>
      <c r="C889" s="50">
        <f t="shared" si="53"/>
        <v>55607.229377397263</v>
      </c>
      <c r="D889" s="49">
        <f t="shared" si="54"/>
        <v>38532</v>
      </c>
      <c r="E889" s="51">
        <v>63</v>
      </c>
      <c r="F889" s="52">
        <v>4.4999999999999998E-2</v>
      </c>
      <c r="G889" s="53" t="s">
        <v>276</v>
      </c>
    </row>
    <row r="890" spans="1:7" s="47" customFormat="1" ht="13">
      <c r="A890" s="49">
        <v>38476</v>
      </c>
      <c r="B890" s="50">
        <v>26103.7</v>
      </c>
      <c r="C890" s="50">
        <f t="shared" si="53"/>
        <v>26340.242432191782</v>
      </c>
      <c r="D890" s="49">
        <f t="shared" si="54"/>
        <v>38539</v>
      </c>
      <c r="E890" s="51">
        <v>63</v>
      </c>
      <c r="F890" s="52">
        <v>5.2499999999999998E-2</v>
      </c>
      <c r="G890" s="53" t="s">
        <v>276</v>
      </c>
    </row>
    <row r="891" spans="1:7" s="47" customFormat="1" ht="13">
      <c r="A891" s="49">
        <v>38448</v>
      </c>
      <c r="B891" s="50">
        <v>45000</v>
      </c>
      <c r="C891" s="50">
        <f t="shared" si="53"/>
        <v>45560.95890410959</v>
      </c>
      <c r="D891" s="49">
        <f t="shared" si="54"/>
        <v>38539</v>
      </c>
      <c r="E891" s="51">
        <v>91</v>
      </c>
      <c r="F891" s="52">
        <v>0.05</v>
      </c>
      <c r="G891" s="53" t="s">
        <v>276</v>
      </c>
    </row>
    <row r="892" spans="1:7" s="47" customFormat="1" ht="13">
      <c r="A892" s="49">
        <v>38477</v>
      </c>
      <c r="B892" s="50">
        <v>35000</v>
      </c>
      <c r="C892" s="50">
        <f t="shared" si="53"/>
        <v>35297.260273972606</v>
      </c>
      <c r="D892" s="49">
        <f t="shared" si="54"/>
        <v>38539</v>
      </c>
      <c r="E892" s="51">
        <v>62</v>
      </c>
      <c r="F892" s="52">
        <v>0.05</v>
      </c>
      <c r="G892" s="53" t="s">
        <v>632</v>
      </c>
    </row>
    <row r="893" spans="1:7" s="47" customFormat="1" ht="13">
      <c r="A893" s="49">
        <v>38509</v>
      </c>
      <c r="B893" s="50">
        <v>25000</v>
      </c>
      <c r="C893" s="50">
        <f t="shared" ref="C893:C909" si="55">B893+(B893*F893/365*E893)*1</f>
        <v>25089.383561643837</v>
      </c>
      <c r="D893" s="49">
        <f t="shared" ref="D893:D909" si="56">A893+E893</f>
        <v>38539</v>
      </c>
      <c r="E893" s="51">
        <v>30</v>
      </c>
      <c r="F893" s="52">
        <v>4.3499999999999997E-2</v>
      </c>
      <c r="G893" s="53" t="s">
        <v>632</v>
      </c>
    </row>
    <row r="894" spans="1:7" s="47" customFormat="1" ht="13">
      <c r="A894" s="49">
        <v>38483</v>
      </c>
      <c r="B894" s="50">
        <v>50000</v>
      </c>
      <c r="C894" s="50">
        <f t="shared" si="55"/>
        <v>50474.657534246573</v>
      </c>
      <c r="D894" s="49">
        <f t="shared" si="56"/>
        <v>38546</v>
      </c>
      <c r="E894" s="51">
        <v>63</v>
      </c>
      <c r="F894" s="52">
        <v>5.5E-2</v>
      </c>
      <c r="G894" s="53" t="s">
        <v>647</v>
      </c>
    </row>
    <row r="895" spans="1:7" s="47" customFormat="1" ht="13">
      <c r="A895" s="49">
        <v>38483</v>
      </c>
      <c r="B895" s="50">
        <v>50000</v>
      </c>
      <c r="C895" s="50">
        <f t="shared" si="55"/>
        <v>50474.657534246573</v>
      </c>
      <c r="D895" s="49">
        <f t="shared" si="56"/>
        <v>38546</v>
      </c>
      <c r="E895" s="51">
        <v>63</v>
      </c>
      <c r="F895" s="52">
        <v>5.5E-2</v>
      </c>
      <c r="G895" s="53" t="s">
        <v>647</v>
      </c>
    </row>
    <row r="896" spans="1:7" s="47" customFormat="1" ht="13">
      <c r="A896" s="49">
        <v>38483</v>
      </c>
      <c r="B896" s="50">
        <v>50000</v>
      </c>
      <c r="C896" s="50">
        <f t="shared" si="55"/>
        <v>50474.657534246573</v>
      </c>
      <c r="D896" s="49">
        <f t="shared" si="56"/>
        <v>38546</v>
      </c>
      <c r="E896" s="51">
        <v>63</v>
      </c>
      <c r="F896" s="52">
        <v>5.5E-2</v>
      </c>
      <c r="G896" s="53" t="s">
        <v>647</v>
      </c>
    </row>
    <row r="897" spans="1:7" s="47" customFormat="1" ht="13">
      <c r="A897" s="49">
        <v>38483</v>
      </c>
      <c r="B897" s="50">
        <v>110000</v>
      </c>
      <c r="C897" s="50">
        <f t="shared" si="55"/>
        <v>111063.23287671233</v>
      </c>
      <c r="D897" s="49">
        <f t="shared" si="56"/>
        <v>38546</v>
      </c>
      <c r="E897" s="51">
        <v>63</v>
      </c>
      <c r="F897" s="52">
        <v>5.6000000000000001E-2</v>
      </c>
      <c r="G897" s="53" t="s">
        <v>276</v>
      </c>
    </row>
    <row r="898" spans="1:7" s="47" customFormat="1" ht="13">
      <c r="A898" s="49">
        <v>38490</v>
      </c>
      <c r="B898" s="50">
        <v>52000</v>
      </c>
      <c r="C898" s="50">
        <f t="shared" si="55"/>
        <v>52493.643835616436</v>
      </c>
      <c r="D898" s="49">
        <f t="shared" si="56"/>
        <v>38553</v>
      </c>
      <c r="E898" s="51">
        <v>63</v>
      </c>
      <c r="F898" s="52">
        <v>5.5E-2</v>
      </c>
      <c r="G898" s="53" t="s">
        <v>632</v>
      </c>
    </row>
    <row r="899" spans="1:7" s="47" customFormat="1" ht="13">
      <c r="A899" s="49">
        <v>38490</v>
      </c>
      <c r="B899" s="50">
        <v>42000</v>
      </c>
      <c r="C899" s="50">
        <f t="shared" si="55"/>
        <v>42398.71232876712</v>
      </c>
      <c r="D899" s="49">
        <f t="shared" si="56"/>
        <v>38553</v>
      </c>
      <c r="E899" s="51">
        <v>63</v>
      </c>
      <c r="F899" s="52">
        <v>5.5E-2</v>
      </c>
      <c r="G899" s="53" t="s">
        <v>276</v>
      </c>
    </row>
    <row r="900" spans="1:7" s="47" customFormat="1" ht="13">
      <c r="A900" s="49">
        <v>38496</v>
      </c>
      <c r="B900" s="50">
        <v>34119.39</v>
      </c>
      <c r="C900" s="50">
        <f t="shared" si="55"/>
        <v>34442.44921052055</v>
      </c>
      <c r="D900" s="49">
        <f t="shared" si="56"/>
        <v>38560</v>
      </c>
      <c r="E900" s="51">
        <v>64</v>
      </c>
      <c r="F900" s="52">
        <v>5.3999999999999999E-2</v>
      </c>
      <c r="G900" s="53" t="s">
        <v>647</v>
      </c>
    </row>
    <row r="901" spans="1:7" s="47" customFormat="1" ht="13">
      <c r="A901" s="49">
        <v>38503</v>
      </c>
      <c r="B901" s="50">
        <v>34152.99</v>
      </c>
      <c r="C901" s="50">
        <f t="shared" si="55"/>
        <v>34476.367351890411</v>
      </c>
      <c r="D901" s="49">
        <f t="shared" si="56"/>
        <v>38567</v>
      </c>
      <c r="E901" s="51">
        <v>64</v>
      </c>
      <c r="F901" s="52">
        <v>5.3999999999999999E-2</v>
      </c>
      <c r="G901" s="53" t="s">
        <v>647</v>
      </c>
    </row>
    <row r="902" spans="1:7" s="47" customFormat="1" ht="13">
      <c r="A902" s="49">
        <v>38509</v>
      </c>
      <c r="B902" s="50">
        <v>10000</v>
      </c>
      <c r="C902" s="50">
        <f t="shared" si="55"/>
        <v>10090.82191780822</v>
      </c>
      <c r="D902" s="49">
        <f t="shared" si="56"/>
        <v>38574</v>
      </c>
      <c r="E902" s="51">
        <v>65</v>
      </c>
      <c r="F902" s="52">
        <v>5.0999999999999997E-2</v>
      </c>
      <c r="G902" s="53" t="s">
        <v>276</v>
      </c>
    </row>
    <row r="903" spans="1:7" s="47" customFormat="1" ht="13">
      <c r="A903" s="49">
        <v>38511</v>
      </c>
      <c r="B903" s="50">
        <v>35465.160000000003</v>
      </c>
      <c r="C903" s="50">
        <f t="shared" si="55"/>
        <v>35786.532648493157</v>
      </c>
      <c r="D903" s="49">
        <f t="shared" si="56"/>
        <v>38574</v>
      </c>
      <c r="E903" s="51">
        <v>63</v>
      </c>
      <c r="F903" s="52">
        <v>5.2499999999999998E-2</v>
      </c>
      <c r="G903" s="53" t="s">
        <v>647</v>
      </c>
    </row>
    <row r="904" spans="1:7" s="47" customFormat="1" ht="13">
      <c r="A904" s="49">
        <v>38518</v>
      </c>
      <c r="B904" s="50">
        <v>36500</v>
      </c>
      <c r="C904" s="50">
        <f t="shared" si="55"/>
        <v>36827.599999999999</v>
      </c>
      <c r="D904" s="49">
        <f t="shared" si="56"/>
        <v>38581</v>
      </c>
      <c r="E904" s="51">
        <v>63</v>
      </c>
      <c r="F904" s="52">
        <v>5.1999999999999998E-2</v>
      </c>
      <c r="G904" s="53" t="s">
        <v>276</v>
      </c>
    </row>
    <row r="905" spans="1:7" s="47" customFormat="1" ht="13">
      <c r="A905" s="49">
        <v>38518</v>
      </c>
      <c r="B905" s="50">
        <v>37420.019999999997</v>
      </c>
      <c r="C905" s="50">
        <f t="shared" si="55"/>
        <v>37755.877494575339</v>
      </c>
      <c r="D905" s="49">
        <f t="shared" si="56"/>
        <v>38581</v>
      </c>
      <c r="E905" s="51">
        <v>63</v>
      </c>
      <c r="F905" s="52">
        <v>5.1999999999999998E-2</v>
      </c>
      <c r="G905" s="53" t="s">
        <v>276</v>
      </c>
    </row>
    <row r="906" spans="1:7" s="47" customFormat="1" ht="13">
      <c r="A906" s="49">
        <v>38518</v>
      </c>
      <c r="B906" s="50">
        <v>20304</v>
      </c>
      <c r="C906" s="50">
        <f t="shared" si="55"/>
        <v>20487.987616438357</v>
      </c>
      <c r="D906" s="49">
        <f t="shared" si="56"/>
        <v>38581</v>
      </c>
      <c r="E906" s="51">
        <v>63</v>
      </c>
      <c r="F906" s="52">
        <v>5.2499999999999998E-2</v>
      </c>
      <c r="G906" s="53" t="s">
        <v>647</v>
      </c>
    </row>
    <row r="907" spans="1:7" s="47" customFormat="1" ht="13">
      <c r="A907" s="49">
        <v>38525</v>
      </c>
      <c r="B907" s="50">
        <v>52340.92</v>
      </c>
      <c r="C907" s="50">
        <f t="shared" si="55"/>
        <v>52837.800240547942</v>
      </c>
      <c r="D907" s="49">
        <f t="shared" si="56"/>
        <v>38588</v>
      </c>
      <c r="E907" s="51">
        <v>63</v>
      </c>
      <c r="F907" s="52">
        <v>5.5E-2</v>
      </c>
      <c r="G907" s="53" t="s">
        <v>276</v>
      </c>
    </row>
    <row r="908" spans="1:7" s="47" customFormat="1" ht="13">
      <c r="A908" s="49">
        <v>38525</v>
      </c>
      <c r="B908" s="43">
        <v>16606.68</v>
      </c>
      <c r="C908" s="50">
        <f t="shared" si="55"/>
        <v>16764.329715616437</v>
      </c>
      <c r="D908" s="49">
        <f t="shared" si="56"/>
        <v>38588</v>
      </c>
      <c r="E908" s="44">
        <v>63</v>
      </c>
      <c r="F908" s="45">
        <v>5.5E-2</v>
      </c>
      <c r="G908" s="53" t="s">
        <v>276</v>
      </c>
    </row>
    <row r="909" spans="1:7" s="47" customFormat="1" ht="13">
      <c r="A909" s="49">
        <v>38532</v>
      </c>
      <c r="B909" s="50">
        <v>55607.23</v>
      </c>
      <c r="C909" s="50">
        <f t="shared" si="55"/>
        <v>56144.715773808224</v>
      </c>
      <c r="D909" s="49">
        <f t="shared" si="56"/>
        <v>38595</v>
      </c>
      <c r="E909" s="51">
        <v>63</v>
      </c>
      <c r="F909" s="52">
        <v>5.6000000000000001E-2</v>
      </c>
      <c r="G909" s="53" t="s">
        <v>276</v>
      </c>
    </row>
    <row r="910" spans="1:7" s="47" customFormat="1" ht="13">
      <c r="A910" s="49">
        <v>38539</v>
      </c>
      <c r="B910" s="50">
        <v>45060.959999999999</v>
      </c>
      <c r="C910" s="50">
        <v>45496.51</v>
      </c>
      <c r="D910" s="49">
        <v>38602</v>
      </c>
      <c r="E910" s="51">
        <v>63</v>
      </c>
      <c r="F910" s="52">
        <v>5.6000000000000001E-2</v>
      </c>
      <c r="G910" s="53" t="s">
        <v>276</v>
      </c>
    </row>
    <row r="911" spans="1:7" s="47" customFormat="1" ht="13">
      <c r="A911" s="49">
        <v>38539</v>
      </c>
      <c r="B911" s="50">
        <v>26340.240000000002</v>
      </c>
      <c r="C911" s="50">
        <v>26594.84</v>
      </c>
      <c r="D911" s="49">
        <v>38602</v>
      </c>
      <c r="E911" s="51">
        <v>63</v>
      </c>
      <c r="F911" s="52">
        <v>5.6000000000000001E-2</v>
      </c>
      <c r="G911" s="53" t="s">
        <v>276</v>
      </c>
    </row>
    <row r="912" spans="1:7" s="47" customFormat="1" ht="13">
      <c r="A912" s="49">
        <v>38539</v>
      </c>
      <c r="B912" s="50">
        <v>29500</v>
      </c>
      <c r="C912" s="50">
        <v>29774.959999999999</v>
      </c>
      <c r="D912" s="49">
        <v>38602</v>
      </c>
      <c r="E912" s="51">
        <v>63</v>
      </c>
      <c r="F912" s="52">
        <v>5.3999999999999999E-2</v>
      </c>
      <c r="G912" s="53" t="s">
        <v>632</v>
      </c>
    </row>
    <row r="913" spans="1:7" s="47" customFormat="1" ht="13">
      <c r="A913" s="49">
        <v>38539</v>
      </c>
      <c r="B913" s="50">
        <v>29500</v>
      </c>
      <c r="C913" s="50">
        <v>29774.959999999999</v>
      </c>
      <c r="D913" s="49">
        <v>38602</v>
      </c>
      <c r="E913" s="51">
        <v>63</v>
      </c>
      <c r="F913" s="52">
        <v>5.3999999999999999E-2</v>
      </c>
      <c r="G913" s="53" t="s">
        <v>632</v>
      </c>
    </row>
    <row r="914" spans="1:7" s="47" customFormat="1" ht="13">
      <c r="A914" s="49">
        <v>38546</v>
      </c>
      <c r="B914" s="50">
        <v>50474.66</v>
      </c>
      <c r="C914" s="50">
        <f t="shared" ref="C914:C944" si="57">B914+(B914*F914/365*E914)*1</f>
        <v>50988.671811561646</v>
      </c>
      <c r="D914" s="49">
        <f t="shared" ref="D914:D944" si="58">A914+E914</f>
        <v>38609</v>
      </c>
      <c r="E914" s="51">
        <v>63</v>
      </c>
      <c r="F914" s="52">
        <v>5.8999999999999997E-2</v>
      </c>
      <c r="G914" s="53" t="s">
        <v>647</v>
      </c>
    </row>
    <row r="915" spans="1:7" s="47" customFormat="1" ht="13">
      <c r="A915" s="49">
        <v>38546</v>
      </c>
      <c r="B915" s="50">
        <v>50474.66</v>
      </c>
      <c r="C915" s="50">
        <f t="shared" si="57"/>
        <v>50988.671811561646</v>
      </c>
      <c r="D915" s="49">
        <f t="shared" si="58"/>
        <v>38609</v>
      </c>
      <c r="E915" s="51">
        <v>63</v>
      </c>
      <c r="F915" s="52">
        <v>5.8999999999999997E-2</v>
      </c>
      <c r="G915" s="53" t="s">
        <v>647</v>
      </c>
    </row>
    <row r="916" spans="1:7" s="47" customFormat="1" ht="13">
      <c r="A916" s="49">
        <v>38546</v>
      </c>
      <c r="B916" s="50">
        <v>50474.66</v>
      </c>
      <c r="C916" s="50">
        <f t="shared" si="57"/>
        <v>50988.671811561646</v>
      </c>
      <c r="D916" s="49">
        <f t="shared" si="58"/>
        <v>38609</v>
      </c>
      <c r="E916" s="51">
        <v>63</v>
      </c>
      <c r="F916" s="52">
        <v>5.8999999999999997E-2</v>
      </c>
      <c r="G916" s="53" t="s">
        <v>647</v>
      </c>
    </row>
    <row r="917" spans="1:7" s="47" customFormat="1" ht="13">
      <c r="A917" s="49">
        <v>38546</v>
      </c>
      <c r="B917" s="50">
        <v>55000</v>
      </c>
      <c r="C917" s="50">
        <f t="shared" si="57"/>
        <v>55560.095890410958</v>
      </c>
      <c r="D917" s="49">
        <f t="shared" si="58"/>
        <v>38609</v>
      </c>
      <c r="E917" s="51">
        <v>63</v>
      </c>
      <c r="F917" s="52">
        <v>5.8999999999999997E-2</v>
      </c>
      <c r="G917" s="53" t="s">
        <v>276</v>
      </c>
    </row>
    <row r="918" spans="1:7" s="47" customFormat="1" ht="13">
      <c r="A918" s="49">
        <v>38546</v>
      </c>
      <c r="B918" s="50">
        <v>55000</v>
      </c>
      <c r="C918" s="50">
        <f t="shared" si="57"/>
        <v>55560.095890410958</v>
      </c>
      <c r="D918" s="49">
        <f t="shared" si="58"/>
        <v>38609</v>
      </c>
      <c r="E918" s="51">
        <v>63</v>
      </c>
      <c r="F918" s="52">
        <v>5.8999999999999997E-2</v>
      </c>
      <c r="G918" s="53" t="s">
        <v>276</v>
      </c>
    </row>
    <row r="919" spans="1:7" s="47" customFormat="1" ht="13">
      <c r="A919" s="49">
        <v>38553</v>
      </c>
      <c r="B919" s="50">
        <v>42398.71</v>
      </c>
      <c r="C919" s="50">
        <f t="shared" si="57"/>
        <v>42830.479876904108</v>
      </c>
      <c r="D919" s="49">
        <f t="shared" si="58"/>
        <v>38616</v>
      </c>
      <c r="E919" s="51">
        <v>63</v>
      </c>
      <c r="F919" s="52">
        <v>5.8999999999999997E-2</v>
      </c>
      <c r="G919" s="53" t="s">
        <v>276</v>
      </c>
    </row>
    <row r="920" spans="1:7" s="47" customFormat="1" ht="13">
      <c r="A920" s="49">
        <v>38553</v>
      </c>
      <c r="B920" s="50">
        <v>52500</v>
      </c>
      <c r="C920" s="50">
        <f t="shared" si="57"/>
        <v>52998.390410958906</v>
      </c>
      <c r="D920" s="49">
        <f t="shared" si="58"/>
        <v>38616</v>
      </c>
      <c r="E920" s="51">
        <v>63</v>
      </c>
      <c r="F920" s="52">
        <v>5.5E-2</v>
      </c>
      <c r="G920" s="53" t="s">
        <v>632</v>
      </c>
    </row>
    <row r="921" spans="1:7" s="47" customFormat="1" ht="13">
      <c r="A921" s="49">
        <v>38567</v>
      </c>
      <c r="B921" s="50">
        <v>34476.36</v>
      </c>
      <c r="C921" s="50">
        <f t="shared" si="57"/>
        <v>34821.501423123285</v>
      </c>
      <c r="D921" s="49">
        <f t="shared" si="58"/>
        <v>38630</v>
      </c>
      <c r="E921" s="51">
        <v>63</v>
      </c>
      <c r="F921" s="52">
        <v>5.8000000000000003E-2</v>
      </c>
      <c r="G921" s="53" t="s">
        <v>647</v>
      </c>
    </row>
    <row r="922" spans="1:7" s="47" customFormat="1" ht="13">
      <c r="A922" s="49">
        <v>38574</v>
      </c>
      <c r="B922" s="50">
        <v>10090.42</v>
      </c>
      <c r="C922" s="50">
        <f t="shared" si="57"/>
        <v>10181.855792191782</v>
      </c>
      <c r="D922" s="49">
        <f t="shared" si="58"/>
        <v>38637</v>
      </c>
      <c r="E922" s="51">
        <v>63</v>
      </c>
      <c r="F922" s="52">
        <v>5.2499999999999998E-2</v>
      </c>
      <c r="G922" s="53" t="s">
        <v>276</v>
      </c>
    </row>
    <row r="923" spans="1:7" s="47" customFormat="1" ht="13">
      <c r="A923" s="49">
        <v>38574</v>
      </c>
      <c r="B923" s="50">
        <v>35786.53</v>
      </c>
      <c r="C923" s="50">
        <f t="shared" si="57"/>
        <v>36144.787481150684</v>
      </c>
      <c r="D923" s="49">
        <f t="shared" si="58"/>
        <v>38637</v>
      </c>
      <c r="E923" s="51">
        <v>63</v>
      </c>
      <c r="F923" s="52">
        <v>5.8000000000000003E-2</v>
      </c>
      <c r="G923" s="53" t="s">
        <v>647</v>
      </c>
    </row>
    <row r="924" spans="1:7" s="47" customFormat="1" ht="13">
      <c r="A924" s="49">
        <v>38588</v>
      </c>
      <c r="B924" s="50">
        <v>34800</v>
      </c>
      <c r="C924" s="50">
        <f t="shared" si="57"/>
        <v>35080.306849315071</v>
      </c>
      <c r="D924" s="49">
        <f t="shared" si="58"/>
        <v>38644</v>
      </c>
      <c r="E924" s="51">
        <v>56</v>
      </c>
      <c r="F924" s="52">
        <v>5.2499999999999998E-2</v>
      </c>
      <c r="G924" s="53" t="s">
        <v>276</v>
      </c>
    </row>
    <row r="925" spans="1:7" s="47" customFormat="1" ht="13">
      <c r="A925" s="49">
        <v>38588</v>
      </c>
      <c r="B925" s="43">
        <v>34800</v>
      </c>
      <c r="C925" s="50">
        <f t="shared" si="57"/>
        <v>35130.361643835618</v>
      </c>
      <c r="D925" s="49">
        <f t="shared" si="58"/>
        <v>38651</v>
      </c>
      <c r="E925" s="44">
        <v>63</v>
      </c>
      <c r="F925" s="45">
        <v>5.5E-2</v>
      </c>
      <c r="G925" s="53" t="s">
        <v>276</v>
      </c>
    </row>
    <row r="926" spans="1:7" s="47" customFormat="1" ht="13">
      <c r="A926" s="49">
        <v>38588</v>
      </c>
      <c r="B926" s="43">
        <v>95000</v>
      </c>
      <c r="C926" s="50">
        <f t="shared" si="57"/>
        <v>95852.65753424658</v>
      </c>
      <c r="D926" s="49">
        <f t="shared" si="58"/>
        <v>38651</v>
      </c>
      <c r="E926" s="44">
        <v>63</v>
      </c>
      <c r="F926" s="45">
        <v>5.1999999999999998E-2</v>
      </c>
      <c r="G926" s="53" t="s">
        <v>120</v>
      </c>
    </row>
    <row r="927" spans="1:7" s="47" customFormat="1" ht="13">
      <c r="A927" s="49">
        <v>38609</v>
      </c>
      <c r="B927" s="50">
        <v>50988.67</v>
      </c>
      <c r="C927" s="50">
        <f t="shared" si="57"/>
        <v>51348.035352260275</v>
      </c>
      <c r="D927" s="49">
        <f t="shared" si="58"/>
        <v>38658</v>
      </c>
      <c r="E927" s="51">
        <v>49</v>
      </c>
      <c r="F927" s="52">
        <v>5.2499999999999998E-2</v>
      </c>
      <c r="G927" s="53" t="s">
        <v>647</v>
      </c>
    </row>
    <row r="928" spans="1:7" s="47" customFormat="1" ht="13">
      <c r="A928" s="49">
        <v>38602</v>
      </c>
      <c r="B928" s="50">
        <v>29500</v>
      </c>
      <c r="C928" s="50">
        <f t="shared" si="57"/>
        <v>29790.231506849315</v>
      </c>
      <c r="D928" s="49">
        <f t="shared" si="58"/>
        <v>38665</v>
      </c>
      <c r="E928" s="51">
        <v>63</v>
      </c>
      <c r="F928" s="52">
        <v>5.7000000000000002E-2</v>
      </c>
      <c r="G928" s="53" t="s">
        <v>632</v>
      </c>
    </row>
    <row r="929" spans="1:7" s="47" customFormat="1" ht="13">
      <c r="A929" s="49">
        <v>38602</v>
      </c>
      <c r="B929" s="50">
        <v>29500</v>
      </c>
      <c r="C929" s="50">
        <f t="shared" si="57"/>
        <v>29790.231506849315</v>
      </c>
      <c r="D929" s="49">
        <f t="shared" si="58"/>
        <v>38665</v>
      </c>
      <c r="E929" s="51">
        <v>63</v>
      </c>
      <c r="F929" s="52">
        <v>5.7000000000000002E-2</v>
      </c>
      <c r="G929" s="53" t="s">
        <v>632</v>
      </c>
    </row>
    <row r="930" spans="1:7" s="47" customFormat="1" ht="13">
      <c r="A930" s="49">
        <v>38602</v>
      </c>
      <c r="B930" s="50">
        <v>45496.51</v>
      </c>
      <c r="C930" s="50">
        <f t="shared" si="57"/>
        <v>45940.194458479455</v>
      </c>
      <c r="D930" s="49">
        <f t="shared" si="58"/>
        <v>38665</v>
      </c>
      <c r="E930" s="51">
        <v>63</v>
      </c>
      <c r="F930" s="52">
        <v>5.6500000000000002E-2</v>
      </c>
      <c r="G930" s="53" t="s">
        <v>276</v>
      </c>
    </row>
    <row r="931" spans="1:7" s="47" customFormat="1" ht="13">
      <c r="A931" s="49">
        <v>38602</v>
      </c>
      <c r="B931" s="50">
        <v>26594.84</v>
      </c>
      <c r="C931" s="50">
        <f t="shared" si="57"/>
        <v>26854.194336931509</v>
      </c>
      <c r="D931" s="49">
        <f t="shared" si="58"/>
        <v>38665</v>
      </c>
      <c r="E931" s="51">
        <v>63</v>
      </c>
      <c r="F931" s="52">
        <v>5.6500000000000002E-2</v>
      </c>
      <c r="G931" s="53" t="s">
        <v>276</v>
      </c>
    </row>
    <row r="932" spans="1:7" s="47" customFormat="1" ht="13">
      <c r="A932" s="49">
        <v>38609</v>
      </c>
      <c r="B932" s="50">
        <v>50988.67</v>
      </c>
      <c r="C932" s="50">
        <f t="shared" si="57"/>
        <v>51516.158268273968</v>
      </c>
      <c r="D932" s="49">
        <f t="shared" si="58"/>
        <v>38673</v>
      </c>
      <c r="E932" s="51">
        <v>64</v>
      </c>
      <c r="F932" s="52">
        <v>5.8999999999999997E-2</v>
      </c>
      <c r="G932" s="53" t="s">
        <v>647</v>
      </c>
    </row>
    <row r="933" spans="1:7" s="47" customFormat="1" ht="13">
      <c r="A933" s="49">
        <v>38609</v>
      </c>
      <c r="B933" s="50">
        <v>50988.67</v>
      </c>
      <c r="C933" s="50">
        <f t="shared" si="57"/>
        <v>51516.158268273968</v>
      </c>
      <c r="D933" s="49">
        <f t="shared" si="58"/>
        <v>38673</v>
      </c>
      <c r="E933" s="51">
        <v>64</v>
      </c>
      <c r="F933" s="52">
        <v>5.8999999999999997E-2</v>
      </c>
      <c r="G933" s="53" t="s">
        <v>647</v>
      </c>
    </row>
    <row r="934" spans="1:7" s="47" customFormat="1" ht="13">
      <c r="A934" s="49">
        <v>38609</v>
      </c>
      <c r="B934" s="50">
        <v>54500.1</v>
      </c>
      <c r="C934" s="50">
        <f t="shared" si="57"/>
        <v>55063.914733150683</v>
      </c>
      <c r="D934" s="49">
        <f t="shared" si="58"/>
        <v>38673</v>
      </c>
      <c r="E934" s="51">
        <v>64</v>
      </c>
      <c r="F934" s="52">
        <v>5.8999999999999997E-2</v>
      </c>
      <c r="G934" s="53" t="s">
        <v>276</v>
      </c>
    </row>
    <row r="935" spans="1:7" s="47" customFormat="1" ht="13">
      <c r="A935" s="49">
        <v>38609</v>
      </c>
      <c r="B935" s="50">
        <v>54500.1</v>
      </c>
      <c r="C935" s="50">
        <f t="shared" si="57"/>
        <v>55063.914733150683</v>
      </c>
      <c r="D935" s="49">
        <f t="shared" si="58"/>
        <v>38673</v>
      </c>
      <c r="E935" s="51">
        <v>64</v>
      </c>
      <c r="F935" s="52">
        <v>5.8999999999999997E-2</v>
      </c>
      <c r="G935" s="53" t="s">
        <v>276</v>
      </c>
    </row>
    <row r="936" spans="1:7" s="47" customFormat="1" ht="13">
      <c r="A936" s="49">
        <v>38616</v>
      </c>
      <c r="B936" s="50">
        <v>50000</v>
      </c>
      <c r="C936" s="50">
        <f t="shared" si="57"/>
        <v>50491.917808219179</v>
      </c>
      <c r="D936" s="49">
        <f t="shared" si="58"/>
        <v>38679</v>
      </c>
      <c r="E936" s="51">
        <v>63</v>
      </c>
      <c r="F936" s="52">
        <v>5.7000000000000002E-2</v>
      </c>
      <c r="G936" s="53" t="s">
        <v>632</v>
      </c>
    </row>
    <row r="937" spans="1:7" s="47" customFormat="1" ht="13">
      <c r="A937" s="49">
        <v>38616</v>
      </c>
      <c r="B937" s="50">
        <v>40000</v>
      </c>
      <c r="C937" s="50">
        <f t="shared" si="57"/>
        <v>40393.534246575342</v>
      </c>
      <c r="D937" s="49">
        <f t="shared" si="58"/>
        <v>38679</v>
      </c>
      <c r="E937" s="51">
        <v>63</v>
      </c>
      <c r="F937" s="52">
        <v>5.7000000000000002E-2</v>
      </c>
      <c r="G937" s="53" t="s">
        <v>276</v>
      </c>
    </row>
    <row r="938" spans="1:7" s="47" customFormat="1" ht="13">
      <c r="A938" s="49">
        <v>38651</v>
      </c>
      <c r="B938" s="50">
        <v>47500</v>
      </c>
      <c r="C938" s="50">
        <f t="shared" si="57"/>
        <v>47750.513698630137</v>
      </c>
      <c r="D938" s="49">
        <f t="shared" si="58"/>
        <v>38686</v>
      </c>
      <c r="E938" s="51">
        <v>35</v>
      </c>
      <c r="F938" s="52">
        <v>5.5E-2</v>
      </c>
      <c r="G938" s="53" t="s">
        <v>276</v>
      </c>
    </row>
    <row r="939" spans="1:7" s="47" customFormat="1" ht="13">
      <c r="A939" s="49">
        <v>38630</v>
      </c>
      <c r="B939" s="50">
        <v>30000</v>
      </c>
      <c r="C939" s="50">
        <f t="shared" si="57"/>
        <v>30300.328767123287</v>
      </c>
      <c r="D939" s="49">
        <f t="shared" si="58"/>
        <v>38693</v>
      </c>
      <c r="E939" s="51">
        <v>63</v>
      </c>
      <c r="F939" s="52">
        <v>5.8000000000000003E-2</v>
      </c>
      <c r="G939" s="53" t="s">
        <v>647</v>
      </c>
    </row>
    <row r="940" spans="1:7" s="47" customFormat="1" ht="13">
      <c r="A940" s="49">
        <v>38637</v>
      </c>
      <c r="B940" s="50">
        <v>10182.26</v>
      </c>
      <c r="C940" s="50">
        <f t="shared" si="57"/>
        <v>10281.557957452054</v>
      </c>
      <c r="D940" s="49">
        <f t="shared" si="58"/>
        <v>38700</v>
      </c>
      <c r="E940" s="51">
        <v>63</v>
      </c>
      <c r="F940" s="52">
        <v>5.6500000000000002E-2</v>
      </c>
      <c r="G940" s="53" t="s">
        <v>276</v>
      </c>
    </row>
    <row r="941" spans="1:7" s="47" customFormat="1" ht="13">
      <c r="A941" s="49">
        <v>38637</v>
      </c>
      <c r="B941" s="50">
        <v>36144.78</v>
      </c>
      <c r="C941" s="50">
        <f t="shared" si="57"/>
        <v>36506.62390717808</v>
      </c>
      <c r="D941" s="49">
        <f t="shared" si="58"/>
        <v>38700</v>
      </c>
      <c r="E941" s="51">
        <v>63</v>
      </c>
      <c r="F941" s="52">
        <v>5.8000000000000003E-2</v>
      </c>
      <c r="G941" s="53" t="s">
        <v>647</v>
      </c>
    </row>
    <row r="942" spans="1:7" s="47" customFormat="1" ht="13">
      <c r="A942" s="49">
        <v>38644</v>
      </c>
      <c r="B942" s="50">
        <v>35080.31</v>
      </c>
      <c r="C942" s="50">
        <f t="shared" si="57"/>
        <v>35422.415105328764</v>
      </c>
      <c r="D942" s="49">
        <f t="shared" si="58"/>
        <v>38707</v>
      </c>
      <c r="E942" s="51">
        <v>63</v>
      </c>
      <c r="F942" s="52">
        <v>5.6500000000000002E-2</v>
      </c>
      <c r="G942" s="53" t="s">
        <v>276</v>
      </c>
    </row>
    <row r="943" spans="1:7" s="47" customFormat="1" ht="13">
      <c r="A943" s="49">
        <v>38651</v>
      </c>
      <c r="B943" s="50">
        <v>35130.36</v>
      </c>
      <c r="C943" s="50">
        <f t="shared" si="57"/>
        <v>35482.048590246573</v>
      </c>
      <c r="D943" s="49">
        <f t="shared" si="58"/>
        <v>38714</v>
      </c>
      <c r="E943" s="51">
        <v>63</v>
      </c>
      <c r="F943" s="52">
        <v>5.8000000000000003E-2</v>
      </c>
      <c r="G943" s="53" t="s">
        <v>276</v>
      </c>
    </row>
    <row r="944" spans="1:7" s="47" customFormat="1" ht="13">
      <c r="A944" s="49">
        <v>38651</v>
      </c>
      <c r="B944" s="50">
        <v>45000</v>
      </c>
      <c r="C944" s="50">
        <f t="shared" si="57"/>
        <v>45450.493150684932</v>
      </c>
      <c r="D944" s="49">
        <f t="shared" si="58"/>
        <v>38714</v>
      </c>
      <c r="E944" s="51">
        <v>63</v>
      </c>
      <c r="F944" s="52">
        <v>5.8000000000000003E-2</v>
      </c>
      <c r="G944" s="53" t="s">
        <v>276</v>
      </c>
    </row>
    <row r="945" spans="1:7" s="47" customFormat="1" ht="13">
      <c r="A945" s="49"/>
      <c r="B945" s="50">
        <f>SUM(B859:B944)</f>
        <v>3598403.3699999987</v>
      </c>
      <c r="C945" s="50">
        <f>SUM(C859:C944)</f>
        <v>3662583.418369215</v>
      </c>
      <c r="D945" s="49"/>
      <c r="E945" s="51"/>
      <c r="F945" s="52"/>
      <c r="G945" s="53"/>
    </row>
    <row r="946" spans="1:7" s="47" customFormat="1" ht="13">
      <c r="A946" s="49"/>
      <c r="B946" s="50"/>
      <c r="C946" s="50">
        <f>+C945-B945</f>
        <v>64180.048369216267</v>
      </c>
      <c r="D946" s="49"/>
      <c r="E946" s="51"/>
      <c r="F946" s="52"/>
      <c r="G946" s="53"/>
    </row>
    <row r="947" spans="1:7" s="47" customFormat="1" ht="13">
      <c r="A947" s="49">
        <v>38658</v>
      </c>
      <c r="B947" s="50">
        <v>51348.02</v>
      </c>
      <c r="C947" s="50">
        <f t="shared" ref="C947:C966" si="59">B947+(B947*F947/365*E947)*1</f>
        <v>51862.062918027397</v>
      </c>
      <c r="D947" s="49">
        <f t="shared" ref="D947:D966" si="60">A947+E947</f>
        <v>38721</v>
      </c>
      <c r="E947" s="51">
        <v>63</v>
      </c>
      <c r="F947" s="52">
        <v>5.8000000000000003E-2</v>
      </c>
      <c r="G947" s="53" t="s">
        <v>647</v>
      </c>
    </row>
    <row r="948" spans="1:7" s="47" customFormat="1" ht="13">
      <c r="A948" s="49">
        <v>38665</v>
      </c>
      <c r="B948" s="50">
        <v>29500</v>
      </c>
      <c r="C948" s="50">
        <f t="shared" si="59"/>
        <v>29820.782191780821</v>
      </c>
      <c r="D948" s="49">
        <f t="shared" si="60"/>
        <v>38728</v>
      </c>
      <c r="E948" s="51">
        <v>63</v>
      </c>
      <c r="F948" s="52">
        <v>6.3E-2</v>
      </c>
      <c r="G948" s="53" t="s">
        <v>632</v>
      </c>
    </row>
    <row r="949" spans="1:7" s="47" customFormat="1" ht="13">
      <c r="A949" s="49">
        <v>38665</v>
      </c>
      <c r="B949" s="50">
        <v>29500</v>
      </c>
      <c r="C949" s="50">
        <f t="shared" si="59"/>
        <v>29820.782191780821</v>
      </c>
      <c r="D949" s="49">
        <f t="shared" si="60"/>
        <v>38728</v>
      </c>
      <c r="E949" s="51">
        <v>63</v>
      </c>
      <c r="F949" s="52">
        <v>6.3E-2</v>
      </c>
      <c r="G949" s="53" t="s">
        <v>632</v>
      </c>
    </row>
    <row r="950" spans="1:7" s="47" customFormat="1" ht="13">
      <c r="A950" s="49">
        <v>38666</v>
      </c>
      <c r="B950" s="50">
        <v>35000</v>
      </c>
      <c r="C950" s="50">
        <f t="shared" si="59"/>
        <v>35374.547945205479</v>
      </c>
      <c r="D950" s="49">
        <f t="shared" si="60"/>
        <v>38728</v>
      </c>
      <c r="E950" s="51">
        <v>62</v>
      </c>
      <c r="F950" s="52">
        <v>6.3E-2</v>
      </c>
      <c r="G950" s="53" t="s">
        <v>632</v>
      </c>
    </row>
    <row r="951" spans="1:7" s="47" customFormat="1" ht="13">
      <c r="A951" s="49">
        <v>38666</v>
      </c>
      <c r="B951" s="50">
        <v>35000</v>
      </c>
      <c r="C951" s="50">
        <f t="shared" si="59"/>
        <v>35374.547945205479</v>
      </c>
      <c r="D951" s="49">
        <f t="shared" si="60"/>
        <v>38728</v>
      </c>
      <c r="E951" s="51">
        <v>62</v>
      </c>
      <c r="F951" s="52">
        <v>6.3E-2</v>
      </c>
      <c r="G951" s="53" t="s">
        <v>632</v>
      </c>
    </row>
    <row r="952" spans="1:7" s="47" customFormat="1" ht="13">
      <c r="A952" s="49">
        <v>38673</v>
      </c>
      <c r="B952" s="50">
        <v>55063.91</v>
      </c>
      <c r="C952" s="50">
        <f t="shared" si="59"/>
        <v>55671.875910410963</v>
      </c>
      <c r="D952" s="49">
        <f t="shared" si="60"/>
        <v>38735</v>
      </c>
      <c r="E952" s="51">
        <v>62</v>
      </c>
      <c r="F952" s="52">
        <v>6.5000000000000002E-2</v>
      </c>
      <c r="G952" s="53" t="s">
        <v>276</v>
      </c>
    </row>
    <row r="953" spans="1:7" s="47" customFormat="1" ht="13">
      <c r="A953" s="49">
        <v>38673</v>
      </c>
      <c r="B953" s="50">
        <v>55063.91</v>
      </c>
      <c r="C953" s="50">
        <f t="shared" si="59"/>
        <v>55671.875910410963</v>
      </c>
      <c r="D953" s="49">
        <f t="shared" si="60"/>
        <v>38735</v>
      </c>
      <c r="E953" s="51">
        <v>62</v>
      </c>
      <c r="F953" s="52">
        <v>6.5000000000000002E-2</v>
      </c>
      <c r="G953" s="53" t="s">
        <v>276</v>
      </c>
    </row>
    <row r="954" spans="1:7" s="47" customFormat="1" ht="13">
      <c r="A954" s="49">
        <v>38673</v>
      </c>
      <c r="B954" s="50">
        <v>51516.14</v>
      </c>
      <c r="C954" s="50">
        <f t="shared" si="59"/>
        <v>52067.433268054796</v>
      </c>
      <c r="D954" s="49">
        <f t="shared" si="60"/>
        <v>38735</v>
      </c>
      <c r="E954" s="51">
        <v>62</v>
      </c>
      <c r="F954" s="52">
        <v>6.3E-2</v>
      </c>
      <c r="G954" s="53" t="s">
        <v>647</v>
      </c>
    </row>
    <row r="955" spans="1:7" s="47" customFormat="1" ht="13">
      <c r="A955" s="49">
        <v>38673</v>
      </c>
      <c r="B955" s="50">
        <v>51516.14</v>
      </c>
      <c r="C955" s="50">
        <f t="shared" si="59"/>
        <v>52067.433268054796</v>
      </c>
      <c r="D955" s="49">
        <f t="shared" si="60"/>
        <v>38735</v>
      </c>
      <c r="E955" s="51">
        <v>62</v>
      </c>
      <c r="F955" s="52">
        <v>6.3E-2</v>
      </c>
      <c r="G955" s="53" t="s">
        <v>647</v>
      </c>
    </row>
    <row r="956" spans="1:7" s="47" customFormat="1" ht="13">
      <c r="A956" s="49">
        <v>38679</v>
      </c>
      <c r="B956" s="50">
        <v>40393.53</v>
      </c>
      <c r="C956" s="50">
        <f t="shared" si="59"/>
        <v>40846.712206438358</v>
      </c>
      <c r="D956" s="49">
        <f t="shared" si="60"/>
        <v>38742</v>
      </c>
      <c r="E956" s="51">
        <v>63</v>
      </c>
      <c r="F956" s="52">
        <v>6.5000000000000002E-2</v>
      </c>
      <c r="G956" s="53" t="s">
        <v>276</v>
      </c>
    </row>
    <row r="957" spans="1:7" s="47" customFormat="1" ht="13">
      <c r="A957" s="49">
        <v>38679</v>
      </c>
      <c r="B957" s="50">
        <v>25000</v>
      </c>
      <c r="C957" s="50">
        <f t="shared" si="59"/>
        <v>25280.479452054795</v>
      </c>
      <c r="D957" s="49">
        <f t="shared" si="60"/>
        <v>38742</v>
      </c>
      <c r="E957" s="51">
        <v>63</v>
      </c>
      <c r="F957" s="52">
        <v>6.5000000000000002E-2</v>
      </c>
      <c r="G957" s="53" t="s">
        <v>632</v>
      </c>
    </row>
    <row r="958" spans="1:7" s="47" customFormat="1" ht="13">
      <c r="A958" s="49">
        <v>38686</v>
      </c>
      <c r="B958" s="50">
        <v>47750.51</v>
      </c>
      <c r="C958" s="50">
        <f t="shared" si="59"/>
        <v>48286.231475205481</v>
      </c>
      <c r="D958" s="49">
        <f t="shared" si="60"/>
        <v>38749</v>
      </c>
      <c r="E958" s="51">
        <v>63</v>
      </c>
      <c r="F958" s="52">
        <v>6.5000000000000002E-2</v>
      </c>
      <c r="G958" s="53" t="s">
        <v>276</v>
      </c>
    </row>
    <row r="959" spans="1:7" s="47" customFormat="1" ht="13">
      <c r="A959" s="49">
        <v>38700</v>
      </c>
      <c r="B959" s="50">
        <v>8281.56</v>
      </c>
      <c r="C959" s="50">
        <f t="shared" si="59"/>
        <v>8374.4722964383564</v>
      </c>
      <c r="D959" s="49">
        <f t="shared" si="60"/>
        <v>38763</v>
      </c>
      <c r="E959" s="51">
        <v>63</v>
      </c>
      <c r="F959" s="52">
        <v>6.5000000000000002E-2</v>
      </c>
      <c r="G959" s="53" t="s">
        <v>276</v>
      </c>
    </row>
    <row r="960" spans="1:7" s="47" customFormat="1" ht="13">
      <c r="A960" s="49">
        <v>38707</v>
      </c>
      <c r="B960" s="50">
        <v>35422.42</v>
      </c>
      <c r="C960" s="50">
        <f t="shared" si="59"/>
        <v>35819.830438082186</v>
      </c>
      <c r="D960" s="49">
        <f t="shared" si="60"/>
        <v>38770</v>
      </c>
      <c r="E960" s="51">
        <v>63</v>
      </c>
      <c r="F960" s="52">
        <v>6.5000000000000002E-2</v>
      </c>
      <c r="G960" s="53" t="s">
        <v>276</v>
      </c>
    </row>
    <row r="961" spans="1:15" s="47" customFormat="1" ht="13">
      <c r="A961" s="49">
        <v>38714</v>
      </c>
      <c r="B961" s="50">
        <v>35482.050000000003</v>
      </c>
      <c r="C961" s="50">
        <f t="shared" si="59"/>
        <v>35880.129437671232</v>
      </c>
      <c r="D961" s="49">
        <f t="shared" si="60"/>
        <v>38777</v>
      </c>
      <c r="E961" s="51">
        <v>63</v>
      </c>
      <c r="F961" s="52">
        <v>6.5000000000000002E-2</v>
      </c>
      <c r="G961" s="53" t="s">
        <v>276</v>
      </c>
      <c r="I961" s="48"/>
      <c r="K961"/>
    </row>
    <row r="962" spans="1:15" s="47" customFormat="1" ht="13">
      <c r="A962" s="49">
        <v>38714</v>
      </c>
      <c r="B962" s="50">
        <v>45450.49</v>
      </c>
      <c r="C962" s="50">
        <f t="shared" si="59"/>
        <v>46243.694441917803</v>
      </c>
      <c r="D962" s="49">
        <f t="shared" si="60"/>
        <v>38805</v>
      </c>
      <c r="E962" s="51">
        <v>91</v>
      </c>
      <c r="F962" s="52">
        <v>7.0000000000000007E-2</v>
      </c>
      <c r="G962" s="53" t="s">
        <v>276</v>
      </c>
      <c r="H962" s="53"/>
      <c r="I962" s="48"/>
      <c r="K962"/>
    </row>
    <row r="963" spans="1:15" s="47" customFormat="1" ht="13">
      <c r="A963" s="49">
        <v>38560</v>
      </c>
      <c r="B963" s="50">
        <v>34442.44</v>
      </c>
      <c r="C963" s="50">
        <f t="shared" si="59"/>
        <v>37542.259600000005</v>
      </c>
      <c r="D963" s="49">
        <f t="shared" si="60"/>
        <v>38925</v>
      </c>
      <c r="E963" s="51">
        <v>365</v>
      </c>
      <c r="F963" s="52">
        <v>0.09</v>
      </c>
      <c r="G963" s="53" t="s">
        <v>642</v>
      </c>
      <c r="I963" s="48"/>
      <c r="K963"/>
    </row>
    <row r="964" spans="1:15" s="47" customFormat="1" ht="13">
      <c r="A964" s="49">
        <v>38693</v>
      </c>
      <c r="B964" s="50">
        <v>30300.32</v>
      </c>
      <c r="C964" s="50">
        <f t="shared" si="59"/>
        <v>33027.3488</v>
      </c>
      <c r="D964" s="49">
        <f t="shared" si="60"/>
        <v>39058</v>
      </c>
      <c r="E964" s="51">
        <v>365</v>
      </c>
      <c r="F964" s="52">
        <v>0.09</v>
      </c>
      <c r="G964" s="53" t="s">
        <v>642</v>
      </c>
      <c r="I964" s="48"/>
      <c r="K964"/>
    </row>
    <row r="965" spans="1:15" s="47" customFormat="1" ht="13">
      <c r="A965" s="120">
        <v>38679</v>
      </c>
      <c r="B965" s="50">
        <v>40393.53</v>
      </c>
      <c r="C965" s="50">
        <f t="shared" si="59"/>
        <v>40846.712206438358</v>
      </c>
      <c r="D965" s="49">
        <f t="shared" si="60"/>
        <v>38742</v>
      </c>
      <c r="E965" s="51">
        <v>63</v>
      </c>
      <c r="F965" s="52">
        <v>6.5000000000000002E-2</v>
      </c>
      <c r="G965" s="121" t="s">
        <v>276</v>
      </c>
      <c r="H965" s="53"/>
      <c r="I965" s="53"/>
      <c r="K965" s="53"/>
      <c r="L965" s="53"/>
      <c r="M965" s="53"/>
      <c r="N965" s="53"/>
      <c r="O965" s="53"/>
    </row>
    <row r="966" spans="1:15" s="47" customFormat="1" ht="13">
      <c r="A966" s="120">
        <v>38679</v>
      </c>
      <c r="B966" s="50">
        <v>25000</v>
      </c>
      <c r="C966" s="50">
        <f t="shared" si="59"/>
        <v>25280.479452054795</v>
      </c>
      <c r="D966" s="49">
        <f t="shared" si="60"/>
        <v>38742</v>
      </c>
      <c r="E966" s="51">
        <v>63</v>
      </c>
      <c r="F966" s="52">
        <v>6.5000000000000002E-2</v>
      </c>
      <c r="G966" s="121" t="s">
        <v>632</v>
      </c>
      <c r="H966" s="53"/>
      <c r="I966" s="53"/>
      <c r="K966" s="53"/>
      <c r="L966" s="53"/>
      <c r="M966" s="53"/>
      <c r="N966" s="53"/>
      <c r="O966" s="53"/>
    </row>
    <row r="967" spans="1:15" s="47" customFormat="1" ht="13">
      <c r="A967" s="49"/>
      <c r="B967" s="50"/>
      <c r="C967" s="50"/>
      <c r="D967" s="49"/>
      <c r="E967" s="51"/>
      <c r="F967" s="52"/>
      <c r="G967" s="53"/>
      <c r="H967" s="53"/>
      <c r="I967" s="48"/>
      <c r="K967"/>
    </row>
    <row r="968" spans="1:15" s="47" customFormat="1" ht="13">
      <c r="A968" s="49"/>
      <c r="B968" s="50"/>
      <c r="C968" s="50">
        <f>SUM(C947:C967)</f>
        <v>775159.69135523296</v>
      </c>
      <c r="D968" s="49"/>
      <c r="E968" s="51"/>
      <c r="F968" s="52"/>
      <c r="G968" s="53"/>
      <c r="H968" s="53"/>
      <c r="I968" s="48"/>
      <c r="K968"/>
    </row>
    <row r="969" spans="1:15" s="47" customFormat="1" ht="13">
      <c r="A969" s="120">
        <v>38686</v>
      </c>
      <c r="B969" s="50">
        <v>47750.51</v>
      </c>
      <c r="C969" s="50">
        <f t="shared" ref="C969:C1007" si="61">B969+(B969*F969/365*E969)*1</f>
        <v>48286.231475205481</v>
      </c>
      <c r="D969" s="49">
        <f t="shared" ref="D969:D1007" si="62">A969+E969</f>
        <v>38749</v>
      </c>
      <c r="E969" s="51">
        <v>63</v>
      </c>
      <c r="F969" s="52">
        <v>6.5000000000000002E-2</v>
      </c>
      <c r="G969" s="121" t="s">
        <v>276</v>
      </c>
      <c r="H969" s="1003">
        <f t="shared" ref="H969:H1007" si="63">+A969</f>
        <v>38686</v>
      </c>
      <c r="I969" s="934">
        <f t="shared" ref="I969:I1007" si="64">+B969</f>
        <v>47750.51</v>
      </c>
      <c r="K969" s="935">
        <f t="shared" ref="K969:K1007" si="65">+D969</f>
        <v>38749</v>
      </c>
      <c r="L969" s="920">
        <f t="shared" ref="L969:L1007" si="66">+E969</f>
        <v>63</v>
      </c>
      <c r="M969" s="936" t="str">
        <f t="shared" ref="M969:M1007" si="67">+G969</f>
        <v>BBVA</v>
      </c>
      <c r="N969" s="937">
        <f t="shared" ref="N969:N1007" si="68">+F969</f>
        <v>6.5000000000000002E-2</v>
      </c>
      <c r="O969" s="50">
        <f>(I969*N969/365*$O$76)*1</f>
        <v>0</v>
      </c>
    </row>
    <row r="970" spans="1:15" s="47" customFormat="1" ht="13">
      <c r="A970" s="120">
        <v>38700</v>
      </c>
      <c r="B970" s="50">
        <v>8281.56</v>
      </c>
      <c r="C970" s="50">
        <f t="shared" si="61"/>
        <v>8374.4722964383564</v>
      </c>
      <c r="D970" s="49">
        <f t="shared" si="62"/>
        <v>38763</v>
      </c>
      <c r="E970" s="51">
        <v>63</v>
      </c>
      <c r="F970" s="52">
        <v>6.5000000000000002E-2</v>
      </c>
      <c r="G970" s="121" t="s">
        <v>276</v>
      </c>
      <c r="H970" s="1003">
        <f t="shared" si="63"/>
        <v>38700</v>
      </c>
      <c r="I970" s="934">
        <f t="shared" si="64"/>
        <v>8281.56</v>
      </c>
      <c r="K970" s="935">
        <f t="shared" si="65"/>
        <v>38763</v>
      </c>
      <c r="L970" s="920">
        <f t="shared" si="66"/>
        <v>63</v>
      </c>
      <c r="M970" s="936" t="str">
        <f t="shared" si="67"/>
        <v>BBVA</v>
      </c>
      <c r="N970" s="937">
        <f t="shared" si="68"/>
        <v>6.5000000000000002E-2</v>
      </c>
      <c r="O970" s="50">
        <f>(I970*N970/365*$O$78)*1</f>
        <v>0</v>
      </c>
    </row>
    <row r="971" spans="1:15" s="47" customFormat="1" ht="13">
      <c r="A971" s="120">
        <v>38707</v>
      </c>
      <c r="B971" s="50">
        <v>35422.42</v>
      </c>
      <c r="C971" s="50">
        <f t="shared" si="61"/>
        <v>35819.830438082186</v>
      </c>
      <c r="D971" s="49">
        <f t="shared" si="62"/>
        <v>38770</v>
      </c>
      <c r="E971" s="51">
        <v>63</v>
      </c>
      <c r="F971" s="52">
        <v>6.5000000000000002E-2</v>
      </c>
      <c r="G971" s="121" t="s">
        <v>276</v>
      </c>
      <c r="H971" s="1003">
        <f t="shared" si="63"/>
        <v>38707</v>
      </c>
      <c r="I971" s="934">
        <f t="shared" si="64"/>
        <v>35422.42</v>
      </c>
      <c r="K971" s="935">
        <f t="shared" si="65"/>
        <v>38770</v>
      </c>
      <c r="L971" s="920">
        <f t="shared" si="66"/>
        <v>63</v>
      </c>
      <c r="M971" s="936" t="str">
        <f t="shared" si="67"/>
        <v>BBVA</v>
      </c>
      <c r="N971" s="937">
        <f t="shared" si="68"/>
        <v>6.5000000000000002E-2</v>
      </c>
      <c r="O971" s="898">
        <f>(I971*N971/365*$O$79)*1</f>
        <v>0</v>
      </c>
    </row>
    <row r="972" spans="1:15" s="47" customFormat="1" ht="13">
      <c r="A972" s="120">
        <v>38714</v>
      </c>
      <c r="B972" s="50">
        <v>35482.050000000003</v>
      </c>
      <c r="C972" s="50">
        <f t="shared" si="61"/>
        <v>35889.315886232878</v>
      </c>
      <c r="D972" s="49">
        <f t="shared" si="62"/>
        <v>38777</v>
      </c>
      <c r="E972" s="51">
        <v>63</v>
      </c>
      <c r="F972" s="52">
        <v>6.6500000000000004E-2</v>
      </c>
      <c r="G972" s="121" t="s">
        <v>276</v>
      </c>
      <c r="H972" s="1003">
        <f t="shared" si="63"/>
        <v>38714</v>
      </c>
      <c r="I972" s="934">
        <f t="shared" si="64"/>
        <v>35482.050000000003</v>
      </c>
      <c r="K972" s="935">
        <f t="shared" si="65"/>
        <v>38777</v>
      </c>
      <c r="L972" s="920">
        <f t="shared" si="66"/>
        <v>63</v>
      </c>
      <c r="M972" s="936" t="str">
        <f t="shared" si="67"/>
        <v>BBVA</v>
      </c>
      <c r="N972" s="937">
        <f t="shared" si="68"/>
        <v>6.6500000000000004E-2</v>
      </c>
      <c r="O972" s="898">
        <f>(I972*N972/365*$O$79)*1</f>
        <v>0</v>
      </c>
    </row>
    <row r="973" spans="1:15" s="47" customFormat="1" ht="13">
      <c r="A973" s="120">
        <v>38728</v>
      </c>
      <c r="B973" s="50">
        <v>30000</v>
      </c>
      <c r="C973" s="50">
        <f t="shared" si="61"/>
        <v>30362.465753424658</v>
      </c>
      <c r="D973" s="49">
        <f t="shared" si="62"/>
        <v>38791</v>
      </c>
      <c r="E973" s="51">
        <v>63</v>
      </c>
      <c r="F973" s="52">
        <v>7.0000000000000007E-2</v>
      </c>
      <c r="G973" s="121" t="s">
        <v>632</v>
      </c>
      <c r="H973" s="1003">
        <f t="shared" si="63"/>
        <v>38728</v>
      </c>
      <c r="I973" s="934">
        <f t="shared" si="64"/>
        <v>30000</v>
      </c>
      <c r="K973" s="935">
        <f t="shared" si="65"/>
        <v>38791</v>
      </c>
      <c r="L973" s="920">
        <f t="shared" si="66"/>
        <v>63</v>
      </c>
      <c r="M973" s="936" t="str">
        <f t="shared" si="67"/>
        <v>RIO</v>
      </c>
      <c r="N973" s="937">
        <f t="shared" si="68"/>
        <v>7.0000000000000007E-2</v>
      </c>
      <c r="O973" s="898">
        <f t="shared" ref="O973:O993" si="69">(I973*N973/365*$O$80)*1</f>
        <v>0</v>
      </c>
    </row>
    <row r="974" spans="1:15" s="47" customFormat="1" ht="13">
      <c r="A974" s="120">
        <v>38735</v>
      </c>
      <c r="B974" s="50">
        <v>52067.43</v>
      </c>
      <c r="C974" s="50">
        <f t="shared" si="61"/>
        <v>52698.301805958901</v>
      </c>
      <c r="D974" s="49">
        <f t="shared" si="62"/>
        <v>38796</v>
      </c>
      <c r="E974" s="51">
        <v>61</v>
      </c>
      <c r="F974" s="52">
        <v>7.2499999999999995E-2</v>
      </c>
      <c r="G974" s="121" t="s">
        <v>647</v>
      </c>
      <c r="H974" s="1003">
        <f t="shared" si="63"/>
        <v>38735</v>
      </c>
      <c r="I974" s="934">
        <f t="shared" si="64"/>
        <v>52067.43</v>
      </c>
      <c r="K974" s="935">
        <f t="shared" si="65"/>
        <v>38796</v>
      </c>
      <c r="L974" s="920">
        <f t="shared" si="66"/>
        <v>61</v>
      </c>
      <c r="M974" s="936" t="str">
        <f t="shared" si="67"/>
        <v xml:space="preserve">GALICIA </v>
      </c>
      <c r="N974" s="937">
        <f t="shared" si="68"/>
        <v>7.2499999999999995E-2</v>
      </c>
      <c r="O974" s="898">
        <f t="shared" si="69"/>
        <v>0</v>
      </c>
    </row>
    <row r="975" spans="1:15" s="47" customFormat="1" ht="13">
      <c r="A975" s="120">
        <v>38791</v>
      </c>
      <c r="B975" s="50">
        <v>30000</v>
      </c>
      <c r="C975" s="50">
        <f t="shared" si="61"/>
        <v>30186.986301369863</v>
      </c>
      <c r="D975" s="49">
        <f t="shared" si="62"/>
        <v>38826</v>
      </c>
      <c r="E975" s="51">
        <v>35</v>
      </c>
      <c r="F975" s="52">
        <v>6.5000000000000002E-2</v>
      </c>
      <c r="G975" s="121" t="s">
        <v>632</v>
      </c>
      <c r="H975" s="1003">
        <f t="shared" si="63"/>
        <v>38791</v>
      </c>
      <c r="I975" s="934">
        <f t="shared" si="64"/>
        <v>30000</v>
      </c>
      <c r="K975" s="935">
        <f t="shared" si="65"/>
        <v>38826</v>
      </c>
      <c r="L975" s="920">
        <f t="shared" si="66"/>
        <v>35</v>
      </c>
      <c r="M975" s="936" t="str">
        <f t="shared" si="67"/>
        <v>RIO</v>
      </c>
      <c r="N975" s="937">
        <f t="shared" si="68"/>
        <v>6.5000000000000002E-2</v>
      </c>
      <c r="O975" s="898">
        <f t="shared" si="69"/>
        <v>0</v>
      </c>
    </row>
    <row r="976" spans="1:15" s="47" customFormat="1" ht="13">
      <c r="A976" s="120">
        <v>38796</v>
      </c>
      <c r="B976" s="50">
        <v>52698.3</v>
      </c>
      <c r="C976" s="50">
        <f t="shared" si="61"/>
        <v>52984.170230136988</v>
      </c>
      <c r="D976" s="49">
        <f t="shared" si="62"/>
        <v>38826</v>
      </c>
      <c r="E976" s="51">
        <v>30</v>
      </c>
      <c r="F976" s="52">
        <v>6.6000000000000003E-2</v>
      </c>
      <c r="G976" s="121" t="s">
        <v>647</v>
      </c>
      <c r="H976" s="1003">
        <f t="shared" si="63"/>
        <v>38796</v>
      </c>
      <c r="I976" s="934">
        <f t="shared" si="64"/>
        <v>52698.3</v>
      </c>
      <c r="K976" s="935">
        <f t="shared" si="65"/>
        <v>38826</v>
      </c>
      <c r="L976" s="920">
        <f t="shared" si="66"/>
        <v>30</v>
      </c>
      <c r="M976" s="936" t="str">
        <f t="shared" si="67"/>
        <v xml:space="preserve">GALICIA </v>
      </c>
      <c r="N976" s="937">
        <f t="shared" si="68"/>
        <v>6.6000000000000003E-2</v>
      </c>
      <c r="O976" s="898">
        <f t="shared" si="69"/>
        <v>0</v>
      </c>
    </row>
    <row r="977" spans="1:15" s="47" customFormat="1" ht="13">
      <c r="A977" s="120">
        <v>38735</v>
      </c>
      <c r="B977" s="50">
        <v>61343.76</v>
      </c>
      <c r="C977" s="50">
        <f t="shared" si="61"/>
        <v>62529.039088767124</v>
      </c>
      <c r="D977" s="49">
        <f t="shared" si="62"/>
        <v>38826</v>
      </c>
      <c r="E977" s="51">
        <v>91</v>
      </c>
      <c r="F977" s="52">
        <v>7.7499999999999999E-2</v>
      </c>
      <c r="G977" s="121" t="s">
        <v>276</v>
      </c>
      <c r="H977" s="1003">
        <f t="shared" si="63"/>
        <v>38735</v>
      </c>
      <c r="I977" s="934">
        <f t="shared" si="64"/>
        <v>61343.76</v>
      </c>
      <c r="K977" s="935">
        <f t="shared" si="65"/>
        <v>38826</v>
      </c>
      <c r="L977" s="920">
        <f t="shared" si="66"/>
        <v>91</v>
      </c>
      <c r="M977" s="936" t="str">
        <f t="shared" si="67"/>
        <v>BBVA</v>
      </c>
      <c r="N977" s="937">
        <f t="shared" si="68"/>
        <v>7.7499999999999999E-2</v>
      </c>
      <c r="O977" s="898">
        <f t="shared" si="69"/>
        <v>0</v>
      </c>
    </row>
    <row r="978" spans="1:15" s="47" customFormat="1" ht="13">
      <c r="A978" s="120">
        <v>38826</v>
      </c>
      <c r="B978" s="50">
        <v>52984.17</v>
      </c>
      <c r="C978" s="50">
        <f t="shared" si="61"/>
        <v>53352.518853082191</v>
      </c>
      <c r="D978" s="49">
        <f t="shared" si="62"/>
        <v>38861</v>
      </c>
      <c r="E978" s="51">
        <v>35</v>
      </c>
      <c r="F978" s="52">
        <v>7.2499999999999995E-2</v>
      </c>
      <c r="G978" s="121" t="s">
        <v>647</v>
      </c>
      <c r="H978" s="1003">
        <f t="shared" si="63"/>
        <v>38826</v>
      </c>
      <c r="I978" s="934">
        <f t="shared" si="64"/>
        <v>52984.17</v>
      </c>
      <c r="K978" s="935">
        <f t="shared" si="65"/>
        <v>38861</v>
      </c>
      <c r="L978" s="920">
        <f t="shared" si="66"/>
        <v>35</v>
      </c>
      <c r="M978" s="936" t="str">
        <f t="shared" si="67"/>
        <v xml:space="preserve">GALICIA </v>
      </c>
      <c r="N978" s="937">
        <f t="shared" si="68"/>
        <v>7.2499999999999995E-2</v>
      </c>
      <c r="O978" s="898">
        <f t="shared" si="69"/>
        <v>0</v>
      </c>
    </row>
    <row r="979" spans="1:15" s="47" customFormat="1" ht="13">
      <c r="A979" s="120">
        <v>38826</v>
      </c>
      <c r="B979" s="50">
        <v>62529.04</v>
      </c>
      <c r="C979" s="50">
        <f t="shared" si="61"/>
        <v>63365.472980273975</v>
      </c>
      <c r="D979" s="49">
        <f t="shared" si="62"/>
        <v>38889</v>
      </c>
      <c r="E979" s="51">
        <v>63</v>
      </c>
      <c r="F979" s="52">
        <v>7.7499999999999999E-2</v>
      </c>
      <c r="G979" s="121" t="s">
        <v>276</v>
      </c>
      <c r="H979" s="1003">
        <f t="shared" si="63"/>
        <v>38826</v>
      </c>
      <c r="I979" s="934">
        <f t="shared" si="64"/>
        <v>62529.04</v>
      </c>
      <c r="K979" s="935">
        <f t="shared" si="65"/>
        <v>38889</v>
      </c>
      <c r="L979" s="920">
        <f t="shared" si="66"/>
        <v>63</v>
      </c>
      <c r="M979" s="936" t="str">
        <f t="shared" si="67"/>
        <v>BBVA</v>
      </c>
      <c r="N979" s="937">
        <f t="shared" si="68"/>
        <v>7.7499999999999999E-2</v>
      </c>
      <c r="O979" s="898">
        <f t="shared" si="69"/>
        <v>0</v>
      </c>
    </row>
    <row r="980" spans="1:15" s="47" customFormat="1" ht="13">
      <c r="A980" s="120">
        <v>38826</v>
      </c>
      <c r="B980" s="50">
        <v>30000</v>
      </c>
      <c r="C980" s="50">
        <f t="shared" si="61"/>
        <v>30410.301369863013</v>
      </c>
      <c r="D980" s="49">
        <f t="shared" si="62"/>
        <v>38890</v>
      </c>
      <c r="E980" s="51">
        <v>64</v>
      </c>
      <c r="F980" s="52">
        <v>7.8E-2</v>
      </c>
      <c r="G980" s="121" t="s">
        <v>632</v>
      </c>
      <c r="H980" s="1003">
        <f t="shared" si="63"/>
        <v>38826</v>
      </c>
      <c r="I980" s="934">
        <f t="shared" si="64"/>
        <v>30000</v>
      </c>
      <c r="K980" s="935">
        <f t="shared" si="65"/>
        <v>38890</v>
      </c>
      <c r="L980" s="920">
        <f t="shared" si="66"/>
        <v>64</v>
      </c>
      <c r="M980" s="936" t="str">
        <f t="shared" si="67"/>
        <v>RIO</v>
      </c>
      <c r="N980" s="937">
        <f t="shared" si="68"/>
        <v>7.8E-2</v>
      </c>
      <c r="O980" s="898">
        <f t="shared" si="69"/>
        <v>0</v>
      </c>
    </row>
    <row r="981" spans="1:15" s="47" customFormat="1" ht="13">
      <c r="A981" s="120">
        <v>38861</v>
      </c>
      <c r="B981" s="50">
        <v>53352.52</v>
      </c>
      <c r="C981" s="50">
        <f t="shared" si="61"/>
        <v>53756.683610410953</v>
      </c>
      <c r="D981" s="49">
        <f t="shared" si="62"/>
        <v>38896</v>
      </c>
      <c r="E981" s="51">
        <v>35</v>
      </c>
      <c r="F981" s="52">
        <v>7.9000000000000001E-2</v>
      </c>
      <c r="G981" s="121" t="s">
        <v>647</v>
      </c>
      <c r="H981" s="1003">
        <f t="shared" si="63"/>
        <v>38861</v>
      </c>
      <c r="I981" s="934">
        <f t="shared" si="64"/>
        <v>53352.52</v>
      </c>
      <c r="K981" s="935">
        <f t="shared" si="65"/>
        <v>38896</v>
      </c>
      <c r="L981" s="920">
        <f t="shared" si="66"/>
        <v>35</v>
      </c>
      <c r="M981" s="936" t="str">
        <f t="shared" si="67"/>
        <v xml:space="preserve">GALICIA </v>
      </c>
      <c r="N981" s="937">
        <f t="shared" si="68"/>
        <v>7.9000000000000001E-2</v>
      </c>
      <c r="O981" s="898">
        <f t="shared" si="69"/>
        <v>0</v>
      </c>
    </row>
    <row r="982" spans="1:15" s="47" customFormat="1" ht="13">
      <c r="A982" s="120">
        <v>38889</v>
      </c>
      <c r="B982" s="50">
        <v>63365.47</v>
      </c>
      <c r="C982" s="50">
        <f t="shared" si="61"/>
        <v>63851.561276712331</v>
      </c>
      <c r="D982" s="49">
        <f t="shared" si="62"/>
        <v>38924</v>
      </c>
      <c r="E982" s="51">
        <v>35</v>
      </c>
      <c r="F982" s="52">
        <v>0.08</v>
      </c>
      <c r="G982" s="121" t="s">
        <v>276</v>
      </c>
      <c r="H982" s="1003">
        <f t="shared" si="63"/>
        <v>38889</v>
      </c>
      <c r="I982" s="934">
        <f t="shared" si="64"/>
        <v>63365.47</v>
      </c>
      <c r="K982" s="935">
        <f t="shared" si="65"/>
        <v>38924</v>
      </c>
      <c r="L982" s="920">
        <f t="shared" si="66"/>
        <v>35</v>
      </c>
      <c r="M982" s="936" t="str">
        <f t="shared" si="67"/>
        <v>BBVA</v>
      </c>
      <c r="N982" s="937">
        <f t="shared" si="68"/>
        <v>0.08</v>
      </c>
      <c r="O982" s="898">
        <f t="shared" si="69"/>
        <v>0</v>
      </c>
    </row>
    <row r="983" spans="1:15" s="47" customFormat="1" ht="13">
      <c r="A983" s="120">
        <v>38560</v>
      </c>
      <c r="B983" s="50">
        <v>34442.44</v>
      </c>
      <c r="C983" s="50">
        <f t="shared" si="61"/>
        <v>38452.000000000007</v>
      </c>
      <c r="D983" s="49">
        <f t="shared" si="62"/>
        <v>38925</v>
      </c>
      <c r="E983" s="51">
        <v>365</v>
      </c>
      <c r="F983" s="52">
        <v>0.11641335515137724</v>
      </c>
      <c r="G983" s="121" t="s">
        <v>642</v>
      </c>
      <c r="H983" s="1003">
        <f t="shared" si="63"/>
        <v>38560</v>
      </c>
      <c r="I983" s="934">
        <f t="shared" si="64"/>
        <v>34442.44</v>
      </c>
      <c r="K983" s="935">
        <f t="shared" si="65"/>
        <v>38925</v>
      </c>
      <c r="L983" s="920">
        <f t="shared" si="66"/>
        <v>365</v>
      </c>
      <c r="M983" s="936" t="str">
        <f t="shared" si="67"/>
        <v>GALICIA CER</v>
      </c>
      <c r="N983" s="937">
        <f t="shared" si="68"/>
        <v>0.11641335515137724</v>
      </c>
      <c r="O983" s="898">
        <f t="shared" si="69"/>
        <v>0</v>
      </c>
    </row>
    <row r="984" spans="1:15" s="47" customFormat="1" ht="13">
      <c r="A984" s="120">
        <v>38890</v>
      </c>
      <c r="B984" s="50">
        <v>30000</v>
      </c>
      <c r="C984" s="50">
        <f t="shared" si="61"/>
        <v>30223.561643835616</v>
      </c>
      <c r="D984" s="49">
        <f t="shared" si="62"/>
        <v>38924</v>
      </c>
      <c r="E984" s="51">
        <v>34</v>
      </c>
      <c r="F984" s="52">
        <v>0.08</v>
      </c>
      <c r="G984" s="121" t="s">
        <v>632</v>
      </c>
      <c r="H984" s="1003">
        <f t="shared" si="63"/>
        <v>38890</v>
      </c>
      <c r="I984" s="934">
        <f t="shared" si="64"/>
        <v>30000</v>
      </c>
      <c r="K984" s="935">
        <f t="shared" si="65"/>
        <v>38924</v>
      </c>
      <c r="L984" s="920">
        <f t="shared" si="66"/>
        <v>34</v>
      </c>
      <c r="M984" s="936" t="str">
        <f t="shared" si="67"/>
        <v>RIO</v>
      </c>
      <c r="N984" s="937">
        <f t="shared" si="68"/>
        <v>0.08</v>
      </c>
      <c r="O984" s="898">
        <f t="shared" si="69"/>
        <v>0</v>
      </c>
    </row>
    <row r="985" spans="1:15" s="47" customFormat="1" ht="13">
      <c r="A985" s="120">
        <v>38896</v>
      </c>
      <c r="B985" s="50">
        <v>53756.68</v>
      </c>
      <c r="C985" s="50">
        <f t="shared" si="61"/>
        <v>54187.101636438354</v>
      </c>
      <c r="D985" s="49">
        <f t="shared" si="62"/>
        <v>38931</v>
      </c>
      <c r="E985" s="51">
        <v>35</v>
      </c>
      <c r="F985" s="52">
        <v>8.3500000000000005E-2</v>
      </c>
      <c r="G985" s="121" t="s">
        <v>647</v>
      </c>
      <c r="H985" s="1003">
        <f t="shared" si="63"/>
        <v>38896</v>
      </c>
      <c r="I985" s="934">
        <f t="shared" si="64"/>
        <v>53756.68</v>
      </c>
      <c r="K985" s="935">
        <f t="shared" si="65"/>
        <v>38931</v>
      </c>
      <c r="L985" s="920">
        <f t="shared" si="66"/>
        <v>35</v>
      </c>
      <c r="M985" s="936" t="str">
        <f t="shared" si="67"/>
        <v xml:space="preserve">GALICIA </v>
      </c>
      <c r="N985" s="937">
        <f t="shared" si="68"/>
        <v>8.3500000000000005E-2</v>
      </c>
      <c r="O985" s="898">
        <f t="shared" si="69"/>
        <v>0</v>
      </c>
    </row>
    <row r="986" spans="1:15" s="47" customFormat="1" ht="13">
      <c r="A986" s="120">
        <v>38925</v>
      </c>
      <c r="B986" s="50">
        <v>63851.56</v>
      </c>
      <c r="C986" s="50">
        <f t="shared" si="61"/>
        <v>64327.385323835617</v>
      </c>
      <c r="D986" s="49">
        <f t="shared" si="62"/>
        <v>38959</v>
      </c>
      <c r="E986" s="51">
        <v>34</v>
      </c>
      <c r="F986" s="52">
        <v>0.08</v>
      </c>
      <c r="G986" s="121" t="s">
        <v>276</v>
      </c>
      <c r="H986" s="1003">
        <f t="shared" si="63"/>
        <v>38925</v>
      </c>
      <c r="I986" s="934">
        <f t="shared" si="64"/>
        <v>63851.56</v>
      </c>
      <c r="K986" s="935">
        <f t="shared" si="65"/>
        <v>38959</v>
      </c>
      <c r="L986" s="920">
        <f t="shared" si="66"/>
        <v>34</v>
      </c>
      <c r="M986" s="936" t="str">
        <f t="shared" si="67"/>
        <v>BBVA</v>
      </c>
      <c r="N986" s="937">
        <f t="shared" si="68"/>
        <v>0.08</v>
      </c>
      <c r="O986" s="898">
        <f t="shared" si="69"/>
        <v>0</v>
      </c>
    </row>
    <row r="987" spans="1:15" s="47" customFormat="1" ht="13">
      <c r="A987" s="120">
        <v>38925</v>
      </c>
      <c r="B987" s="50">
        <v>30000</v>
      </c>
      <c r="C987" s="50">
        <f t="shared" si="61"/>
        <v>30230.547945205479</v>
      </c>
      <c r="D987" s="49">
        <f t="shared" si="62"/>
        <v>38959</v>
      </c>
      <c r="E987" s="51">
        <v>34</v>
      </c>
      <c r="F987" s="52">
        <v>8.2500000000000004E-2</v>
      </c>
      <c r="G987" s="121" t="s">
        <v>632</v>
      </c>
      <c r="H987" s="1003">
        <f t="shared" si="63"/>
        <v>38925</v>
      </c>
      <c r="I987" s="934">
        <f t="shared" si="64"/>
        <v>30000</v>
      </c>
      <c r="K987" s="935">
        <f t="shared" si="65"/>
        <v>38959</v>
      </c>
      <c r="L987" s="920">
        <f t="shared" si="66"/>
        <v>34</v>
      </c>
      <c r="M987" s="936" t="str">
        <f t="shared" si="67"/>
        <v>RIO</v>
      </c>
      <c r="N987" s="937">
        <f t="shared" si="68"/>
        <v>8.2500000000000004E-2</v>
      </c>
      <c r="O987" s="898">
        <f t="shared" si="69"/>
        <v>0</v>
      </c>
    </row>
    <row r="988" spans="1:15" s="47" customFormat="1" ht="13">
      <c r="A988" s="120">
        <v>38925</v>
      </c>
      <c r="B988" s="50">
        <v>38452</v>
      </c>
      <c r="C988" s="50">
        <f t="shared" si="61"/>
        <v>38756.455561643837</v>
      </c>
      <c r="D988" s="49">
        <f t="shared" si="62"/>
        <v>38959</v>
      </c>
      <c r="E988" s="51">
        <v>34</v>
      </c>
      <c r="F988" s="52">
        <v>8.5000000000000006E-2</v>
      </c>
      <c r="G988" s="121" t="s">
        <v>647</v>
      </c>
      <c r="H988" s="1003">
        <f t="shared" si="63"/>
        <v>38925</v>
      </c>
      <c r="I988" s="934">
        <f t="shared" si="64"/>
        <v>38452</v>
      </c>
      <c r="K988" s="935">
        <f t="shared" si="65"/>
        <v>38959</v>
      </c>
      <c r="L988" s="920">
        <f t="shared" si="66"/>
        <v>34</v>
      </c>
      <c r="M988" s="936" t="str">
        <f t="shared" si="67"/>
        <v xml:space="preserve">GALICIA </v>
      </c>
      <c r="N988" s="937">
        <f t="shared" si="68"/>
        <v>8.5000000000000006E-2</v>
      </c>
      <c r="O988" s="898">
        <f t="shared" si="69"/>
        <v>0</v>
      </c>
    </row>
    <row r="989" spans="1:15" s="47" customFormat="1" ht="13">
      <c r="A989" s="120">
        <v>38931</v>
      </c>
      <c r="B989" s="50">
        <v>54187.1</v>
      </c>
      <c r="C989" s="50">
        <f t="shared" si="61"/>
        <v>54628.761979452051</v>
      </c>
      <c r="D989" s="49">
        <f t="shared" si="62"/>
        <v>38966</v>
      </c>
      <c r="E989" s="51">
        <v>35</v>
      </c>
      <c r="F989" s="52">
        <v>8.5000000000000006E-2</v>
      </c>
      <c r="G989" s="121" t="s">
        <v>647</v>
      </c>
      <c r="H989" s="1003">
        <f t="shared" si="63"/>
        <v>38931</v>
      </c>
      <c r="I989" s="934">
        <f t="shared" si="64"/>
        <v>54187.1</v>
      </c>
      <c r="K989" s="935">
        <f t="shared" si="65"/>
        <v>38966</v>
      </c>
      <c r="L989" s="920">
        <f t="shared" si="66"/>
        <v>35</v>
      </c>
      <c r="M989" s="936" t="str">
        <f t="shared" si="67"/>
        <v xml:space="preserve">GALICIA </v>
      </c>
      <c r="N989" s="937">
        <f t="shared" si="68"/>
        <v>8.5000000000000006E-2</v>
      </c>
      <c r="O989" s="898">
        <f t="shared" si="69"/>
        <v>0</v>
      </c>
    </row>
    <row r="990" spans="1:15" s="47" customFormat="1" ht="13">
      <c r="A990" s="120">
        <v>38932</v>
      </c>
      <c r="B990" s="50">
        <v>30000</v>
      </c>
      <c r="C990" s="50">
        <f t="shared" si="61"/>
        <v>30223.561643835616</v>
      </c>
      <c r="D990" s="49">
        <f t="shared" si="62"/>
        <v>38966</v>
      </c>
      <c r="E990" s="51">
        <v>34</v>
      </c>
      <c r="F990" s="52">
        <v>0.08</v>
      </c>
      <c r="G990" s="121" t="s">
        <v>120</v>
      </c>
      <c r="H990" s="1003">
        <f t="shared" si="63"/>
        <v>38932</v>
      </c>
      <c r="I990" s="934">
        <f t="shared" si="64"/>
        <v>30000</v>
      </c>
      <c r="K990" s="935">
        <f t="shared" si="65"/>
        <v>38966</v>
      </c>
      <c r="L990" s="920">
        <f t="shared" si="66"/>
        <v>34</v>
      </c>
      <c r="M990" s="936" t="str">
        <f t="shared" si="67"/>
        <v>HSBC</v>
      </c>
      <c r="N990" s="937">
        <f t="shared" si="68"/>
        <v>0.08</v>
      </c>
      <c r="O990" s="898">
        <f t="shared" si="69"/>
        <v>0</v>
      </c>
    </row>
    <row r="991" spans="1:15" s="47" customFormat="1" ht="13">
      <c r="A991" s="120">
        <v>38959</v>
      </c>
      <c r="B991" s="50">
        <v>63000</v>
      </c>
      <c r="C991" s="50">
        <f t="shared" si="61"/>
        <v>63498.390410958906</v>
      </c>
      <c r="D991" s="49">
        <f t="shared" si="62"/>
        <v>38994</v>
      </c>
      <c r="E991" s="51">
        <v>35</v>
      </c>
      <c r="F991" s="52">
        <v>8.2500000000000004E-2</v>
      </c>
      <c r="G991" s="121" t="s">
        <v>276</v>
      </c>
      <c r="H991" s="1003">
        <f t="shared" si="63"/>
        <v>38959</v>
      </c>
      <c r="I991" s="934">
        <f t="shared" si="64"/>
        <v>63000</v>
      </c>
      <c r="K991" s="935">
        <f t="shared" si="65"/>
        <v>38994</v>
      </c>
      <c r="L991" s="920">
        <f t="shared" si="66"/>
        <v>35</v>
      </c>
      <c r="M991" s="936" t="str">
        <f t="shared" si="67"/>
        <v>BBVA</v>
      </c>
      <c r="N991" s="937">
        <f t="shared" si="68"/>
        <v>8.2500000000000004E-2</v>
      </c>
      <c r="O991" s="898">
        <f t="shared" si="69"/>
        <v>0</v>
      </c>
    </row>
    <row r="992" spans="1:15" s="47" customFormat="1" ht="13">
      <c r="A992" s="120">
        <v>38959</v>
      </c>
      <c r="B992" s="50">
        <v>30000</v>
      </c>
      <c r="C992" s="50">
        <f t="shared" si="61"/>
        <v>30237.328767123287</v>
      </c>
      <c r="D992" s="49">
        <f t="shared" si="62"/>
        <v>38994</v>
      </c>
      <c r="E992" s="51">
        <v>35</v>
      </c>
      <c r="F992" s="52">
        <v>8.2500000000000004E-2</v>
      </c>
      <c r="G992" s="121" t="s">
        <v>632</v>
      </c>
      <c r="H992" s="1003">
        <f t="shared" si="63"/>
        <v>38959</v>
      </c>
      <c r="I992" s="934">
        <f t="shared" si="64"/>
        <v>30000</v>
      </c>
      <c r="K992" s="935">
        <f t="shared" si="65"/>
        <v>38994</v>
      </c>
      <c r="L992" s="920">
        <f t="shared" si="66"/>
        <v>35</v>
      </c>
      <c r="M992" s="936" t="str">
        <f t="shared" si="67"/>
        <v>RIO</v>
      </c>
      <c r="N992" s="937">
        <f t="shared" si="68"/>
        <v>8.2500000000000004E-2</v>
      </c>
      <c r="O992" s="898">
        <f t="shared" si="69"/>
        <v>0</v>
      </c>
    </row>
    <row r="993" spans="1:15" s="47" customFormat="1" ht="13">
      <c r="A993" s="120">
        <v>38966</v>
      </c>
      <c r="B993" s="50">
        <v>30223.56</v>
      </c>
      <c r="C993" s="50">
        <f t="shared" si="61"/>
        <v>30422.290257534249</v>
      </c>
      <c r="D993" s="49">
        <f t="shared" si="62"/>
        <v>38996</v>
      </c>
      <c r="E993" s="51">
        <v>30</v>
      </c>
      <c r="F993" s="52">
        <v>0.08</v>
      </c>
      <c r="G993" s="121" t="s">
        <v>120</v>
      </c>
      <c r="H993" s="1003">
        <f t="shared" si="63"/>
        <v>38966</v>
      </c>
      <c r="I993" s="934">
        <f t="shared" si="64"/>
        <v>30223.56</v>
      </c>
      <c r="K993" s="935">
        <f t="shared" si="65"/>
        <v>38996</v>
      </c>
      <c r="L993" s="920">
        <f t="shared" si="66"/>
        <v>30</v>
      </c>
      <c r="M993" s="936" t="str">
        <f t="shared" si="67"/>
        <v>HSBC</v>
      </c>
      <c r="N993" s="937">
        <f t="shared" si="68"/>
        <v>0.08</v>
      </c>
      <c r="O993" s="898">
        <f t="shared" si="69"/>
        <v>0</v>
      </c>
    </row>
    <row r="994" spans="1:15" s="47" customFormat="1" ht="13">
      <c r="A994" s="120">
        <v>38959</v>
      </c>
      <c r="B994" s="50">
        <v>38756.46</v>
      </c>
      <c r="C994" s="50">
        <f t="shared" si="61"/>
        <v>39139.989680876708</v>
      </c>
      <c r="D994" s="49">
        <f t="shared" si="62"/>
        <v>39001</v>
      </c>
      <c r="E994" s="51">
        <v>42</v>
      </c>
      <c r="F994" s="52">
        <v>8.5999999999999993E-2</v>
      </c>
      <c r="G994" s="121" t="s">
        <v>647</v>
      </c>
      <c r="H994" s="1003">
        <f t="shared" si="63"/>
        <v>38959</v>
      </c>
      <c r="I994" s="934">
        <f t="shared" si="64"/>
        <v>38756.46</v>
      </c>
      <c r="K994" s="935">
        <f t="shared" si="65"/>
        <v>39001</v>
      </c>
      <c r="L994" s="920">
        <f t="shared" si="66"/>
        <v>42</v>
      </c>
      <c r="M994" s="936" t="str">
        <f t="shared" si="67"/>
        <v xml:space="preserve">GALICIA </v>
      </c>
      <c r="N994" s="937">
        <f t="shared" si="68"/>
        <v>8.5999999999999993E-2</v>
      </c>
      <c r="O994" s="898">
        <f>(I994*N994/365*$O$82)*1</f>
        <v>0</v>
      </c>
    </row>
    <row r="995" spans="1:15" s="47" customFormat="1" ht="13">
      <c r="A995" s="120">
        <v>38966</v>
      </c>
      <c r="B995" s="50">
        <v>54628.76</v>
      </c>
      <c r="C995" s="50">
        <f t="shared" si="61"/>
        <v>55163.074173150686</v>
      </c>
      <c r="D995" s="49">
        <f t="shared" si="62"/>
        <v>39008</v>
      </c>
      <c r="E995" s="51">
        <v>42</v>
      </c>
      <c r="F995" s="52">
        <v>8.5000000000000006E-2</v>
      </c>
      <c r="G995" s="121" t="s">
        <v>647</v>
      </c>
      <c r="H995" s="1003">
        <f t="shared" si="63"/>
        <v>38966</v>
      </c>
      <c r="I995" s="934">
        <f t="shared" si="64"/>
        <v>54628.76</v>
      </c>
      <c r="K995" s="935">
        <f t="shared" si="65"/>
        <v>39008</v>
      </c>
      <c r="L995" s="920">
        <f t="shared" si="66"/>
        <v>42</v>
      </c>
      <c r="M995" s="936" t="str">
        <f t="shared" si="67"/>
        <v xml:space="preserve">GALICIA </v>
      </c>
      <c r="N995" s="937">
        <f t="shared" si="68"/>
        <v>8.5000000000000006E-2</v>
      </c>
      <c r="O995" s="898">
        <f>(I995*N995/365*$O$82)*1</f>
        <v>0</v>
      </c>
    </row>
    <row r="996" spans="1:15" s="47" customFormat="1" ht="13">
      <c r="A996" s="120">
        <v>38994</v>
      </c>
      <c r="B996" s="50">
        <v>63498.390410958906</v>
      </c>
      <c r="C996" s="50">
        <f t="shared" si="61"/>
        <v>64000.723567977111</v>
      </c>
      <c r="D996" s="49">
        <f t="shared" si="62"/>
        <v>39029</v>
      </c>
      <c r="E996" s="51">
        <v>35</v>
      </c>
      <c r="F996" s="52">
        <v>8.2500000000000004E-2</v>
      </c>
      <c r="G996" s="121" t="s">
        <v>276</v>
      </c>
      <c r="H996" s="1003">
        <f t="shared" si="63"/>
        <v>38994</v>
      </c>
      <c r="I996" s="934">
        <f t="shared" si="64"/>
        <v>63498.390410958906</v>
      </c>
      <c r="K996" s="935">
        <f t="shared" si="65"/>
        <v>39029</v>
      </c>
      <c r="L996" s="920">
        <f t="shared" si="66"/>
        <v>35</v>
      </c>
      <c r="M996" s="936" t="str">
        <f t="shared" si="67"/>
        <v>BBVA</v>
      </c>
      <c r="N996" s="937">
        <f t="shared" si="68"/>
        <v>8.2500000000000004E-2</v>
      </c>
      <c r="O996" s="898">
        <f>(I996*N996/365*$O$82)*1</f>
        <v>0</v>
      </c>
    </row>
    <row r="997" spans="1:15" s="47" customFormat="1" ht="13">
      <c r="A997" s="120">
        <v>38994</v>
      </c>
      <c r="B997" s="50">
        <v>30000</v>
      </c>
      <c r="C997" s="50">
        <f t="shared" si="61"/>
        <v>30243.082191780821</v>
      </c>
      <c r="D997" s="49">
        <f t="shared" si="62"/>
        <v>39029</v>
      </c>
      <c r="E997" s="51">
        <v>35</v>
      </c>
      <c r="F997" s="52">
        <v>8.4500000000000006E-2</v>
      </c>
      <c r="G997" s="121" t="s">
        <v>632</v>
      </c>
      <c r="H997" s="1003">
        <f t="shared" si="63"/>
        <v>38994</v>
      </c>
      <c r="I997" s="934">
        <f t="shared" si="64"/>
        <v>30000</v>
      </c>
      <c r="K997" s="935">
        <f t="shared" si="65"/>
        <v>39029</v>
      </c>
      <c r="L997" s="920">
        <f t="shared" si="66"/>
        <v>35</v>
      </c>
      <c r="M997" s="936" t="str">
        <f t="shared" si="67"/>
        <v>RIO</v>
      </c>
      <c r="N997" s="937">
        <f t="shared" si="68"/>
        <v>8.4500000000000006E-2</v>
      </c>
      <c r="O997" s="898">
        <f>(I997*N997/365*$O$82)*1</f>
        <v>0</v>
      </c>
    </row>
    <row r="998" spans="1:15" s="47" customFormat="1" ht="13">
      <c r="A998" s="120">
        <v>39008</v>
      </c>
      <c r="B998" s="50">
        <v>39139.99</v>
      </c>
      <c r="C998" s="50">
        <f t="shared" si="61"/>
        <v>39462.760876438355</v>
      </c>
      <c r="D998" s="49">
        <f t="shared" si="62"/>
        <v>39043</v>
      </c>
      <c r="E998" s="51">
        <v>35</v>
      </c>
      <c r="F998" s="52">
        <v>8.5999999999999993E-2</v>
      </c>
      <c r="G998" s="121" t="s">
        <v>647</v>
      </c>
      <c r="H998" s="1003">
        <f t="shared" si="63"/>
        <v>39008</v>
      </c>
      <c r="I998" s="934">
        <f t="shared" si="64"/>
        <v>39139.99</v>
      </c>
      <c r="K998" s="935">
        <f t="shared" si="65"/>
        <v>39043</v>
      </c>
      <c r="L998" s="920">
        <f t="shared" si="66"/>
        <v>35</v>
      </c>
      <c r="M998" s="936" t="str">
        <f t="shared" si="67"/>
        <v xml:space="preserve">GALICIA </v>
      </c>
      <c r="N998" s="937">
        <f t="shared" si="68"/>
        <v>8.5999999999999993E-2</v>
      </c>
      <c r="O998" s="898">
        <f>(I998*N998/365*$O$83)*1</f>
        <v>0</v>
      </c>
    </row>
    <row r="999" spans="1:15" s="47" customFormat="1" ht="13">
      <c r="A999" s="120">
        <v>39008</v>
      </c>
      <c r="B999" s="50">
        <v>55163.07</v>
      </c>
      <c r="C999" s="50">
        <f t="shared" si="61"/>
        <v>55820.492889041096</v>
      </c>
      <c r="D999" s="49">
        <f t="shared" si="62"/>
        <v>39058</v>
      </c>
      <c r="E999" s="51">
        <v>50</v>
      </c>
      <c r="F999" s="52">
        <v>8.6999999999999994E-2</v>
      </c>
      <c r="G999" s="121" t="s">
        <v>647</v>
      </c>
      <c r="H999" s="1003">
        <f t="shared" si="63"/>
        <v>39008</v>
      </c>
      <c r="I999" s="934">
        <f t="shared" si="64"/>
        <v>55163.07</v>
      </c>
      <c r="K999" s="935">
        <f t="shared" si="65"/>
        <v>39058</v>
      </c>
      <c r="L999" s="920">
        <f t="shared" si="66"/>
        <v>50</v>
      </c>
      <c r="M999" s="936" t="str">
        <f t="shared" si="67"/>
        <v xml:space="preserve">GALICIA </v>
      </c>
      <c r="N999" s="937">
        <f t="shared" si="68"/>
        <v>8.6999999999999994E-2</v>
      </c>
      <c r="O999" s="898">
        <f>(I999*N999/365*$O$83)*1</f>
        <v>0</v>
      </c>
    </row>
    <row r="1000" spans="1:15" s="47" customFormat="1" ht="13">
      <c r="A1000" s="120">
        <v>38693</v>
      </c>
      <c r="B1000" s="50">
        <v>30300.32</v>
      </c>
      <c r="C1000" s="50">
        <f t="shared" si="61"/>
        <v>33576.000000000007</v>
      </c>
      <c r="D1000" s="49">
        <f t="shared" si="62"/>
        <v>39058</v>
      </c>
      <c r="E1000" s="51">
        <v>365</v>
      </c>
      <c r="F1000" s="52">
        <v>0.10810710909983808</v>
      </c>
      <c r="G1000" s="121" t="s">
        <v>642</v>
      </c>
      <c r="H1000" s="1003">
        <f t="shared" si="63"/>
        <v>38693</v>
      </c>
      <c r="I1000" s="934">
        <f t="shared" si="64"/>
        <v>30300.32</v>
      </c>
      <c r="K1000" s="935">
        <f t="shared" si="65"/>
        <v>39058</v>
      </c>
      <c r="L1000" s="920">
        <f t="shared" si="66"/>
        <v>365</v>
      </c>
      <c r="M1000" s="936" t="str">
        <f t="shared" si="67"/>
        <v>GALICIA CER</v>
      </c>
      <c r="N1000" s="937">
        <f t="shared" si="68"/>
        <v>0.10810710909983808</v>
      </c>
      <c r="O1000" s="898">
        <f>(I1000*N1000/365*$O$83)*1</f>
        <v>0</v>
      </c>
    </row>
    <row r="1001" spans="1:15" s="47" customFormat="1" ht="13">
      <c r="A1001" s="120">
        <v>39029</v>
      </c>
      <c r="B1001" s="50">
        <v>64000.72</v>
      </c>
      <c r="C1001" s="50">
        <f t="shared" si="61"/>
        <v>64522.369704109587</v>
      </c>
      <c r="D1001" s="49">
        <f t="shared" si="62"/>
        <v>39064</v>
      </c>
      <c r="E1001" s="51">
        <v>35</v>
      </c>
      <c r="F1001" s="52">
        <v>8.5000000000000006E-2</v>
      </c>
      <c r="G1001" s="121" t="s">
        <v>276</v>
      </c>
      <c r="H1001" s="1003">
        <f t="shared" si="63"/>
        <v>39029</v>
      </c>
      <c r="I1001" s="934">
        <f t="shared" si="64"/>
        <v>64000.72</v>
      </c>
      <c r="K1001" s="935">
        <f t="shared" si="65"/>
        <v>39064</v>
      </c>
      <c r="L1001" s="920">
        <f t="shared" si="66"/>
        <v>35</v>
      </c>
      <c r="M1001" s="936" t="str">
        <f t="shared" si="67"/>
        <v>BBVA</v>
      </c>
      <c r="N1001" s="937">
        <f t="shared" si="68"/>
        <v>8.5000000000000006E-2</v>
      </c>
      <c r="O1001" s="898">
        <f>(I1001*N1001/365*$O$83)*1</f>
        <v>0</v>
      </c>
    </row>
    <row r="1002" spans="1:15" s="47" customFormat="1" ht="13">
      <c r="A1002" s="120">
        <v>39029</v>
      </c>
      <c r="B1002" s="50">
        <v>30000</v>
      </c>
      <c r="C1002" s="50">
        <f t="shared" si="61"/>
        <v>30243.082191780821</v>
      </c>
      <c r="D1002" s="49">
        <f t="shared" si="62"/>
        <v>39064</v>
      </c>
      <c r="E1002" s="51">
        <v>35</v>
      </c>
      <c r="F1002" s="52">
        <v>8.4500000000000006E-2</v>
      </c>
      <c r="G1002" s="121" t="s">
        <v>632</v>
      </c>
      <c r="H1002" s="1003">
        <f t="shared" si="63"/>
        <v>39029</v>
      </c>
      <c r="I1002" s="934">
        <f t="shared" si="64"/>
        <v>30000</v>
      </c>
      <c r="K1002" s="935">
        <f t="shared" si="65"/>
        <v>39064</v>
      </c>
      <c r="L1002" s="920">
        <f t="shared" si="66"/>
        <v>35</v>
      </c>
      <c r="M1002" s="936" t="str">
        <f t="shared" si="67"/>
        <v>RIO</v>
      </c>
      <c r="N1002" s="937">
        <f t="shared" si="68"/>
        <v>8.4500000000000006E-2</v>
      </c>
      <c r="O1002" s="898">
        <f>(I1002*N1002/365*$O$83)*1</f>
        <v>0</v>
      </c>
    </row>
    <row r="1003" spans="1:15" s="47" customFormat="1" ht="13">
      <c r="A1003" s="120">
        <v>39043</v>
      </c>
      <c r="B1003" s="50">
        <v>39453.53</v>
      </c>
      <c r="C1003" s="50">
        <f t="shared" si="61"/>
        <v>39778.886507671232</v>
      </c>
      <c r="D1003" s="49">
        <f t="shared" si="62"/>
        <v>39078</v>
      </c>
      <c r="E1003" s="51">
        <v>35</v>
      </c>
      <c r="F1003" s="52">
        <v>8.5999999999999993E-2</v>
      </c>
      <c r="G1003" s="121" t="s">
        <v>647</v>
      </c>
      <c r="H1003" s="1003">
        <f t="shared" si="63"/>
        <v>39043</v>
      </c>
      <c r="I1003" s="934">
        <f t="shared" si="64"/>
        <v>39453.53</v>
      </c>
      <c r="K1003" s="935">
        <f t="shared" si="65"/>
        <v>39078</v>
      </c>
      <c r="L1003" s="920">
        <f t="shared" si="66"/>
        <v>35</v>
      </c>
      <c r="M1003" s="936" t="str">
        <f t="shared" si="67"/>
        <v xml:space="preserve">GALICIA </v>
      </c>
      <c r="N1003" s="937">
        <f t="shared" si="68"/>
        <v>8.5999999999999993E-2</v>
      </c>
      <c r="O1003" s="898">
        <f>(I1003*N1003/365*$O$84)*1</f>
        <v>0</v>
      </c>
    </row>
    <row r="1004" spans="1:15" s="47" customFormat="1" ht="13">
      <c r="A1004" s="120">
        <v>39058</v>
      </c>
      <c r="B1004" s="50">
        <v>55820.480000000003</v>
      </c>
      <c r="C1004" s="50">
        <f t="shared" si="61"/>
        <v>56267.655571287673</v>
      </c>
      <c r="D1004" s="49">
        <f t="shared" si="62"/>
        <v>39092</v>
      </c>
      <c r="E1004" s="51">
        <v>34</v>
      </c>
      <c r="F1004" s="52">
        <v>8.5999999999999993E-2</v>
      </c>
      <c r="G1004" s="121" t="s">
        <v>647</v>
      </c>
      <c r="H1004" s="1003">
        <f t="shared" si="63"/>
        <v>39058</v>
      </c>
      <c r="I1004" s="934">
        <f t="shared" si="64"/>
        <v>55820.480000000003</v>
      </c>
      <c r="K1004" s="935">
        <f t="shared" si="65"/>
        <v>39092</v>
      </c>
      <c r="L1004" s="920">
        <f t="shared" si="66"/>
        <v>34</v>
      </c>
      <c r="M1004" s="936" t="str">
        <f t="shared" si="67"/>
        <v xml:space="preserve">GALICIA </v>
      </c>
      <c r="N1004" s="937">
        <f t="shared" si="68"/>
        <v>8.5999999999999993E-2</v>
      </c>
      <c r="O1004" s="898">
        <f>(I1004*N1004/365*$O$84)*1</f>
        <v>0</v>
      </c>
    </row>
    <row r="1005" spans="1:15" s="47" customFormat="1" ht="13">
      <c r="A1005" s="120">
        <v>39058</v>
      </c>
      <c r="B1005" s="50">
        <v>30000</v>
      </c>
      <c r="C1005" s="50">
        <f t="shared" si="61"/>
        <v>30240.328767123287</v>
      </c>
      <c r="D1005" s="49">
        <f t="shared" si="62"/>
        <v>39092</v>
      </c>
      <c r="E1005" s="51">
        <v>34</v>
      </c>
      <c r="F1005" s="52">
        <v>8.5999999999999993E-2</v>
      </c>
      <c r="G1005" s="121" t="s">
        <v>647</v>
      </c>
      <c r="H1005" s="1003">
        <f t="shared" si="63"/>
        <v>39058</v>
      </c>
      <c r="I1005" s="934">
        <f t="shared" si="64"/>
        <v>30000</v>
      </c>
      <c r="K1005" s="935">
        <f t="shared" si="65"/>
        <v>39092</v>
      </c>
      <c r="L1005" s="920">
        <f t="shared" si="66"/>
        <v>34</v>
      </c>
      <c r="M1005" s="936" t="str">
        <f t="shared" si="67"/>
        <v xml:space="preserve">GALICIA </v>
      </c>
      <c r="N1005" s="937">
        <f t="shared" si="68"/>
        <v>8.5999999999999993E-2</v>
      </c>
      <c r="O1005" s="898">
        <f>(I1005*N1005/365*$O$84)*1</f>
        <v>0</v>
      </c>
    </row>
    <row r="1006" spans="1:15" s="47" customFormat="1" ht="13">
      <c r="A1006" s="120">
        <v>39064</v>
      </c>
      <c r="B1006" s="50">
        <f>64522.37-1500</f>
        <v>63022.37</v>
      </c>
      <c r="C1006" s="50">
        <f t="shared" si="61"/>
        <v>63536.045481506852</v>
      </c>
      <c r="D1006" s="49">
        <f t="shared" si="62"/>
        <v>39099</v>
      </c>
      <c r="E1006" s="51">
        <v>35</v>
      </c>
      <c r="F1006" s="52">
        <v>8.5000000000000006E-2</v>
      </c>
      <c r="G1006" s="121" t="s">
        <v>276</v>
      </c>
      <c r="H1006" s="1003">
        <f t="shared" si="63"/>
        <v>39064</v>
      </c>
      <c r="I1006" s="934">
        <f t="shared" si="64"/>
        <v>63022.37</v>
      </c>
      <c r="K1006" s="935">
        <f t="shared" si="65"/>
        <v>39099</v>
      </c>
      <c r="L1006" s="920">
        <f t="shared" si="66"/>
        <v>35</v>
      </c>
      <c r="M1006" s="936" t="str">
        <f t="shared" si="67"/>
        <v>BBVA</v>
      </c>
      <c r="N1006" s="937">
        <f t="shared" si="68"/>
        <v>8.5000000000000006E-2</v>
      </c>
      <c r="O1006" s="898">
        <f>(I1006*N1006/365*$O$85)*1</f>
        <v>0</v>
      </c>
    </row>
    <row r="1007" spans="1:15" s="47" customFormat="1" ht="13">
      <c r="A1007" s="120">
        <v>39064</v>
      </c>
      <c r="B1007" s="50">
        <v>30000</v>
      </c>
      <c r="C1007" s="50">
        <f t="shared" si="61"/>
        <v>30244.520547945205</v>
      </c>
      <c r="D1007" s="49">
        <f t="shared" si="62"/>
        <v>39099</v>
      </c>
      <c r="E1007" s="51">
        <v>35</v>
      </c>
      <c r="F1007" s="52">
        <v>8.5000000000000006E-2</v>
      </c>
      <c r="G1007" s="121" t="s">
        <v>632</v>
      </c>
      <c r="H1007" s="1003">
        <f t="shared" si="63"/>
        <v>39064</v>
      </c>
      <c r="I1007" s="934">
        <f t="shared" si="64"/>
        <v>30000</v>
      </c>
      <c r="K1007" s="935">
        <f t="shared" si="65"/>
        <v>39099</v>
      </c>
      <c r="L1007" s="920">
        <f t="shared" si="66"/>
        <v>35</v>
      </c>
      <c r="M1007" s="936" t="str">
        <f t="shared" si="67"/>
        <v>RIO</v>
      </c>
      <c r="N1007" s="937">
        <f t="shared" si="68"/>
        <v>8.5000000000000006E-2</v>
      </c>
      <c r="O1007" s="898">
        <f>(I1007*N1007/365*$O$85)*1</f>
        <v>0</v>
      </c>
    </row>
    <row r="1008" spans="1:15" s="47" customFormat="1" ht="13">
      <c r="A1008" s="120"/>
      <c r="B1008" s="50">
        <f>SUM(B973:B1007)</f>
        <v>1570038.120410959</v>
      </c>
      <c r="C1008" s="50">
        <f>SUM(C973:C1007)</f>
        <v>1590923.8985905529</v>
      </c>
      <c r="D1008" s="49"/>
      <c r="E1008" s="51"/>
      <c r="F1008" s="52"/>
      <c r="G1008" s="121"/>
      <c r="H1008" s="1003"/>
      <c r="I1008" s="934"/>
      <c r="K1008" s="935"/>
      <c r="L1008" s="920"/>
      <c r="M1008" s="936"/>
      <c r="N1008" s="937"/>
      <c r="O1008" s="898"/>
    </row>
    <row r="1009" spans="1:15" s="47" customFormat="1" ht="13">
      <c r="A1009" s="120"/>
      <c r="B1009" s="50"/>
      <c r="C1009" s="50">
        <f>+C1008-B1008</f>
        <v>20885.77817959385</v>
      </c>
      <c r="D1009" s="49"/>
      <c r="E1009" s="51"/>
      <c r="F1009" s="52"/>
      <c r="G1009" s="121"/>
      <c r="H1009" s="1003"/>
      <c r="I1009" s="934"/>
      <c r="K1009" s="935"/>
      <c r="L1009" s="920"/>
      <c r="M1009" s="936"/>
      <c r="N1009" s="937"/>
      <c r="O1009" s="898"/>
    </row>
    <row r="1010" spans="1:15" s="47" customFormat="1" ht="13">
      <c r="A1010" s="120"/>
      <c r="B1010" s="50"/>
      <c r="C1010" s="50"/>
      <c r="D1010" s="49"/>
      <c r="E1010" s="51"/>
      <c r="F1010" s="52"/>
      <c r="G1010" s="121"/>
      <c r="H1010" s="1003"/>
      <c r="I1010" s="934"/>
      <c r="K1010" s="935"/>
      <c r="L1010" s="920"/>
      <c r="M1010" s="936"/>
      <c r="N1010" s="937"/>
      <c r="O1010" s="898"/>
    </row>
    <row r="1011" spans="1:15" s="47" customFormat="1" ht="13">
      <c r="A1011" s="120">
        <v>39086</v>
      </c>
      <c r="B1011" s="50">
        <v>39778.89</v>
      </c>
      <c r="C1011" s="50">
        <f t="shared" ref="C1011:C1042" si="70">B1011+(B1011*F1011/365*E1011)*1</f>
        <v>40097.557053041099</v>
      </c>
      <c r="D1011" s="49">
        <f t="shared" ref="D1011:D1042" si="71">A1011+E1011</f>
        <v>39120</v>
      </c>
      <c r="E1011" s="51">
        <v>34</v>
      </c>
      <c r="F1011" s="52">
        <v>8.5999999999999993E-2</v>
      </c>
      <c r="G1011" s="121" t="s">
        <v>647</v>
      </c>
      <c r="H1011" s="1003">
        <f t="shared" ref="H1011:H1042" si="72">+A1011</f>
        <v>39086</v>
      </c>
      <c r="I1011" s="934">
        <f t="shared" ref="I1011:I1042" si="73">+B1011</f>
        <v>39778.89</v>
      </c>
      <c r="K1011" s="935">
        <f t="shared" ref="K1011:K1042" si="74">+D1011</f>
        <v>39120</v>
      </c>
      <c r="L1011" s="920">
        <f t="shared" ref="L1011:L1042" si="75">+E1011</f>
        <v>34</v>
      </c>
      <c r="M1011" s="936" t="str">
        <f t="shared" ref="M1011:M1042" si="76">+G1011</f>
        <v xml:space="preserve">GALICIA </v>
      </c>
      <c r="N1011" s="937">
        <f t="shared" ref="N1011:N1042" si="77">+F1011</f>
        <v>8.5999999999999993E-2</v>
      </c>
      <c r="O1011" s="898">
        <f>(I1011*N1011/365*$O$85)*1</f>
        <v>0</v>
      </c>
    </row>
    <row r="1012" spans="1:15" s="47" customFormat="1" ht="13">
      <c r="A1012" s="120">
        <v>39092</v>
      </c>
      <c r="B1012" s="50">
        <v>56267.65</v>
      </c>
      <c r="C1012" s="50">
        <f t="shared" si="70"/>
        <v>56742.456471232879</v>
      </c>
      <c r="D1012" s="49">
        <f t="shared" si="71"/>
        <v>39127</v>
      </c>
      <c r="E1012" s="51">
        <v>35</v>
      </c>
      <c r="F1012" s="52">
        <v>8.7999999999999995E-2</v>
      </c>
      <c r="G1012" s="121" t="s">
        <v>647</v>
      </c>
      <c r="H1012" s="1003">
        <f t="shared" si="72"/>
        <v>39092</v>
      </c>
      <c r="I1012" s="934">
        <f t="shared" si="73"/>
        <v>56267.65</v>
      </c>
      <c r="K1012" s="935">
        <f t="shared" si="74"/>
        <v>39127</v>
      </c>
      <c r="L1012" s="920">
        <f t="shared" si="75"/>
        <v>35</v>
      </c>
      <c r="M1012" s="936" t="str">
        <f t="shared" si="76"/>
        <v xml:space="preserve">GALICIA </v>
      </c>
      <c r="N1012" s="937">
        <f t="shared" si="77"/>
        <v>8.7999999999999995E-2</v>
      </c>
      <c r="O1012" s="898">
        <f>(I1012*N1012/365*$O$86)*1</f>
        <v>0</v>
      </c>
    </row>
    <row r="1013" spans="1:15" s="47" customFormat="1" ht="13">
      <c r="A1013" s="120">
        <v>39092</v>
      </c>
      <c r="B1013" s="50">
        <v>30240.32</v>
      </c>
      <c r="C1013" s="50">
        <f t="shared" si="70"/>
        <v>30495.498590684932</v>
      </c>
      <c r="D1013" s="49">
        <f t="shared" si="71"/>
        <v>39127</v>
      </c>
      <c r="E1013" s="51">
        <v>35</v>
      </c>
      <c r="F1013" s="52">
        <v>8.7999999999999995E-2</v>
      </c>
      <c r="G1013" s="121" t="s">
        <v>647</v>
      </c>
      <c r="H1013" s="1003">
        <f t="shared" si="72"/>
        <v>39092</v>
      </c>
      <c r="I1013" s="934">
        <f t="shared" si="73"/>
        <v>30240.32</v>
      </c>
      <c r="K1013" s="935">
        <f t="shared" si="74"/>
        <v>39127</v>
      </c>
      <c r="L1013" s="920">
        <f t="shared" si="75"/>
        <v>35</v>
      </c>
      <c r="M1013" s="936" t="str">
        <f t="shared" si="76"/>
        <v xml:space="preserve">GALICIA </v>
      </c>
      <c r="N1013" s="937">
        <f t="shared" si="77"/>
        <v>8.7999999999999995E-2</v>
      </c>
      <c r="O1013" s="898">
        <f>(I1013*N1013/365*$O$86)*1</f>
        <v>0</v>
      </c>
    </row>
    <row r="1014" spans="1:15" s="47" customFormat="1" ht="13">
      <c r="A1014" s="120">
        <v>38735</v>
      </c>
      <c r="B1014" s="50">
        <v>30000</v>
      </c>
      <c r="C1014" s="50">
        <f t="shared" si="70"/>
        <v>30237.534246575342</v>
      </c>
      <c r="D1014" s="49">
        <f t="shared" si="71"/>
        <v>38769</v>
      </c>
      <c r="E1014" s="51">
        <v>34</v>
      </c>
      <c r="F1014" s="52">
        <v>8.5000000000000006E-2</v>
      </c>
      <c r="G1014" s="121" t="s">
        <v>632</v>
      </c>
      <c r="H1014" s="1003">
        <f t="shared" si="72"/>
        <v>38735</v>
      </c>
      <c r="I1014" s="934">
        <f t="shared" si="73"/>
        <v>30000</v>
      </c>
      <c r="K1014" s="935">
        <f t="shared" si="74"/>
        <v>38769</v>
      </c>
      <c r="L1014" s="920">
        <f t="shared" si="75"/>
        <v>34</v>
      </c>
      <c r="M1014" s="936" t="str">
        <f t="shared" si="76"/>
        <v>RIO</v>
      </c>
      <c r="N1014" s="937">
        <f t="shared" si="77"/>
        <v>8.5000000000000006E-2</v>
      </c>
      <c r="O1014" s="898">
        <f>(I1014*N1014/365*$O$86)*1</f>
        <v>0</v>
      </c>
    </row>
    <row r="1015" spans="1:15" s="47" customFormat="1" ht="13">
      <c r="A1015" s="120">
        <v>39099</v>
      </c>
      <c r="B1015" s="50">
        <v>63536.05</v>
      </c>
      <c r="C1015" s="50">
        <f t="shared" si="70"/>
        <v>63979.931993150691</v>
      </c>
      <c r="D1015" s="49">
        <f t="shared" si="71"/>
        <v>39129</v>
      </c>
      <c r="E1015" s="51">
        <v>30</v>
      </c>
      <c r="F1015" s="52">
        <v>8.5000000000000006E-2</v>
      </c>
      <c r="G1015" s="121" t="s">
        <v>276</v>
      </c>
      <c r="H1015" s="1003">
        <f t="shared" si="72"/>
        <v>39099</v>
      </c>
      <c r="I1015" s="934">
        <f t="shared" si="73"/>
        <v>63536.05</v>
      </c>
      <c r="K1015" s="935">
        <f t="shared" si="74"/>
        <v>39129</v>
      </c>
      <c r="L1015" s="920">
        <f t="shared" si="75"/>
        <v>30</v>
      </c>
      <c r="M1015" s="936" t="str">
        <f t="shared" si="76"/>
        <v>BBVA</v>
      </c>
      <c r="N1015" s="937">
        <f t="shared" si="77"/>
        <v>8.5000000000000006E-2</v>
      </c>
      <c r="O1015" s="898">
        <f>(I1015*N1015/365*$O$88)*1</f>
        <v>0</v>
      </c>
    </row>
    <row r="1016" spans="1:15" s="47" customFormat="1" ht="13">
      <c r="A1016" s="120">
        <v>39127</v>
      </c>
      <c r="B1016" s="50">
        <v>30495.5</v>
      </c>
      <c r="C1016" s="50">
        <f t="shared" si="70"/>
        <v>30744.059212328768</v>
      </c>
      <c r="D1016" s="49">
        <f t="shared" si="71"/>
        <v>39162</v>
      </c>
      <c r="E1016" s="51">
        <v>35</v>
      </c>
      <c r="F1016" s="52">
        <v>8.5000000000000006E-2</v>
      </c>
      <c r="G1016" s="121" t="s">
        <v>647</v>
      </c>
      <c r="H1016" s="1003">
        <f t="shared" si="72"/>
        <v>39127</v>
      </c>
      <c r="I1016" s="934">
        <f t="shared" si="73"/>
        <v>30495.5</v>
      </c>
      <c r="K1016" s="935">
        <f t="shared" si="74"/>
        <v>39162</v>
      </c>
      <c r="L1016" s="920">
        <f t="shared" si="75"/>
        <v>35</v>
      </c>
      <c r="M1016" s="936" t="str">
        <f t="shared" si="76"/>
        <v xml:space="preserve">GALICIA </v>
      </c>
      <c r="N1016" s="937">
        <f t="shared" si="77"/>
        <v>8.5000000000000006E-2</v>
      </c>
      <c r="O1016" s="898">
        <f>(I1016*N1016/365*$O$78)*1</f>
        <v>0</v>
      </c>
    </row>
    <row r="1017" spans="1:15" s="47" customFormat="1" ht="13">
      <c r="A1017" s="120">
        <v>39147</v>
      </c>
      <c r="B1017" s="50">
        <v>40000</v>
      </c>
      <c r="C1017" s="50">
        <f t="shared" si="70"/>
        <v>40309.260273972606</v>
      </c>
      <c r="D1017" s="49">
        <f t="shared" si="71"/>
        <v>39181</v>
      </c>
      <c r="E1017" s="51">
        <v>34</v>
      </c>
      <c r="F1017" s="52">
        <v>8.3000000000000004E-2</v>
      </c>
      <c r="G1017" s="121" t="s">
        <v>647</v>
      </c>
      <c r="H1017" s="1003">
        <f t="shared" si="72"/>
        <v>39147</v>
      </c>
      <c r="I1017" s="934">
        <f t="shared" si="73"/>
        <v>40000</v>
      </c>
      <c r="K1017" s="935">
        <f t="shared" si="74"/>
        <v>39181</v>
      </c>
      <c r="L1017" s="920">
        <f t="shared" si="75"/>
        <v>34</v>
      </c>
      <c r="M1017" s="936" t="str">
        <f t="shared" si="76"/>
        <v xml:space="preserve">GALICIA </v>
      </c>
      <c r="N1017" s="937">
        <f t="shared" si="77"/>
        <v>8.3000000000000004E-2</v>
      </c>
      <c r="O1017" s="898">
        <f t="shared" ref="O1017:O1039" si="78">(I1017*N1017/365*$O$79)*1</f>
        <v>0</v>
      </c>
    </row>
    <row r="1018" spans="1:15" s="47" customFormat="1" ht="13">
      <c r="A1018" s="120">
        <v>39147</v>
      </c>
      <c r="B1018" s="50">
        <v>39000</v>
      </c>
      <c r="C1018" s="50">
        <f t="shared" si="70"/>
        <v>39301.528767123287</v>
      </c>
      <c r="D1018" s="49">
        <f t="shared" si="71"/>
        <v>39181</v>
      </c>
      <c r="E1018" s="51">
        <v>34</v>
      </c>
      <c r="F1018" s="52">
        <v>8.3000000000000004E-2</v>
      </c>
      <c r="G1018" s="121" t="s">
        <v>647</v>
      </c>
      <c r="H1018" s="1003">
        <f t="shared" si="72"/>
        <v>39147</v>
      </c>
      <c r="I1018" s="934">
        <f t="shared" si="73"/>
        <v>39000</v>
      </c>
      <c r="K1018" s="935">
        <f t="shared" si="74"/>
        <v>39181</v>
      </c>
      <c r="L1018" s="920">
        <f t="shared" si="75"/>
        <v>34</v>
      </c>
      <c r="M1018" s="936" t="str">
        <f t="shared" si="76"/>
        <v xml:space="preserve">GALICIA </v>
      </c>
      <c r="N1018" s="937">
        <f t="shared" si="77"/>
        <v>8.3000000000000004E-2</v>
      </c>
      <c r="O1018" s="898">
        <f t="shared" si="78"/>
        <v>0</v>
      </c>
    </row>
    <row r="1019" spans="1:15" s="47" customFormat="1" ht="13">
      <c r="A1019" s="120">
        <v>39120</v>
      </c>
      <c r="B1019" s="50">
        <v>40097.56</v>
      </c>
      <c r="C1019" s="50">
        <f t="shared" si="70"/>
        <v>40713.524435397259</v>
      </c>
      <c r="D1019" s="49">
        <f t="shared" si="71"/>
        <v>39183</v>
      </c>
      <c r="E1019" s="51">
        <v>63</v>
      </c>
      <c r="F1019" s="52">
        <v>8.8999999999999996E-2</v>
      </c>
      <c r="G1019" s="121" t="s">
        <v>647</v>
      </c>
      <c r="H1019" s="1003">
        <f t="shared" si="72"/>
        <v>39120</v>
      </c>
      <c r="I1019" s="934">
        <f t="shared" si="73"/>
        <v>40097.56</v>
      </c>
      <c r="K1019" s="935">
        <f t="shared" si="74"/>
        <v>39183</v>
      </c>
      <c r="L1019" s="920">
        <f t="shared" si="75"/>
        <v>63</v>
      </c>
      <c r="M1019" s="936" t="str">
        <f t="shared" si="76"/>
        <v xml:space="preserve">GALICIA </v>
      </c>
      <c r="N1019" s="937">
        <f t="shared" si="77"/>
        <v>8.8999999999999996E-2</v>
      </c>
      <c r="O1019" s="898">
        <f t="shared" si="78"/>
        <v>0</v>
      </c>
    </row>
    <row r="1020" spans="1:15" s="47" customFormat="1" ht="13">
      <c r="A1020" s="120">
        <v>39147</v>
      </c>
      <c r="B1020" s="50">
        <v>51000</v>
      </c>
      <c r="C1020" s="50">
        <f t="shared" si="70"/>
        <v>51407.441095890412</v>
      </c>
      <c r="D1020" s="49">
        <f t="shared" si="71"/>
        <v>39183</v>
      </c>
      <c r="E1020" s="51">
        <v>36</v>
      </c>
      <c r="F1020" s="52">
        <v>8.1000000000000003E-2</v>
      </c>
      <c r="G1020" s="121" t="s">
        <v>276</v>
      </c>
      <c r="H1020" s="1003">
        <f t="shared" si="72"/>
        <v>39147</v>
      </c>
      <c r="I1020" s="934">
        <f t="shared" si="73"/>
        <v>51000</v>
      </c>
      <c r="K1020" s="935">
        <f t="shared" si="74"/>
        <v>39183</v>
      </c>
      <c r="L1020" s="920">
        <f t="shared" si="75"/>
        <v>36</v>
      </c>
      <c r="M1020" s="936" t="str">
        <f t="shared" si="76"/>
        <v>BBVA</v>
      </c>
      <c r="N1020" s="937">
        <f t="shared" si="77"/>
        <v>8.1000000000000003E-2</v>
      </c>
      <c r="O1020" s="898">
        <f t="shared" si="78"/>
        <v>0</v>
      </c>
    </row>
    <row r="1021" spans="1:15" s="47" customFormat="1" ht="13">
      <c r="A1021" s="120">
        <v>39147</v>
      </c>
      <c r="B1021" s="50">
        <v>51000</v>
      </c>
      <c r="C1021" s="50">
        <f t="shared" si="70"/>
        <v>51407.441095890412</v>
      </c>
      <c r="D1021" s="49">
        <f t="shared" si="71"/>
        <v>39183</v>
      </c>
      <c r="E1021" s="51">
        <v>36</v>
      </c>
      <c r="F1021" s="52">
        <v>8.1000000000000003E-2</v>
      </c>
      <c r="G1021" s="121" t="s">
        <v>276</v>
      </c>
      <c r="H1021" s="1003">
        <f t="shared" si="72"/>
        <v>39147</v>
      </c>
      <c r="I1021" s="934">
        <f t="shared" si="73"/>
        <v>51000</v>
      </c>
      <c r="K1021" s="935">
        <f t="shared" si="74"/>
        <v>39183</v>
      </c>
      <c r="L1021" s="920">
        <f t="shared" si="75"/>
        <v>36</v>
      </c>
      <c r="M1021" s="936" t="str">
        <f t="shared" si="76"/>
        <v>BBVA</v>
      </c>
      <c r="N1021" s="937">
        <f t="shared" si="77"/>
        <v>8.1000000000000003E-2</v>
      </c>
      <c r="O1021" s="898">
        <f t="shared" si="78"/>
        <v>0</v>
      </c>
    </row>
    <row r="1022" spans="1:15" s="47" customFormat="1" ht="13">
      <c r="A1022" s="120">
        <v>39147</v>
      </c>
      <c r="B1022" s="50">
        <v>35280.720000000001</v>
      </c>
      <c r="C1022" s="50">
        <f t="shared" si="70"/>
        <v>35559.099379726031</v>
      </c>
      <c r="D1022" s="49">
        <f t="shared" si="71"/>
        <v>39183</v>
      </c>
      <c r="E1022" s="51">
        <v>36</v>
      </c>
      <c r="F1022" s="52">
        <v>0.08</v>
      </c>
      <c r="G1022" s="121" t="s">
        <v>632</v>
      </c>
      <c r="H1022" s="1003">
        <f t="shared" si="72"/>
        <v>39147</v>
      </c>
      <c r="I1022" s="934">
        <f t="shared" si="73"/>
        <v>35280.720000000001</v>
      </c>
      <c r="K1022" s="935">
        <f t="shared" si="74"/>
        <v>39183</v>
      </c>
      <c r="L1022" s="920">
        <f t="shared" si="75"/>
        <v>36</v>
      </c>
      <c r="M1022" s="936" t="str">
        <f t="shared" si="76"/>
        <v>RIO</v>
      </c>
      <c r="N1022" s="937">
        <f t="shared" si="77"/>
        <v>0.08</v>
      </c>
      <c r="O1022" s="898">
        <f t="shared" si="78"/>
        <v>0</v>
      </c>
    </row>
    <row r="1023" spans="1:15" s="47" customFormat="1" ht="13">
      <c r="A1023" s="120">
        <v>39147</v>
      </c>
      <c r="B1023" s="50">
        <v>39941.019999999997</v>
      </c>
      <c r="C1023" s="50">
        <f t="shared" si="70"/>
        <v>40256.171061917805</v>
      </c>
      <c r="D1023" s="49">
        <f t="shared" si="71"/>
        <v>39183</v>
      </c>
      <c r="E1023" s="51">
        <v>36</v>
      </c>
      <c r="F1023" s="52">
        <v>0.08</v>
      </c>
      <c r="G1023" s="121" t="s">
        <v>632</v>
      </c>
      <c r="H1023" s="1003">
        <f t="shared" si="72"/>
        <v>39147</v>
      </c>
      <c r="I1023" s="934">
        <f t="shared" si="73"/>
        <v>39941.019999999997</v>
      </c>
      <c r="K1023" s="935">
        <f t="shared" si="74"/>
        <v>39183</v>
      </c>
      <c r="L1023" s="920">
        <f t="shared" si="75"/>
        <v>36</v>
      </c>
      <c r="M1023" s="936" t="str">
        <f t="shared" si="76"/>
        <v>RIO</v>
      </c>
      <c r="N1023" s="937">
        <f t="shared" si="77"/>
        <v>0.08</v>
      </c>
      <c r="O1023" s="898">
        <f t="shared" si="78"/>
        <v>0</v>
      </c>
    </row>
    <row r="1024" spans="1:15" s="47" customFormat="1" ht="13">
      <c r="A1024" s="120">
        <v>39127</v>
      </c>
      <c r="B1024" s="50">
        <v>56742.46</v>
      </c>
      <c r="C1024" s="50">
        <f t="shared" si="70"/>
        <v>57599.42660479452</v>
      </c>
      <c r="D1024" s="49">
        <f t="shared" si="71"/>
        <v>39190</v>
      </c>
      <c r="E1024" s="51">
        <v>63</v>
      </c>
      <c r="F1024" s="52">
        <v>8.7499999999999994E-2</v>
      </c>
      <c r="G1024" s="121" t="s">
        <v>647</v>
      </c>
      <c r="H1024" s="1003">
        <f t="shared" si="72"/>
        <v>39127</v>
      </c>
      <c r="I1024" s="934">
        <f t="shared" si="73"/>
        <v>56742.46</v>
      </c>
      <c r="K1024" s="935">
        <f t="shared" si="74"/>
        <v>39190</v>
      </c>
      <c r="L1024" s="920">
        <f t="shared" si="75"/>
        <v>63</v>
      </c>
      <c r="M1024" s="936" t="str">
        <f t="shared" si="76"/>
        <v xml:space="preserve">GALICIA </v>
      </c>
      <c r="N1024" s="937">
        <f t="shared" si="77"/>
        <v>8.7499999999999994E-2</v>
      </c>
      <c r="O1024" s="898">
        <f t="shared" si="78"/>
        <v>0</v>
      </c>
    </row>
    <row r="1025" spans="1:15" s="47" customFormat="1" ht="13">
      <c r="A1025" s="120">
        <v>39129</v>
      </c>
      <c r="B1025" s="50">
        <v>63979.93</v>
      </c>
      <c r="C1025" s="50">
        <f t="shared" si="70"/>
        <v>64946.202230479452</v>
      </c>
      <c r="D1025" s="49">
        <f t="shared" si="71"/>
        <v>39192</v>
      </c>
      <c r="E1025" s="51">
        <v>63</v>
      </c>
      <c r="F1025" s="52">
        <v>8.7499999999999994E-2</v>
      </c>
      <c r="G1025" s="121" t="s">
        <v>276</v>
      </c>
      <c r="H1025" s="1003">
        <f t="shared" si="72"/>
        <v>39129</v>
      </c>
      <c r="I1025" s="934">
        <f t="shared" si="73"/>
        <v>63979.93</v>
      </c>
      <c r="K1025" s="935">
        <f t="shared" si="74"/>
        <v>39192</v>
      </c>
      <c r="L1025" s="920">
        <f t="shared" si="75"/>
        <v>63</v>
      </c>
      <c r="M1025" s="936" t="str">
        <f t="shared" si="76"/>
        <v>BBVA</v>
      </c>
      <c r="N1025" s="937">
        <f t="shared" si="77"/>
        <v>8.7499999999999994E-2</v>
      </c>
      <c r="O1025" s="898">
        <f t="shared" si="78"/>
        <v>0</v>
      </c>
    </row>
    <row r="1026" spans="1:15" s="47" customFormat="1" ht="13">
      <c r="A1026" s="120">
        <v>39162</v>
      </c>
      <c r="B1026" s="50">
        <v>30744.06</v>
      </c>
      <c r="C1026" s="50">
        <f t="shared" si="70"/>
        <v>30988.749025479454</v>
      </c>
      <c r="D1026" s="49">
        <f t="shared" si="71"/>
        <v>39197</v>
      </c>
      <c r="E1026" s="51">
        <v>35</v>
      </c>
      <c r="F1026" s="52">
        <v>8.3000000000000004E-2</v>
      </c>
      <c r="G1026" s="121" t="s">
        <v>647</v>
      </c>
      <c r="H1026" s="1003">
        <f t="shared" si="72"/>
        <v>39162</v>
      </c>
      <c r="I1026" s="934">
        <f t="shared" si="73"/>
        <v>30744.06</v>
      </c>
      <c r="K1026" s="935">
        <f t="shared" si="74"/>
        <v>39197</v>
      </c>
      <c r="L1026" s="920">
        <f t="shared" si="75"/>
        <v>35</v>
      </c>
      <c r="M1026" s="936" t="str">
        <f t="shared" si="76"/>
        <v xml:space="preserve">GALICIA </v>
      </c>
      <c r="N1026" s="937">
        <f t="shared" si="77"/>
        <v>8.3000000000000004E-2</v>
      </c>
      <c r="O1026" s="898">
        <f t="shared" si="78"/>
        <v>0</v>
      </c>
    </row>
    <row r="1027" spans="1:15" s="47" customFormat="1" ht="13">
      <c r="A1027" s="120">
        <v>39181</v>
      </c>
      <c r="B1027" s="50">
        <v>40309.260273972606</v>
      </c>
      <c r="C1027" s="50">
        <f t="shared" si="70"/>
        <v>40584.246734471759</v>
      </c>
      <c r="D1027" s="49">
        <f t="shared" si="71"/>
        <v>39211</v>
      </c>
      <c r="E1027" s="51">
        <v>30</v>
      </c>
      <c r="F1027" s="52">
        <v>8.3000000000000004E-2</v>
      </c>
      <c r="G1027" s="121" t="s">
        <v>647</v>
      </c>
      <c r="H1027" s="1003">
        <f t="shared" si="72"/>
        <v>39181</v>
      </c>
      <c r="I1027" s="934">
        <f t="shared" si="73"/>
        <v>40309.260273972606</v>
      </c>
      <c r="K1027" s="935">
        <f t="shared" si="74"/>
        <v>39211</v>
      </c>
      <c r="L1027" s="920">
        <f t="shared" si="75"/>
        <v>30</v>
      </c>
      <c r="M1027" s="936" t="str">
        <f t="shared" si="76"/>
        <v xml:space="preserve">GALICIA </v>
      </c>
      <c r="N1027" s="937">
        <f t="shared" si="77"/>
        <v>8.3000000000000004E-2</v>
      </c>
      <c r="O1027" s="898">
        <f t="shared" si="78"/>
        <v>0</v>
      </c>
    </row>
    <row r="1028" spans="1:15" s="47" customFormat="1" ht="13">
      <c r="A1028" s="120">
        <v>39181</v>
      </c>
      <c r="B1028" s="50">
        <v>39301.528767123287</v>
      </c>
      <c r="C1028" s="50">
        <f t="shared" si="70"/>
        <v>39569.640566109963</v>
      </c>
      <c r="D1028" s="49">
        <f t="shared" si="71"/>
        <v>39211</v>
      </c>
      <c r="E1028" s="51">
        <v>30</v>
      </c>
      <c r="F1028" s="52">
        <v>8.3000000000000004E-2</v>
      </c>
      <c r="G1028" s="121" t="s">
        <v>647</v>
      </c>
      <c r="H1028" s="1003">
        <f t="shared" si="72"/>
        <v>39181</v>
      </c>
      <c r="I1028" s="934">
        <f t="shared" si="73"/>
        <v>39301.528767123287</v>
      </c>
      <c r="K1028" s="935">
        <f t="shared" si="74"/>
        <v>39211</v>
      </c>
      <c r="L1028" s="920">
        <f t="shared" si="75"/>
        <v>30</v>
      </c>
      <c r="M1028" s="936" t="str">
        <f t="shared" si="76"/>
        <v xml:space="preserve">GALICIA </v>
      </c>
      <c r="N1028" s="937">
        <f t="shared" si="77"/>
        <v>8.3000000000000004E-2</v>
      </c>
      <c r="O1028" s="898">
        <f t="shared" si="78"/>
        <v>0</v>
      </c>
    </row>
    <row r="1029" spans="1:15" s="47" customFormat="1" ht="13">
      <c r="A1029" s="120">
        <v>39183</v>
      </c>
      <c r="B1029" s="50">
        <v>35559.1</v>
      </c>
      <c r="C1029" s="50">
        <f t="shared" si="70"/>
        <v>35798.758591780817</v>
      </c>
      <c r="D1029" s="49">
        <f t="shared" si="71"/>
        <v>39213</v>
      </c>
      <c r="E1029" s="51">
        <v>30</v>
      </c>
      <c r="F1029" s="52">
        <v>8.2000000000000003E-2</v>
      </c>
      <c r="G1029" s="121" t="s">
        <v>632</v>
      </c>
      <c r="H1029" s="1003">
        <f t="shared" si="72"/>
        <v>39183</v>
      </c>
      <c r="I1029" s="934">
        <f t="shared" si="73"/>
        <v>35559.1</v>
      </c>
      <c r="K1029" s="935">
        <f t="shared" si="74"/>
        <v>39213</v>
      </c>
      <c r="L1029" s="920">
        <f t="shared" si="75"/>
        <v>30</v>
      </c>
      <c r="M1029" s="936" t="str">
        <f t="shared" si="76"/>
        <v>RIO</v>
      </c>
      <c r="N1029" s="937">
        <f t="shared" si="77"/>
        <v>8.2000000000000003E-2</v>
      </c>
      <c r="O1029" s="898">
        <f t="shared" si="78"/>
        <v>0</v>
      </c>
    </row>
    <row r="1030" spans="1:15" s="47" customFormat="1" ht="13">
      <c r="A1030" s="120">
        <v>39183</v>
      </c>
      <c r="B1030" s="50">
        <v>40256.17</v>
      </c>
      <c r="C1030" s="50">
        <f t="shared" si="70"/>
        <v>40527.48555671233</v>
      </c>
      <c r="D1030" s="49">
        <f t="shared" si="71"/>
        <v>39213</v>
      </c>
      <c r="E1030" s="51">
        <v>30</v>
      </c>
      <c r="F1030" s="52">
        <v>8.2000000000000003E-2</v>
      </c>
      <c r="G1030" s="121" t="s">
        <v>632</v>
      </c>
      <c r="H1030" s="1003">
        <f t="shared" si="72"/>
        <v>39183</v>
      </c>
      <c r="I1030" s="934">
        <f t="shared" si="73"/>
        <v>40256.17</v>
      </c>
      <c r="K1030" s="935">
        <f t="shared" si="74"/>
        <v>39213</v>
      </c>
      <c r="L1030" s="920">
        <f t="shared" si="75"/>
        <v>30</v>
      </c>
      <c r="M1030" s="936" t="str">
        <f t="shared" si="76"/>
        <v>RIO</v>
      </c>
      <c r="N1030" s="937">
        <f t="shared" si="77"/>
        <v>8.2000000000000003E-2</v>
      </c>
      <c r="O1030" s="898">
        <f t="shared" si="78"/>
        <v>0</v>
      </c>
    </row>
    <row r="1031" spans="1:15" s="47" customFormat="1" ht="13">
      <c r="A1031" s="120">
        <v>39183</v>
      </c>
      <c r="B1031" s="50">
        <v>40505.800000000003</v>
      </c>
      <c r="C1031" s="50">
        <f t="shared" si="70"/>
        <v>40778.797994520552</v>
      </c>
      <c r="D1031" s="49">
        <f t="shared" si="71"/>
        <v>39213</v>
      </c>
      <c r="E1031" s="51">
        <v>30</v>
      </c>
      <c r="F1031" s="52">
        <v>8.2000000000000003E-2</v>
      </c>
      <c r="G1031" s="121" t="s">
        <v>632</v>
      </c>
      <c r="H1031" s="1003">
        <f t="shared" si="72"/>
        <v>39183</v>
      </c>
      <c r="I1031" s="934">
        <f t="shared" si="73"/>
        <v>40505.800000000003</v>
      </c>
      <c r="K1031" s="935">
        <f t="shared" si="74"/>
        <v>39213</v>
      </c>
      <c r="L1031" s="920">
        <f t="shared" si="75"/>
        <v>30</v>
      </c>
      <c r="M1031" s="936" t="str">
        <f t="shared" si="76"/>
        <v>RIO</v>
      </c>
      <c r="N1031" s="937">
        <f t="shared" si="77"/>
        <v>8.2000000000000003E-2</v>
      </c>
      <c r="O1031" s="898">
        <f t="shared" si="78"/>
        <v>0</v>
      </c>
    </row>
    <row r="1032" spans="1:15" s="47" customFormat="1" ht="13">
      <c r="A1032" s="120">
        <v>39185</v>
      </c>
      <c r="B1032" s="50">
        <v>51407.44</v>
      </c>
      <c r="C1032" s="50">
        <f t="shared" si="70"/>
        <v>51756.728907397264</v>
      </c>
      <c r="D1032" s="49">
        <f t="shared" si="71"/>
        <v>39216</v>
      </c>
      <c r="E1032" s="51">
        <v>31</v>
      </c>
      <c r="F1032" s="52">
        <v>0.08</v>
      </c>
      <c r="G1032" s="121" t="s">
        <v>276</v>
      </c>
      <c r="H1032" s="1003">
        <f t="shared" si="72"/>
        <v>39185</v>
      </c>
      <c r="I1032" s="934">
        <f t="shared" si="73"/>
        <v>51407.44</v>
      </c>
      <c r="K1032" s="935">
        <f t="shared" si="74"/>
        <v>39216</v>
      </c>
      <c r="L1032" s="920">
        <f t="shared" si="75"/>
        <v>31</v>
      </c>
      <c r="M1032" s="936" t="str">
        <f t="shared" si="76"/>
        <v>BBVA</v>
      </c>
      <c r="N1032" s="937">
        <f t="shared" si="77"/>
        <v>0.08</v>
      </c>
      <c r="O1032" s="898">
        <f t="shared" si="78"/>
        <v>0</v>
      </c>
    </row>
    <row r="1033" spans="1:15" s="47" customFormat="1" ht="13">
      <c r="A1033" s="120">
        <v>39185</v>
      </c>
      <c r="B1033" s="50">
        <v>51407.44</v>
      </c>
      <c r="C1033" s="50">
        <f t="shared" si="70"/>
        <v>51756.728907397264</v>
      </c>
      <c r="D1033" s="49">
        <f t="shared" si="71"/>
        <v>39216</v>
      </c>
      <c r="E1033" s="51">
        <v>31</v>
      </c>
      <c r="F1033" s="52">
        <v>0.08</v>
      </c>
      <c r="G1033" s="121" t="s">
        <v>276</v>
      </c>
      <c r="H1033" s="1003">
        <f t="shared" si="72"/>
        <v>39185</v>
      </c>
      <c r="I1033" s="934">
        <f t="shared" si="73"/>
        <v>51407.44</v>
      </c>
      <c r="K1033" s="935">
        <f t="shared" si="74"/>
        <v>39216</v>
      </c>
      <c r="L1033" s="920">
        <f t="shared" si="75"/>
        <v>31</v>
      </c>
      <c r="M1033" s="936" t="str">
        <f t="shared" si="76"/>
        <v>BBVA</v>
      </c>
      <c r="N1033" s="937">
        <f t="shared" si="77"/>
        <v>0.08</v>
      </c>
      <c r="O1033" s="898">
        <f t="shared" si="78"/>
        <v>0</v>
      </c>
    </row>
    <row r="1034" spans="1:15" s="47" customFormat="1" ht="13">
      <c r="A1034" s="120">
        <v>39183</v>
      </c>
      <c r="B1034" s="50">
        <v>40713.5</v>
      </c>
      <c r="C1034" s="50">
        <f t="shared" si="70"/>
        <v>41037.534842465757</v>
      </c>
      <c r="D1034" s="49">
        <f t="shared" si="71"/>
        <v>39218</v>
      </c>
      <c r="E1034" s="51">
        <v>35</v>
      </c>
      <c r="F1034" s="52">
        <v>8.3000000000000004E-2</v>
      </c>
      <c r="G1034" s="121" t="s">
        <v>647</v>
      </c>
      <c r="H1034" s="1003">
        <f t="shared" si="72"/>
        <v>39183</v>
      </c>
      <c r="I1034" s="934">
        <f t="shared" si="73"/>
        <v>40713.5</v>
      </c>
      <c r="K1034" s="935">
        <f t="shared" si="74"/>
        <v>39218</v>
      </c>
      <c r="L1034" s="920">
        <f t="shared" si="75"/>
        <v>35</v>
      </c>
      <c r="M1034" s="936" t="str">
        <f t="shared" si="76"/>
        <v xml:space="preserve">GALICIA </v>
      </c>
      <c r="N1034" s="937">
        <f t="shared" si="77"/>
        <v>8.3000000000000004E-2</v>
      </c>
      <c r="O1034" s="898">
        <f t="shared" si="78"/>
        <v>0</v>
      </c>
    </row>
    <row r="1035" spans="1:15" s="47" customFormat="1" ht="13">
      <c r="A1035" s="120">
        <v>39190</v>
      </c>
      <c r="B1035" s="50">
        <v>57599.43</v>
      </c>
      <c r="C1035" s="50">
        <f t="shared" si="70"/>
        <v>58049.573490616436</v>
      </c>
      <c r="D1035" s="49">
        <f t="shared" si="71"/>
        <v>39225</v>
      </c>
      <c r="E1035" s="51">
        <v>35</v>
      </c>
      <c r="F1035" s="52">
        <v>8.1500000000000003E-2</v>
      </c>
      <c r="G1035" s="121" t="s">
        <v>647</v>
      </c>
      <c r="H1035" s="1003">
        <f t="shared" si="72"/>
        <v>39190</v>
      </c>
      <c r="I1035" s="934">
        <f t="shared" si="73"/>
        <v>57599.43</v>
      </c>
      <c r="K1035" s="935">
        <f t="shared" si="74"/>
        <v>39225</v>
      </c>
      <c r="L1035" s="920">
        <f t="shared" si="75"/>
        <v>35</v>
      </c>
      <c r="M1035" s="936" t="str">
        <f t="shared" si="76"/>
        <v xml:space="preserve">GALICIA </v>
      </c>
      <c r="N1035" s="937">
        <f t="shared" si="77"/>
        <v>8.1500000000000003E-2</v>
      </c>
      <c r="O1035" s="898">
        <f t="shared" si="78"/>
        <v>0</v>
      </c>
    </row>
    <row r="1036" spans="1:15" s="47" customFormat="1" ht="13">
      <c r="A1036" s="120">
        <v>39192</v>
      </c>
      <c r="B1036" s="50">
        <v>64946.2</v>
      </c>
      <c r="C1036" s="50">
        <f t="shared" si="70"/>
        <v>65415.947857534244</v>
      </c>
      <c r="D1036" s="49">
        <f t="shared" si="71"/>
        <v>39225</v>
      </c>
      <c r="E1036" s="51">
        <v>33</v>
      </c>
      <c r="F1036" s="52">
        <v>0.08</v>
      </c>
      <c r="G1036" s="121" t="s">
        <v>276</v>
      </c>
      <c r="H1036" s="1003">
        <f t="shared" si="72"/>
        <v>39192</v>
      </c>
      <c r="I1036" s="934">
        <f t="shared" si="73"/>
        <v>64946.2</v>
      </c>
      <c r="K1036" s="935">
        <f t="shared" si="74"/>
        <v>39225</v>
      </c>
      <c r="L1036" s="920">
        <f t="shared" si="75"/>
        <v>33</v>
      </c>
      <c r="M1036" s="936" t="str">
        <f t="shared" si="76"/>
        <v>BBVA</v>
      </c>
      <c r="N1036" s="937">
        <f t="shared" si="77"/>
        <v>0.08</v>
      </c>
      <c r="O1036" s="898">
        <f t="shared" si="78"/>
        <v>0</v>
      </c>
    </row>
    <row r="1037" spans="1:15" s="47" customFormat="1" ht="13">
      <c r="A1037" s="120">
        <v>39197</v>
      </c>
      <c r="B1037" s="50">
        <v>30988.75</v>
      </c>
      <c r="C1037" s="50">
        <f t="shared" si="70"/>
        <v>31217.090392123289</v>
      </c>
      <c r="D1037" s="49">
        <f t="shared" si="71"/>
        <v>39230</v>
      </c>
      <c r="E1037" s="51">
        <v>33</v>
      </c>
      <c r="F1037" s="52">
        <v>8.1500000000000003E-2</v>
      </c>
      <c r="G1037" s="121" t="s">
        <v>647</v>
      </c>
      <c r="H1037" s="1003">
        <f t="shared" si="72"/>
        <v>39197</v>
      </c>
      <c r="I1037" s="934">
        <f t="shared" si="73"/>
        <v>30988.75</v>
      </c>
      <c r="K1037" s="935">
        <f t="shared" si="74"/>
        <v>39230</v>
      </c>
      <c r="L1037" s="920">
        <f t="shared" si="75"/>
        <v>33</v>
      </c>
      <c r="M1037" s="936" t="str">
        <f t="shared" si="76"/>
        <v xml:space="preserve">GALICIA </v>
      </c>
      <c r="N1037" s="937">
        <f t="shared" si="77"/>
        <v>8.1500000000000003E-2</v>
      </c>
      <c r="O1037" s="898">
        <f t="shared" si="78"/>
        <v>0</v>
      </c>
    </row>
    <row r="1038" spans="1:15" s="47" customFormat="1" ht="13">
      <c r="A1038" s="120">
        <v>39198</v>
      </c>
      <c r="B1038" s="50">
        <v>61000</v>
      </c>
      <c r="C1038" s="50">
        <f t="shared" si="70"/>
        <v>61454.575342465752</v>
      </c>
      <c r="D1038" s="49">
        <f t="shared" si="71"/>
        <v>39232</v>
      </c>
      <c r="E1038" s="51">
        <v>34</v>
      </c>
      <c r="F1038" s="52">
        <v>0.08</v>
      </c>
      <c r="G1038" s="121" t="s">
        <v>276</v>
      </c>
      <c r="H1038" s="1003">
        <f t="shared" si="72"/>
        <v>39198</v>
      </c>
      <c r="I1038" s="934">
        <f t="shared" si="73"/>
        <v>61000</v>
      </c>
      <c r="K1038" s="935">
        <f t="shared" si="74"/>
        <v>39232</v>
      </c>
      <c r="L1038" s="920">
        <f t="shared" si="75"/>
        <v>34</v>
      </c>
      <c r="M1038" s="936" t="str">
        <f t="shared" si="76"/>
        <v>BBVA</v>
      </c>
      <c r="N1038" s="937">
        <f t="shared" si="77"/>
        <v>0.08</v>
      </c>
      <c r="O1038" s="898">
        <f t="shared" si="78"/>
        <v>0</v>
      </c>
    </row>
    <row r="1039" spans="1:15" s="47" customFormat="1" ht="13">
      <c r="A1039" s="120">
        <v>39198</v>
      </c>
      <c r="B1039" s="50">
        <v>61000</v>
      </c>
      <c r="C1039" s="50">
        <f t="shared" si="70"/>
        <v>61454.575342465752</v>
      </c>
      <c r="D1039" s="49">
        <f t="shared" si="71"/>
        <v>39232</v>
      </c>
      <c r="E1039" s="51">
        <v>34</v>
      </c>
      <c r="F1039" s="52">
        <v>0.08</v>
      </c>
      <c r="G1039" s="121" t="s">
        <v>276</v>
      </c>
      <c r="H1039" s="1003">
        <f t="shared" si="72"/>
        <v>39198</v>
      </c>
      <c r="I1039" s="934">
        <f t="shared" si="73"/>
        <v>61000</v>
      </c>
      <c r="K1039" s="935">
        <f t="shared" si="74"/>
        <v>39232</v>
      </c>
      <c r="L1039" s="920">
        <f t="shared" si="75"/>
        <v>34</v>
      </c>
      <c r="M1039" s="936" t="str">
        <f t="shared" si="76"/>
        <v>BBVA</v>
      </c>
      <c r="N1039" s="937">
        <f t="shared" si="77"/>
        <v>0.08</v>
      </c>
      <c r="O1039" s="898">
        <f t="shared" si="78"/>
        <v>0</v>
      </c>
    </row>
    <row r="1040" spans="1:15" s="47" customFormat="1" ht="13">
      <c r="A1040" s="120">
        <v>39212</v>
      </c>
      <c r="B1040" s="50">
        <v>40584.246734471759</v>
      </c>
      <c r="C1040" s="50">
        <f t="shared" si="70"/>
        <v>40892.353440502498</v>
      </c>
      <c r="D1040" s="49">
        <f t="shared" si="71"/>
        <v>39246</v>
      </c>
      <c r="E1040" s="51">
        <v>34</v>
      </c>
      <c r="F1040" s="52">
        <v>8.1500000000000003E-2</v>
      </c>
      <c r="G1040" s="121" t="s">
        <v>647</v>
      </c>
      <c r="H1040" s="1003">
        <f t="shared" si="72"/>
        <v>39212</v>
      </c>
      <c r="I1040" s="934">
        <f t="shared" si="73"/>
        <v>40584.246734471759</v>
      </c>
      <c r="K1040" s="935">
        <f t="shared" si="74"/>
        <v>39246</v>
      </c>
      <c r="L1040" s="920">
        <f t="shared" si="75"/>
        <v>34</v>
      </c>
      <c r="M1040" s="936" t="str">
        <f t="shared" si="76"/>
        <v xml:space="preserve">GALICIA </v>
      </c>
      <c r="N1040" s="937">
        <f t="shared" si="77"/>
        <v>8.1500000000000003E-2</v>
      </c>
      <c r="O1040" s="898">
        <f t="shared" ref="O1040:O1065" si="79">(I1040*N1040/365*$O$71)*1</f>
        <v>0</v>
      </c>
    </row>
    <row r="1041" spans="1:15" s="47" customFormat="1" ht="13">
      <c r="A1041" s="120">
        <v>39212</v>
      </c>
      <c r="B1041" s="50">
        <v>39569.64</v>
      </c>
      <c r="C1041" s="50">
        <f t="shared" si="70"/>
        <v>39870.044034082188</v>
      </c>
      <c r="D1041" s="49">
        <f t="shared" si="71"/>
        <v>39246</v>
      </c>
      <c r="E1041" s="51">
        <v>34</v>
      </c>
      <c r="F1041" s="52">
        <v>8.1500000000000003E-2</v>
      </c>
      <c r="G1041" s="121" t="s">
        <v>647</v>
      </c>
      <c r="H1041" s="1003">
        <f t="shared" si="72"/>
        <v>39212</v>
      </c>
      <c r="I1041" s="934">
        <f t="shared" si="73"/>
        <v>39569.64</v>
      </c>
      <c r="K1041" s="935">
        <f t="shared" si="74"/>
        <v>39246</v>
      </c>
      <c r="L1041" s="920">
        <f t="shared" si="75"/>
        <v>34</v>
      </c>
      <c r="M1041" s="936" t="str">
        <f t="shared" si="76"/>
        <v xml:space="preserve">GALICIA </v>
      </c>
      <c r="N1041" s="937">
        <f t="shared" si="77"/>
        <v>8.1500000000000003E-2</v>
      </c>
      <c r="O1041" s="898">
        <f t="shared" si="79"/>
        <v>0</v>
      </c>
    </row>
    <row r="1042" spans="1:15" s="47" customFormat="1" ht="13">
      <c r="A1042" s="120">
        <v>39216</v>
      </c>
      <c r="B1042" s="50">
        <v>51756.73</v>
      </c>
      <c r="C1042" s="50">
        <f t="shared" si="70"/>
        <v>52097.048224657534</v>
      </c>
      <c r="D1042" s="49">
        <f t="shared" si="71"/>
        <v>39246</v>
      </c>
      <c r="E1042" s="51">
        <v>30</v>
      </c>
      <c r="F1042" s="52">
        <v>0.08</v>
      </c>
      <c r="G1042" s="121" t="s">
        <v>276</v>
      </c>
      <c r="H1042" s="1003">
        <f t="shared" si="72"/>
        <v>39216</v>
      </c>
      <c r="I1042" s="934">
        <f t="shared" si="73"/>
        <v>51756.73</v>
      </c>
      <c r="K1042" s="935">
        <f t="shared" si="74"/>
        <v>39246</v>
      </c>
      <c r="L1042" s="920">
        <f t="shared" si="75"/>
        <v>30</v>
      </c>
      <c r="M1042" s="936" t="str">
        <f t="shared" si="76"/>
        <v>BBVA</v>
      </c>
      <c r="N1042" s="937">
        <f t="shared" si="77"/>
        <v>0.08</v>
      </c>
      <c r="O1042" s="898">
        <f t="shared" si="79"/>
        <v>0</v>
      </c>
    </row>
    <row r="1043" spans="1:15" s="47" customFormat="1" ht="13">
      <c r="A1043" s="120">
        <v>39213</v>
      </c>
      <c r="B1043" s="50">
        <v>50000</v>
      </c>
      <c r="C1043" s="50">
        <f t="shared" ref="C1043:C1074" si="80">B1043+(B1043*F1043/365*E1043)*1</f>
        <v>50357.123287671231</v>
      </c>
      <c r="D1043" s="49">
        <f t="shared" ref="D1043:D1074" si="81">A1043+E1043</f>
        <v>39246</v>
      </c>
      <c r="E1043" s="51">
        <v>33</v>
      </c>
      <c r="F1043" s="52">
        <v>7.9000000000000001E-2</v>
      </c>
      <c r="G1043" s="121" t="s">
        <v>632</v>
      </c>
      <c r="H1043" s="1003">
        <f t="shared" ref="H1043:H1074" si="82">+A1043</f>
        <v>39213</v>
      </c>
      <c r="I1043" s="934">
        <f t="shared" ref="I1043:I1074" si="83">+B1043</f>
        <v>50000</v>
      </c>
      <c r="K1043" s="935">
        <f t="shared" ref="K1043:K1074" si="84">+D1043</f>
        <v>39246</v>
      </c>
      <c r="L1043" s="920">
        <f t="shared" ref="L1043:L1074" si="85">+E1043</f>
        <v>33</v>
      </c>
      <c r="M1043" s="936" t="str">
        <f t="shared" ref="M1043:M1074" si="86">+G1043</f>
        <v>RIO</v>
      </c>
      <c r="N1043" s="937">
        <f t="shared" ref="N1043:N1074" si="87">+F1043</f>
        <v>7.9000000000000001E-2</v>
      </c>
      <c r="O1043" s="898">
        <f t="shared" si="79"/>
        <v>0</v>
      </c>
    </row>
    <row r="1044" spans="1:15" s="47" customFormat="1" ht="13">
      <c r="A1044" s="120">
        <v>39213</v>
      </c>
      <c r="B1044" s="50">
        <v>50000</v>
      </c>
      <c r="C1044" s="50">
        <f t="shared" si="80"/>
        <v>50357.123287671231</v>
      </c>
      <c r="D1044" s="49">
        <f t="shared" si="81"/>
        <v>39246</v>
      </c>
      <c r="E1044" s="51">
        <v>33</v>
      </c>
      <c r="F1044" s="52">
        <v>7.9000000000000001E-2</v>
      </c>
      <c r="G1044" s="121" t="s">
        <v>632</v>
      </c>
      <c r="H1044" s="1003">
        <f t="shared" si="82"/>
        <v>39213</v>
      </c>
      <c r="I1044" s="934">
        <f t="shared" si="83"/>
        <v>50000</v>
      </c>
      <c r="K1044" s="935">
        <f t="shared" si="84"/>
        <v>39246</v>
      </c>
      <c r="L1044" s="920">
        <f t="shared" si="85"/>
        <v>33</v>
      </c>
      <c r="M1044" s="936" t="str">
        <f t="shared" si="86"/>
        <v>RIO</v>
      </c>
      <c r="N1044" s="937">
        <f t="shared" si="87"/>
        <v>7.9000000000000001E-2</v>
      </c>
      <c r="O1044" s="898">
        <f t="shared" si="79"/>
        <v>0</v>
      </c>
    </row>
    <row r="1045" spans="1:15" s="47" customFormat="1" ht="13">
      <c r="A1045" s="120">
        <v>39219</v>
      </c>
      <c r="B1045" s="50">
        <v>41037.53</v>
      </c>
      <c r="C1045" s="50">
        <f t="shared" si="80"/>
        <v>41349.077933232875</v>
      </c>
      <c r="D1045" s="49">
        <f t="shared" si="81"/>
        <v>39253</v>
      </c>
      <c r="E1045" s="51">
        <v>34</v>
      </c>
      <c r="F1045" s="52">
        <v>8.1500000000000003E-2</v>
      </c>
      <c r="G1045" s="121" t="s">
        <v>647</v>
      </c>
      <c r="H1045" s="1003">
        <f t="shared" si="82"/>
        <v>39219</v>
      </c>
      <c r="I1045" s="934">
        <f t="shared" si="83"/>
        <v>41037.53</v>
      </c>
      <c r="K1045" s="935">
        <f t="shared" si="84"/>
        <v>39253</v>
      </c>
      <c r="L1045" s="920">
        <f t="shared" si="85"/>
        <v>34</v>
      </c>
      <c r="M1045" s="936" t="str">
        <f t="shared" si="86"/>
        <v xml:space="preserve">GALICIA </v>
      </c>
      <c r="N1045" s="937">
        <f t="shared" si="87"/>
        <v>8.1500000000000003E-2</v>
      </c>
      <c r="O1045" s="898">
        <f t="shared" si="79"/>
        <v>0</v>
      </c>
    </row>
    <row r="1046" spans="1:15" s="47" customFormat="1" ht="13">
      <c r="A1046" s="120">
        <v>39217</v>
      </c>
      <c r="B1046" s="50">
        <v>41500</v>
      </c>
      <c r="C1046" s="50">
        <f t="shared" si="80"/>
        <v>41833.591780821916</v>
      </c>
      <c r="D1046" s="49">
        <f t="shared" si="81"/>
        <v>39253</v>
      </c>
      <c r="E1046" s="51">
        <v>36</v>
      </c>
      <c r="F1046" s="52">
        <v>8.1500000000000003E-2</v>
      </c>
      <c r="G1046" s="121" t="s">
        <v>647</v>
      </c>
      <c r="H1046" s="1003">
        <f t="shared" si="82"/>
        <v>39217</v>
      </c>
      <c r="I1046" s="934">
        <f t="shared" si="83"/>
        <v>41500</v>
      </c>
      <c r="K1046" s="935">
        <f t="shared" si="84"/>
        <v>39253</v>
      </c>
      <c r="L1046" s="920">
        <f t="shared" si="85"/>
        <v>36</v>
      </c>
      <c r="M1046" s="936" t="str">
        <f t="shared" si="86"/>
        <v xml:space="preserve">GALICIA </v>
      </c>
      <c r="N1046" s="937">
        <f t="shared" si="87"/>
        <v>8.1500000000000003E-2</v>
      </c>
      <c r="O1046" s="898">
        <f t="shared" si="79"/>
        <v>0</v>
      </c>
    </row>
    <row r="1047" spans="1:15" s="47" customFormat="1" ht="13">
      <c r="A1047" s="120">
        <v>39225</v>
      </c>
      <c r="B1047" s="50">
        <v>58049.57</v>
      </c>
      <c r="C1047" s="50">
        <f t="shared" si="80"/>
        <v>58503.231365547945</v>
      </c>
      <c r="D1047" s="49">
        <f t="shared" si="81"/>
        <v>39260</v>
      </c>
      <c r="E1047" s="51">
        <v>35</v>
      </c>
      <c r="F1047" s="52">
        <v>8.1500000000000003E-2</v>
      </c>
      <c r="G1047" s="121" t="s">
        <v>647</v>
      </c>
      <c r="H1047" s="1003">
        <f t="shared" si="82"/>
        <v>39225</v>
      </c>
      <c r="I1047" s="934">
        <f t="shared" si="83"/>
        <v>58049.57</v>
      </c>
      <c r="K1047" s="935">
        <f t="shared" si="84"/>
        <v>39260</v>
      </c>
      <c r="L1047" s="920">
        <f t="shared" si="85"/>
        <v>35</v>
      </c>
      <c r="M1047" s="936" t="str">
        <f t="shared" si="86"/>
        <v xml:space="preserve">GALICIA </v>
      </c>
      <c r="N1047" s="937">
        <f t="shared" si="87"/>
        <v>8.1500000000000003E-2</v>
      </c>
      <c r="O1047" s="898">
        <f t="shared" si="79"/>
        <v>0</v>
      </c>
    </row>
    <row r="1048" spans="1:15" s="47" customFormat="1" ht="13">
      <c r="A1048" s="120">
        <v>39230</v>
      </c>
      <c r="B1048" s="50">
        <v>31217.06</v>
      </c>
      <c r="C1048" s="50">
        <f t="shared" si="80"/>
        <v>31426.171538904109</v>
      </c>
      <c r="D1048" s="49">
        <f t="shared" si="81"/>
        <v>39260</v>
      </c>
      <c r="E1048" s="51">
        <v>30</v>
      </c>
      <c r="F1048" s="52">
        <v>8.1500000000000003E-2</v>
      </c>
      <c r="G1048" s="121" t="s">
        <v>647</v>
      </c>
      <c r="H1048" s="1003">
        <f t="shared" si="82"/>
        <v>39230</v>
      </c>
      <c r="I1048" s="934">
        <f t="shared" si="83"/>
        <v>31217.06</v>
      </c>
      <c r="K1048" s="935">
        <f t="shared" si="84"/>
        <v>39260</v>
      </c>
      <c r="L1048" s="920">
        <f t="shared" si="85"/>
        <v>30</v>
      </c>
      <c r="M1048" s="936" t="str">
        <f t="shared" si="86"/>
        <v xml:space="preserve">GALICIA </v>
      </c>
      <c r="N1048" s="937">
        <f t="shared" si="87"/>
        <v>8.1500000000000003E-2</v>
      </c>
      <c r="O1048" s="898">
        <f t="shared" si="79"/>
        <v>0</v>
      </c>
    </row>
    <row r="1049" spans="1:15" s="47" customFormat="1" ht="13">
      <c r="A1049" s="120">
        <v>39225</v>
      </c>
      <c r="B1049" s="50">
        <v>65415.95</v>
      </c>
      <c r="C1049" s="50">
        <f t="shared" si="80"/>
        <v>65917.770986301373</v>
      </c>
      <c r="D1049" s="49">
        <f t="shared" si="81"/>
        <v>39260</v>
      </c>
      <c r="E1049" s="51">
        <v>35</v>
      </c>
      <c r="F1049" s="52">
        <v>0.08</v>
      </c>
      <c r="G1049" s="121" t="s">
        <v>276</v>
      </c>
      <c r="H1049" s="1003">
        <f t="shared" si="82"/>
        <v>39225</v>
      </c>
      <c r="I1049" s="934">
        <f t="shared" si="83"/>
        <v>65415.95</v>
      </c>
      <c r="K1049" s="935">
        <f t="shared" si="84"/>
        <v>39260</v>
      </c>
      <c r="L1049" s="920">
        <f t="shared" si="85"/>
        <v>35</v>
      </c>
      <c r="M1049" s="936" t="str">
        <f t="shared" si="86"/>
        <v>BBVA</v>
      </c>
      <c r="N1049" s="937">
        <f t="shared" si="87"/>
        <v>0.08</v>
      </c>
      <c r="O1049" s="898">
        <f t="shared" si="79"/>
        <v>0</v>
      </c>
    </row>
    <row r="1050" spans="1:15" s="47" customFormat="1" ht="13">
      <c r="A1050" s="120">
        <v>39216</v>
      </c>
      <c r="B1050" s="50">
        <v>51756.73</v>
      </c>
      <c r="C1050" s="50">
        <f t="shared" si="80"/>
        <v>52176.45581041096</v>
      </c>
      <c r="D1050" s="49">
        <f t="shared" si="81"/>
        <v>39253</v>
      </c>
      <c r="E1050" s="51">
        <v>37</v>
      </c>
      <c r="F1050" s="52">
        <v>0.08</v>
      </c>
      <c r="G1050" s="121" t="s">
        <v>276</v>
      </c>
      <c r="H1050" s="1003">
        <f t="shared" si="82"/>
        <v>39216</v>
      </c>
      <c r="I1050" s="934">
        <f t="shared" si="83"/>
        <v>51756.73</v>
      </c>
      <c r="K1050" s="935">
        <f t="shared" si="84"/>
        <v>39253</v>
      </c>
      <c r="L1050" s="920">
        <f t="shared" si="85"/>
        <v>37</v>
      </c>
      <c r="M1050" s="936" t="str">
        <f t="shared" si="86"/>
        <v>BBVA</v>
      </c>
      <c r="N1050" s="937">
        <f t="shared" si="87"/>
        <v>0.08</v>
      </c>
      <c r="O1050" s="898">
        <f t="shared" si="79"/>
        <v>0</v>
      </c>
    </row>
    <row r="1051" spans="1:15" s="47" customFormat="1" ht="13">
      <c r="A1051" s="120">
        <v>39232</v>
      </c>
      <c r="B1051" s="50">
        <v>61454.58</v>
      </c>
      <c r="C1051" s="50">
        <f t="shared" si="80"/>
        <v>61926.012394520549</v>
      </c>
      <c r="D1051" s="49">
        <f t="shared" si="81"/>
        <v>39267</v>
      </c>
      <c r="E1051" s="51">
        <v>35</v>
      </c>
      <c r="F1051" s="52">
        <v>0.08</v>
      </c>
      <c r="G1051" s="121" t="s">
        <v>276</v>
      </c>
      <c r="H1051" s="1003">
        <f t="shared" si="82"/>
        <v>39232</v>
      </c>
      <c r="I1051" s="934">
        <f t="shared" si="83"/>
        <v>61454.58</v>
      </c>
      <c r="K1051" s="935">
        <f t="shared" si="84"/>
        <v>39267</v>
      </c>
      <c r="L1051" s="920">
        <f t="shared" si="85"/>
        <v>35</v>
      </c>
      <c r="M1051" s="936" t="str">
        <f t="shared" si="86"/>
        <v>BBVA</v>
      </c>
      <c r="N1051" s="937">
        <f t="shared" si="87"/>
        <v>0.08</v>
      </c>
      <c r="O1051" s="898">
        <f t="shared" si="79"/>
        <v>0</v>
      </c>
    </row>
    <row r="1052" spans="1:15" s="47" customFormat="1" ht="13">
      <c r="A1052" s="120">
        <v>39232</v>
      </c>
      <c r="B1052" s="50">
        <v>61454.58</v>
      </c>
      <c r="C1052" s="50">
        <f t="shared" si="80"/>
        <v>61926.012394520549</v>
      </c>
      <c r="D1052" s="49">
        <f t="shared" si="81"/>
        <v>39267</v>
      </c>
      <c r="E1052" s="51">
        <v>35</v>
      </c>
      <c r="F1052" s="52">
        <v>0.08</v>
      </c>
      <c r="G1052" s="121" t="s">
        <v>276</v>
      </c>
      <c r="H1052" s="1003">
        <f t="shared" si="82"/>
        <v>39232</v>
      </c>
      <c r="I1052" s="934">
        <f t="shared" si="83"/>
        <v>61454.58</v>
      </c>
      <c r="K1052" s="935">
        <f t="shared" si="84"/>
        <v>39267</v>
      </c>
      <c r="L1052" s="920">
        <f t="shared" si="85"/>
        <v>35</v>
      </c>
      <c r="M1052" s="936" t="str">
        <f t="shared" si="86"/>
        <v>BBVA</v>
      </c>
      <c r="N1052" s="937">
        <f t="shared" si="87"/>
        <v>0.08</v>
      </c>
      <c r="O1052" s="898">
        <f t="shared" si="79"/>
        <v>0</v>
      </c>
    </row>
    <row r="1053" spans="1:15" s="47" customFormat="1" ht="13">
      <c r="A1053" s="120">
        <v>39246</v>
      </c>
      <c r="B1053" s="50">
        <v>52097.048224657534</v>
      </c>
      <c r="C1053" s="50">
        <f t="shared" si="80"/>
        <v>52496.696813778195</v>
      </c>
      <c r="D1053" s="49">
        <f t="shared" si="81"/>
        <v>39281</v>
      </c>
      <c r="E1053" s="51">
        <v>35</v>
      </c>
      <c r="F1053" s="52">
        <v>0.08</v>
      </c>
      <c r="G1053" s="121" t="s">
        <v>276</v>
      </c>
      <c r="H1053" s="1003">
        <f t="shared" si="82"/>
        <v>39246</v>
      </c>
      <c r="I1053" s="934">
        <f t="shared" si="83"/>
        <v>52097.048224657534</v>
      </c>
      <c r="K1053" s="935">
        <f t="shared" si="84"/>
        <v>39281</v>
      </c>
      <c r="L1053" s="920">
        <f t="shared" si="85"/>
        <v>35</v>
      </c>
      <c r="M1053" s="936" t="str">
        <f t="shared" si="86"/>
        <v>BBVA</v>
      </c>
      <c r="N1053" s="937">
        <f t="shared" si="87"/>
        <v>0.08</v>
      </c>
      <c r="O1053" s="898">
        <f t="shared" si="79"/>
        <v>0</v>
      </c>
    </row>
    <row r="1054" spans="1:15" s="47" customFormat="1" ht="13">
      <c r="A1054" s="120">
        <v>39247</v>
      </c>
      <c r="B1054" s="50">
        <v>50000</v>
      </c>
      <c r="C1054" s="50">
        <f t="shared" si="80"/>
        <v>50379.589041095889</v>
      </c>
      <c r="D1054" s="49">
        <f t="shared" si="81"/>
        <v>39281</v>
      </c>
      <c r="E1054" s="51">
        <v>34</v>
      </c>
      <c r="F1054" s="52">
        <v>8.1500000000000003E-2</v>
      </c>
      <c r="G1054" s="121" t="s">
        <v>647</v>
      </c>
      <c r="H1054" s="1003">
        <f t="shared" si="82"/>
        <v>39247</v>
      </c>
      <c r="I1054" s="934">
        <f t="shared" si="83"/>
        <v>50000</v>
      </c>
      <c r="K1054" s="935">
        <f t="shared" si="84"/>
        <v>39281</v>
      </c>
      <c r="L1054" s="920">
        <f t="shared" si="85"/>
        <v>34</v>
      </c>
      <c r="M1054" s="936" t="str">
        <f t="shared" si="86"/>
        <v xml:space="preserve">GALICIA </v>
      </c>
      <c r="N1054" s="937">
        <f t="shared" si="87"/>
        <v>8.1500000000000003E-2</v>
      </c>
      <c r="O1054" s="898">
        <f t="shared" si="79"/>
        <v>0</v>
      </c>
    </row>
    <row r="1055" spans="1:15" s="47" customFormat="1" ht="13">
      <c r="A1055" s="120">
        <v>39247</v>
      </c>
      <c r="B1055" s="50">
        <v>50000</v>
      </c>
      <c r="C1055" s="50">
        <f t="shared" si="80"/>
        <v>50379.589041095889</v>
      </c>
      <c r="D1055" s="49">
        <f t="shared" si="81"/>
        <v>39281</v>
      </c>
      <c r="E1055" s="51">
        <v>34</v>
      </c>
      <c r="F1055" s="52">
        <v>8.1500000000000003E-2</v>
      </c>
      <c r="G1055" s="121" t="s">
        <v>647</v>
      </c>
      <c r="H1055" s="1003">
        <f t="shared" si="82"/>
        <v>39247</v>
      </c>
      <c r="I1055" s="934">
        <f t="shared" si="83"/>
        <v>50000</v>
      </c>
      <c r="K1055" s="935">
        <f t="shared" si="84"/>
        <v>39281</v>
      </c>
      <c r="L1055" s="920">
        <f t="shared" si="85"/>
        <v>34</v>
      </c>
      <c r="M1055" s="936" t="str">
        <f t="shared" si="86"/>
        <v xml:space="preserve">GALICIA </v>
      </c>
      <c r="N1055" s="937">
        <f t="shared" si="87"/>
        <v>8.1500000000000003E-2</v>
      </c>
      <c r="O1055" s="898">
        <f t="shared" si="79"/>
        <v>0</v>
      </c>
    </row>
    <row r="1056" spans="1:15" s="47" customFormat="1" ht="13">
      <c r="A1056" s="120">
        <v>39253</v>
      </c>
      <c r="B1056" s="50">
        <v>52176.46</v>
      </c>
      <c r="C1056" s="50">
        <f t="shared" si="80"/>
        <v>52571.714553150683</v>
      </c>
      <c r="D1056" s="49">
        <f t="shared" si="81"/>
        <v>39288</v>
      </c>
      <c r="E1056" s="51">
        <v>35</v>
      </c>
      <c r="F1056" s="52">
        <v>7.9000000000000001E-2</v>
      </c>
      <c r="G1056" s="121" t="s">
        <v>276</v>
      </c>
      <c r="H1056" s="1003">
        <f t="shared" si="82"/>
        <v>39253</v>
      </c>
      <c r="I1056" s="934">
        <f t="shared" si="83"/>
        <v>52176.46</v>
      </c>
      <c r="K1056" s="935">
        <f t="shared" si="84"/>
        <v>39288</v>
      </c>
      <c r="L1056" s="920">
        <f t="shared" si="85"/>
        <v>35</v>
      </c>
      <c r="M1056" s="936" t="str">
        <f t="shared" si="86"/>
        <v>BBVA</v>
      </c>
      <c r="N1056" s="937">
        <f t="shared" si="87"/>
        <v>7.9000000000000001E-2</v>
      </c>
      <c r="O1056" s="898">
        <f t="shared" si="79"/>
        <v>0</v>
      </c>
    </row>
    <row r="1057" spans="1:15" s="47" customFormat="1" ht="13">
      <c r="A1057" s="120">
        <v>39253</v>
      </c>
      <c r="B1057" s="50">
        <v>41349.08</v>
      </c>
      <c r="C1057" s="50">
        <f t="shared" si="80"/>
        <v>41672.225892328766</v>
      </c>
      <c r="D1057" s="49">
        <f t="shared" si="81"/>
        <v>39288</v>
      </c>
      <c r="E1057" s="51">
        <v>35</v>
      </c>
      <c r="F1057" s="52">
        <v>8.1500000000000003E-2</v>
      </c>
      <c r="G1057" s="121" t="s">
        <v>647</v>
      </c>
      <c r="H1057" s="1003">
        <f t="shared" si="82"/>
        <v>39253</v>
      </c>
      <c r="I1057" s="934">
        <f t="shared" si="83"/>
        <v>41349.08</v>
      </c>
      <c r="K1057" s="935">
        <f t="shared" si="84"/>
        <v>39288</v>
      </c>
      <c r="L1057" s="920">
        <f t="shared" si="85"/>
        <v>35</v>
      </c>
      <c r="M1057" s="936" t="str">
        <f t="shared" si="86"/>
        <v xml:space="preserve">GALICIA </v>
      </c>
      <c r="N1057" s="937">
        <f t="shared" si="87"/>
        <v>8.1500000000000003E-2</v>
      </c>
      <c r="O1057" s="898">
        <f t="shared" si="79"/>
        <v>0</v>
      </c>
    </row>
    <row r="1058" spans="1:15" s="47" customFormat="1" ht="13">
      <c r="A1058" s="120">
        <v>39253</v>
      </c>
      <c r="B1058" s="50">
        <v>41833.589999999997</v>
      </c>
      <c r="C1058" s="50">
        <f t="shared" si="80"/>
        <v>42160.522371164378</v>
      </c>
      <c r="D1058" s="49">
        <f t="shared" si="81"/>
        <v>39288</v>
      </c>
      <c r="E1058" s="51">
        <v>35</v>
      </c>
      <c r="F1058" s="52">
        <v>8.1500000000000003E-2</v>
      </c>
      <c r="G1058" s="121" t="s">
        <v>647</v>
      </c>
      <c r="H1058" s="1003">
        <f t="shared" si="82"/>
        <v>39253</v>
      </c>
      <c r="I1058" s="934">
        <f t="shared" si="83"/>
        <v>41833.589999999997</v>
      </c>
      <c r="K1058" s="935">
        <f t="shared" si="84"/>
        <v>39288</v>
      </c>
      <c r="L1058" s="920">
        <f t="shared" si="85"/>
        <v>35</v>
      </c>
      <c r="M1058" s="936" t="str">
        <f t="shared" si="86"/>
        <v xml:space="preserve">GALICIA </v>
      </c>
      <c r="N1058" s="937">
        <f t="shared" si="87"/>
        <v>8.1500000000000003E-2</v>
      </c>
      <c r="O1058" s="898">
        <f t="shared" si="79"/>
        <v>0</v>
      </c>
    </row>
    <row r="1059" spans="1:15" s="47" customFormat="1" ht="13">
      <c r="A1059" s="120">
        <v>39260</v>
      </c>
      <c r="B1059" s="50">
        <v>58503.23</v>
      </c>
      <c r="C1059" s="50">
        <f t="shared" si="80"/>
        <v>58895.121499589048</v>
      </c>
      <c r="D1059" s="49">
        <f t="shared" si="81"/>
        <v>39290</v>
      </c>
      <c r="E1059" s="51">
        <v>30</v>
      </c>
      <c r="F1059" s="52">
        <v>8.1500000000000003E-2</v>
      </c>
      <c r="G1059" s="121" t="s">
        <v>647</v>
      </c>
      <c r="H1059" s="1003">
        <f t="shared" si="82"/>
        <v>39260</v>
      </c>
      <c r="I1059" s="934">
        <f t="shared" si="83"/>
        <v>58503.23</v>
      </c>
      <c r="K1059" s="935">
        <f t="shared" si="84"/>
        <v>39290</v>
      </c>
      <c r="L1059" s="920">
        <f t="shared" si="85"/>
        <v>30</v>
      </c>
      <c r="M1059" s="936" t="str">
        <f t="shared" si="86"/>
        <v xml:space="preserve">GALICIA </v>
      </c>
      <c r="N1059" s="937">
        <f t="shared" si="87"/>
        <v>8.1500000000000003E-2</v>
      </c>
      <c r="O1059" s="898">
        <f t="shared" si="79"/>
        <v>0</v>
      </c>
    </row>
    <row r="1060" spans="1:15" s="47" customFormat="1" ht="13">
      <c r="A1060" s="120">
        <v>39260</v>
      </c>
      <c r="B1060" s="50">
        <v>31426.17</v>
      </c>
      <c r="C1060" s="50">
        <f t="shared" si="80"/>
        <v>31636.682289452052</v>
      </c>
      <c r="D1060" s="49">
        <f t="shared" si="81"/>
        <v>39290</v>
      </c>
      <c r="E1060" s="51">
        <v>30</v>
      </c>
      <c r="F1060" s="52">
        <v>8.1500000000000003E-2</v>
      </c>
      <c r="G1060" s="121" t="s">
        <v>647</v>
      </c>
      <c r="H1060" s="1003">
        <f t="shared" si="82"/>
        <v>39260</v>
      </c>
      <c r="I1060" s="934">
        <f t="shared" si="83"/>
        <v>31426.17</v>
      </c>
      <c r="K1060" s="935">
        <f t="shared" si="84"/>
        <v>39290</v>
      </c>
      <c r="L1060" s="920">
        <f t="shared" si="85"/>
        <v>30</v>
      </c>
      <c r="M1060" s="936" t="str">
        <f t="shared" si="86"/>
        <v xml:space="preserve">GALICIA </v>
      </c>
      <c r="N1060" s="937">
        <f t="shared" si="87"/>
        <v>8.1500000000000003E-2</v>
      </c>
      <c r="O1060" s="898">
        <f t="shared" si="79"/>
        <v>0</v>
      </c>
    </row>
    <row r="1061" spans="1:15" s="47" customFormat="1" ht="13">
      <c r="A1061" s="120">
        <v>39260</v>
      </c>
      <c r="B1061" s="50">
        <v>65917.77</v>
      </c>
      <c r="C1061" s="50">
        <f t="shared" si="80"/>
        <v>66423.440564383563</v>
      </c>
      <c r="D1061" s="49">
        <f t="shared" si="81"/>
        <v>39295</v>
      </c>
      <c r="E1061" s="51">
        <v>35</v>
      </c>
      <c r="F1061" s="52">
        <v>0.08</v>
      </c>
      <c r="G1061" s="121" t="s">
        <v>276</v>
      </c>
      <c r="H1061" s="1003">
        <f t="shared" si="82"/>
        <v>39260</v>
      </c>
      <c r="I1061" s="934">
        <f t="shared" si="83"/>
        <v>65917.77</v>
      </c>
      <c r="K1061" s="935">
        <f t="shared" si="84"/>
        <v>39295</v>
      </c>
      <c r="L1061" s="920">
        <f t="shared" si="85"/>
        <v>35</v>
      </c>
      <c r="M1061" s="936" t="str">
        <f t="shared" si="86"/>
        <v>BBVA</v>
      </c>
      <c r="N1061" s="937">
        <f t="shared" si="87"/>
        <v>0.08</v>
      </c>
      <c r="O1061" s="898">
        <f t="shared" si="79"/>
        <v>0</v>
      </c>
    </row>
    <row r="1062" spans="1:15" s="47" customFormat="1" ht="13">
      <c r="A1062" s="120">
        <v>39246</v>
      </c>
      <c r="B1062" s="50">
        <v>40892.353440502498</v>
      </c>
      <c r="C1062" s="50">
        <f t="shared" si="80"/>
        <v>41347.995088290234</v>
      </c>
      <c r="D1062" s="49">
        <f t="shared" si="81"/>
        <v>39295</v>
      </c>
      <c r="E1062" s="51">
        <v>49</v>
      </c>
      <c r="F1062" s="52">
        <v>8.3000000000000004E-2</v>
      </c>
      <c r="G1062" s="121" t="s">
        <v>647</v>
      </c>
      <c r="H1062" s="1003">
        <f t="shared" si="82"/>
        <v>39246</v>
      </c>
      <c r="I1062" s="934">
        <f t="shared" si="83"/>
        <v>40892.353440502498</v>
      </c>
      <c r="K1062" s="935">
        <f t="shared" si="84"/>
        <v>39295</v>
      </c>
      <c r="L1062" s="920">
        <f t="shared" si="85"/>
        <v>49</v>
      </c>
      <c r="M1062" s="936" t="str">
        <f t="shared" si="86"/>
        <v xml:space="preserve">GALICIA </v>
      </c>
      <c r="N1062" s="937">
        <f t="shared" si="87"/>
        <v>8.3000000000000004E-2</v>
      </c>
      <c r="O1062" s="898">
        <f t="shared" si="79"/>
        <v>0</v>
      </c>
    </row>
    <row r="1063" spans="1:15" s="47" customFormat="1" ht="13">
      <c r="A1063" s="120">
        <v>39246</v>
      </c>
      <c r="B1063" s="50">
        <v>39870.044034082188</v>
      </c>
      <c r="C1063" s="50">
        <f t="shared" si="80"/>
        <v>40314.294634319478</v>
      </c>
      <c r="D1063" s="49">
        <f t="shared" si="81"/>
        <v>39295</v>
      </c>
      <c r="E1063" s="51">
        <v>49</v>
      </c>
      <c r="F1063" s="52">
        <v>8.3000000000000004E-2</v>
      </c>
      <c r="G1063" s="121" t="s">
        <v>647</v>
      </c>
      <c r="H1063" s="1003">
        <f t="shared" si="82"/>
        <v>39246</v>
      </c>
      <c r="I1063" s="934">
        <f t="shared" si="83"/>
        <v>39870.044034082188</v>
      </c>
      <c r="K1063" s="935">
        <f t="shared" si="84"/>
        <v>39295</v>
      </c>
      <c r="L1063" s="920">
        <f t="shared" si="85"/>
        <v>49</v>
      </c>
      <c r="M1063" s="936" t="str">
        <f t="shared" si="86"/>
        <v xml:space="preserve">GALICIA </v>
      </c>
      <c r="N1063" s="937">
        <f t="shared" si="87"/>
        <v>8.3000000000000004E-2</v>
      </c>
      <c r="O1063" s="898">
        <f t="shared" si="79"/>
        <v>0</v>
      </c>
    </row>
    <row r="1064" spans="1:15" s="47" customFormat="1" ht="13">
      <c r="A1064" s="120">
        <v>39267</v>
      </c>
      <c r="B1064" s="50">
        <v>61926.01</v>
      </c>
      <c r="C1064" s="50">
        <f t="shared" si="80"/>
        <v>62401.058843835621</v>
      </c>
      <c r="D1064" s="49">
        <f t="shared" si="81"/>
        <v>39302</v>
      </c>
      <c r="E1064" s="51">
        <v>35</v>
      </c>
      <c r="F1064" s="52">
        <v>0.08</v>
      </c>
      <c r="G1064" s="121" t="s">
        <v>276</v>
      </c>
      <c r="H1064" s="1003">
        <f t="shared" si="82"/>
        <v>39267</v>
      </c>
      <c r="I1064" s="934">
        <f t="shared" si="83"/>
        <v>61926.01</v>
      </c>
      <c r="K1064" s="935">
        <f t="shared" si="84"/>
        <v>39302</v>
      </c>
      <c r="L1064" s="920">
        <f t="shared" si="85"/>
        <v>35</v>
      </c>
      <c r="M1064" s="936" t="str">
        <f t="shared" si="86"/>
        <v>BBVA</v>
      </c>
      <c r="N1064" s="937">
        <f t="shared" si="87"/>
        <v>0.08</v>
      </c>
      <c r="O1064" s="898">
        <f t="shared" si="79"/>
        <v>0</v>
      </c>
    </row>
    <row r="1065" spans="1:15" s="47" customFormat="1" ht="13.5" thickBot="1">
      <c r="A1065" s="120">
        <v>39267</v>
      </c>
      <c r="B1065" s="50">
        <v>61926.01</v>
      </c>
      <c r="C1065" s="50">
        <f t="shared" si="80"/>
        <v>62401.058843835621</v>
      </c>
      <c r="D1065" s="49">
        <f t="shared" si="81"/>
        <v>39302</v>
      </c>
      <c r="E1065" s="51">
        <v>35</v>
      </c>
      <c r="F1065" s="52">
        <v>0.08</v>
      </c>
      <c r="G1065" s="121" t="s">
        <v>276</v>
      </c>
      <c r="H1065" s="1003">
        <f t="shared" si="82"/>
        <v>39267</v>
      </c>
      <c r="I1065" s="934">
        <f t="shared" si="83"/>
        <v>61926.01</v>
      </c>
      <c r="K1065" s="935">
        <f t="shared" si="84"/>
        <v>39302</v>
      </c>
      <c r="L1065" s="920">
        <f t="shared" si="85"/>
        <v>35</v>
      </c>
      <c r="M1065" s="936" t="str">
        <f t="shared" si="86"/>
        <v>BBVA</v>
      </c>
      <c r="N1065" s="937">
        <f t="shared" si="87"/>
        <v>0.08</v>
      </c>
      <c r="O1065" s="898">
        <f t="shared" si="79"/>
        <v>0</v>
      </c>
    </row>
    <row r="1066" spans="1:15" s="47" customFormat="1" ht="13.5" thickTop="1">
      <c r="A1066" s="175">
        <v>39281</v>
      </c>
      <c r="B1066" s="115">
        <v>52496.7</v>
      </c>
      <c r="C1066" s="115">
        <f t="shared" si="80"/>
        <v>52899.414410958903</v>
      </c>
      <c r="D1066" s="117">
        <f t="shared" si="81"/>
        <v>39316</v>
      </c>
      <c r="E1066" s="116">
        <v>35</v>
      </c>
      <c r="F1066" s="118">
        <v>0.08</v>
      </c>
      <c r="G1066" s="119" t="s">
        <v>276</v>
      </c>
      <c r="H1066" s="1003">
        <f t="shared" si="82"/>
        <v>39281</v>
      </c>
      <c r="I1066" s="934">
        <f t="shared" si="83"/>
        <v>52496.7</v>
      </c>
      <c r="K1066" s="935">
        <f t="shared" si="84"/>
        <v>39316</v>
      </c>
      <c r="L1066" s="920">
        <f t="shared" si="85"/>
        <v>35</v>
      </c>
      <c r="M1066" s="936" t="str">
        <f t="shared" si="86"/>
        <v>BBVA</v>
      </c>
      <c r="N1066" s="937">
        <f t="shared" si="87"/>
        <v>0.08</v>
      </c>
      <c r="O1066" s="898">
        <f>(I1066*N1066/365*$O$73)*1</f>
        <v>0</v>
      </c>
    </row>
    <row r="1067" spans="1:15" s="47" customFormat="1" ht="13">
      <c r="A1067" s="120">
        <v>39281</v>
      </c>
      <c r="B1067" s="50">
        <v>50379.59</v>
      </c>
      <c r="C1067" s="50">
        <f t="shared" si="80"/>
        <v>50773.309946506844</v>
      </c>
      <c r="D1067" s="49">
        <f t="shared" si="81"/>
        <v>39316</v>
      </c>
      <c r="E1067" s="51">
        <v>35</v>
      </c>
      <c r="F1067" s="52">
        <v>8.1500000000000003E-2</v>
      </c>
      <c r="G1067" s="121" t="s">
        <v>647</v>
      </c>
      <c r="H1067" s="1003">
        <f t="shared" si="82"/>
        <v>39281</v>
      </c>
      <c r="I1067" s="934">
        <f t="shared" si="83"/>
        <v>50379.59</v>
      </c>
      <c r="K1067" s="935">
        <f t="shared" si="84"/>
        <v>39316</v>
      </c>
      <c r="L1067" s="920">
        <f t="shared" si="85"/>
        <v>35</v>
      </c>
      <c r="M1067" s="936" t="str">
        <f t="shared" si="86"/>
        <v xml:space="preserve">GALICIA </v>
      </c>
      <c r="N1067" s="937">
        <f t="shared" si="87"/>
        <v>8.1500000000000003E-2</v>
      </c>
      <c r="O1067" s="898">
        <f>(I1067*N1067/365*$O$73)*1</f>
        <v>0</v>
      </c>
    </row>
    <row r="1068" spans="1:15" s="47" customFormat="1" ht="13">
      <c r="A1068" s="120">
        <v>39281</v>
      </c>
      <c r="B1068" s="50">
        <v>50379.59</v>
      </c>
      <c r="C1068" s="50">
        <f t="shared" si="80"/>
        <v>50773.309946506844</v>
      </c>
      <c r="D1068" s="49">
        <f t="shared" si="81"/>
        <v>39316</v>
      </c>
      <c r="E1068" s="51">
        <v>35</v>
      </c>
      <c r="F1068" s="52">
        <v>8.1500000000000003E-2</v>
      </c>
      <c r="G1068" s="121" t="s">
        <v>647</v>
      </c>
      <c r="H1068" s="1003">
        <f t="shared" si="82"/>
        <v>39281</v>
      </c>
      <c r="I1068" s="934">
        <f t="shared" si="83"/>
        <v>50379.59</v>
      </c>
      <c r="K1068" s="935">
        <f t="shared" si="84"/>
        <v>39316</v>
      </c>
      <c r="L1068" s="920">
        <f t="shared" si="85"/>
        <v>35</v>
      </c>
      <c r="M1068" s="936" t="str">
        <f t="shared" si="86"/>
        <v xml:space="preserve">GALICIA </v>
      </c>
      <c r="N1068" s="937">
        <f t="shared" si="87"/>
        <v>8.1500000000000003E-2</v>
      </c>
      <c r="O1068" s="898">
        <f>(I1068*N1068/365*$O$73)*1</f>
        <v>0</v>
      </c>
    </row>
    <row r="1069" spans="1:15" s="47" customFormat="1" ht="13">
      <c r="A1069" s="120">
        <v>39288</v>
      </c>
      <c r="B1069" s="50">
        <v>41672.230000000003</v>
      </c>
      <c r="C1069" s="50">
        <f t="shared" si="80"/>
        <v>41951.376855753428</v>
      </c>
      <c r="D1069" s="49">
        <f t="shared" si="81"/>
        <v>39318</v>
      </c>
      <c r="E1069" s="51">
        <v>30</v>
      </c>
      <c r="F1069" s="52">
        <v>8.1500000000000003E-2</v>
      </c>
      <c r="G1069" s="121" t="s">
        <v>647</v>
      </c>
      <c r="H1069" s="1003">
        <f t="shared" si="82"/>
        <v>39288</v>
      </c>
      <c r="I1069" s="934">
        <f t="shared" si="83"/>
        <v>41672.230000000003</v>
      </c>
      <c r="K1069" s="935">
        <f t="shared" si="84"/>
        <v>39318</v>
      </c>
      <c r="L1069" s="920">
        <f t="shared" si="85"/>
        <v>30</v>
      </c>
      <c r="M1069" s="936" t="str">
        <f t="shared" si="86"/>
        <v xml:space="preserve">GALICIA </v>
      </c>
      <c r="N1069" s="937">
        <f t="shared" si="87"/>
        <v>8.1500000000000003E-2</v>
      </c>
      <c r="O1069" s="898">
        <f>(I1069*N1069/365*$O$63)*1</f>
        <v>0</v>
      </c>
    </row>
    <row r="1070" spans="1:15" s="47" customFormat="1" ht="13">
      <c r="A1070" s="120">
        <v>39288</v>
      </c>
      <c r="B1070" s="50">
        <v>42160.52</v>
      </c>
      <c r="C1070" s="50">
        <f t="shared" si="80"/>
        <v>42442.937729863013</v>
      </c>
      <c r="D1070" s="49">
        <f t="shared" si="81"/>
        <v>39318</v>
      </c>
      <c r="E1070" s="51">
        <v>30</v>
      </c>
      <c r="F1070" s="52">
        <v>8.1500000000000003E-2</v>
      </c>
      <c r="G1070" s="121" t="s">
        <v>647</v>
      </c>
      <c r="H1070" s="1003">
        <f t="shared" si="82"/>
        <v>39288</v>
      </c>
      <c r="I1070" s="934">
        <f t="shared" si="83"/>
        <v>42160.52</v>
      </c>
      <c r="K1070" s="935">
        <f t="shared" si="84"/>
        <v>39318</v>
      </c>
      <c r="L1070" s="920">
        <f t="shared" si="85"/>
        <v>30</v>
      </c>
      <c r="M1070" s="936" t="str">
        <f t="shared" si="86"/>
        <v xml:space="preserve">GALICIA </v>
      </c>
      <c r="N1070" s="937">
        <f t="shared" si="87"/>
        <v>8.1500000000000003E-2</v>
      </c>
      <c r="O1070" s="898">
        <f>(I1070*N1070/365*$O$63)*1</f>
        <v>0</v>
      </c>
    </row>
    <row r="1071" spans="1:15" s="47" customFormat="1" ht="13">
      <c r="A1071" s="176">
        <v>39290</v>
      </c>
      <c r="B1071" s="50">
        <v>58895.12</v>
      </c>
      <c r="C1071" s="50">
        <f t="shared" si="80"/>
        <v>59332.799487671233</v>
      </c>
      <c r="D1071" s="49">
        <f t="shared" si="81"/>
        <v>39321</v>
      </c>
      <c r="E1071" s="51">
        <v>31</v>
      </c>
      <c r="F1071" s="179">
        <v>8.7499999999999994E-2</v>
      </c>
      <c r="G1071" s="177" t="s">
        <v>647</v>
      </c>
      <c r="H1071" s="933">
        <f t="shared" si="82"/>
        <v>39290</v>
      </c>
      <c r="I1071" s="934">
        <f t="shared" si="83"/>
        <v>58895.12</v>
      </c>
      <c r="K1071" s="935">
        <f t="shared" si="84"/>
        <v>39321</v>
      </c>
      <c r="L1071" s="920">
        <f t="shared" si="85"/>
        <v>31</v>
      </c>
      <c r="M1071" s="936" t="str">
        <f t="shared" si="86"/>
        <v xml:space="preserve">GALICIA </v>
      </c>
      <c r="N1071" s="937">
        <f t="shared" si="87"/>
        <v>8.7499999999999994E-2</v>
      </c>
      <c r="O1071" s="898" t="e">
        <f>+#REF!-I1071</f>
        <v>#REF!</v>
      </c>
    </row>
    <row r="1072" spans="1:15" s="47" customFormat="1" ht="13">
      <c r="A1072" s="176">
        <v>39295</v>
      </c>
      <c r="B1072" s="50">
        <v>41347.995088290234</v>
      </c>
      <c r="C1072" s="50">
        <f t="shared" si="80"/>
        <v>41645.360806390949</v>
      </c>
      <c r="D1072" s="49">
        <f t="shared" si="81"/>
        <v>39325</v>
      </c>
      <c r="E1072" s="51">
        <v>30</v>
      </c>
      <c r="F1072" s="179">
        <v>8.7499999999999994E-2</v>
      </c>
      <c r="G1072" s="177" t="s">
        <v>647</v>
      </c>
      <c r="H1072" s="933">
        <f t="shared" si="82"/>
        <v>39295</v>
      </c>
      <c r="I1072" s="934">
        <f t="shared" si="83"/>
        <v>41347.995088290234</v>
      </c>
      <c r="K1072" s="935">
        <f t="shared" si="84"/>
        <v>39325</v>
      </c>
      <c r="L1072" s="920">
        <f t="shared" si="85"/>
        <v>30</v>
      </c>
      <c r="M1072" s="936" t="str">
        <f t="shared" si="86"/>
        <v xml:space="preserve">GALICIA </v>
      </c>
      <c r="N1072" s="937">
        <f t="shared" si="87"/>
        <v>8.7499999999999994E-2</v>
      </c>
      <c r="O1072" s="898" t="e">
        <f>+#REF!-I1072</f>
        <v>#REF!</v>
      </c>
    </row>
    <row r="1073" spans="1:15" s="47" customFormat="1" ht="13">
      <c r="A1073" s="176">
        <v>39295</v>
      </c>
      <c r="B1073" s="50">
        <v>40314.294634319478</v>
      </c>
      <c r="C1073" s="50">
        <f t="shared" si="80"/>
        <v>40604.226205319719</v>
      </c>
      <c r="D1073" s="49">
        <f t="shared" si="81"/>
        <v>39325</v>
      </c>
      <c r="E1073" s="51">
        <v>30</v>
      </c>
      <c r="F1073" s="52">
        <v>8.7499999999999994E-2</v>
      </c>
      <c r="G1073" s="177" t="s">
        <v>647</v>
      </c>
      <c r="H1073" s="933">
        <f t="shared" si="82"/>
        <v>39295</v>
      </c>
      <c r="I1073" s="934">
        <f t="shared" si="83"/>
        <v>40314.294634319478</v>
      </c>
      <c r="K1073" s="935">
        <f t="shared" si="84"/>
        <v>39325</v>
      </c>
      <c r="L1073" s="920">
        <f t="shared" si="85"/>
        <v>30</v>
      </c>
      <c r="M1073" s="936" t="str">
        <f t="shared" si="86"/>
        <v xml:space="preserve">GALICIA </v>
      </c>
      <c r="N1073" s="937">
        <f t="shared" si="87"/>
        <v>8.7499999999999994E-2</v>
      </c>
      <c r="O1073" s="898" t="e">
        <f>+#REF!-I1073</f>
        <v>#REF!</v>
      </c>
    </row>
    <row r="1074" spans="1:15" s="47" customFormat="1" ht="13">
      <c r="A1074" s="176">
        <v>39294</v>
      </c>
      <c r="B1074" s="50">
        <v>31636.68</v>
      </c>
      <c r="C1074" s="50">
        <f t="shared" si="80"/>
        <v>31871.788204109591</v>
      </c>
      <c r="D1074" s="49">
        <f t="shared" si="81"/>
        <v>39325</v>
      </c>
      <c r="E1074" s="51">
        <v>31</v>
      </c>
      <c r="F1074" s="52">
        <v>8.7499999999999994E-2</v>
      </c>
      <c r="G1074" s="177" t="s">
        <v>647</v>
      </c>
      <c r="H1074" s="933">
        <f t="shared" si="82"/>
        <v>39294</v>
      </c>
      <c r="I1074" s="934">
        <f t="shared" si="83"/>
        <v>31636.68</v>
      </c>
      <c r="K1074" s="935">
        <f t="shared" si="84"/>
        <v>39325</v>
      </c>
      <c r="L1074" s="920">
        <f t="shared" si="85"/>
        <v>31</v>
      </c>
      <c r="M1074" s="936" t="str">
        <f t="shared" si="86"/>
        <v xml:space="preserve">GALICIA </v>
      </c>
      <c r="N1074" s="937">
        <f t="shared" si="87"/>
        <v>8.7499999999999994E-2</v>
      </c>
      <c r="O1074" s="898" t="e">
        <f>+#REF!-I1074</f>
        <v>#REF!</v>
      </c>
    </row>
    <row r="1075" spans="1:15" s="47" customFormat="1" ht="13">
      <c r="A1075" s="176">
        <v>39297</v>
      </c>
      <c r="B1075" s="50">
        <v>66400</v>
      </c>
      <c r="C1075" s="50">
        <f t="shared" ref="C1075:C1106" si="88">B1075+(B1075*F1075/365*E1075)*1</f>
        <v>66890.632328767126</v>
      </c>
      <c r="D1075" s="49">
        <f t="shared" ref="D1075:D1106" si="89">A1075+E1075</f>
        <v>39328</v>
      </c>
      <c r="E1075" s="51">
        <v>31</v>
      </c>
      <c r="F1075" s="52">
        <v>8.6999999999999994E-2</v>
      </c>
      <c r="G1075" s="177" t="s">
        <v>120</v>
      </c>
      <c r="H1075" s="933">
        <f t="shared" ref="H1075:H1106" si="90">+A1075</f>
        <v>39297</v>
      </c>
      <c r="I1075" s="934">
        <f t="shared" ref="I1075:I1106" si="91">+B1075</f>
        <v>66400</v>
      </c>
      <c r="K1075" s="935">
        <f t="shared" ref="K1075:K1106" si="92">+D1075</f>
        <v>39328</v>
      </c>
      <c r="L1075" s="920">
        <f t="shared" ref="L1075:L1106" si="93">+E1075</f>
        <v>31</v>
      </c>
      <c r="M1075" s="936" t="str">
        <f t="shared" ref="M1075:M1106" si="94">+G1075</f>
        <v>HSBC</v>
      </c>
      <c r="N1075" s="937">
        <f t="shared" ref="N1075:N1106" si="95">+F1075</f>
        <v>8.6999999999999994E-2</v>
      </c>
      <c r="O1075" s="898" t="e">
        <f>+#REF!-I1075</f>
        <v>#REF!</v>
      </c>
    </row>
    <row r="1076" spans="1:15" s="47" customFormat="1" ht="13">
      <c r="A1076" s="176">
        <v>39297</v>
      </c>
      <c r="B1076" s="50">
        <v>50000</v>
      </c>
      <c r="C1076" s="50">
        <f t="shared" si="88"/>
        <v>50369.452054794521</v>
      </c>
      <c r="D1076" s="49">
        <f t="shared" si="89"/>
        <v>39328</v>
      </c>
      <c r="E1076" s="51">
        <v>31</v>
      </c>
      <c r="F1076" s="52">
        <v>8.6999999999999994E-2</v>
      </c>
      <c r="G1076" s="177" t="s">
        <v>120</v>
      </c>
      <c r="H1076" s="933">
        <f t="shared" si="90"/>
        <v>39297</v>
      </c>
      <c r="I1076" s="934">
        <f t="shared" si="91"/>
        <v>50000</v>
      </c>
      <c r="K1076" s="935">
        <f t="shared" si="92"/>
        <v>39328</v>
      </c>
      <c r="L1076" s="920">
        <f t="shared" si="93"/>
        <v>31</v>
      </c>
      <c r="M1076" s="936" t="str">
        <f t="shared" si="94"/>
        <v>HSBC</v>
      </c>
      <c r="N1076" s="937">
        <f t="shared" si="95"/>
        <v>8.6999999999999994E-2</v>
      </c>
      <c r="O1076" s="898" t="e">
        <f>+#REF!-I1076</f>
        <v>#REF!</v>
      </c>
    </row>
    <row r="1077" spans="1:15" s="47" customFormat="1" ht="13">
      <c r="A1077" s="176">
        <v>39302</v>
      </c>
      <c r="B1077" s="50">
        <v>62401.06</v>
      </c>
      <c r="C1077" s="50">
        <f t="shared" si="88"/>
        <v>62939.589695890405</v>
      </c>
      <c r="D1077" s="49">
        <f t="shared" si="89"/>
        <v>39337</v>
      </c>
      <c r="E1077" s="51">
        <v>35</v>
      </c>
      <c r="F1077" s="179">
        <v>0.09</v>
      </c>
      <c r="G1077" s="177" t="s">
        <v>276</v>
      </c>
      <c r="H1077" s="933">
        <f t="shared" si="90"/>
        <v>39302</v>
      </c>
      <c r="I1077" s="934">
        <f t="shared" si="91"/>
        <v>62401.06</v>
      </c>
      <c r="K1077" s="935">
        <f t="shared" si="92"/>
        <v>39337</v>
      </c>
      <c r="L1077" s="920">
        <f t="shared" si="93"/>
        <v>35</v>
      </c>
      <c r="M1077" s="936" t="str">
        <f t="shared" si="94"/>
        <v>BBVA</v>
      </c>
      <c r="N1077" s="937">
        <f t="shared" si="95"/>
        <v>0.09</v>
      </c>
      <c r="O1077" s="898" t="e">
        <f>+#REF!-I1077</f>
        <v>#REF!</v>
      </c>
    </row>
    <row r="1078" spans="1:15" s="47" customFormat="1" ht="13">
      <c r="A1078" s="176">
        <v>39302</v>
      </c>
      <c r="B1078" s="50">
        <v>62401.06</v>
      </c>
      <c r="C1078" s="50">
        <f t="shared" si="88"/>
        <v>62939.589695890405</v>
      </c>
      <c r="D1078" s="49">
        <f t="shared" si="89"/>
        <v>39337</v>
      </c>
      <c r="E1078" s="51">
        <v>35</v>
      </c>
      <c r="F1078" s="52">
        <v>0.09</v>
      </c>
      <c r="G1078" s="177" t="s">
        <v>276</v>
      </c>
      <c r="H1078" s="933">
        <f t="shared" si="90"/>
        <v>39302</v>
      </c>
      <c r="I1078" s="934">
        <f t="shared" si="91"/>
        <v>62401.06</v>
      </c>
      <c r="K1078" s="935">
        <f t="shared" si="92"/>
        <v>39337</v>
      </c>
      <c r="L1078" s="920">
        <f t="shared" si="93"/>
        <v>35</v>
      </c>
      <c r="M1078" s="936" t="str">
        <f t="shared" si="94"/>
        <v>BBVA</v>
      </c>
      <c r="N1078" s="937">
        <f t="shared" si="95"/>
        <v>0.09</v>
      </c>
      <c r="O1078" s="898" t="e">
        <f>+#REF!-I1078</f>
        <v>#REF!</v>
      </c>
    </row>
    <row r="1079" spans="1:15" s="47" customFormat="1" ht="13">
      <c r="A1079" s="176">
        <v>39316</v>
      </c>
      <c r="B1079" s="50">
        <v>50773.31</v>
      </c>
      <c r="C1079" s="50">
        <f t="shared" si="88"/>
        <v>51180.192004794517</v>
      </c>
      <c r="D1079" s="49">
        <f t="shared" si="89"/>
        <v>39346</v>
      </c>
      <c r="E1079" s="51">
        <v>30</v>
      </c>
      <c r="F1079" s="52">
        <v>9.7500000000000003E-2</v>
      </c>
      <c r="G1079" s="177" t="s">
        <v>647</v>
      </c>
      <c r="H1079" s="933">
        <f t="shared" si="90"/>
        <v>39316</v>
      </c>
      <c r="I1079" s="934">
        <f t="shared" si="91"/>
        <v>50773.31</v>
      </c>
      <c r="K1079" s="935">
        <f t="shared" si="92"/>
        <v>39346</v>
      </c>
      <c r="L1079" s="920">
        <f t="shared" si="93"/>
        <v>30</v>
      </c>
      <c r="M1079" s="936" t="str">
        <f t="shared" si="94"/>
        <v xml:space="preserve">GALICIA </v>
      </c>
      <c r="N1079" s="937">
        <f t="shared" si="95"/>
        <v>9.7500000000000003E-2</v>
      </c>
      <c r="O1079" s="898" t="e">
        <f>+#REF!-I1079</f>
        <v>#REF!</v>
      </c>
    </row>
    <row r="1080" spans="1:15" s="47" customFormat="1" ht="13">
      <c r="A1080" s="176">
        <v>39316</v>
      </c>
      <c r="B1080" s="50">
        <v>50773.31</v>
      </c>
      <c r="C1080" s="50">
        <f t="shared" si="88"/>
        <v>51180.192004794517</v>
      </c>
      <c r="D1080" s="49">
        <f t="shared" si="89"/>
        <v>39346</v>
      </c>
      <c r="E1080" s="51">
        <v>30</v>
      </c>
      <c r="F1080" s="52">
        <v>9.7500000000000003E-2</v>
      </c>
      <c r="G1080" s="177" t="s">
        <v>647</v>
      </c>
      <c r="H1080" s="933">
        <f t="shared" si="90"/>
        <v>39316</v>
      </c>
      <c r="I1080" s="934">
        <f t="shared" si="91"/>
        <v>50773.31</v>
      </c>
      <c r="K1080" s="935">
        <f t="shared" si="92"/>
        <v>39346</v>
      </c>
      <c r="L1080" s="920">
        <f t="shared" si="93"/>
        <v>30</v>
      </c>
      <c r="M1080" s="936" t="str">
        <f t="shared" si="94"/>
        <v xml:space="preserve">GALICIA </v>
      </c>
      <c r="N1080" s="937">
        <f t="shared" si="95"/>
        <v>9.7500000000000003E-2</v>
      </c>
      <c r="O1080" s="898" t="e">
        <f>+#REF!-I1080</f>
        <v>#REF!</v>
      </c>
    </row>
    <row r="1081" spans="1:15" s="47" customFormat="1" ht="13">
      <c r="A1081" s="176">
        <v>39317</v>
      </c>
      <c r="B1081" s="50">
        <v>52899.41</v>
      </c>
      <c r="C1081" s="50">
        <f t="shared" si="88"/>
        <v>53367.823405808223</v>
      </c>
      <c r="D1081" s="49">
        <f t="shared" si="89"/>
        <v>39349</v>
      </c>
      <c r="E1081" s="51">
        <v>32</v>
      </c>
      <c r="F1081" s="52">
        <v>0.10100000000000001</v>
      </c>
      <c r="G1081" s="177" t="s">
        <v>276</v>
      </c>
      <c r="H1081" s="933">
        <f t="shared" si="90"/>
        <v>39317</v>
      </c>
      <c r="I1081" s="934">
        <f t="shared" si="91"/>
        <v>52899.41</v>
      </c>
      <c r="K1081" s="935">
        <f t="shared" si="92"/>
        <v>39349</v>
      </c>
      <c r="L1081" s="920">
        <f t="shared" si="93"/>
        <v>32</v>
      </c>
      <c r="M1081" s="936" t="str">
        <f t="shared" si="94"/>
        <v>BBVA</v>
      </c>
      <c r="N1081" s="937">
        <f t="shared" si="95"/>
        <v>0.10100000000000001</v>
      </c>
      <c r="O1081" s="898" t="e">
        <f>+#REF!-I1081</f>
        <v>#REF!</v>
      </c>
    </row>
    <row r="1082" spans="1:15" s="47" customFormat="1" ht="13">
      <c r="A1082" s="176">
        <v>39317</v>
      </c>
      <c r="B1082" s="50">
        <v>62800</v>
      </c>
      <c r="C1082" s="50">
        <f t="shared" si="88"/>
        <v>63356.081095890411</v>
      </c>
      <c r="D1082" s="49">
        <f t="shared" si="89"/>
        <v>39349</v>
      </c>
      <c r="E1082" s="51">
        <v>32</v>
      </c>
      <c r="F1082" s="52">
        <v>0.10100000000000001</v>
      </c>
      <c r="G1082" s="177" t="s">
        <v>276</v>
      </c>
      <c r="H1082" s="933">
        <f t="shared" si="90"/>
        <v>39317</v>
      </c>
      <c r="I1082" s="934">
        <f t="shared" si="91"/>
        <v>62800</v>
      </c>
      <c r="K1082" s="935">
        <f t="shared" si="92"/>
        <v>39349</v>
      </c>
      <c r="L1082" s="920">
        <f t="shared" si="93"/>
        <v>32</v>
      </c>
      <c r="M1082" s="936" t="str">
        <f t="shared" si="94"/>
        <v>BBVA</v>
      </c>
      <c r="N1082" s="937">
        <f t="shared" si="95"/>
        <v>0.10100000000000001</v>
      </c>
      <c r="O1082" s="898" t="e">
        <f>+#REF!-I1082</f>
        <v>#REF!</v>
      </c>
    </row>
    <row r="1083" spans="1:15" s="47" customFormat="1" ht="13">
      <c r="A1083" s="176">
        <v>39317</v>
      </c>
      <c r="B1083" s="50">
        <v>62800</v>
      </c>
      <c r="C1083" s="50">
        <f t="shared" si="88"/>
        <v>63356.081095890411</v>
      </c>
      <c r="D1083" s="49">
        <f t="shared" si="89"/>
        <v>39349</v>
      </c>
      <c r="E1083" s="51">
        <v>32</v>
      </c>
      <c r="F1083" s="52">
        <v>0.10100000000000001</v>
      </c>
      <c r="G1083" s="177" t="s">
        <v>276</v>
      </c>
      <c r="H1083" s="933">
        <f t="shared" si="90"/>
        <v>39317</v>
      </c>
      <c r="I1083" s="934">
        <f t="shared" si="91"/>
        <v>62800</v>
      </c>
      <c r="K1083" s="935">
        <f t="shared" si="92"/>
        <v>39349</v>
      </c>
      <c r="L1083" s="920">
        <f t="shared" si="93"/>
        <v>32</v>
      </c>
      <c r="M1083" s="936" t="str">
        <f t="shared" si="94"/>
        <v>BBVA</v>
      </c>
      <c r="N1083" s="937">
        <f t="shared" si="95"/>
        <v>0.10100000000000001</v>
      </c>
      <c r="O1083" s="898" t="e">
        <f>+#REF!-I1083</f>
        <v>#REF!</v>
      </c>
    </row>
    <row r="1084" spans="1:15" s="47" customFormat="1" ht="13">
      <c r="A1084" s="176">
        <v>39317</v>
      </c>
      <c r="B1084" s="50">
        <v>53000</v>
      </c>
      <c r="C1084" s="50">
        <f t="shared" si="88"/>
        <v>53453.04109589041</v>
      </c>
      <c r="D1084" s="49">
        <f t="shared" si="89"/>
        <v>39349</v>
      </c>
      <c r="E1084" s="51">
        <v>32</v>
      </c>
      <c r="F1084" s="52">
        <v>9.7500000000000003E-2</v>
      </c>
      <c r="G1084" s="177" t="s">
        <v>120</v>
      </c>
      <c r="H1084" s="933">
        <f t="shared" si="90"/>
        <v>39317</v>
      </c>
      <c r="I1084" s="934">
        <f t="shared" si="91"/>
        <v>53000</v>
      </c>
      <c r="K1084" s="935">
        <f t="shared" si="92"/>
        <v>39349</v>
      </c>
      <c r="L1084" s="920">
        <f t="shared" si="93"/>
        <v>32</v>
      </c>
      <c r="M1084" s="936" t="str">
        <f t="shared" si="94"/>
        <v>HSBC</v>
      </c>
      <c r="N1084" s="937">
        <f t="shared" si="95"/>
        <v>9.7500000000000003E-2</v>
      </c>
      <c r="O1084" s="898" t="e">
        <f>+#REF!-I1084</f>
        <v>#REF!</v>
      </c>
    </row>
    <row r="1085" spans="1:15" s="47" customFormat="1" ht="13">
      <c r="A1085" s="176">
        <v>39318</v>
      </c>
      <c r="B1085" s="50">
        <v>45500</v>
      </c>
      <c r="C1085" s="50">
        <f t="shared" si="88"/>
        <v>45890.30273972603</v>
      </c>
      <c r="D1085" s="49">
        <f t="shared" si="89"/>
        <v>39349</v>
      </c>
      <c r="E1085" s="51">
        <v>31</v>
      </c>
      <c r="F1085" s="52">
        <v>0.10100000000000001</v>
      </c>
      <c r="G1085" s="177" t="s">
        <v>276</v>
      </c>
      <c r="H1085" s="933">
        <f t="shared" si="90"/>
        <v>39318</v>
      </c>
      <c r="I1085" s="934">
        <f t="shared" si="91"/>
        <v>45500</v>
      </c>
      <c r="K1085" s="935">
        <f t="shared" si="92"/>
        <v>39349</v>
      </c>
      <c r="L1085" s="920">
        <f t="shared" si="93"/>
        <v>31</v>
      </c>
      <c r="M1085" s="936" t="str">
        <f t="shared" si="94"/>
        <v>BBVA</v>
      </c>
      <c r="N1085" s="937">
        <f t="shared" si="95"/>
        <v>0.10100000000000001</v>
      </c>
      <c r="O1085" s="898" t="e">
        <f>+#REF!-I1085</f>
        <v>#REF!</v>
      </c>
    </row>
    <row r="1086" spans="1:15" s="47" customFormat="1" ht="13">
      <c r="A1086" s="176">
        <v>39318</v>
      </c>
      <c r="B1086" s="50">
        <v>45500</v>
      </c>
      <c r="C1086" s="50">
        <f t="shared" si="88"/>
        <v>45890.30273972603</v>
      </c>
      <c r="D1086" s="49">
        <f t="shared" si="89"/>
        <v>39349</v>
      </c>
      <c r="E1086" s="51">
        <v>31</v>
      </c>
      <c r="F1086" s="52">
        <v>0.10100000000000001</v>
      </c>
      <c r="G1086" s="177" t="s">
        <v>276</v>
      </c>
      <c r="H1086" s="933">
        <f t="shared" si="90"/>
        <v>39318</v>
      </c>
      <c r="I1086" s="934">
        <f t="shared" si="91"/>
        <v>45500</v>
      </c>
      <c r="K1086" s="935">
        <f t="shared" si="92"/>
        <v>39349</v>
      </c>
      <c r="L1086" s="920">
        <f t="shared" si="93"/>
        <v>31</v>
      </c>
      <c r="M1086" s="936" t="str">
        <f t="shared" si="94"/>
        <v>BBVA</v>
      </c>
      <c r="N1086" s="937">
        <f t="shared" si="95"/>
        <v>0.10100000000000001</v>
      </c>
      <c r="O1086" s="898" t="e">
        <f>+#REF!-I1086</f>
        <v>#REF!</v>
      </c>
    </row>
    <row r="1087" spans="1:15" s="47" customFormat="1" ht="13">
      <c r="A1087" s="176">
        <v>39322</v>
      </c>
      <c r="B1087" s="50">
        <v>59000</v>
      </c>
      <c r="C1087" s="50">
        <f t="shared" si="88"/>
        <v>59509.178082191778</v>
      </c>
      <c r="D1087" s="49">
        <f t="shared" si="89"/>
        <v>39352</v>
      </c>
      <c r="E1087" s="51">
        <v>30</v>
      </c>
      <c r="F1087" s="179">
        <v>0.105</v>
      </c>
      <c r="G1087" s="177" t="s">
        <v>276</v>
      </c>
      <c r="H1087" s="933">
        <f t="shared" si="90"/>
        <v>39322</v>
      </c>
      <c r="I1087" s="934">
        <f t="shared" si="91"/>
        <v>59000</v>
      </c>
      <c r="K1087" s="935">
        <f t="shared" si="92"/>
        <v>39352</v>
      </c>
      <c r="L1087" s="920">
        <f t="shared" si="93"/>
        <v>30</v>
      </c>
      <c r="M1087" s="936" t="str">
        <f t="shared" si="94"/>
        <v>BBVA</v>
      </c>
      <c r="N1087" s="937">
        <f t="shared" si="95"/>
        <v>0.105</v>
      </c>
      <c r="O1087" s="898" t="e">
        <f>+#REF!-I1087</f>
        <v>#REF!</v>
      </c>
    </row>
    <row r="1088" spans="1:15" s="47" customFormat="1" ht="13">
      <c r="A1088" s="176">
        <v>39325</v>
      </c>
      <c r="B1088" s="50">
        <v>41645.360000000001</v>
      </c>
      <c r="C1088" s="50">
        <f t="shared" si="88"/>
        <v>41999.060317808216</v>
      </c>
      <c r="D1088" s="49">
        <f t="shared" si="89"/>
        <v>39356</v>
      </c>
      <c r="E1088" s="51">
        <v>31</v>
      </c>
      <c r="F1088" s="52">
        <v>0.1</v>
      </c>
      <c r="G1088" s="177" t="s">
        <v>647</v>
      </c>
      <c r="H1088" s="933">
        <f t="shared" si="90"/>
        <v>39325</v>
      </c>
      <c r="I1088" s="934">
        <f t="shared" si="91"/>
        <v>41645.360000000001</v>
      </c>
      <c r="K1088" s="935">
        <f t="shared" si="92"/>
        <v>39356</v>
      </c>
      <c r="L1088" s="920">
        <f t="shared" si="93"/>
        <v>31</v>
      </c>
      <c r="M1088" s="936" t="str">
        <f t="shared" si="94"/>
        <v xml:space="preserve">GALICIA </v>
      </c>
      <c r="N1088" s="937">
        <f t="shared" si="95"/>
        <v>0.1</v>
      </c>
      <c r="O1088" s="898" t="e">
        <f>+#REF!-I1088</f>
        <v>#REF!</v>
      </c>
    </row>
    <row r="1089" spans="1:15" s="47" customFormat="1" ht="13">
      <c r="A1089" s="176">
        <v>39325</v>
      </c>
      <c r="B1089" s="50">
        <v>40604.230000000003</v>
      </c>
      <c r="C1089" s="50">
        <f t="shared" si="88"/>
        <v>40949.087843835623</v>
      </c>
      <c r="D1089" s="49">
        <f t="shared" si="89"/>
        <v>39356</v>
      </c>
      <c r="E1089" s="51">
        <v>31</v>
      </c>
      <c r="F1089" s="52">
        <v>0.1</v>
      </c>
      <c r="G1089" s="177" t="s">
        <v>647</v>
      </c>
      <c r="H1089" s="933">
        <f t="shared" si="90"/>
        <v>39325</v>
      </c>
      <c r="I1089" s="934">
        <f t="shared" si="91"/>
        <v>40604.230000000003</v>
      </c>
      <c r="K1089" s="935">
        <f t="shared" si="92"/>
        <v>39356</v>
      </c>
      <c r="L1089" s="920">
        <f t="shared" si="93"/>
        <v>31</v>
      </c>
      <c r="M1089" s="936" t="str">
        <f t="shared" si="94"/>
        <v xml:space="preserve">GALICIA </v>
      </c>
      <c r="N1089" s="937">
        <f t="shared" si="95"/>
        <v>0.1</v>
      </c>
      <c r="O1089" s="898" t="e">
        <f>+#REF!-I1089</f>
        <v>#REF!</v>
      </c>
    </row>
    <row r="1090" spans="1:15" s="47" customFormat="1" ht="13">
      <c r="A1090" s="176">
        <v>39325</v>
      </c>
      <c r="B1090" s="50">
        <v>31871.79</v>
      </c>
      <c r="C1090" s="50">
        <f t="shared" si="88"/>
        <v>32142.481915068493</v>
      </c>
      <c r="D1090" s="49">
        <f t="shared" si="89"/>
        <v>39356</v>
      </c>
      <c r="E1090" s="51">
        <v>31</v>
      </c>
      <c r="F1090" s="52">
        <v>0.1</v>
      </c>
      <c r="G1090" s="177" t="s">
        <v>647</v>
      </c>
      <c r="H1090" s="933">
        <f t="shared" si="90"/>
        <v>39325</v>
      </c>
      <c r="I1090" s="934">
        <f t="shared" si="91"/>
        <v>31871.79</v>
      </c>
      <c r="K1090" s="935">
        <f t="shared" si="92"/>
        <v>39356</v>
      </c>
      <c r="L1090" s="920">
        <f t="shared" si="93"/>
        <v>31</v>
      </c>
      <c r="M1090" s="936" t="str">
        <f t="shared" si="94"/>
        <v xml:space="preserve">GALICIA </v>
      </c>
      <c r="N1090" s="937">
        <f t="shared" si="95"/>
        <v>0.1</v>
      </c>
      <c r="O1090" s="898" t="e">
        <f>+#REF!-I1090</f>
        <v>#REF!</v>
      </c>
    </row>
    <row r="1091" spans="1:15" s="47" customFormat="1" ht="13">
      <c r="A1091" s="176">
        <v>39328</v>
      </c>
      <c r="B1091" s="50">
        <v>50456.51</v>
      </c>
      <c r="C1091" s="50">
        <f t="shared" si="88"/>
        <v>50902.324369178081</v>
      </c>
      <c r="D1091" s="49">
        <f t="shared" si="89"/>
        <v>39358</v>
      </c>
      <c r="E1091" s="51">
        <v>30</v>
      </c>
      <c r="F1091" s="179">
        <v>0.1075</v>
      </c>
      <c r="G1091" s="177" t="s">
        <v>120</v>
      </c>
      <c r="H1091" s="933">
        <f t="shared" si="90"/>
        <v>39328</v>
      </c>
      <c r="I1091" s="934">
        <f t="shared" si="91"/>
        <v>50456.51</v>
      </c>
      <c r="K1091" s="935">
        <f t="shared" si="92"/>
        <v>39358</v>
      </c>
      <c r="L1091" s="920">
        <f t="shared" si="93"/>
        <v>30</v>
      </c>
      <c r="M1091" s="936" t="str">
        <f t="shared" si="94"/>
        <v>HSBC</v>
      </c>
      <c r="N1091" s="937">
        <f t="shared" si="95"/>
        <v>0.1075</v>
      </c>
      <c r="O1091" s="898" t="e">
        <f>+#REF!-I1091</f>
        <v>#REF!</v>
      </c>
    </row>
    <row r="1092" spans="1:15" s="47" customFormat="1" ht="13">
      <c r="A1092" s="176">
        <v>39328</v>
      </c>
      <c r="B1092" s="50">
        <v>66890.63</v>
      </c>
      <c r="C1092" s="50">
        <f t="shared" si="88"/>
        <v>67481.649950000006</v>
      </c>
      <c r="D1092" s="49">
        <f t="shared" si="89"/>
        <v>39358</v>
      </c>
      <c r="E1092" s="51">
        <v>30</v>
      </c>
      <c r="F1092" s="52">
        <v>0.1075</v>
      </c>
      <c r="G1092" s="177" t="s">
        <v>120</v>
      </c>
      <c r="H1092" s="933">
        <f t="shared" si="90"/>
        <v>39328</v>
      </c>
      <c r="I1092" s="934">
        <f t="shared" si="91"/>
        <v>66890.63</v>
      </c>
      <c r="K1092" s="935">
        <f t="shared" si="92"/>
        <v>39358</v>
      </c>
      <c r="L1092" s="920">
        <f t="shared" si="93"/>
        <v>30</v>
      </c>
      <c r="M1092" s="936" t="str">
        <f t="shared" si="94"/>
        <v>HSBC</v>
      </c>
      <c r="N1092" s="937">
        <f t="shared" si="95"/>
        <v>0.1075</v>
      </c>
      <c r="O1092" s="898" t="e">
        <f>+#REF!-I1092</f>
        <v>#REF!</v>
      </c>
    </row>
    <row r="1093" spans="1:15" s="47" customFormat="1" ht="13">
      <c r="A1093" s="176">
        <v>39339</v>
      </c>
      <c r="B1093" s="50">
        <v>60000</v>
      </c>
      <c r="C1093" s="50">
        <f t="shared" si="88"/>
        <v>60657.534246575342</v>
      </c>
      <c r="D1093" s="49">
        <f t="shared" si="89"/>
        <v>39371</v>
      </c>
      <c r="E1093" s="51">
        <v>32</v>
      </c>
      <c r="F1093" s="179">
        <v>0.125</v>
      </c>
      <c r="G1093" s="177" t="s">
        <v>120</v>
      </c>
      <c r="H1093" s="933">
        <f t="shared" si="90"/>
        <v>39339</v>
      </c>
      <c r="I1093" s="934">
        <f t="shared" si="91"/>
        <v>60000</v>
      </c>
      <c r="K1093" s="935">
        <f t="shared" si="92"/>
        <v>39371</v>
      </c>
      <c r="L1093" s="920">
        <f t="shared" si="93"/>
        <v>32</v>
      </c>
      <c r="M1093" s="936" t="str">
        <f t="shared" si="94"/>
        <v>HSBC</v>
      </c>
      <c r="N1093" s="937">
        <f t="shared" si="95"/>
        <v>0.125</v>
      </c>
      <c r="O1093" s="898" t="e">
        <f>+#REF!-I1093</f>
        <v>#REF!</v>
      </c>
    </row>
    <row r="1094" spans="1:15" s="47" customFormat="1" ht="13">
      <c r="A1094" s="176">
        <v>39337</v>
      </c>
      <c r="B1094" s="50">
        <v>62939.59</v>
      </c>
      <c r="C1094" s="50">
        <f t="shared" si="88"/>
        <v>63657.791074931505</v>
      </c>
      <c r="D1094" s="49">
        <f t="shared" si="89"/>
        <v>39372</v>
      </c>
      <c r="E1094" s="51">
        <v>35</v>
      </c>
      <c r="F1094" s="52">
        <v>0.11899999999999999</v>
      </c>
      <c r="G1094" s="177" t="s">
        <v>276</v>
      </c>
      <c r="H1094" s="933">
        <f t="shared" si="90"/>
        <v>39337</v>
      </c>
      <c r="I1094" s="934">
        <f t="shared" si="91"/>
        <v>62939.59</v>
      </c>
      <c r="K1094" s="935">
        <f t="shared" si="92"/>
        <v>39372</v>
      </c>
      <c r="L1094" s="920">
        <f t="shared" si="93"/>
        <v>35</v>
      </c>
      <c r="M1094" s="936" t="str">
        <f t="shared" si="94"/>
        <v>BBVA</v>
      </c>
      <c r="N1094" s="937">
        <f t="shared" si="95"/>
        <v>0.11899999999999999</v>
      </c>
      <c r="O1094" s="898" t="e">
        <f>+#REF!-I1094</f>
        <v>#REF!</v>
      </c>
    </row>
    <row r="1095" spans="1:15" s="47" customFormat="1" ht="13">
      <c r="A1095" s="176">
        <v>39346</v>
      </c>
      <c r="B1095" s="50">
        <v>51180.19</v>
      </c>
      <c r="C1095" s="50">
        <f t="shared" si="88"/>
        <v>51669.206198972606</v>
      </c>
      <c r="D1095" s="49">
        <f t="shared" si="89"/>
        <v>39377</v>
      </c>
      <c r="E1095" s="51">
        <v>31</v>
      </c>
      <c r="F1095" s="52">
        <v>0.1125</v>
      </c>
      <c r="G1095" s="177" t="s">
        <v>120</v>
      </c>
      <c r="H1095" s="933">
        <f t="shared" si="90"/>
        <v>39346</v>
      </c>
      <c r="I1095" s="934">
        <f t="shared" si="91"/>
        <v>51180.19</v>
      </c>
      <c r="K1095" s="935">
        <f t="shared" si="92"/>
        <v>39377</v>
      </c>
      <c r="L1095" s="920">
        <f t="shared" si="93"/>
        <v>31</v>
      </c>
      <c r="M1095" s="936" t="str">
        <f t="shared" si="94"/>
        <v>HSBC</v>
      </c>
      <c r="N1095" s="937">
        <f t="shared" si="95"/>
        <v>0.1125</v>
      </c>
      <c r="O1095" s="898" t="e">
        <f>+#REF!-I1095</f>
        <v>#REF!</v>
      </c>
    </row>
    <row r="1096" spans="1:15" s="47" customFormat="1" ht="13">
      <c r="A1096" s="176">
        <v>39346</v>
      </c>
      <c r="B1096" s="50">
        <v>51180.19</v>
      </c>
      <c r="C1096" s="50">
        <f t="shared" si="88"/>
        <v>51669.206198972606</v>
      </c>
      <c r="D1096" s="49">
        <f t="shared" si="89"/>
        <v>39377</v>
      </c>
      <c r="E1096" s="51">
        <v>31</v>
      </c>
      <c r="F1096" s="52">
        <v>0.1125</v>
      </c>
      <c r="G1096" s="177" t="s">
        <v>120</v>
      </c>
      <c r="H1096" s="933">
        <f t="shared" si="90"/>
        <v>39346</v>
      </c>
      <c r="I1096" s="934">
        <f t="shared" si="91"/>
        <v>51180.19</v>
      </c>
      <c r="K1096" s="935">
        <f t="shared" si="92"/>
        <v>39377</v>
      </c>
      <c r="L1096" s="920">
        <f t="shared" si="93"/>
        <v>31</v>
      </c>
      <c r="M1096" s="936" t="str">
        <f t="shared" si="94"/>
        <v>HSBC</v>
      </c>
      <c r="N1096" s="937">
        <f t="shared" si="95"/>
        <v>0.1125</v>
      </c>
      <c r="O1096" s="898" t="e">
        <f>+#REF!-I1096</f>
        <v>#REF!</v>
      </c>
    </row>
    <row r="1097" spans="1:15" s="47" customFormat="1" ht="13">
      <c r="A1097" s="176">
        <v>39350</v>
      </c>
      <c r="B1097" s="50">
        <v>53367.82</v>
      </c>
      <c r="C1097" s="50">
        <f t="shared" si="88"/>
        <v>53889.801143561643</v>
      </c>
      <c r="D1097" s="49">
        <f t="shared" si="89"/>
        <v>39380</v>
      </c>
      <c r="E1097" s="51">
        <v>30</v>
      </c>
      <c r="F1097" s="52">
        <v>0.11899999999999999</v>
      </c>
      <c r="G1097" s="177" t="s">
        <v>276</v>
      </c>
      <c r="H1097" s="933">
        <f t="shared" si="90"/>
        <v>39350</v>
      </c>
      <c r="I1097" s="934">
        <f t="shared" si="91"/>
        <v>53367.82</v>
      </c>
      <c r="K1097" s="935">
        <f t="shared" si="92"/>
        <v>39380</v>
      </c>
      <c r="L1097" s="920">
        <f t="shared" si="93"/>
        <v>30</v>
      </c>
      <c r="M1097" s="936" t="str">
        <f t="shared" si="94"/>
        <v>BBVA</v>
      </c>
      <c r="N1097" s="937">
        <f t="shared" si="95"/>
        <v>0.11899999999999999</v>
      </c>
      <c r="O1097" s="898" t="e">
        <f>+#REF!-I1097</f>
        <v>#REF!</v>
      </c>
    </row>
    <row r="1098" spans="1:15" s="47" customFormat="1" ht="13">
      <c r="A1098" s="176">
        <v>39350</v>
      </c>
      <c r="B1098" s="50">
        <v>63356.081095890411</v>
      </c>
      <c r="C1098" s="50">
        <f t="shared" si="88"/>
        <v>63975.755642499535</v>
      </c>
      <c r="D1098" s="49">
        <f t="shared" si="89"/>
        <v>39380</v>
      </c>
      <c r="E1098" s="51">
        <v>30</v>
      </c>
      <c r="F1098" s="52">
        <v>0.11899999999999999</v>
      </c>
      <c r="G1098" s="177" t="s">
        <v>276</v>
      </c>
      <c r="H1098" s="933">
        <f t="shared" si="90"/>
        <v>39350</v>
      </c>
      <c r="I1098" s="934">
        <f t="shared" si="91"/>
        <v>63356.081095890411</v>
      </c>
      <c r="K1098" s="935">
        <f t="shared" si="92"/>
        <v>39380</v>
      </c>
      <c r="L1098" s="920">
        <f t="shared" si="93"/>
        <v>30</v>
      </c>
      <c r="M1098" s="936" t="str">
        <f t="shared" si="94"/>
        <v>BBVA</v>
      </c>
      <c r="N1098" s="937">
        <f t="shared" si="95"/>
        <v>0.11899999999999999</v>
      </c>
      <c r="O1098" s="898" t="e">
        <f>+#REF!-I1098</f>
        <v>#REF!</v>
      </c>
    </row>
    <row r="1099" spans="1:15" s="47" customFormat="1" ht="13">
      <c r="A1099" s="176">
        <v>39350</v>
      </c>
      <c r="B1099" s="50">
        <v>63356.08</v>
      </c>
      <c r="C1099" s="50">
        <f t="shared" si="88"/>
        <v>63975.75453589041</v>
      </c>
      <c r="D1099" s="49">
        <f t="shared" si="89"/>
        <v>39380</v>
      </c>
      <c r="E1099" s="51">
        <v>30</v>
      </c>
      <c r="F1099" s="52">
        <v>0.11899999999999999</v>
      </c>
      <c r="G1099" s="177" t="s">
        <v>276</v>
      </c>
      <c r="H1099" s="933">
        <f t="shared" si="90"/>
        <v>39350</v>
      </c>
      <c r="I1099" s="934">
        <f t="shared" si="91"/>
        <v>63356.08</v>
      </c>
      <c r="K1099" s="935">
        <f t="shared" si="92"/>
        <v>39380</v>
      </c>
      <c r="L1099" s="920">
        <f t="shared" si="93"/>
        <v>30</v>
      </c>
      <c r="M1099" s="936" t="str">
        <f t="shared" si="94"/>
        <v>BBVA</v>
      </c>
      <c r="N1099" s="937">
        <f t="shared" si="95"/>
        <v>0.11899999999999999</v>
      </c>
      <c r="O1099" s="898" t="e">
        <f>+#REF!-I1099</f>
        <v>#REF!</v>
      </c>
    </row>
    <row r="1100" spans="1:15" s="47" customFormat="1" ht="13">
      <c r="A1100" s="176">
        <v>39350</v>
      </c>
      <c r="B1100" s="50">
        <v>53453.04</v>
      </c>
      <c r="C1100" s="50">
        <f t="shared" si="88"/>
        <v>53936.314060273973</v>
      </c>
      <c r="D1100" s="49">
        <f t="shared" si="89"/>
        <v>39380</v>
      </c>
      <c r="E1100" s="51">
        <v>30</v>
      </c>
      <c r="F1100" s="52">
        <v>0.11</v>
      </c>
      <c r="G1100" s="177" t="s">
        <v>120</v>
      </c>
      <c r="H1100" s="933">
        <f t="shared" si="90"/>
        <v>39350</v>
      </c>
      <c r="I1100" s="934">
        <f t="shared" si="91"/>
        <v>53453.04</v>
      </c>
      <c r="K1100" s="935">
        <f t="shared" si="92"/>
        <v>39380</v>
      </c>
      <c r="L1100" s="920">
        <f t="shared" si="93"/>
        <v>30</v>
      </c>
      <c r="M1100" s="936" t="str">
        <f t="shared" si="94"/>
        <v>HSBC</v>
      </c>
      <c r="N1100" s="937">
        <f t="shared" si="95"/>
        <v>0.11</v>
      </c>
      <c r="O1100" s="898" t="e">
        <f>+#REF!-I1100</f>
        <v>#REF!</v>
      </c>
    </row>
    <row r="1101" spans="1:15" s="47" customFormat="1" ht="13">
      <c r="A1101" s="176">
        <v>39350</v>
      </c>
      <c r="B1101" s="50">
        <v>45890.3</v>
      </c>
      <c r="C1101" s="50">
        <f t="shared" si="88"/>
        <v>46339.1448520548</v>
      </c>
      <c r="D1101" s="49">
        <f t="shared" si="89"/>
        <v>39380</v>
      </c>
      <c r="E1101" s="51">
        <v>30</v>
      </c>
      <c r="F1101" s="52">
        <v>0.11899999999999999</v>
      </c>
      <c r="G1101" s="177" t="s">
        <v>276</v>
      </c>
      <c r="H1101" s="933">
        <f t="shared" si="90"/>
        <v>39350</v>
      </c>
      <c r="I1101" s="934">
        <f t="shared" si="91"/>
        <v>45890.3</v>
      </c>
      <c r="K1101" s="935">
        <f t="shared" si="92"/>
        <v>39380</v>
      </c>
      <c r="L1101" s="920">
        <f t="shared" si="93"/>
        <v>30</v>
      </c>
      <c r="M1101" s="936" t="str">
        <f t="shared" si="94"/>
        <v>BBVA</v>
      </c>
      <c r="N1101" s="937">
        <f t="shared" si="95"/>
        <v>0.11899999999999999</v>
      </c>
      <c r="O1101" s="898" t="e">
        <f>+#REF!-I1101</f>
        <v>#REF!</v>
      </c>
    </row>
    <row r="1102" spans="1:15" s="47" customFormat="1" ht="13">
      <c r="A1102" s="176">
        <v>39350</v>
      </c>
      <c r="B1102" s="50">
        <v>45890.3</v>
      </c>
      <c r="C1102" s="50">
        <f t="shared" si="88"/>
        <v>46339.1448520548</v>
      </c>
      <c r="D1102" s="49">
        <f t="shared" si="89"/>
        <v>39380</v>
      </c>
      <c r="E1102" s="51">
        <v>30</v>
      </c>
      <c r="F1102" s="52">
        <v>0.11899999999999999</v>
      </c>
      <c r="G1102" s="177" t="s">
        <v>276</v>
      </c>
      <c r="H1102" s="933">
        <f t="shared" si="90"/>
        <v>39350</v>
      </c>
      <c r="I1102" s="934">
        <f t="shared" si="91"/>
        <v>45890.3</v>
      </c>
      <c r="K1102" s="935">
        <f t="shared" si="92"/>
        <v>39380</v>
      </c>
      <c r="L1102" s="920">
        <f t="shared" si="93"/>
        <v>30</v>
      </c>
      <c r="M1102" s="936" t="str">
        <f t="shared" si="94"/>
        <v>BBVA</v>
      </c>
      <c r="N1102" s="937">
        <f t="shared" si="95"/>
        <v>0.11899999999999999</v>
      </c>
      <c r="O1102" s="898" t="e">
        <f>+#REF!-I1102</f>
        <v>#REF!</v>
      </c>
    </row>
    <row r="1103" spans="1:15" s="47" customFormat="1" ht="13">
      <c r="A1103" s="176">
        <v>39352</v>
      </c>
      <c r="B1103" s="50">
        <v>59509.18</v>
      </c>
      <c r="C1103" s="50">
        <f t="shared" si="88"/>
        <v>60135.249181369865</v>
      </c>
      <c r="D1103" s="49">
        <f t="shared" si="89"/>
        <v>39384</v>
      </c>
      <c r="E1103" s="51">
        <v>32</v>
      </c>
      <c r="F1103" s="179">
        <v>0.12</v>
      </c>
      <c r="G1103" s="177" t="s">
        <v>276</v>
      </c>
      <c r="H1103" s="933">
        <f t="shared" si="90"/>
        <v>39352</v>
      </c>
      <c r="I1103" s="934">
        <f t="shared" si="91"/>
        <v>59509.18</v>
      </c>
      <c r="K1103" s="935">
        <f t="shared" si="92"/>
        <v>39384</v>
      </c>
      <c r="L1103" s="920">
        <f t="shared" si="93"/>
        <v>32</v>
      </c>
      <c r="M1103" s="936" t="str">
        <f t="shared" si="94"/>
        <v>BBVA</v>
      </c>
      <c r="N1103" s="937">
        <f t="shared" si="95"/>
        <v>0.12</v>
      </c>
      <c r="O1103" s="898" t="e">
        <f>+#REF!-I1103</f>
        <v>#REF!</v>
      </c>
    </row>
    <row r="1104" spans="1:15" s="47" customFormat="1" ht="13">
      <c r="A1104" s="176">
        <v>39356</v>
      </c>
      <c r="B1104" s="50">
        <v>55000</v>
      </c>
      <c r="C1104" s="50">
        <f t="shared" si="88"/>
        <v>55542.465753424658</v>
      </c>
      <c r="D1104" s="49">
        <f t="shared" si="89"/>
        <v>39386</v>
      </c>
      <c r="E1104" s="51">
        <v>30</v>
      </c>
      <c r="F1104" s="52">
        <v>0.12</v>
      </c>
      <c r="G1104" s="177" t="s">
        <v>276</v>
      </c>
      <c r="H1104" s="933">
        <f t="shared" si="90"/>
        <v>39356</v>
      </c>
      <c r="I1104" s="934">
        <f t="shared" si="91"/>
        <v>55000</v>
      </c>
      <c r="K1104" s="935">
        <f t="shared" si="92"/>
        <v>39386</v>
      </c>
      <c r="L1104" s="920">
        <f t="shared" si="93"/>
        <v>30</v>
      </c>
      <c r="M1104" s="936" t="str">
        <f t="shared" si="94"/>
        <v>BBVA</v>
      </c>
      <c r="N1104" s="937">
        <f t="shared" si="95"/>
        <v>0.12</v>
      </c>
      <c r="O1104" s="898" t="e">
        <f>+#REF!-I1104</f>
        <v>#REF!</v>
      </c>
    </row>
    <row r="1105" spans="1:15" s="47" customFormat="1" ht="13">
      <c r="A1105" s="176">
        <v>39356</v>
      </c>
      <c r="B1105" s="50">
        <v>60000</v>
      </c>
      <c r="C1105" s="50">
        <f t="shared" si="88"/>
        <v>60591.780821917811</v>
      </c>
      <c r="D1105" s="49">
        <f t="shared" si="89"/>
        <v>39386</v>
      </c>
      <c r="E1105" s="51">
        <v>30</v>
      </c>
      <c r="F1105" s="52">
        <v>0.12</v>
      </c>
      <c r="G1105" s="177" t="s">
        <v>276</v>
      </c>
      <c r="H1105" s="933">
        <f t="shared" si="90"/>
        <v>39356</v>
      </c>
      <c r="I1105" s="934">
        <f t="shared" si="91"/>
        <v>60000</v>
      </c>
      <c r="K1105" s="935">
        <f t="shared" si="92"/>
        <v>39386</v>
      </c>
      <c r="L1105" s="920">
        <f t="shared" si="93"/>
        <v>30</v>
      </c>
      <c r="M1105" s="936" t="str">
        <f t="shared" si="94"/>
        <v>BBVA</v>
      </c>
      <c r="N1105" s="937">
        <f t="shared" si="95"/>
        <v>0.12</v>
      </c>
      <c r="O1105" s="898" t="e">
        <f>+#REF!-I1105</f>
        <v>#REF!</v>
      </c>
    </row>
    <row r="1106" spans="1:15" s="47" customFormat="1" ht="13">
      <c r="A1106" s="176">
        <v>39358</v>
      </c>
      <c r="B1106" s="50">
        <v>57000</v>
      </c>
      <c r="C1106" s="50">
        <f t="shared" si="88"/>
        <v>57562.191780821915</v>
      </c>
      <c r="D1106" s="49">
        <f t="shared" si="89"/>
        <v>39388</v>
      </c>
      <c r="E1106" s="51">
        <v>30</v>
      </c>
      <c r="F1106" s="179">
        <v>0.12</v>
      </c>
      <c r="G1106" s="177" t="s">
        <v>276</v>
      </c>
      <c r="H1106" s="933">
        <f t="shared" si="90"/>
        <v>39358</v>
      </c>
      <c r="I1106" s="934">
        <f t="shared" si="91"/>
        <v>57000</v>
      </c>
      <c r="K1106" s="935">
        <f t="shared" si="92"/>
        <v>39388</v>
      </c>
      <c r="L1106" s="920">
        <f t="shared" si="93"/>
        <v>30</v>
      </c>
      <c r="M1106" s="936" t="str">
        <f t="shared" si="94"/>
        <v>BBVA</v>
      </c>
      <c r="N1106" s="937">
        <f t="shared" si="95"/>
        <v>0.12</v>
      </c>
      <c r="O1106" s="898" t="e">
        <f>+#REF!-I1106</f>
        <v>#REF!</v>
      </c>
    </row>
    <row r="1107" spans="1:15" s="47" customFormat="1" ht="13">
      <c r="A1107" s="176">
        <v>39358</v>
      </c>
      <c r="B1107" s="50">
        <v>60000</v>
      </c>
      <c r="C1107" s="50">
        <f t="shared" ref="C1107:C1133" si="96">B1107+(B1107*F1107/365*E1107)*1</f>
        <v>60591.780821917811</v>
      </c>
      <c r="D1107" s="49">
        <f t="shared" ref="D1107:D1133" si="97">A1107+E1107</f>
        <v>39388</v>
      </c>
      <c r="E1107" s="51">
        <v>30</v>
      </c>
      <c r="F1107" s="52">
        <v>0.12</v>
      </c>
      <c r="G1107" s="177" t="s">
        <v>276</v>
      </c>
      <c r="H1107" s="933">
        <f t="shared" ref="H1107:H1133" si="98">+A1107</f>
        <v>39358</v>
      </c>
      <c r="I1107" s="934">
        <f t="shared" ref="I1107:I1133" si="99">+B1107</f>
        <v>60000</v>
      </c>
      <c r="K1107" s="935">
        <f t="shared" ref="K1107:K1133" si="100">+D1107</f>
        <v>39388</v>
      </c>
      <c r="L1107" s="920">
        <f t="shared" ref="L1107:L1133" si="101">+E1107</f>
        <v>30</v>
      </c>
      <c r="M1107" s="936" t="str">
        <f t="shared" ref="M1107:M1122" si="102">+G1107</f>
        <v>BBVA</v>
      </c>
      <c r="N1107" s="937">
        <f t="shared" ref="N1107:N1122" si="103">+F1107</f>
        <v>0.12</v>
      </c>
      <c r="O1107" s="898" t="e">
        <f>+#REF!-I1107</f>
        <v>#REF!</v>
      </c>
    </row>
    <row r="1108" spans="1:15" s="47" customFormat="1" ht="13">
      <c r="A1108" s="176">
        <v>39371</v>
      </c>
      <c r="B1108" s="50">
        <v>60657.53</v>
      </c>
      <c r="C1108" s="50">
        <f t="shared" si="96"/>
        <v>61249.979573835619</v>
      </c>
      <c r="D1108" s="49">
        <f t="shared" si="97"/>
        <v>39402</v>
      </c>
      <c r="E1108" s="51">
        <v>31</v>
      </c>
      <c r="F1108" s="52">
        <v>0.115</v>
      </c>
      <c r="G1108" s="177" t="s">
        <v>120</v>
      </c>
      <c r="H1108" s="933">
        <f t="shared" si="98"/>
        <v>39371</v>
      </c>
      <c r="I1108" s="934">
        <f t="shared" si="99"/>
        <v>60657.53</v>
      </c>
      <c r="K1108" s="935">
        <f t="shared" si="100"/>
        <v>39402</v>
      </c>
      <c r="L1108" s="920">
        <f t="shared" si="101"/>
        <v>31</v>
      </c>
      <c r="M1108" s="936" t="str">
        <f t="shared" si="102"/>
        <v>HSBC</v>
      </c>
      <c r="N1108" s="937">
        <f t="shared" si="103"/>
        <v>0.115</v>
      </c>
      <c r="O1108" s="898" t="e">
        <f>+#REF!-I1108</f>
        <v>#REF!</v>
      </c>
    </row>
    <row r="1109" spans="1:15" s="47" customFormat="1" ht="13">
      <c r="A1109" s="176">
        <v>39372</v>
      </c>
      <c r="B1109" s="50">
        <v>63657.79</v>
      </c>
      <c r="C1109" s="50">
        <f t="shared" si="96"/>
        <v>64296.1119490411</v>
      </c>
      <c r="D1109" s="49">
        <f t="shared" si="97"/>
        <v>39402</v>
      </c>
      <c r="E1109" s="51">
        <v>30</v>
      </c>
      <c r="F1109" s="52">
        <v>0.122</v>
      </c>
      <c r="G1109" s="177" t="s">
        <v>276</v>
      </c>
      <c r="H1109" s="933">
        <f t="shared" si="98"/>
        <v>39372</v>
      </c>
      <c r="I1109" s="934">
        <f t="shared" si="99"/>
        <v>63657.79</v>
      </c>
      <c r="K1109" s="935">
        <f t="shared" si="100"/>
        <v>39402</v>
      </c>
      <c r="L1109" s="920">
        <f t="shared" si="101"/>
        <v>30</v>
      </c>
      <c r="M1109" s="936" t="str">
        <f t="shared" si="102"/>
        <v>BBVA</v>
      </c>
      <c r="N1109" s="937">
        <f t="shared" si="103"/>
        <v>0.122</v>
      </c>
      <c r="O1109" s="898" t="e">
        <f>+#REF!-I1109</f>
        <v>#REF!</v>
      </c>
    </row>
    <row r="1110" spans="1:15" s="47" customFormat="1" ht="13">
      <c r="A1110" s="176">
        <v>39377</v>
      </c>
      <c r="B1110" s="50">
        <v>51669.21</v>
      </c>
      <c r="C1110" s="50">
        <f t="shared" si="96"/>
        <v>52168.207165068496</v>
      </c>
      <c r="D1110" s="49">
        <f t="shared" si="97"/>
        <v>39407</v>
      </c>
      <c r="E1110" s="51">
        <v>30</v>
      </c>
      <c r="F1110" s="179">
        <v>0.11749999999999999</v>
      </c>
      <c r="G1110" s="177" t="s">
        <v>120</v>
      </c>
      <c r="H1110" s="933">
        <f t="shared" si="98"/>
        <v>39377</v>
      </c>
      <c r="I1110" s="934">
        <f t="shared" si="99"/>
        <v>51669.21</v>
      </c>
      <c r="K1110" s="935">
        <f t="shared" si="100"/>
        <v>39407</v>
      </c>
      <c r="L1110" s="920">
        <f t="shared" si="101"/>
        <v>30</v>
      </c>
      <c r="M1110" s="936" t="str">
        <f t="shared" si="102"/>
        <v>HSBC</v>
      </c>
      <c r="N1110" s="937">
        <f t="shared" si="103"/>
        <v>0.11749999999999999</v>
      </c>
      <c r="O1110" s="898" t="e">
        <f>+#REF!-I1110</f>
        <v>#REF!</v>
      </c>
    </row>
    <row r="1111" spans="1:15" s="47" customFormat="1" ht="13">
      <c r="A1111" s="176">
        <v>39377</v>
      </c>
      <c r="B1111" s="50">
        <v>51669.21</v>
      </c>
      <c r="C1111" s="50">
        <f t="shared" si="96"/>
        <v>52168.207165068496</v>
      </c>
      <c r="D1111" s="49">
        <f t="shared" si="97"/>
        <v>39407</v>
      </c>
      <c r="E1111" s="51">
        <v>30</v>
      </c>
      <c r="F1111" s="52">
        <v>0.11749999999999999</v>
      </c>
      <c r="G1111" s="177" t="s">
        <v>120</v>
      </c>
      <c r="H1111" s="933">
        <f t="shared" si="98"/>
        <v>39377</v>
      </c>
      <c r="I1111" s="934">
        <f t="shared" si="99"/>
        <v>51669.21</v>
      </c>
      <c r="K1111" s="935">
        <f t="shared" si="100"/>
        <v>39407</v>
      </c>
      <c r="L1111" s="920">
        <f t="shared" si="101"/>
        <v>30</v>
      </c>
      <c r="M1111" s="936" t="str">
        <f t="shared" si="102"/>
        <v>HSBC</v>
      </c>
      <c r="N1111" s="937">
        <f t="shared" si="103"/>
        <v>0.11749999999999999</v>
      </c>
      <c r="O1111" s="898" t="e">
        <f>+#REF!-I1111</f>
        <v>#REF!</v>
      </c>
    </row>
    <row r="1112" spans="1:15" s="47" customFormat="1" ht="13">
      <c r="A1112" s="176">
        <v>39380</v>
      </c>
      <c r="B1112" s="50">
        <v>53889.801143561643</v>
      </c>
      <c r="C1112" s="50">
        <f t="shared" si="96"/>
        <v>54480.374306778758</v>
      </c>
      <c r="D1112" s="49">
        <f t="shared" si="97"/>
        <v>39412</v>
      </c>
      <c r="E1112" s="51">
        <v>32</v>
      </c>
      <c r="F1112" s="179">
        <v>0.125</v>
      </c>
      <c r="G1112" s="177" t="s">
        <v>276</v>
      </c>
      <c r="H1112" s="933">
        <f t="shared" si="98"/>
        <v>39380</v>
      </c>
      <c r="I1112" s="934">
        <f t="shared" si="99"/>
        <v>53889.801143561643</v>
      </c>
      <c r="K1112" s="935">
        <f t="shared" si="100"/>
        <v>39412</v>
      </c>
      <c r="L1112" s="920">
        <f t="shared" si="101"/>
        <v>32</v>
      </c>
      <c r="M1112" s="936" t="str">
        <f t="shared" si="102"/>
        <v>BBVA</v>
      </c>
      <c r="N1112" s="937">
        <f t="shared" si="103"/>
        <v>0.125</v>
      </c>
      <c r="O1112" s="898" t="e">
        <f>+#REF!-I1112</f>
        <v>#REF!</v>
      </c>
    </row>
    <row r="1113" spans="1:15" s="47" customFormat="1" ht="13">
      <c r="A1113" s="176">
        <v>39380</v>
      </c>
      <c r="B1113" s="50">
        <v>63975.755642499535</v>
      </c>
      <c r="C1113" s="50">
        <f t="shared" si="96"/>
        <v>64676.859813924188</v>
      </c>
      <c r="D1113" s="49">
        <f t="shared" si="97"/>
        <v>39412</v>
      </c>
      <c r="E1113" s="51">
        <v>32</v>
      </c>
      <c r="F1113" s="52">
        <v>0.125</v>
      </c>
      <c r="G1113" s="177" t="s">
        <v>276</v>
      </c>
      <c r="H1113" s="933">
        <f t="shared" si="98"/>
        <v>39380</v>
      </c>
      <c r="I1113" s="934">
        <f t="shared" si="99"/>
        <v>63975.755642499535</v>
      </c>
      <c r="K1113" s="935">
        <f t="shared" si="100"/>
        <v>39412</v>
      </c>
      <c r="L1113" s="920">
        <f t="shared" si="101"/>
        <v>32</v>
      </c>
      <c r="M1113" s="936" t="str">
        <f t="shared" si="102"/>
        <v>BBVA</v>
      </c>
      <c r="N1113" s="937">
        <f t="shared" si="103"/>
        <v>0.125</v>
      </c>
      <c r="O1113" s="898" t="e">
        <f>+#REF!-I1113</f>
        <v>#REF!</v>
      </c>
    </row>
    <row r="1114" spans="1:15" s="47" customFormat="1" ht="13">
      <c r="A1114" s="176">
        <v>39380</v>
      </c>
      <c r="B1114" s="50">
        <v>63975.75453589041</v>
      </c>
      <c r="C1114" s="50">
        <f t="shared" si="96"/>
        <v>64676.858695187839</v>
      </c>
      <c r="D1114" s="49">
        <f t="shared" si="97"/>
        <v>39412</v>
      </c>
      <c r="E1114" s="51">
        <v>32</v>
      </c>
      <c r="F1114" s="52">
        <v>0.125</v>
      </c>
      <c r="G1114" s="177" t="s">
        <v>276</v>
      </c>
      <c r="H1114" s="933">
        <f t="shared" si="98"/>
        <v>39380</v>
      </c>
      <c r="I1114" s="934">
        <f t="shared" si="99"/>
        <v>63975.75453589041</v>
      </c>
      <c r="K1114" s="935">
        <f t="shared" si="100"/>
        <v>39412</v>
      </c>
      <c r="L1114" s="920">
        <f t="shared" si="101"/>
        <v>32</v>
      </c>
      <c r="M1114" s="936" t="str">
        <f t="shared" si="102"/>
        <v>BBVA</v>
      </c>
      <c r="N1114" s="937">
        <f t="shared" si="103"/>
        <v>0.125</v>
      </c>
      <c r="O1114" s="898" t="e">
        <f>+#REF!-I1114</f>
        <v>#REF!</v>
      </c>
    </row>
    <row r="1115" spans="1:15" s="47" customFormat="1" ht="13">
      <c r="A1115" s="176">
        <v>39380</v>
      </c>
      <c r="B1115" s="50">
        <v>53936.314060273973</v>
      </c>
      <c r="C1115" s="50">
        <f t="shared" si="96"/>
        <v>54491.931980456524</v>
      </c>
      <c r="D1115" s="49">
        <f t="shared" si="97"/>
        <v>39412</v>
      </c>
      <c r="E1115" s="51">
        <v>32</v>
      </c>
      <c r="F1115" s="52">
        <v>0.11749999999999999</v>
      </c>
      <c r="G1115" s="177" t="s">
        <v>120</v>
      </c>
      <c r="H1115" s="933">
        <f t="shared" si="98"/>
        <v>39380</v>
      </c>
      <c r="I1115" s="934">
        <f t="shared" si="99"/>
        <v>53936.314060273973</v>
      </c>
      <c r="K1115" s="935">
        <f t="shared" si="100"/>
        <v>39412</v>
      </c>
      <c r="L1115" s="920">
        <f t="shared" si="101"/>
        <v>32</v>
      </c>
      <c r="M1115" s="936" t="str">
        <f t="shared" si="102"/>
        <v>HSBC</v>
      </c>
      <c r="N1115" s="937">
        <f t="shared" si="103"/>
        <v>0.11749999999999999</v>
      </c>
      <c r="O1115" s="898" t="e">
        <f>+#REF!-I1115</f>
        <v>#REF!</v>
      </c>
    </row>
    <row r="1116" spans="1:15" s="47" customFormat="1" ht="13">
      <c r="A1116" s="176">
        <v>39380</v>
      </c>
      <c r="B1116" s="50">
        <v>46339.1448520548</v>
      </c>
      <c r="C1116" s="50">
        <f t="shared" si="96"/>
        <v>46846.971097008827</v>
      </c>
      <c r="D1116" s="49">
        <f t="shared" si="97"/>
        <v>39412</v>
      </c>
      <c r="E1116" s="51">
        <v>32</v>
      </c>
      <c r="F1116" s="52">
        <v>0.125</v>
      </c>
      <c r="G1116" s="177" t="s">
        <v>276</v>
      </c>
      <c r="H1116" s="933">
        <f t="shared" si="98"/>
        <v>39380</v>
      </c>
      <c r="I1116" s="934">
        <f t="shared" si="99"/>
        <v>46339.1448520548</v>
      </c>
      <c r="K1116" s="935">
        <f t="shared" si="100"/>
        <v>39412</v>
      </c>
      <c r="L1116" s="920">
        <f t="shared" si="101"/>
        <v>32</v>
      </c>
      <c r="M1116" s="936" t="str">
        <f t="shared" si="102"/>
        <v>BBVA</v>
      </c>
      <c r="N1116" s="937">
        <f t="shared" si="103"/>
        <v>0.125</v>
      </c>
      <c r="O1116" s="898" t="e">
        <f>+#REF!-I1116</f>
        <v>#REF!</v>
      </c>
    </row>
    <row r="1117" spans="1:15" s="47" customFormat="1" ht="13">
      <c r="A1117" s="176">
        <v>39380</v>
      </c>
      <c r="B1117" s="50">
        <v>46339.1448520548</v>
      </c>
      <c r="C1117" s="50">
        <f t="shared" si="96"/>
        <v>46846.971097008827</v>
      </c>
      <c r="D1117" s="49">
        <f t="shared" si="97"/>
        <v>39412</v>
      </c>
      <c r="E1117" s="51">
        <v>32</v>
      </c>
      <c r="F1117" s="52">
        <v>0.125</v>
      </c>
      <c r="G1117" s="177" t="s">
        <v>276</v>
      </c>
      <c r="H1117" s="933">
        <f t="shared" si="98"/>
        <v>39380</v>
      </c>
      <c r="I1117" s="934">
        <f t="shared" si="99"/>
        <v>46339.1448520548</v>
      </c>
      <c r="K1117" s="935">
        <f t="shared" si="100"/>
        <v>39412</v>
      </c>
      <c r="L1117" s="920">
        <f t="shared" si="101"/>
        <v>32</v>
      </c>
      <c r="M1117" s="936" t="str">
        <f t="shared" si="102"/>
        <v>BBVA</v>
      </c>
      <c r="N1117" s="937">
        <f t="shared" si="103"/>
        <v>0.125</v>
      </c>
      <c r="O1117" s="898" t="e">
        <f>+#REF!-I1117</f>
        <v>#REF!</v>
      </c>
    </row>
    <row r="1118" spans="1:15" s="47" customFormat="1" ht="13">
      <c r="A1118" s="176">
        <v>39384</v>
      </c>
      <c r="B1118" s="50">
        <v>60135.25</v>
      </c>
      <c r="C1118" s="50">
        <f t="shared" si="96"/>
        <v>60753.077910958906</v>
      </c>
      <c r="D1118" s="49">
        <f t="shared" si="97"/>
        <v>39414</v>
      </c>
      <c r="E1118" s="51">
        <v>30</v>
      </c>
      <c r="F1118" s="52">
        <v>0.125</v>
      </c>
      <c r="G1118" s="177" t="s">
        <v>276</v>
      </c>
      <c r="H1118" s="933">
        <f t="shared" si="98"/>
        <v>39384</v>
      </c>
      <c r="I1118" s="934">
        <f t="shared" si="99"/>
        <v>60135.25</v>
      </c>
      <c r="K1118" s="935">
        <f t="shared" si="100"/>
        <v>39414</v>
      </c>
      <c r="L1118" s="920">
        <f t="shared" si="101"/>
        <v>30</v>
      </c>
      <c r="M1118" s="936" t="str">
        <f t="shared" si="102"/>
        <v>BBVA</v>
      </c>
      <c r="N1118" s="937">
        <f t="shared" si="103"/>
        <v>0.125</v>
      </c>
      <c r="O1118" s="898" t="e">
        <f>+#REF!-I1118</f>
        <v>#REF!</v>
      </c>
    </row>
    <row r="1119" spans="1:15" s="47" customFormat="1" ht="13">
      <c r="A1119" s="176">
        <v>39386</v>
      </c>
      <c r="B1119" s="50">
        <v>55542.47</v>
      </c>
      <c r="C1119" s="50">
        <f t="shared" si="96"/>
        <v>56113.111815068492</v>
      </c>
      <c r="D1119" s="49">
        <f t="shared" si="97"/>
        <v>39416</v>
      </c>
      <c r="E1119" s="51">
        <v>30</v>
      </c>
      <c r="F1119" s="52">
        <v>0.125</v>
      </c>
      <c r="G1119" s="177" t="s">
        <v>276</v>
      </c>
      <c r="H1119" s="933">
        <f t="shared" si="98"/>
        <v>39386</v>
      </c>
      <c r="I1119" s="934">
        <f t="shared" si="99"/>
        <v>55542.47</v>
      </c>
      <c r="K1119" s="935">
        <f t="shared" si="100"/>
        <v>39416</v>
      </c>
      <c r="L1119" s="920">
        <f t="shared" si="101"/>
        <v>30</v>
      </c>
      <c r="M1119" s="936" t="str">
        <f t="shared" si="102"/>
        <v>BBVA</v>
      </c>
      <c r="N1119" s="937">
        <f t="shared" si="103"/>
        <v>0.125</v>
      </c>
      <c r="O1119" s="898" t="e">
        <f>+#REF!-I1119</f>
        <v>#REF!</v>
      </c>
    </row>
    <row r="1120" spans="1:15" s="47" customFormat="1" ht="13">
      <c r="A1120" s="176">
        <v>39386</v>
      </c>
      <c r="B1120" s="50">
        <v>60591.78</v>
      </c>
      <c r="C1120" s="50">
        <f t="shared" si="96"/>
        <v>61214.298287671234</v>
      </c>
      <c r="D1120" s="49">
        <f t="shared" si="97"/>
        <v>39416</v>
      </c>
      <c r="E1120" s="51">
        <v>30</v>
      </c>
      <c r="F1120" s="52">
        <v>0.125</v>
      </c>
      <c r="G1120" s="177" t="s">
        <v>276</v>
      </c>
      <c r="H1120" s="933">
        <f t="shared" si="98"/>
        <v>39386</v>
      </c>
      <c r="I1120" s="934">
        <f t="shared" si="99"/>
        <v>60591.78</v>
      </c>
      <c r="K1120" s="935">
        <f t="shared" si="100"/>
        <v>39416</v>
      </c>
      <c r="L1120" s="920">
        <f t="shared" si="101"/>
        <v>30</v>
      </c>
      <c r="M1120" s="936" t="str">
        <f t="shared" si="102"/>
        <v>BBVA</v>
      </c>
      <c r="N1120" s="937">
        <f t="shared" si="103"/>
        <v>0.125</v>
      </c>
      <c r="O1120" s="898" t="e">
        <f>+#REF!-I1120</f>
        <v>#REF!</v>
      </c>
    </row>
    <row r="1121" spans="1:15" s="47" customFormat="1" ht="13">
      <c r="A1121" s="176">
        <v>39388</v>
      </c>
      <c r="B1121" s="50">
        <v>57562.19</v>
      </c>
      <c r="C1121" s="50">
        <f t="shared" si="96"/>
        <v>58208.148165041101</v>
      </c>
      <c r="D1121" s="49">
        <f t="shared" si="97"/>
        <v>39420</v>
      </c>
      <c r="E1121" s="51">
        <v>32</v>
      </c>
      <c r="F1121" s="179">
        <v>0.128</v>
      </c>
      <c r="G1121" s="177" t="s">
        <v>276</v>
      </c>
      <c r="H1121" s="933">
        <f t="shared" si="98"/>
        <v>39388</v>
      </c>
      <c r="I1121" s="934">
        <f t="shared" si="99"/>
        <v>57562.19</v>
      </c>
      <c r="K1121" s="935">
        <f t="shared" si="100"/>
        <v>39420</v>
      </c>
      <c r="L1121" s="920">
        <f t="shared" si="101"/>
        <v>32</v>
      </c>
      <c r="M1121" s="936" t="str">
        <f t="shared" si="102"/>
        <v>BBVA</v>
      </c>
      <c r="N1121" s="937">
        <f t="shared" si="103"/>
        <v>0.128</v>
      </c>
      <c r="O1121" s="898" t="e">
        <f>+#REF!-I1121</f>
        <v>#REF!</v>
      </c>
    </row>
    <row r="1122" spans="1:15" s="47" customFormat="1" ht="13">
      <c r="A1122" s="176">
        <v>39388</v>
      </c>
      <c r="B1122" s="50">
        <v>60591.78</v>
      </c>
      <c r="C1122" s="50">
        <f t="shared" si="96"/>
        <v>61271.735975013697</v>
      </c>
      <c r="D1122" s="49">
        <f t="shared" si="97"/>
        <v>39420</v>
      </c>
      <c r="E1122" s="51">
        <v>32</v>
      </c>
      <c r="F1122" s="52">
        <v>0.128</v>
      </c>
      <c r="G1122" s="177" t="s">
        <v>276</v>
      </c>
      <c r="H1122" s="933">
        <f t="shared" si="98"/>
        <v>39388</v>
      </c>
      <c r="I1122" s="934">
        <f t="shared" si="99"/>
        <v>60591.78</v>
      </c>
      <c r="K1122" s="935">
        <f t="shared" si="100"/>
        <v>39420</v>
      </c>
      <c r="L1122" s="920">
        <f t="shared" si="101"/>
        <v>32</v>
      </c>
      <c r="M1122" s="936" t="str">
        <f t="shared" si="102"/>
        <v>BBVA</v>
      </c>
      <c r="N1122" s="937">
        <f t="shared" si="103"/>
        <v>0.128</v>
      </c>
      <c r="O1122" s="898" t="e">
        <f>+#REF!-I1122</f>
        <v>#REF!</v>
      </c>
    </row>
    <row r="1123" spans="1:15" s="47" customFormat="1" ht="13">
      <c r="A1123" s="176">
        <v>39402</v>
      </c>
      <c r="B1123" s="50">
        <v>61249.979573835619</v>
      </c>
      <c r="C1123" s="50">
        <f t="shared" si="96"/>
        <v>61900.236206297574</v>
      </c>
      <c r="D1123" s="49">
        <f t="shared" si="97"/>
        <v>39433</v>
      </c>
      <c r="E1123" s="51">
        <v>31</v>
      </c>
      <c r="F1123" s="179">
        <v>0.125</v>
      </c>
      <c r="G1123" s="177" t="s">
        <v>120</v>
      </c>
      <c r="H1123" s="933">
        <f t="shared" si="98"/>
        <v>39402</v>
      </c>
      <c r="I1123" s="934">
        <f t="shared" si="99"/>
        <v>61249.979573835619</v>
      </c>
      <c r="K1123" s="935">
        <f t="shared" si="100"/>
        <v>39433</v>
      </c>
      <c r="L1123" s="920">
        <f t="shared" si="101"/>
        <v>31</v>
      </c>
      <c r="M1123" s="940"/>
      <c r="N1123" s="941"/>
      <c r="O1123" s="872"/>
    </row>
    <row r="1124" spans="1:15" s="47" customFormat="1" ht="13">
      <c r="A1124" s="176">
        <v>39402</v>
      </c>
      <c r="B1124" s="50">
        <v>64296.11</v>
      </c>
      <c r="C1124" s="50">
        <f t="shared" si="96"/>
        <v>64995.087984876714</v>
      </c>
      <c r="D1124" s="49">
        <f t="shared" si="97"/>
        <v>39433</v>
      </c>
      <c r="E1124" s="51">
        <v>31</v>
      </c>
      <c r="F1124" s="52">
        <v>0.128</v>
      </c>
      <c r="G1124" s="177" t="s">
        <v>276</v>
      </c>
      <c r="H1124" s="933">
        <f t="shared" si="98"/>
        <v>39402</v>
      </c>
      <c r="I1124" s="934">
        <f t="shared" si="99"/>
        <v>64296.11</v>
      </c>
      <c r="K1124" s="935">
        <f t="shared" si="100"/>
        <v>39433</v>
      </c>
      <c r="L1124" s="920">
        <f t="shared" si="101"/>
        <v>31</v>
      </c>
      <c r="M1124" s="940"/>
      <c r="N1124" s="941"/>
      <c r="O1124" s="872"/>
    </row>
    <row r="1125" spans="1:15" s="47" customFormat="1" ht="13">
      <c r="A1125" s="176">
        <v>39407</v>
      </c>
      <c r="B1125" s="50">
        <v>52168.18</v>
      </c>
      <c r="C1125" s="50">
        <f t="shared" si="96"/>
        <v>52714.873941095888</v>
      </c>
      <c r="D1125" s="49">
        <f t="shared" si="97"/>
        <v>39437</v>
      </c>
      <c r="E1125" s="51">
        <v>30</v>
      </c>
      <c r="F1125" s="52">
        <v>0.1275</v>
      </c>
      <c r="G1125" s="177" t="s">
        <v>120</v>
      </c>
      <c r="H1125" s="933">
        <f t="shared" si="98"/>
        <v>39407</v>
      </c>
      <c r="I1125" s="934">
        <f t="shared" si="99"/>
        <v>52168.18</v>
      </c>
      <c r="K1125" s="935">
        <f t="shared" si="100"/>
        <v>39437</v>
      </c>
      <c r="L1125" s="920">
        <f t="shared" si="101"/>
        <v>30</v>
      </c>
      <c r="M1125" s="936" t="str">
        <f t="shared" ref="M1125:M1133" si="104">+G1125</f>
        <v>HSBC</v>
      </c>
      <c r="N1125" s="937">
        <f t="shared" ref="N1125:N1133" si="105">+F1125</f>
        <v>0.1275</v>
      </c>
      <c r="O1125" s="898" t="e">
        <f>+#REF!-I1125</f>
        <v>#REF!</v>
      </c>
    </row>
    <row r="1126" spans="1:15" s="47" customFormat="1" ht="13">
      <c r="A1126" s="176">
        <v>39407</v>
      </c>
      <c r="B1126" s="50">
        <v>52168.18</v>
      </c>
      <c r="C1126" s="50">
        <f t="shared" si="96"/>
        <v>52714.873941095888</v>
      </c>
      <c r="D1126" s="49">
        <f t="shared" si="97"/>
        <v>39437</v>
      </c>
      <c r="E1126" s="51">
        <v>30</v>
      </c>
      <c r="F1126" s="52">
        <v>0.1275</v>
      </c>
      <c r="G1126" s="177" t="s">
        <v>120</v>
      </c>
      <c r="H1126" s="933">
        <f t="shared" si="98"/>
        <v>39407</v>
      </c>
      <c r="I1126" s="934">
        <f t="shared" si="99"/>
        <v>52168.18</v>
      </c>
      <c r="K1126" s="935">
        <f t="shared" si="100"/>
        <v>39437</v>
      </c>
      <c r="L1126" s="920">
        <f t="shared" si="101"/>
        <v>30</v>
      </c>
      <c r="M1126" s="936" t="str">
        <f t="shared" si="104"/>
        <v>HSBC</v>
      </c>
      <c r="N1126" s="937">
        <f t="shared" si="105"/>
        <v>0.1275</v>
      </c>
      <c r="O1126" s="898" t="e">
        <f>+#REF!-I1126</f>
        <v>#REF!</v>
      </c>
    </row>
    <row r="1127" spans="1:15" s="47" customFormat="1" ht="13">
      <c r="A1127" s="176">
        <v>39412</v>
      </c>
      <c r="B1127" s="50">
        <v>54480.37</v>
      </c>
      <c r="C1127" s="50">
        <f t="shared" si="96"/>
        <v>55062.489021917812</v>
      </c>
      <c r="D1127" s="49">
        <f t="shared" si="97"/>
        <v>39442</v>
      </c>
      <c r="E1127" s="51">
        <v>30</v>
      </c>
      <c r="F1127" s="52">
        <v>0.13</v>
      </c>
      <c r="G1127" s="177" t="s">
        <v>276</v>
      </c>
      <c r="H1127" s="933">
        <f t="shared" si="98"/>
        <v>39412</v>
      </c>
      <c r="I1127" s="934">
        <f t="shared" si="99"/>
        <v>54480.37</v>
      </c>
      <c r="K1127" s="935">
        <f t="shared" si="100"/>
        <v>39442</v>
      </c>
      <c r="L1127" s="920">
        <f t="shared" si="101"/>
        <v>30</v>
      </c>
      <c r="M1127" s="936" t="str">
        <f t="shared" si="104"/>
        <v>BBVA</v>
      </c>
      <c r="N1127" s="937">
        <f t="shared" si="105"/>
        <v>0.13</v>
      </c>
      <c r="O1127" s="898" t="e">
        <f>+#REF!-I1127</f>
        <v>#REF!</v>
      </c>
    </row>
    <row r="1128" spans="1:15" s="47" customFormat="1" ht="13">
      <c r="A1128" s="176">
        <v>39412</v>
      </c>
      <c r="B1128" s="50">
        <v>64676.859813924188</v>
      </c>
      <c r="C1128" s="50">
        <f t="shared" si="96"/>
        <v>65367.927631114064</v>
      </c>
      <c r="D1128" s="49">
        <f t="shared" si="97"/>
        <v>39442</v>
      </c>
      <c r="E1128" s="51">
        <v>30</v>
      </c>
      <c r="F1128" s="52">
        <v>0.13</v>
      </c>
      <c r="G1128" s="177" t="s">
        <v>276</v>
      </c>
      <c r="H1128" s="933">
        <f t="shared" si="98"/>
        <v>39412</v>
      </c>
      <c r="I1128" s="934">
        <f t="shared" si="99"/>
        <v>64676.859813924188</v>
      </c>
      <c r="K1128" s="935">
        <f t="shared" si="100"/>
        <v>39442</v>
      </c>
      <c r="L1128" s="920">
        <f t="shared" si="101"/>
        <v>30</v>
      </c>
      <c r="M1128" s="936" t="str">
        <f t="shared" si="104"/>
        <v>BBVA</v>
      </c>
      <c r="N1128" s="937">
        <f t="shared" si="105"/>
        <v>0.13</v>
      </c>
      <c r="O1128" s="898" t="e">
        <f>+#REF!-I1128</f>
        <v>#REF!</v>
      </c>
    </row>
    <row r="1129" spans="1:15" s="47" customFormat="1" ht="13">
      <c r="A1129" s="176">
        <v>39412</v>
      </c>
      <c r="B1129" s="50">
        <v>64676.858695187839</v>
      </c>
      <c r="C1129" s="50">
        <f t="shared" si="96"/>
        <v>65367.926500424095</v>
      </c>
      <c r="D1129" s="49">
        <f t="shared" si="97"/>
        <v>39442</v>
      </c>
      <c r="E1129" s="51">
        <v>30</v>
      </c>
      <c r="F1129" s="52">
        <v>0.13</v>
      </c>
      <c r="G1129" s="177" t="s">
        <v>276</v>
      </c>
      <c r="H1129" s="933">
        <f t="shared" si="98"/>
        <v>39412</v>
      </c>
      <c r="I1129" s="934">
        <f t="shared" si="99"/>
        <v>64676.858695187839</v>
      </c>
      <c r="K1129" s="935">
        <f t="shared" si="100"/>
        <v>39442</v>
      </c>
      <c r="L1129" s="920">
        <f t="shared" si="101"/>
        <v>30</v>
      </c>
      <c r="M1129" s="936" t="str">
        <f t="shared" si="104"/>
        <v>BBVA</v>
      </c>
      <c r="N1129" s="937">
        <f t="shared" si="105"/>
        <v>0.13</v>
      </c>
      <c r="O1129" s="898" t="e">
        <f>+#REF!-I1129</f>
        <v>#REF!</v>
      </c>
    </row>
    <row r="1130" spans="1:15" s="47" customFormat="1" ht="13">
      <c r="A1130" s="176">
        <v>39412</v>
      </c>
      <c r="B1130" s="50">
        <v>46846.971097008827</v>
      </c>
      <c r="C1130" s="50">
        <f t="shared" si="96"/>
        <v>47347.527774483715</v>
      </c>
      <c r="D1130" s="49">
        <f t="shared" si="97"/>
        <v>39442</v>
      </c>
      <c r="E1130" s="51">
        <v>30</v>
      </c>
      <c r="F1130" s="52">
        <v>0.13</v>
      </c>
      <c r="G1130" s="177" t="s">
        <v>276</v>
      </c>
      <c r="H1130" s="933">
        <f t="shared" si="98"/>
        <v>39412</v>
      </c>
      <c r="I1130" s="934">
        <f t="shared" si="99"/>
        <v>46846.971097008827</v>
      </c>
      <c r="K1130" s="935">
        <f t="shared" si="100"/>
        <v>39442</v>
      </c>
      <c r="L1130" s="920">
        <f t="shared" si="101"/>
        <v>30</v>
      </c>
      <c r="M1130" s="936" t="str">
        <f t="shared" si="104"/>
        <v>BBVA</v>
      </c>
      <c r="N1130" s="937">
        <f t="shared" si="105"/>
        <v>0.13</v>
      </c>
      <c r="O1130" s="898" t="e">
        <f>+#REF!-I1130</f>
        <v>#REF!</v>
      </c>
    </row>
    <row r="1131" spans="1:15" s="47" customFormat="1" ht="13">
      <c r="A1131" s="176">
        <v>39412</v>
      </c>
      <c r="B1131" s="50">
        <v>46846.971097008827</v>
      </c>
      <c r="C1131" s="50">
        <f t="shared" si="96"/>
        <v>47347.527774483715</v>
      </c>
      <c r="D1131" s="49">
        <f t="shared" si="97"/>
        <v>39442</v>
      </c>
      <c r="E1131" s="51">
        <v>30</v>
      </c>
      <c r="F1131" s="52">
        <v>0.13</v>
      </c>
      <c r="G1131" s="177" t="s">
        <v>276</v>
      </c>
      <c r="H1131" s="933">
        <f t="shared" si="98"/>
        <v>39412</v>
      </c>
      <c r="I1131" s="934">
        <f t="shared" si="99"/>
        <v>46846.971097008827</v>
      </c>
      <c r="K1131" s="935">
        <f t="shared" si="100"/>
        <v>39442</v>
      </c>
      <c r="L1131" s="920">
        <f t="shared" si="101"/>
        <v>30</v>
      </c>
      <c r="M1131" s="936" t="str">
        <f t="shared" si="104"/>
        <v>BBVA</v>
      </c>
      <c r="N1131" s="937">
        <f t="shared" si="105"/>
        <v>0.13</v>
      </c>
      <c r="O1131" s="898" t="e">
        <f>+#REF!-I1131</f>
        <v>#REF!</v>
      </c>
    </row>
    <row r="1132" spans="1:15" s="47" customFormat="1" ht="13">
      <c r="A1132" s="176">
        <v>39412</v>
      </c>
      <c r="B1132" s="50">
        <v>54491.931980456524</v>
      </c>
      <c r="C1132" s="50">
        <f t="shared" si="96"/>
        <v>55062.97756901884</v>
      </c>
      <c r="D1132" s="49">
        <f t="shared" si="97"/>
        <v>39442</v>
      </c>
      <c r="E1132" s="51">
        <v>30</v>
      </c>
      <c r="F1132" s="52">
        <v>0.1275</v>
      </c>
      <c r="G1132" s="177" t="s">
        <v>120</v>
      </c>
      <c r="H1132" s="933">
        <f t="shared" si="98"/>
        <v>39412</v>
      </c>
      <c r="I1132" s="934">
        <f t="shared" si="99"/>
        <v>54491.931980456524</v>
      </c>
      <c r="K1132" s="935">
        <f t="shared" si="100"/>
        <v>39442</v>
      </c>
      <c r="L1132" s="920">
        <f t="shared" si="101"/>
        <v>30</v>
      </c>
      <c r="M1132" s="936" t="str">
        <f t="shared" si="104"/>
        <v>HSBC</v>
      </c>
      <c r="N1132" s="937">
        <f t="shared" si="105"/>
        <v>0.1275</v>
      </c>
      <c r="O1132" s="898" t="e">
        <f>+#REF!-I1132</f>
        <v>#REF!</v>
      </c>
    </row>
    <row r="1133" spans="1:15" s="47" customFormat="1" ht="13">
      <c r="A1133" s="176">
        <v>39414</v>
      </c>
      <c r="B1133" s="50">
        <v>60753.08</v>
      </c>
      <c r="C1133" s="50">
        <f t="shared" si="96"/>
        <v>61427.18951780822</v>
      </c>
      <c r="D1133" s="49">
        <f t="shared" si="97"/>
        <v>39444</v>
      </c>
      <c r="E1133" s="51">
        <v>30</v>
      </c>
      <c r="F1133" s="179">
        <v>0.13500000000000001</v>
      </c>
      <c r="G1133" s="177" t="s">
        <v>276</v>
      </c>
      <c r="H1133" s="933">
        <f t="shared" si="98"/>
        <v>39414</v>
      </c>
      <c r="I1133" s="934">
        <f t="shared" si="99"/>
        <v>60753.08</v>
      </c>
      <c r="K1133" s="935">
        <f t="shared" si="100"/>
        <v>39444</v>
      </c>
      <c r="L1133" s="920">
        <f t="shared" si="101"/>
        <v>30</v>
      </c>
      <c r="M1133" s="936" t="str">
        <f t="shared" si="104"/>
        <v>BBVA</v>
      </c>
      <c r="N1133" s="937">
        <f t="shared" si="105"/>
        <v>0.13500000000000001</v>
      </c>
      <c r="O1133" s="898" t="e">
        <f>+#REF!-I1133</f>
        <v>#REF!</v>
      </c>
    </row>
    <row r="1134" spans="1:15" s="47" customFormat="1" ht="13">
      <c r="A1134" s="176"/>
      <c r="B1134" s="50">
        <f>SUM(B1011:B1133)</f>
        <v>6285123.9396370677</v>
      </c>
      <c r="C1134" s="50">
        <f>SUM(C1011:C1133)</f>
        <v>6341295.7620729264</v>
      </c>
      <c r="D1134" s="50">
        <f>+C1134-B1134</f>
        <v>56171.822435858659</v>
      </c>
      <c r="E1134" s="51"/>
      <c r="F1134" s="179"/>
      <c r="G1134" s="177"/>
      <c r="H1134" s="933"/>
      <c r="I1134" s="934"/>
      <c r="K1134" s="935">
        <f>+D1134</f>
        <v>56171.822435858659</v>
      </c>
      <c r="L1134" s="920"/>
      <c r="M1134" s="936"/>
      <c r="N1134" s="937"/>
      <c r="O1134" s="898"/>
    </row>
    <row r="1135" spans="1:15" s="47" customFormat="1" ht="13">
      <c r="A1135" s="176"/>
      <c r="B1135" s="50"/>
      <c r="C1135" s="50"/>
      <c r="D1135" s="49"/>
      <c r="E1135" s="51"/>
      <c r="F1135" s="179"/>
      <c r="G1135" s="177"/>
      <c r="H1135" s="933"/>
      <c r="I1135" s="934"/>
      <c r="K1135" s="935"/>
      <c r="L1135" s="920"/>
      <c r="M1135" s="936"/>
      <c r="N1135" s="937"/>
      <c r="O1135" s="898"/>
    </row>
    <row r="1136" spans="1:15" s="47" customFormat="1" ht="13">
      <c r="A1136" s="176">
        <v>39416</v>
      </c>
      <c r="B1136" s="50">
        <v>56113.11</v>
      </c>
      <c r="C1136" s="50">
        <f t="shared" ref="C1136:C1147" si="106">B1136+(B1136*F1136/365*E1136)*1</f>
        <v>56797.997411095894</v>
      </c>
      <c r="D1136" s="49">
        <f t="shared" ref="D1136:D1167" si="107">A1136+E1136</f>
        <v>39449</v>
      </c>
      <c r="E1136" s="51">
        <v>33</v>
      </c>
      <c r="F1136" s="179">
        <v>0.13500000000000001</v>
      </c>
      <c r="G1136" s="177" t="s">
        <v>276</v>
      </c>
      <c r="H1136" s="933">
        <f t="shared" ref="H1136:I1140" si="108">+A1136</f>
        <v>39416</v>
      </c>
      <c r="I1136" s="934">
        <f t="shared" si="108"/>
        <v>56113.11</v>
      </c>
      <c r="K1136" s="935">
        <f t="shared" ref="K1136:L1140" si="109">+D1136</f>
        <v>39449</v>
      </c>
      <c r="L1136" s="920">
        <f t="shared" si="109"/>
        <v>33</v>
      </c>
      <c r="M1136" s="936" t="str">
        <f>+G1136</f>
        <v>BBVA</v>
      </c>
      <c r="N1136" s="937">
        <f>+F1136</f>
        <v>0.13500000000000001</v>
      </c>
      <c r="O1136" s="898" t="e">
        <f>+#REF!-I1136</f>
        <v>#REF!</v>
      </c>
    </row>
    <row r="1137" spans="1:15" s="47" customFormat="1" ht="13">
      <c r="A1137" s="176">
        <v>39416</v>
      </c>
      <c r="B1137" s="50">
        <v>55000</v>
      </c>
      <c r="C1137" s="50">
        <f t="shared" si="106"/>
        <v>55671.301369863017</v>
      </c>
      <c r="D1137" s="49">
        <f t="shared" si="107"/>
        <v>39449</v>
      </c>
      <c r="E1137" s="51">
        <v>33</v>
      </c>
      <c r="F1137" s="52">
        <v>0.13500000000000001</v>
      </c>
      <c r="G1137" s="177" t="s">
        <v>276</v>
      </c>
      <c r="H1137" s="933">
        <f t="shared" si="108"/>
        <v>39416</v>
      </c>
      <c r="I1137" s="934">
        <f t="shared" si="108"/>
        <v>55000</v>
      </c>
      <c r="K1137" s="935">
        <f t="shared" si="109"/>
        <v>39449</v>
      </c>
      <c r="L1137" s="920">
        <f t="shared" si="109"/>
        <v>33</v>
      </c>
      <c r="M1137" s="936" t="str">
        <f>+G1137</f>
        <v>BBVA</v>
      </c>
      <c r="N1137" s="937">
        <f>+F1137</f>
        <v>0.13500000000000001</v>
      </c>
      <c r="O1137" s="898" t="e">
        <f>+#REF!-I1137</f>
        <v>#REF!</v>
      </c>
    </row>
    <row r="1138" spans="1:15" s="47" customFormat="1" ht="13">
      <c r="A1138" s="176">
        <v>39421</v>
      </c>
      <c r="B1138" s="50">
        <v>58208.15</v>
      </c>
      <c r="C1138" s="50">
        <f t="shared" si="106"/>
        <v>58854.02125342466</v>
      </c>
      <c r="D1138" s="49">
        <f t="shared" si="107"/>
        <v>39451</v>
      </c>
      <c r="E1138" s="51">
        <v>30</v>
      </c>
      <c r="F1138" s="52">
        <v>0.13500000000000001</v>
      </c>
      <c r="G1138" s="177" t="s">
        <v>276</v>
      </c>
      <c r="H1138" s="933">
        <f t="shared" si="108"/>
        <v>39421</v>
      </c>
      <c r="I1138" s="934">
        <f t="shared" si="108"/>
        <v>58208.15</v>
      </c>
      <c r="K1138" s="935">
        <f t="shared" si="109"/>
        <v>39451</v>
      </c>
      <c r="L1138" s="920">
        <f t="shared" si="109"/>
        <v>30</v>
      </c>
      <c r="M1138" s="936" t="str">
        <f>+G1138</f>
        <v>BBVA</v>
      </c>
      <c r="N1138" s="937">
        <f>+F1138</f>
        <v>0.13500000000000001</v>
      </c>
      <c r="O1138" s="898" t="e">
        <f>+#REF!-I1138</f>
        <v>#REF!</v>
      </c>
    </row>
    <row r="1139" spans="1:15" s="47" customFormat="1" ht="13">
      <c r="A1139" s="176">
        <v>39421</v>
      </c>
      <c r="B1139" s="50">
        <v>57000</v>
      </c>
      <c r="C1139" s="50">
        <f t="shared" si="106"/>
        <v>57632.465753424658</v>
      </c>
      <c r="D1139" s="49">
        <f t="shared" si="107"/>
        <v>39451</v>
      </c>
      <c r="E1139" s="51">
        <v>30</v>
      </c>
      <c r="F1139" s="52">
        <v>0.13500000000000001</v>
      </c>
      <c r="G1139" s="177" t="s">
        <v>276</v>
      </c>
      <c r="H1139" s="933">
        <f t="shared" si="108"/>
        <v>39421</v>
      </c>
      <c r="I1139" s="934">
        <f t="shared" si="108"/>
        <v>57000</v>
      </c>
      <c r="K1139" s="935">
        <f t="shared" si="109"/>
        <v>39451</v>
      </c>
      <c r="L1139" s="920">
        <f t="shared" si="109"/>
        <v>30</v>
      </c>
      <c r="M1139" s="936" t="str">
        <f>+G1139</f>
        <v>BBVA</v>
      </c>
      <c r="N1139" s="937">
        <f>+F1139</f>
        <v>0.13500000000000001</v>
      </c>
      <c r="O1139" s="898" t="e">
        <f>+#REF!-I1139</f>
        <v>#REF!</v>
      </c>
    </row>
    <row r="1140" spans="1:15" s="47" customFormat="1" ht="13">
      <c r="A1140" s="176">
        <v>39433</v>
      </c>
      <c r="B1140" s="50">
        <v>64995.09</v>
      </c>
      <c r="C1140" s="50">
        <f t="shared" si="106"/>
        <v>65716.268395890409</v>
      </c>
      <c r="D1140" s="49">
        <f t="shared" si="107"/>
        <v>39463</v>
      </c>
      <c r="E1140" s="51">
        <v>30</v>
      </c>
      <c r="F1140" s="52">
        <v>0.13500000000000001</v>
      </c>
      <c r="G1140" s="177" t="s">
        <v>276</v>
      </c>
      <c r="H1140" s="933">
        <f t="shared" si="108"/>
        <v>39433</v>
      </c>
      <c r="I1140" s="934">
        <f t="shared" si="108"/>
        <v>64995.09</v>
      </c>
      <c r="K1140" s="935">
        <f t="shared" si="109"/>
        <v>39463</v>
      </c>
      <c r="L1140" s="920">
        <f t="shared" si="109"/>
        <v>30</v>
      </c>
      <c r="M1140" s="936" t="str">
        <f>+G1140</f>
        <v>BBVA</v>
      </c>
      <c r="N1140" s="937">
        <f>+F1140</f>
        <v>0.13500000000000001</v>
      </c>
      <c r="O1140" s="898" t="e">
        <f>+#REF!-I1140</f>
        <v>#REF!</v>
      </c>
    </row>
    <row r="1141" spans="1:15" s="47" customFormat="1" ht="13">
      <c r="A1141" s="176">
        <v>39442</v>
      </c>
      <c r="B1141" s="50">
        <v>65367.927631114064</v>
      </c>
      <c r="C1141" s="50">
        <f t="shared" si="106"/>
        <v>66093.242992500396</v>
      </c>
      <c r="D1141" s="49">
        <f t="shared" si="107"/>
        <v>39472</v>
      </c>
      <c r="E1141" s="51">
        <v>30</v>
      </c>
      <c r="F1141" s="52">
        <v>0.13500000000000001</v>
      </c>
      <c r="G1141" s="177" t="s">
        <v>276</v>
      </c>
      <c r="H1141" s="933"/>
      <c r="I1141" s="934"/>
      <c r="K1141" s="935"/>
      <c r="L1141" s="920"/>
      <c r="M1141" s="936"/>
      <c r="N1141" s="937"/>
      <c r="O1141" s="898"/>
    </row>
    <row r="1142" spans="1:15" s="47" customFormat="1" ht="13">
      <c r="A1142" s="176">
        <v>39442</v>
      </c>
      <c r="B1142" s="50">
        <v>65367.926500424095</v>
      </c>
      <c r="C1142" s="50">
        <f t="shared" si="106"/>
        <v>66093.241849264421</v>
      </c>
      <c r="D1142" s="49">
        <f t="shared" si="107"/>
        <v>39472</v>
      </c>
      <c r="E1142" s="51">
        <v>30</v>
      </c>
      <c r="F1142" s="52">
        <v>0.13500000000000001</v>
      </c>
      <c r="G1142" s="177" t="s">
        <v>276</v>
      </c>
      <c r="H1142" s="933"/>
      <c r="I1142" s="934"/>
      <c r="K1142" s="935"/>
      <c r="L1142" s="920"/>
      <c r="M1142" s="936"/>
      <c r="N1142" s="937"/>
      <c r="O1142" s="898"/>
    </row>
    <row r="1143" spans="1:15" s="47" customFormat="1" ht="13">
      <c r="A1143" s="176">
        <v>39442</v>
      </c>
      <c r="B1143" s="50">
        <v>47347.527774483715</v>
      </c>
      <c r="C1143" s="50">
        <f t="shared" si="106"/>
        <v>47872.890753899221</v>
      </c>
      <c r="D1143" s="49">
        <f t="shared" si="107"/>
        <v>39472</v>
      </c>
      <c r="E1143" s="51">
        <v>30</v>
      </c>
      <c r="F1143" s="52">
        <v>0.13500000000000001</v>
      </c>
      <c r="G1143" s="177" t="s">
        <v>276</v>
      </c>
      <c r="H1143" s="933"/>
      <c r="I1143" s="934"/>
      <c r="K1143" s="935"/>
      <c r="L1143" s="920"/>
      <c r="M1143" s="936"/>
      <c r="N1143" s="937"/>
      <c r="O1143" s="898"/>
    </row>
    <row r="1144" spans="1:15" s="47" customFormat="1" ht="13">
      <c r="A1144" s="176">
        <v>39442</v>
      </c>
      <c r="B1144" s="50">
        <v>47347.527774483715</v>
      </c>
      <c r="C1144" s="50">
        <f t="shared" si="106"/>
        <v>47872.890753899221</v>
      </c>
      <c r="D1144" s="49">
        <f t="shared" si="107"/>
        <v>39472</v>
      </c>
      <c r="E1144" s="51">
        <v>30</v>
      </c>
      <c r="F1144" s="52">
        <v>0.13500000000000001</v>
      </c>
      <c r="G1144" s="177" t="s">
        <v>276</v>
      </c>
      <c r="H1144" s="933"/>
      <c r="I1144" s="934"/>
      <c r="K1144" s="935"/>
      <c r="L1144" s="920"/>
      <c r="M1144" s="936"/>
      <c r="N1144" s="937"/>
      <c r="O1144" s="898"/>
    </row>
    <row r="1145" spans="1:15" s="47" customFormat="1" ht="13">
      <c r="A1145" s="176">
        <v>39442</v>
      </c>
      <c r="B1145" s="50">
        <v>47347.527774483715</v>
      </c>
      <c r="C1145" s="50">
        <f t="shared" si="106"/>
        <v>47872.890753899221</v>
      </c>
      <c r="D1145" s="49">
        <f t="shared" si="107"/>
        <v>39472</v>
      </c>
      <c r="E1145" s="51">
        <v>30</v>
      </c>
      <c r="F1145" s="52">
        <v>0.13500000000000001</v>
      </c>
      <c r="G1145" s="177" t="s">
        <v>276</v>
      </c>
      <c r="H1145" s="933"/>
      <c r="I1145" s="934"/>
      <c r="K1145" s="935"/>
      <c r="L1145" s="920"/>
      <c r="M1145" s="936"/>
      <c r="N1145" s="937"/>
      <c r="O1145" s="898"/>
    </row>
    <row r="1146" spans="1:15" s="47" customFormat="1" ht="13">
      <c r="A1146" s="176">
        <v>39444</v>
      </c>
      <c r="B1146" s="50">
        <v>61427.19</v>
      </c>
      <c r="C1146" s="50">
        <f t="shared" si="106"/>
        <v>62131.499014109591</v>
      </c>
      <c r="D1146" s="49">
        <f t="shared" si="107"/>
        <v>39475</v>
      </c>
      <c r="E1146" s="51">
        <v>31</v>
      </c>
      <c r="F1146" s="52">
        <v>0.13500000000000001</v>
      </c>
      <c r="G1146" s="177" t="s">
        <v>276</v>
      </c>
      <c r="H1146" s="933">
        <f t="shared" ref="H1146:H1177" si="110">+A1146</f>
        <v>39444</v>
      </c>
      <c r="I1146" s="934">
        <f t="shared" ref="I1146:I1177" si="111">+B1146</f>
        <v>61427.19</v>
      </c>
      <c r="K1146" s="935">
        <f t="shared" ref="K1146:K1177" si="112">+D1146</f>
        <v>39475</v>
      </c>
      <c r="L1146" s="920">
        <f t="shared" ref="L1146:L1177" si="113">+E1146</f>
        <v>31</v>
      </c>
      <c r="M1146" s="936" t="str">
        <f t="shared" ref="M1146:M1177" si="114">+G1146</f>
        <v>BBVA</v>
      </c>
      <c r="N1146" s="937">
        <f t="shared" ref="N1146:N1177" si="115">+F1146</f>
        <v>0.13500000000000001</v>
      </c>
      <c r="O1146" s="898" t="e">
        <f>+#REF!-I1146</f>
        <v>#REF!</v>
      </c>
    </row>
    <row r="1147" spans="1:15" s="47" customFormat="1" ht="13">
      <c r="A1147" s="176">
        <v>39433</v>
      </c>
      <c r="B1147" s="50">
        <v>61900.24</v>
      </c>
      <c r="C1147" s="50">
        <f t="shared" si="106"/>
        <v>62536.201369863011</v>
      </c>
      <c r="D1147" s="49">
        <f t="shared" si="107"/>
        <v>39463</v>
      </c>
      <c r="E1147" s="51">
        <v>30</v>
      </c>
      <c r="F1147" s="179">
        <v>0.125</v>
      </c>
      <c r="G1147" s="177" t="s">
        <v>120</v>
      </c>
      <c r="H1147" s="933">
        <f t="shared" si="110"/>
        <v>39433</v>
      </c>
      <c r="I1147" s="934">
        <f t="shared" si="111"/>
        <v>61900.24</v>
      </c>
      <c r="K1147" s="935">
        <f t="shared" si="112"/>
        <v>39463</v>
      </c>
      <c r="L1147" s="920">
        <f t="shared" si="113"/>
        <v>30</v>
      </c>
      <c r="M1147" s="936" t="str">
        <f t="shared" si="114"/>
        <v>HSBC</v>
      </c>
      <c r="N1147" s="937">
        <f t="shared" si="115"/>
        <v>0.125</v>
      </c>
      <c r="O1147" s="898" t="e">
        <f>+#REF!-I1147</f>
        <v>#REF!</v>
      </c>
    </row>
    <row r="1148" spans="1:15" s="47" customFormat="1" ht="13">
      <c r="A1148" s="176">
        <v>39437</v>
      </c>
      <c r="B1148" s="50">
        <v>52714.87</v>
      </c>
      <c r="C1148" s="50">
        <f>B1148+(B1148*F1148/365*E1148)*1+0.01</f>
        <v>53279.001321150688</v>
      </c>
      <c r="D1148" s="49">
        <f t="shared" si="107"/>
        <v>39468</v>
      </c>
      <c r="E1148" s="51">
        <v>31</v>
      </c>
      <c r="F1148" s="179">
        <v>0.126</v>
      </c>
      <c r="G1148" s="177" t="s">
        <v>120</v>
      </c>
      <c r="H1148" s="933">
        <f t="shared" si="110"/>
        <v>39437</v>
      </c>
      <c r="I1148" s="934">
        <f t="shared" si="111"/>
        <v>52714.87</v>
      </c>
      <c r="K1148" s="935">
        <f t="shared" si="112"/>
        <v>39468</v>
      </c>
      <c r="L1148" s="920">
        <f t="shared" si="113"/>
        <v>31</v>
      </c>
      <c r="M1148" s="936" t="str">
        <f t="shared" si="114"/>
        <v>HSBC</v>
      </c>
      <c r="N1148" s="937">
        <f t="shared" si="115"/>
        <v>0.126</v>
      </c>
      <c r="O1148" s="898" t="e">
        <f>+#REF!-I1148</f>
        <v>#REF!</v>
      </c>
    </row>
    <row r="1149" spans="1:15" s="47" customFormat="1" ht="13">
      <c r="A1149" s="176">
        <v>39437</v>
      </c>
      <c r="B1149" s="50">
        <v>52714.87</v>
      </c>
      <c r="C1149" s="50">
        <f>B1149+(B1149*F1149/365*E1149)*1+0.01</f>
        <v>53279.001321150688</v>
      </c>
      <c r="D1149" s="49">
        <f t="shared" si="107"/>
        <v>39468</v>
      </c>
      <c r="E1149" s="51">
        <v>31</v>
      </c>
      <c r="F1149" s="179">
        <v>0.126</v>
      </c>
      <c r="G1149" s="177" t="s">
        <v>120</v>
      </c>
      <c r="H1149" s="933">
        <f t="shared" si="110"/>
        <v>39437</v>
      </c>
      <c r="I1149" s="934">
        <f t="shared" si="111"/>
        <v>52714.87</v>
      </c>
      <c r="K1149" s="935">
        <f t="shared" si="112"/>
        <v>39468</v>
      </c>
      <c r="L1149" s="920">
        <f t="shared" si="113"/>
        <v>31</v>
      </c>
      <c r="M1149" s="936" t="str">
        <f t="shared" si="114"/>
        <v>HSBC</v>
      </c>
      <c r="N1149" s="937">
        <f t="shared" si="115"/>
        <v>0.126</v>
      </c>
      <c r="O1149" s="898" t="e">
        <f>+#REF!-I1149</f>
        <v>#REF!</v>
      </c>
    </row>
    <row r="1150" spans="1:15" s="47" customFormat="1" ht="13">
      <c r="A1150" s="176">
        <v>39442</v>
      </c>
      <c r="B1150" s="50">
        <v>55062.97756901884</v>
      </c>
      <c r="C1150" s="50">
        <f t="shared" ref="C1150:C1181" si="116">B1150+(B1150*F1150/365*E1150)*1</f>
        <v>55633.218816171968</v>
      </c>
      <c r="D1150" s="49">
        <f t="shared" si="107"/>
        <v>39472</v>
      </c>
      <c r="E1150" s="51">
        <v>30</v>
      </c>
      <c r="F1150" s="179">
        <v>0.126</v>
      </c>
      <c r="G1150" s="177" t="s">
        <v>120</v>
      </c>
      <c r="H1150" s="933">
        <f t="shared" si="110"/>
        <v>39442</v>
      </c>
      <c r="I1150" s="934">
        <f t="shared" si="111"/>
        <v>55062.97756901884</v>
      </c>
      <c r="K1150" s="935">
        <f t="shared" si="112"/>
        <v>39472</v>
      </c>
      <c r="L1150" s="920">
        <f t="shared" si="113"/>
        <v>30</v>
      </c>
      <c r="M1150" s="936" t="str">
        <f t="shared" si="114"/>
        <v>HSBC</v>
      </c>
      <c r="N1150" s="937">
        <f t="shared" si="115"/>
        <v>0.126</v>
      </c>
      <c r="O1150" s="898" t="e">
        <f>+#REF!-I1150</f>
        <v>#REF!</v>
      </c>
    </row>
    <row r="1151" spans="1:15" s="47" customFormat="1" ht="13">
      <c r="A1151" s="176">
        <v>39449</v>
      </c>
      <c r="B1151" s="50">
        <v>56797.997411095894</v>
      </c>
      <c r="C1151" s="50">
        <f t="shared" si="116"/>
        <v>57512.251679909401</v>
      </c>
      <c r="D1151" s="49">
        <f t="shared" si="107"/>
        <v>39483</v>
      </c>
      <c r="E1151" s="51">
        <v>34</v>
      </c>
      <c r="F1151" s="179">
        <v>0.13500000000000001</v>
      </c>
      <c r="G1151" s="177" t="s">
        <v>276</v>
      </c>
      <c r="H1151" s="933">
        <f t="shared" si="110"/>
        <v>39449</v>
      </c>
      <c r="I1151" s="934">
        <f t="shared" si="111"/>
        <v>56797.997411095894</v>
      </c>
      <c r="K1151" s="935">
        <f t="shared" si="112"/>
        <v>39483</v>
      </c>
      <c r="L1151" s="920">
        <f t="shared" si="113"/>
        <v>34</v>
      </c>
      <c r="M1151" s="936" t="str">
        <f t="shared" si="114"/>
        <v>BBVA</v>
      </c>
      <c r="N1151" s="937">
        <f t="shared" si="115"/>
        <v>0.13500000000000001</v>
      </c>
      <c r="O1151" s="898" t="e">
        <f>+#REF!-I1151</f>
        <v>#REF!</v>
      </c>
    </row>
    <row r="1152" spans="1:15" s="47" customFormat="1" ht="13">
      <c r="A1152" s="176">
        <v>39449</v>
      </c>
      <c r="B1152" s="50">
        <v>55671.301369863017</v>
      </c>
      <c r="C1152" s="50">
        <f t="shared" si="116"/>
        <v>56371.387050103214</v>
      </c>
      <c r="D1152" s="49">
        <f t="shared" si="107"/>
        <v>39483</v>
      </c>
      <c r="E1152" s="51">
        <v>34</v>
      </c>
      <c r="F1152" s="52">
        <v>0.13500000000000001</v>
      </c>
      <c r="G1152" s="177" t="s">
        <v>276</v>
      </c>
      <c r="H1152" s="933">
        <f t="shared" si="110"/>
        <v>39449</v>
      </c>
      <c r="I1152" s="934">
        <f t="shared" si="111"/>
        <v>55671.301369863017</v>
      </c>
      <c r="K1152" s="935">
        <f t="shared" si="112"/>
        <v>39483</v>
      </c>
      <c r="L1152" s="920">
        <f t="shared" si="113"/>
        <v>34</v>
      </c>
      <c r="M1152" s="936" t="str">
        <f t="shared" si="114"/>
        <v>BBVA</v>
      </c>
      <c r="N1152" s="937">
        <f t="shared" si="115"/>
        <v>0.13500000000000001</v>
      </c>
      <c r="O1152" s="898" t="e">
        <f>+#REF!-I1152</f>
        <v>#REF!</v>
      </c>
    </row>
    <row r="1153" spans="1:15" s="47" customFormat="1" ht="13">
      <c r="A1153" s="176">
        <v>39451</v>
      </c>
      <c r="B1153" s="50">
        <v>58854.02</v>
      </c>
      <c r="C1153" s="50">
        <f t="shared" si="116"/>
        <v>59681.201157808217</v>
      </c>
      <c r="D1153" s="49">
        <f t="shared" si="107"/>
        <v>39489</v>
      </c>
      <c r="E1153" s="51">
        <v>38</v>
      </c>
      <c r="F1153" s="179">
        <v>0.13500000000000001</v>
      </c>
      <c r="G1153" s="177" t="s">
        <v>276</v>
      </c>
      <c r="H1153" s="933">
        <f t="shared" si="110"/>
        <v>39451</v>
      </c>
      <c r="I1153" s="934">
        <f t="shared" si="111"/>
        <v>58854.02</v>
      </c>
      <c r="K1153" s="935">
        <f t="shared" si="112"/>
        <v>39489</v>
      </c>
      <c r="L1153" s="920">
        <f t="shared" si="113"/>
        <v>38</v>
      </c>
      <c r="M1153" s="936" t="str">
        <f t="shared" si="114"/>
        <v>BBVA</v>
      </c>
      <c r="N1153" s="937">
        <f t="shared" si="115"/>
        <v>0.13500000000000001</v>
      </c>
      <c r="O1153" s="898" t="e">
        <f>+#REF!-I1153</f>
        <v>#REF!</v>
      </c>
    </row>
    <row r="1154" spans="1:15" s="47" customFormat="1" ht="13">
      <c r="A1154" s="176">
        <v>39451</v>
      </c>
      <c r="B1154" s="50">
        <v>57632.47</v>
      </c>
      <c r="C1154" s="50">
        <f t="shared" si="116"/>
        <v>58442.482523561644</v>
      </c>
      <c r="D1154" s="49">
        <f t="shared" si="107"/>
        <v>39489</v>
      </c>
      <c r="E1154" s="51">
        <v>38</v>
      </c>
      <c r="F1154" s="52">
        <v>0.13500000000000001</v>
      </c>
      <c r="G1154" s="177" t="s">
        <v>276</v>
      </c>
      <c r="H1154" s="933">
        <f t="shared" si="110"/>
        <v>39451</v>
      </c>
      <c r="I1154" s="934">
        <f t="shared" si="111"/>
        <v>57632.47</v>
      </c>
      <c r="K1154" s="935">
        <f t="shared" si="112"/>
        <v>39489</v>
      </c>
      <c r="L1154" s="920">
        <f t="shared" si="113"/>
        <v>38</v>
      </c>
      <c r="M1154" s="936" t="str">
        <f t="shared" si="114"/>
        <v>BBVA</v>
      </c>
      <c r="N1154" s="937">
        <f t="shared" si="115"/>
        <v>0.13500000000000001</v>
      </c>
      <c r="O1154" s="898" t="e">
        <f>+#REF!-I1154</f>
        <v>#REF!</v>
      </c>
    </row>
    <row r="1155" spans="1:15" s="47" customFormat="1" ht="13">
      <c r="A1155" s="176">
        <v>39463</v>
      </c>
      <c r="B1155" s="50">
        <v>62536.2</v>
      </c>
      <c r="C1155" s="50">
        <f t="shared" si="116"/>
        <v>63075.895972602739</v>
      </c>
      <c r="D1155" s="49">
        <f t="shared" si="107"/>
        <v>39493</v>
      </c>
      <c r="E1155" s="51">
        <v>30</v>
      </c>
      <c r="F1155" s="179">
        <v>0.105</v>
      </c>
      <c r="G1155" s="177" t="s">
        <v>120</v>
      </c>
      <c r="H1155" s="933">
        <f t="shared" si="110"/>
        <v>39463</v>
      </c>
      <c r="I1155" s="934">
        <f t="shared" si="111"/>
        <v>62536.2</v>
      </c>
      <c r="K1155" s="935">
        <f t="shared" si="112"/>
        <v>39493</v>
      </c>
      <c r="L1155" s="920">
        <f t="shared" si="113"/>
        <v>30</v>
      </c>
      <c r="M1155" s="936" t="str">
        <f t="shared" si="114"/>
        <v>HSBC</v>
      </c>
      <c r="N1155" s="937">
        <f t="shared" si="115"/>
        <v>0.105</v>
      </c>
      <c r="O1155" s="898" t="e">
        <f>+#REF!-I1155</f>
        <v>#REF!</v>
      </c>
    </row>
    <row r="1156" spans="1:15" s="47" customFormat="1" ht="13">
      <c r="A1156" s="176">
        <v>39463</v>
      </c>
      <c r="B1156" s="50">
        <v>65716.27</v>
      </c>
      <c r="C1156" s="50">
        <f t="shared" si="116"/>
        <v>66364.430471232874</v>
      </c>
      <c r="D1156" s="49">
        <f t="shared" si="107"/>
        <v>39493</v>
      </c>
      <c r="E1156" s="51">
        <v>30</v>
      </c>
      <c r="F1156" s="52">
        <v>0.12</v>
      </c>
      <c r="G1156" s="177" t="s">
        <v>276</v>
      </c>
      <c r="H1156" s="933">
        <f t="shared" si="110"/>
        <v>39463</v>
      </c>
      <c r="I1156" s="934">
        <f t="shared" si="111"/>
        <v>65716.27</v>
      </c>
      <c r="K1156" s="935">
        <f t="shared" si="112"/>
        <v>39493</v>
      </c>
      <c r="L1156" s="920">
        <f t="shared" si="113"/>
        <v>30</v>
      </c>
      <c r="M1156" s="936" t="str">
        <f t="shared" si="114"/>
        <v>BBVA</v>
      </c>
      <c r="N1156" s="937">
        <f t="shared" si="115"/>
        <v>0.12</v>
      </c>
      <c r="O1156" s="898" t="e">
        <f>+#REF!-I1156</f>
        <v>#REF!</v>
      </c>
    </row>
    <row r="1157" spans="1:15" s="47" customFormat="1" ht="13">
      <c r="A1157" s="176">
        <v>39468</v>
      </c>
      <c r="B1157" s="50">
        <v>53279</v>
      </c>
      <c r="C1157" s="50">
        <f t="shared" si="116"/>
        <v>53695.014109589043</v>
      </c>
      <c r="D1157" s="49">
        <f t="shared" si="107"/>
        <v>39498</v>
      </c>
      <c r="E1157" s="51">
        <v>30</v>
      </c>
      <c r="F1157" s="179">
        <v>9.5000000000000001E-2</v>
      </c>
      <c r="G1157" s="177" t="s">
        <v>120</v>
      </c>
      <c r="H1157" s="933">
        <f t="shared" si="110"/>
        <v>39468</v>
      </c>
      <c r="I1157" s="934">
        <f t="shared" si="111"/>
        <v>53279</v>
      </c>
      <c r="K1157" s="935">
        <f t="shared" si="112"/>
        <v>39498</v>
      </c>
      <c r="L1157" s="920">
        <f t="shared" si="113"/>
        <v>30</v>
      </c>
      <c r="M1157" s="936" t="str">
        <f t="shared" si="114"/>
        <v>HSBC</v>
      </c>
      <c r="N1157" s="937">
        <f t="shared" si="115"/>
        <v>9.5000000000000001E-2</v>
      </c>
      <c r="O1157" s="898" t="e">
        <f>+#REF!-I1157</f>
        <v>#REF!</v>
      </c>
    </row>
    <row r="1158" spans="1:15" s="47" customFormat="1" ht="13">
      <c r="A1158" s="176">
        <v>39468</v>
      </c>
      <c r="B1158" s="50">
        <v>53279</v>
      </c>
      <c r="C1158" s="50">
        <f t="shared" si="116"/>
        <v>53695.014109589043</v>
      </c>
      <c r="D1158" s="49">
        <f t="shared" si="107"/>
        <v>39498</v>
      </c>
      <c r="E1158" s="51">
        <v>30</v>
      </c>
      <c r="F1158" s="52">
        <v>9.5000000000000001E-2</v>
      </c>
      <c r="G1158" s="177" t="s">
        <v>120</v>
      </c>
      <c r="H1158" s="933">
        <f t="shared" si="110"/>
        <v>39468</v>
      </c>
      <c r="I1158" s="934">
        <f t="shared" si="111"/>
        <v>53279</v>
      </c>
      <c r="K1158" s="935">
        <f t="shared" si="112"/>
        <v>39498</v>
      </c>
      <c r="L1158" s="920">
        <f t="shared" si="113"/>
        <v>30</v>
      </c>
      <c r="M1158" s="936" t="str">
        <f t="shared" si="114"/>
        <v>HSBC</v>
      </c>
      <c r="N1158" s="937">
        <f t="shared" si="115"/>
        <v>9.5000000000000001E-2</v>
      </c>
      <c r="O1158" s="898" t="e">
        <f>+#REF!-I1158</f>
        <v>#REF!</v>
      </c>
    </row>
    <row r="1159" spans="1:15" s="47" customFormat="1" ht="13">
      <c r="A1159" s="176">
        <v>39472</v>
      </c>
      <c r="B1159" s="50">
        <v>55673.46</v>
      </c>
      <c r="C1159" s="50">
        <f t="shared" si="116"/>
        <v>56193.587393424656</v>
      </c>
      <c r="D1159" s="49">
        <f t="shared" si="107"/>
        <v>39503</v>
      </c>
      <c r="E1159" s="51">
        <v>31</v>
      </c>
      <c r="F1159" s="179">
        <v>0.11</v>
      </c>
      <c r="G1159" s="177" t="s">
        <v>276</v>
      </c>
      <c r="H1159" s="933">
        <f t="shared" si="110"/>
        <v>39472</v>
      </c>
      <c r="I1159" s="934">
        <f t="shared" si="111"/>
        <v>55673.46</v>
      </c>
      <c r="K1159" s="935">
        <f t="shared" si="112"/>
        <v>39503</v>
      </c>
      <c r="L1159" s="920">
        <f t="shared" si="113"/>
        <v>31</v>
      </c>
      <c r="M1159" s="936" t="str">
        <f t="shared" si="114"/>
        <v>BBVA</v>
      </c>
      <c r="N1159" s="937">
        <f t="shared" si="115"/>
        <v>0.11</v>
      </c>
      <c r="O1159" s="898" t="e">
        <f>+#REF!-I1159</f>
        <v>#REF!</v>
      </c>
    </row>
    <row r="1160" spans="1:15" s="47" customFormat="1" ht="13">
      <c r="A1160" s="176">
        <v>39472</v>
      </c>
      <c r="B1160" s="50">
        <v>66093.240000000005</v>
      </c>
      <c r="C1160" s="50">
        <f t="shared" si="116"/>
        <v>66710.713831232875</v>
      </c>
      <c r="D1160" s="49">
        <f t="shared" si="107"/>
        <v>39503</v>
      </c>
      <c r="E1160" s="51">
        <v>31</v>
      </c>
      <c r="F1160" s="52">
        <v>0.11</v>
      </c>
      <c r="G1160" s="177" t="s">
        <v>276</v>
      </c>
      <c r="H1160" s="933">
        <f t="shared" si="110"/>
        <v>39472</v>
      </c>
      <c r="I1160" s="934">
        <f t="shared" si="111"/>
        <v>66093.240000000005</v>
      </c>
      <c r="K1160" s="935">
        <f t="shared" si="112"/>
        <v>39503</v>
      </c>
      <c r="L1160" s="920">
        <f t="shared" si="113"/>
        <v>31</v>
      </c>
      <c r="M1160" s="936" t="str">
        <f t="shared" si="114"/>
        <v>BBVA</v>
      </c>
      <c r="N1160" s="937">
        <f t="shared" si="115"/>
        <v>0.11</v>
      </c>
      <c r="O1160" s="898" t="e">
        <f>+#REF!-I1160</f>
        <v>#REF!</v>
      </c>
    </row>
    <row r="1161" spans="1:15" s="47" customFormat="1" ht="13">
      <c r="A1161" s="176">
        <v>39472</v>
      </c>
      <c r="B1161" s="50">
        <v>66093.240000000005</v>
      </c>
      <c r="C1161" s="50">
        <f t="shared" si="116"/>
        <v>66710.713831232875</v>
      </c>
      <c r="D1161" s="49">
        <f t="shared" si="107"/>
        <v>39503</v>
      </c>
      <c r="E1161" s="51">
        <v>31</v>
      </c>
      <c r="F1161" s="52">
        <v>0.11</v>
      </c>
      <c r="G1161" s="177" t="s">
        <v>276</v>
      </c>
      <c r="H1161" s="933">
        <f t="shared" si="110"/>
        <v>39472</v>
      </c>
      <c r="I1161" s="934">
        <f t="shared" si="111"/>
        <v>66093.240000000005</v>
      </c>
      <c r="K1161" s="935">
        <f t="shared" si="112"/>
        <v>39503</v>
      </c>
      <c r="L1161" s="920">
        <f t="shared" si="113"/>
        <v>31</v>
      </c>
      <c r="M1161" s="936" t="str">
        <f t="shared" si="114"/>
        <v>BBVA</v>
      </c>
      <c r="N1161" s="937">
        <f t="shared" si="115"/>
        <v>0.11</v>
      </c>
      <c r="O1161" s="898" t="e">
        <f>+#REF!-I1161</f>
        <v>#REF!</v>
      </c>
    </row>
    <row r="1162" spans="1:15" s="47" customFormat="1" ht="13">
      <c r="A1162" s="176">
        <v>39472</v>
      </c>
      <c r="B1162" s="50">
        <v>47872.89</v>
      </c>
      <c r="C1162" s="50">
        <f t="shared" si="116"/>
        <v>48320.140835342463</v>
      </c>
      <c r="D1162" s="49">
        <f t="shared" si="107"/>
        <v>39503</v>
      </c>
      <c r="E1162" s="51">
        <v>31</v>
      </c>
      <c r="F1162" s="52">
        <v>0.11</v>
      </c>
      <c r="G1162" s="177" t="s">
        <v>276</v>
      </c>
      <c r="H1162" s="933">
        <f t="shared" si="110"/>
        <v>39472</v>
      </c>
      <c r="I1162" s="934">
        <f t="shared" si="111"/>
        <v>47872.89</v>
      </c>
      <c r="K1162" s="935">
        <f t="shared" si="112"/>
        <v>39503</v>
      </c>
      <c r="L1162" s="920">
        <f t="shared" si="113"/>
        <v>31</v>
      </c>
      <c r="M1162" s="936" t="str">
        <f t="shared" si="114"/>
        <v>BBVA</v>
      </c>
      <c r="N1162" s="937">
        <f t="shared" si="115"/>
        <v>0.11</v>
      </c>
      <c r="O1162" s="898" t="e">
        <f>+#REF!-I1162</f>
        <v>#REF!</v>
      </c>
    </row>
    <row r="1163" spans="1:15" s="47" customFormat="1" ht="13">
      <c r="A1163" s="176">
        <v>39472</v>
      </c>
      <c r="B1163" s="50">
        <v>47872.89</v>
      </c>
      <c r="C1163" s="50">
        <f t="shared" si="116"/>
        <v>48320.140835342463</v>
      </c>
      <c r="D1163" s="49">
        <f t="shared" si="107"/>
        <v>39503</v>
      </c>
      <c r="E1163" s="51">
        <v>31</v>
      </c>
      <c r="F1163" s="52">
        <v>0.11</v>
      </c>
      <c r="G1163" s="177" t="s">
        <v>276</v>
      </c>
      <c r="H1163" s="933">
        <f t="shared" si="110"/>
        <v>39472</v>
      </c>
      <c r="I1163" s="934">
        <f t="shared" si="111"/>
        <v>47872.89</v>
      </c>
      <c r="K1163" s="935">
        <f t="shared" si="112"/>
        <v>39503</v>
      </c>
      <c r="L1163" s="920">
        <f t="shared" si="113"/>
        <v>31</v>
      </c>
      <c r="M1163" s="936" t="str">
        <f t="shared" si="114"/>
        <v>BBVA</v>
      </c>
      <c r="N1163" s="937">
        <f t="shared" si="115"/>
        <v>0.11</v>
      </c>
      <c r="O1163" s="898" t="e">
        <f>+#REF!-I1163</f>
        <v>#REF!</v>
      </c>
    </row>
    <row r="1164" spans="1:15" s="47" customFormat="1" ht="13">
      <c r="A1164" s="176">
        <v>39475</v>
      </c>
      <c r="B1164" s="50">
        <v>62131.5</v>
      </c>
      <c r="C1164" s="50">
        <f t="shared" si="116"/>
        <v>62667.703356164384</v>
      </c>
      <c r="D1164" s="49">
        <f t="shared" si="107"/>
        <v>39505</v>
      </c>
      <c r="E1164" s="51">
        <v>30</v>
      </c>
      <c r="F1164" s="179">
        <v>0.105</v>
      </c>
      <c r="G1164" s="177" t="s">
        <v>276</v>
      </c>
      <c r="H1164" s="933">
        <f t="shared" si="110"/>
        <v>39475</v>
      </c>
      <c r="I1164" s="934">
        <f t="shared" si="111"/>
        <v>62131.5</v>
      </c>
      <c r="K1164" s="935">
        <f t="shared" si="112"/>
        <v>39505</v>
      </c>
      <c r="L1164" s="920">
        <f t="shared" si="113"/>
        <v>30</v>
      </c>
      <c r="M1164" s="936" t="str">
        <f t="shared" si="114"/>
        <v>BBVA</v>
      </c>
      <c r="N1164" s="937">
        <f t="shared" si="115"/>
        <v>0.105</v>
      </c>
      <c r="O1164" s="898" t="e">
        <f>+#REF!-I1164</f>
        <v>#REF!</v>
      </c>
    </row>
    <row r="1165" spans="1:15" s="47" customFormat="1" ht="13">
      <c r="A1165" s="176">
        <v>39477</v>
      </c>
      <c r="B1165" s="50">
        <f>55633.02-35000</f>
        <v>20633.019999999997</v>
      </c>
      <c r="C1165" s="50">
        <f t="shared" si="116"/>
        <v>20794.12714246575</v>
      </c>
      <c r="D1165" s="49">
        <f t="shared" si="107"/>
        <v>39507</v>
      </c>
      <c r="E1165" s="51">
        <v>30</v>
      </c>
      <c r="F1165" s="52">
        <v>9.5000000000000001E-2</v>
      </c>
      <c r="G1165" s="177" t="s">
        <v>120</v>
      </c>
      <c r="H1165" s="933">
        <f t="shared" si="110"/>
        <v>39477</v>
      </c>
      <c r="I1165" s="934">
        <f t="shared" si="111"/>
        <v>20633.019999999997</v>
      </c>
      <c r="K1165" s="935">
        <f t="shared" si="112"/>
        <v>39507</v>
      </c>
      <c r="L1165" s="920">
        <f t="shared" si="113"/>
        <v>30</v>
      </c>
      <c r="M1165" s="936" t="str">
        <f t="shared" si="114"/>
        <v>HSBC</v>
      </c>
      <c r="N1165" s="937">
        <f t="shared" si="115"/>
        <v>9.5000000000000001E-2</v>
      </c>
      <c r="O1165" s="898" t="e">
        <f>+#REF!-I1165</f>
        <v>#REF!</v>
      </c>
    </row>
    <row r="1166" spans="1:15" s="47" customFormat="1" ht="13">
      <c r="A1166" s="176">
        <v>39489</v>
      </c>
      <c r="B1166" s="50">
        <v>59681.2</v>
      </c>
      <c r="C1166" s="50">
        <f t="shared" si="116"/>
        <v>60171.730410958902</v>
      </c>
      <c r="D1166" s="49">
        <f t="shared" si="107"/>
        <v>39519</v>
      </c>
      <c r="E1166" s="51">
        <v>30</v>
      </c>
      <c r="F1166" s="52">
        <v>0.1</v>
      </c>
      <c r="G1166" s="177" t="s">
        <v>276</v>
      </c>
      <c r="H1166" s="933">
        <f t="shared" si="110"/>
        <v>39489</v>
      </c>
      <c r="I1166" s="934">
        <f t="shared" si="111"/>
        <v>59681.2</v>
      </c>
      <c r="K1166" s="935">
        <f t="shared" si="112"/>
        <v>39519</v>
      </c>
      <c r="L1166" s="920">
        <f t="shared" si="113"/>
        <v>30</v>
      </c>
      <c r="M1166" s="936" t="str">
        <f t="shared" si="114"/>
        <v>BBVA</v>
      </c>
      <c r="N1166" s="937">
        <f t="shared" si="115"/>
        <v>0.1</v>
      </c>
      <c r="O1166" s="898" t="e">
        <f>+#REF!-I1166</f>
        <v>#REF!</v>
      </c>
    </row>
    <row r="1167" spans="1:15" s="47" customFormat="1" ht="13">
      <c r="A1167" s="176">
        <v>39489</v>
      </c>
      <c r="B1167" s="50">
        <v>58442.48</v>
      </c>
      <c r="C1167" s="50">
        <f t="shared" si="116"/>
        <v>58922.829150684935</v>
      </c>
      <c r="D1167" s="49">
        <f t="shared" si="107"/>
        <v>39519</v>
      </c>
      <c r="E1167" s="51">
        <v>30</v>
      </c>
      <c r="F1167" s="52">
        <v>0.1</v>
      </c>
      <c r="G1167" s="177" t="s">
        <v>276</v>
      </c>
      <c r="H1167" s="933">
        <f t="shared" si="110"/>
        <v>39489</v>
      </c>
      <c r="I1167" s="934">
        <f t="shared" si="111"/>
        <v>58442.48</v>
      </c>
      <c r="K1167" s="935">
        <f t="shared" si="112"/>
        <v>39519</v>
      </c>
      <c r="L1167" s="920">
        <f t="shared" si="113"/>
        <v>30</v>
      </c>
      <c r="M1167" s="936" t="str">
        <f t="shared" si="114"/>
        <v>BBVA</v>
      </c>
      <c r="N1167" s="937">
        <f t="shared" si="115"/>
        <v>0.1</v>
      </c>
      <c r="O1167" s="898" t="e">
        <f>+#REF!-I1167</f>
        <v>#REF!</v>
      </c>
    </row>
    <row r="1168" spans="1:15" s="47" customFormat="1" ht="13">
      <c r="A1168" s="176">
        <v>39483</v>
      </c>
      <c r="B1168" s="50">
        <v>57512.25</v>
      </c>
      <c r="C1168" s="50">
        <f t="shared" si="116"/>
        <v>58008.588595890411</v>
      </c>
      <c r="D1168" s="49">
        <f t="shared" ref="D1168:D1199" si="117">A1168+E1168</f>
        <v>39513</v>
      </c>
      <c r="E1168" s="51">
        <v>30</v>
      </c>
      <c r="F1168" s="179">
        <v>0.105</v>
      </c>
      <c r="G1168" s="177" t="s">
        <v>276</v>
      </c>
      <c r="H1168" s="933">
        <f t="shared" si="110"/>
        <v>39483</v>
      </c>
      <c r="I1168" s="934">
        <f t="shared" si="111"/>
        <v>57512.25</v>
      </c>
      <c r="K1168" s="935">
        <f t="shared" si="112"/>
        <v>39513</v>
      </c>
      <c r="L1168" s="920">
        <f t="shared" si="113"/>
        <v>30</v>
      </c>
      <c r="M1168" s="936" t="str">
        <f t="shared" si="114"/>
        <v>BBVA</v>
      </c>
      <c r="N1168" s="937">
        <f t="shared" si="115"/>
        <v>0.105</v>
      </c>
      <c r="O1168" s="898" t="e">
        <f>+#REF!-I1168</f>
        <v>#REF!</v>
      </c>
    </row>
    <row r="1169" spans="1:15" s="47" customFormat="1" ht="13">
      <c r="A1169" s="176">
        <v>39483</v>
      </c>
      <c r="B1169" s="50">
        <v>56371.39</v>
      </c>
      <c r="C1169" s="50">
        <f t="shared" si="116"/>
        <v>56857.882817808219</v>
      </c>
      <c r="D1169" s="49">
        <f t="shared" si="117"/>
        <v>39513</v>
      </c>
      <c r="E1169" s="51">
        <v>30</v>
      </c>
      <c r="F1169" s="52">
        <v>0.105</v>
      </c>
      <c r="G1169" s="177" t="s">
        <v>276</v>
      </c>
      <c r="H1169" s="933">
        <f t="shared" si="110"/>
        <v>39483</v>
      </c>
      <c r="I1169" s="934">
        <f t="shared" si="111"/>
        <v>56371.39</v>
      </c>
      <c r="K1169" s="935">
        <f t="shared" si="112"/>
        <v>39513</v>
      </c>
      <c r="L1169" s="920">
        <f t="shared" si="113"/>
        <v>30</v>
      </c>
      <c r="M1169" s="936" t="str">
        <f t="shared" si="114"/>
        <v>BBVA</v>
      </c>
      <c r="N1169" s="937">
        <f t="shared" si="115"/>
        <v>0.105</v>
      </c>
      <c r="O1169" s="898" t="e">
        <f>+#REF!-I1169</f>
        <v>#REF!</v>
      </c>
    </row>
    <row r="1170" spans="1:15" s="47" customFormat="1" ht="13">
      <c r="A1170" s="176">
        <v>39493</v>
      </c>
      <c r="B1170" s="50">
        <v>80000</v>
      </c>
      <c r="C1170" s="50">
        <f t="shared" si="116"/>
        <v>80723.287671232873</v>
      </c>
      <c r="D1170" s="49">
        <f t="shared" si="117"/>
        <v>39526</v>
      </c>
      <c r="E1170" s="51">
        <v>33</v>
      </c>
      <c r="F1170" s="179">
        <v>0.1</v>
      </c>
      <c r="G1170" s="177" t="s">
        <v>276</v>
      </c>
      <c r="H1170" s="933">
        <f t="shared" si="110"/>
        <v>39493</v>
      </c>
      <c r="I1170" s="934">
        <f t="shared" si="111"/>
        <v>80000</v>
      </c>
      <c r="K1170" s="935">
        <f t="shared" si="112"/>
        <v>39526</v>
      </c>
      <c r="L1170" s="920">
        <f t="shared" si="113"/>
        <v>33</v>
      </c>
      <c r="M1170" s="936" t="str">
        <f t="shared" si="114"/>
        <v>BBVA</v>
      </c>
      <c r="N1170" s="937">
        <f t="shared" si="115"/>
        <v>0.1</v>
      </c>
      <c r="O1170" s="898" t="e">
        <f>+#REF!-I1170</f>
        <v>#REF!</v>
      </c>
    </row>
    <row r="1171" spans="1:15" s="47" customFormat="1" ht="13">
      <c r="A1171" s="176">
        <v>39493</v>
      </c>
      <c r="B1171" s="50">
        <v>66364.429999999993</v>
      </c>
      <c r="C1171" s="50">
        <f t="shared" si="116"/>
        <v>66964.437175342464</v>
      </c>
      <c r="D1171" s="49">
        <f t="shared" si="117"/>
        <v>39526</v>
      </c>
      <c r="E1171" s="51">
        <v>33</v>
      </c>
      <c r="F1171" s="52">
        <v>0.1</v>
      </c>
      <c r="G1171" s="177" t="s">
        <v>276</v>
      </c>
      <c r="H1171" s="933">
        <f t="shared" si="110"/>
        <v>39493</v>
      </c>
      <c r="I1171" s="934">
        <f t="shared" si="111"/>
        <v>66364.429999999993</v>
      </c>
      <c r="K1171" s="935">
        <f t="shared" si="112"/>
        <v>39526</v>
      </c>
      <c r="L1171" s="920">
        <f t="shared" si="113"/>
        <v>33</v>
      </c>
      <c r="M1171" s="936" t="str">
        <f t="shared" si="114"/>
        <v>BBVA</v>
      </c>
      <c r="N1171" s="937">
        <f t="shared" si="115"/>
        <v>0.1</v>
      </c>
      <c r="O1171" s="898" t="e">
        <f>+#REF!-I1171</f>
        <v>#REF!</v>
      </c>
    </row>
    <row r="1172" spans="1:15" s="47" customFormat="1" ht="13">
      <c r="A1172" s="176">
        <v>39503</v>
      </c>
      <c r="B1172" s="50">
        <v>66700</v>
      </c>
      <c r="C1172" s="50">
        <f t="shared" si="116"/>
        <v>67226.2904109589</v>
      </c>
      <c r="D1172" s="49">
        <f t="shared" si="117"/>
        <v>39533</v>
      </c>
      <c r="E1172" s="51">
        <v>30</v>
      </c>
      <c r="F1172" s="52">
        <v>9.6000000000000002E-2</v>
      </c>
      <c r="G1172" s="177" t="s">
        <v>441</v>
      </c>
      <c r="H1172" s="933">
        <f t="shared" si="110"/>
        <v>39503</v>
      </c>
      <c r="I1172" s="934">
        <f t="shared" si="111"/>
        <v>66700</v>
      </c>
      <c r="K1172" s="935">
        <f t="shared" si="112"/>
        <v>39533</v>
      </c>
      <c r="L1172" s="920">
        <f t="shared" si="113"/>
        <v>30</v>
      </c>
      <c r="M1172" s="936" t="str">
        <f t="shared" si="114"/>
        <v>GALICIA</v>
      </c>
      <c r="N1172" s="937">
        <f t="shared" si="115"/>
        <v>9.6000000000000002E-2</v>
      </c>
      <c r="O1172" s="898" t="e">
        <f>+#REF!-I1172</f>
        <v>#REF!</v>
      </c>
    </row>
    <row r="1173" spans="1:15" s="47" customFormat="1" ht="13">
      <c r="A1173" s="176">
        <v>39498</v>
      </c>
      <c r="B1173" s="50">
        <v>53695.01</v>
      </c>
      <c r="C1173" s="50">
        <f t="shared" si="116"/>
        <v>54173.851801506855</v>
      </c>
      <c r="D1173" s="49">
        <f t="shared" si="117"/>
        <v>39533</v>
      </c>
      <c r="E1173" s="51">
        <v>35</v>
      </c>
      <c r="F1173" s="52">
        <v>9.2999999999999999E-2</v>
      </c>
      <c r="G1173" s="177" t="s">
        <v>120</v>
      </c>
      <c r="H1173" s="933">
        <f t="shared" si="110"/>
        <v>39498</v>
      </c>
      <c r="I1173" s="934">
        <f t="shared" si="111"/>
        <v>53695.01</v>
      </c>
      <c r="K1173" s="935">
        <f t="shared" si="112"/>
        <v>39533</v>
      </c>
      <c r="L1173" s="920">
        <f t="shared" si="113"/>
        <v>35</v>
      </c>
      <c r="M1173" s="936" t="str">
        <f t="shared" si="114"/>
        <v>HSBC</v>
      </c>
      <c r="N1173" s="937">
        <f t="shared" si="115"/>
        <v>9.2999999999999999E-2</v>
      </c>
      <c r="O1173" s="898" t="e">
        <f>+#REF!-I1173</f>
        <v>#REF!</v>
      </c>
    </row>
    <row r="1174" spans="1:15" s="47" customFormat="1" ht="13">
      <c r="A1174" s="176">
        <v>39498</v>
      </c>
      <c r="B1174" s="50">
        <v>53695.01</v>
      </c>
      <c r="C1174" s="50">
        <f t="shared" si="116"/>
        <v>54173.851801506855</v>
      </c>
      <c r="D1174" s="49">
        <f t="shared" si="117"/>
        <v>39533</v>
      </c>
      <c r="E1174" s="51">
        <v>35</v>
      </c>
      <c r="F1174" s="52">
        <v>9.2999999999999999E-2</v>
      </c>
      <c r="G1174" s="177" t="s">
        <v>120</v>
      </c>
      <c r="H1174" s="933">
        <f t="shared" si="110"/>
        <v>39498</v>
      </c>
      <c r="I1174" s="934">
        <f t="shared" si="111"/>
        <v>53695.01</v>
      </c>
      <c r="K1174" s="935">
        <f t="shared" si="112"/>
        <v>39533</v>
      </c>
      <c r="L1174" s="920">
        <f t="shared" si="113"/>
        <v>35</v>
      </c>
      <c r="M1174" s="936" t="str">
        <f t="shared" si="114"/>
        <v>HSBC</v>
      </c>
      <c r="N1174" s="937">
        <f t="shared" si="115"/>
        <v>9.2999999999999999E-2</v>
      </c>
      <c r="O1174" s="898" t="e">
        <f>+#REF!-I1174</f>
        <v>#REF!</v>
      </c>
    </row>
    <row r="1175" spans="1:15" s="47" customFormat="1" ht="13">
      <c r="A1175" s="176">
        <v>39507</v>
      </c>
      <c r="B1175" s="50">
        <v>20794.330000000002</v>
      </c>
      <c r="C1175" s="50">
        <f t="shared" si="116"/>
        <v>20953.278440273974</v>
      </c>
      <c r="D1175" s="49">
        <f t="shared" si="117"/>
        <v>39538</v>
      </c>
      <c r="E1175" s="51">
        <v>31</v>
      </c>
      <c r="F1175" s="179">
        <v>0.09</v>
      </c>
      <c r="G1175" s="177" t="s">
        <v>120</v>
      </c>
      <c r="H1175" s="933">
        <f t="shared" si="110"/>
        <v>39507</v>
      </c>
      <c r="I1175" s="934">
        <f t="shared" si="111"/>
        <v>20794.330000000002</v>
      </c>
      <c r="K1175" s="935">
        <f t="shared" si="112"/>
        <v>39538</v>
      </c>
      <c r="L1175" s="920">
        <f t="shared" si="113"/>
        <v>31</v>
      </c>
      <c r="M1175" s="936" t="str">
        <f t="shared" si="114"/>
        <v>HSBC</v>
      </c>
      <c r="N1175" s="937">
        <f t="shared" si="115"/>
        <v>0.09</v>
      </c>
      <c r="O1175" s="898" t="e">
        <f>+#REF!-I1175</f>
        <v>#REF!</v>
      </c>
    </row>
    <row r="1176" spans="1:15" s="47" customFormat="1" ht="13">
      <c r="A1176" s="176">
        <v>39506</v>
      </c>
      <c r="B1176" s="50">
        <v>62667.7</v>
      </c>
      <c r="C1176" s="50">
        <f t="shared" si="116"/>
        <v>63191.790833561638</v>
      </c>
      <c r="D1176" s="49">
        <f t="shared" si="117"/>
        <v>39539</v>
      </c>
      <c r="E1176" s="51">
        <v>33</v>
      </c>
      <c r="F1176" s="52">
        <v>9.2499999999999999E-2</v>
      </c>
      <c r="G1176" s="177" t="s">
        <v>276</v>
      </c>
      <c r="H1176" s="933">
        <f t="shared" si="110"/>
        <v>39506</v>
      </c>
      <c r="I1176" s="934">
        <f t="shared" si="111"/>
        <v>62667.7</v>
      </c>
      <c r="K1176" s="935">
        <f t="shared" si="112"/>
        <v>39539</v>
      </c>
      <c r="L1176" s="920">
        <f t="shared" si="113"/>
        <v>33</v>
      </c>
      <c r="M1176" s="936" t="str">
        <f t="shared" si="114"/>
        <v>BBVA</v>
      </c>
      <c r="N1176" s="937">
        <f t="shared" si="115"/>
        <v>9.2499999999999999E-2</v>
      </c>
      <c r="O1176" s="898" t="e">
        <f>+#REF!-I1176</f>
        <v>#REF!</v>
      </c>
    </row>
    <row r="1177" spans="1:15" s="47" customFormat="1" ht="13">
      <c r="A1177" s="176">
        <v>39503</v>
      </c>
      <c r="B1177" s="50">
        <v>66710.710000000006</v>
      </c>
      <c r="C1177" s="50">
        <f t="shared" si="116"/>
        <v>67335.780214246581</v>
      </c>
      <c r="D1177" s="49">
        <f t="shared" si="117"/>
        <v>39539</v>
      </c>
      <c r="E1177" s="51">
        <v>36</v>
      </c>
      <c r="F1177" s="52">
        <v>9.5000000000000001E-2</v>
      </c>
      <c r="G1177" s="177" t="s">
        <v>276</v>
      </c>
      <c r="H1177" s="933">
        <f t="shared" si="110"/>
        <v>39503</v>
      </c>
      <c r="I1177" s="934">
        <f t="shared" si="111"/>
        <v>66710.710000000006</v>
      </c>
      <c r="K1177" s="935">
        <f t="shared" si="112"/>
        <v>39539</v>
      </c>
      <c r="L1177" s="920">
        <f t="shared" si="113"/>
        <v>36</v>
      </c>
      <c r="M1177" s="936" t="str">
        <f t="shared" si="114"/>
        <v>BBVA</v>
      </c>
      <c r="N1177" s="937">
        <f t="shared" si="115"/>
        <v>9.5000000000000001E-2</v>
      </c>
      <c r="O1177" s="898" t="e">
        <f>+#REF!-I1177</f>
        <v>#REF!</v>
      </c>
    </row>
    <row r="1178" spans="1:15" s="47" customFormat="1" ht="13">
      <c r="A1178" s="176">
        <v>39503</v>
      </c>
      <c r="B1178" s="50">
        <v>48320.14</v>
      </c>
      <c r="C1178" s="50">
        <f t="shared" si="116"/>
        <v>48772.893092602739</v>
      </c>
      <c r="D1178" s="49">
        <f t="shared" si="117"/>
        <v>39539</v>
      </c>
      <c r="E1178" s="51">
        <v>36</v>
      </c>
      <c r="F1178" s="52">
        <v>9.5000000000000001E-2</v>
      </c>
      <c r="G1178" s="177" t="s">
        <v>276</v>
      </c>
      <c r="H1178" s="933">
        <f t="shared" ref="H1178:H1209" si="118">+A1178</f>
        <v>39503</v>
      </c>
      <c r="I1178" s="934">
        <f t="shared" ref="I1178:I1209" si="119">+B1178</f>
        <v>48320.14</v>
      </c>
      <c r="K1178" s="935">
        <f t="shared" ref="K1178:K1209" si="120">+D1178</f>
        <v>39539</v>
      </c>
      <c r="L1178" s="920">
        <f t="shared" ref="L1178:L1209" si="121">+E1178</f>
        <v>36</v>
      </c>
      <c r="M1178" s="936" t="str">
        <f t="shared" ref="M1178:M1209" si="122">+G1178</f>
        <v>BBVA</v>
      </c>
      <c r="N1178" s="937">
        <f t="shared" ref="N1178:N1209" si="123">+F1178</f>
        <v>9.5000000000000001E-2</v>
      </c>
      <c r="O1178" s="898" t="e">
        <f>+#REF!-I1178</f>
        <v>#REF!</v>
      </c>
    </row>
    <row r="1179" spans="1:15" s="47" customFormat="1" ht="13">
      <c r="A1179" s="176">
        <v>39503</v>
      </c>
      <c r="B1179" s="50">
        <v>48320.14</v>
      </c>
      <c r="C1179" s="50">
        <f t="shared" si="116"/>
        <v>48772.893092602739</v>
      </c>
      <c r="D1179" s="49">
        <f t="shared" si="117"/>
        <v>39539</v>
      </c>
      <c r="E1179" s="51">
        <v>36</v>
      </c>
      <c r="F1179" s="52">
        <v>9.5000000000000001E-2</v>
      </c>
      <c r="G1179" s="177" t="s">
        <v>276</v>
      </c>
      <c r="H1179" s="933">
        <f t="shared" si="118"/>
        <v>39503</v>
      </c>
      <c r="I1179" s="934">
        <f t="shared" si="119"/>
        <v>48320.14</v>
      </c>
      <c r="K1179" s="935">
        <f t="shared" si="120"/>
        <v>39539</v>
      </c>
      <c r="L1179" s="920">
        <f t="shared" si="121"/>
        <v>36</v>
      </c>
      <c r="M1179" s="936" t="str">
        <f t="shared" si="122"/>
        <v>BBVA</v>
      </c>
      <c r="N1179" s="937">
        <f t="shared" si="123"/>
        <v>9.5000000000000001E-2</v>
      </c>
      <c r="O1179" s="898" t="e">
        <f>+#REF!-I1179</f>
        <v>#REF!</v>
      </c>
    </row>
    <row r="1180" spans="1:15" s="47" customFormat="1" ht="13">
      <c r="A1180" s="176">
        <v>39513</v>
      </c>
      <c r="B1180" s="50">
        <v>56857.88</v>
      </c>
      <c r="C1180" s="50">
        <f t="shared" si="116"/>
        <v>57347.792418082186</v>
      </c>
      <c r="D1180" s="49">
        <f t="shared" si="117"/>
        <v>39547</v>
      </c>
      <c r="E1180" s="51">
        <v>34</v>
      </c>
      <c r="F1180" s="179">
        <v>9.2499999999999999E-2</v>
      </c>
      <c r="G1180" s="177" t="s">
        <v>276</v>
      </c>
      <c r="H1180" s="933">
        <f t="shared" si="118"/>
        <v>39513</v>
      </c>
      <c r="I1180" s="934">
        <f t="shared" si="119"/>
        <v>56857.88</v>
      </c>
      <c r="K1180" s="935">
        <f t="shared" si="120"/>
        <v>39547</v>
      </c>
      <c r="L1180" s="920">
        <f t="shared" si="121"/>
        <v>34</v>
      </c>
      <c r="M1180" s="936" t="str">
        <f t="shared" si="122"/>
        <v>BBVA</v>
      </c>
      <c r="N1180" s="937">
        <f t="shared" si="123"/>
        <v>9.2499999999999999E-2</v>
      </c>
      <c r="O1180" s="898" t="e">
        <f>+#REF!-I1180</f>
        <v>#REF!</v>
      </c>
    </row>
    <row r="1181" spans="1:15" s="47" customFormat="1" ht="13">
      <c r="A1181" s="176">
        <v>39513</v>
      </c>
      <c r="B1181" s="50">
        <v>58008.59</v>
      </c>
      <c r="C1181" s="50">
        <f t="shared" si="116"/>
        <v>58508.417439863013</v>
      </c>
      <c r="D1181" s="49">
        <f t="shared" si="117"/>
        <v>39547</v>
      </c>
      <c r="E1181" s="51">
        <v>34</v>
      </c>
      <c r="F1181" s="52">
        <v>9.2499999999999999E-2</v>
      </c>
      <c r="G1181" s="177" t="s">
        <v>276</v>
      </c>
      <c r="H1181" s="933">
        <f t="shared" si="118"/>
        <v>39513</v>
      </c>
      <c r="I1181" s="934">
        <f t="shared" si="119"/>
        <v>58008.59</v>
      </c>
      <c r="K1181" s="935">
        <f t="shared" si="120"/>
        <v>39547</v>
      </c>
      <c r="L1181" s="920">
        <f t="shared" si="121"/>
        <v>34</v>
      </c>
      <c r="M1181" s="936" t="str">
        <f t="shared" si="122"/>
        <v>BBVA</v>
      </c>
      <c r="N1181" s="937">
        <f t="shared" si="123"/>
        <v>9.2499999999999999E-2</v>
      </c>
      <c r="O1181" s="898" t="e">
        <f>+#REF!-I1181</f>
        <v>#REF!</v>
      </c>
    </row>
    <row r="1182" spans="1:15" s="47" customFormat="1" ht="13">
      <c r="A1182" s="176">
        <v>39520</v>
      </c>
      <c r="B1182" s="50">
        <v>60171.73</v>
      </c>
      <c r="C1182" s="50">
        <f t="shared" ref="C1182:C1213" si="124">B1182+(B1182*F1182/365*E1182)*1</f>
        <v>60672.886326575346</v>
      </c>
      <c r="D1182" s="49">
        <f t="shared" si="117"/>
        <v>39552</v>
      </c>
      <c r="E1182" s="51">
        <v>32</v>
      </c>
      <c r="F1182" s="179">
        <v>9.5000000000000001E-2</v>
      </c>
      <c r="G1182" s="177" t="s">
        <v>120</v>
      </c>
      <c r="H1182" s="933">
        <f t="shared" si="118"/>
        <v>39520</v>
      </c>
      <c r="I1182" s="934">
        <f t="shared" si="119"/>
        <v>60171.73</v>
      </c>
      <c r="K1182" s="935">
        <f t="shared" si="120"/>
        <v>39552</v>
      </c>
      <c r="L1182" s="920">
        <f t="shared" si="121"/>
        <v>32</v>
      </c>
      <c r="M1182" s="936" t="str">
        <f t="shared" si="122"/>
        <v>HSBC</v>
      </c>
      <c r="N1182" s="937">
        <f t="shared" si="123"/>
        <v>9.5000000000000001E-2</v>
      </c>
      <c r="O1182" s="898" t="e">
        <f>+#REF!-I1182</f>
        <v>#REF!</v>
      </c>
    </row>
    <row r="1183" spans="1:15" s="47" customFormat="1" ht="13">
      <c r="A1183" s="176">
        <v>39521</v>
      </c>
      <c r="B1183" s="50">
        <v>58922.83</v>
      </c>
      <c r="C1183" s="50">
        <f t="shared" si="124"/>
        <v>59413.261664493155</v>
      </c>
      <c r="D1183" s="49">
        <f t="shared" si="117"/>
        <v>39552</v>
      </c>
      <c r="E1183" s="51">
        <v>31</v>
      </c>
      <c r="F1183" s="52">
        <v>9.8000000000000004E-2</v>
      </c>
      <c r="G1183" s="177" t="s">
        <v>120</v>
      </c>
      <c r="H1183" s="933">
        <f t="shared" si="118"/>
        <v>39521</v>
      </c>
      <c r="I1183" s="934">
        <f t="shared" si="119"/>
        <v>58922.83</v>
      </c>
      <c r="K1183" s="935">
        <f t="shared" si="120"/>
        <v>39552</v>
      </c>
      <c r="L1183" s="920">
        <f t="shared" si="121"/>
        <v>31</v>
      </c>
      <c r="M1183" s="936" t="str">
        <f t="shared" si="122"/>
        <v>HSBC</v>
      </c>
      <c r="N1183" s="937">
        <f t="shared" si="123"/>
        <v>9.8000000000000004E-2</v>
      </c>
      <c r="O1183" s="898" t="e">
        <f>+#REF!-I1183</f>
        <v>#REF!</v>
      </c>
    </row>
    <row r="1184" spans="1:15" s="47" customFormat="1" ht="13">
      <c r="A1184" s="176">
        <v>39526</v>
      </c>
      <c r="B1184" s="50">
        <v>80723.289999999994</v>
      </c>
      <c r="C1184" s="50">
        <f t="shared" si="124"/>
        <v>81485.738061027398</v>
      </c>
      <c r="D1184" s="49">
        <f t="shared" si="117"/>
        <v>39561</v>
      </c>
      <c r="E1184" s="51">
        <v>35</v>
      </c>
      <c r="F1184" s="179">
        <v>9.8500000000000004E-2</v>
      </c>
      <c r="G1184" s="177" t="s">
        <v>120</v>
      </c>
      <c r="H1184" s="933">
        <f t="shared" si="118"/>
        <v>39526</v>
      </c>
      <c r="I1184" s="934">
        <f t="shared" si="119"/>
        <v>80723.289999999994</v>
      </c>
      <c r="K1184" s="935">
        <f t="shared" si="120"/>
        <v>39561</v>
      </c>
      <c r="L1184" s="920">
        <f t="shared" si="121"/>
        <v>35</v>
      </c>
      <c r="M1184" s="936" t="str">
        <f t="shared" si="122"/>
        <v>HSBC</v>
      </c>
      <c r="N1184" s="937">
        <f t="shared" si="123"/>
        <v>9.8500000000000004E-2</v>
      </c>
      <c r="O1184" s="898" t="e">
        <f>+#REF!-I1184</f>
        <v>#REF!</v>
      </c>
    </row>
    <row r="1185" spans="1:15" s="47" customFormat="1" ht="13">
      <c r="A1185" s="176">
        <v>39526</v>
      </c>
      <c r="B1185" s="50">
        <v>66964.44</v>
      </c>
      <c r="C1185" s="50">
        <f t="shared" si="124"/>
        <v>67596.932895616439</v>
      </c>
      <c r="D1185" s="49">
        <f t="shared" si="117"/>
        <v>39561</v>
      </c>
      <c r="E1185" s="51">
        <v>35</v>
      </c>
      <c r="F1185" s="52">
        <v>9.8500000000000004E-2</v>
      </c>
      <c r="G1185" s="177" t="s">
        <v>120</v>
      </c>
      <c r="H1185" s="933">
        <f t="shared" si="118"/>
        <v>39526</v>
      </c>
      <c r="I1185" s="934">
        <f t="shared" si="119"/>
        <v>66964.44</v>
      </c>
      <c r="K1185" s="935">
        <f t="shared" si="120"/>
        <v>39561</v>
      </c>
      <c r="L1185" s="920">
        <f t="shared" si="121"/>
        <v>35</v>
      </c>
      <c r="M1185" s="936" t="str">
        <f t="shared" si="122"/>
        <v>HSBC</v>
      </c>
      <c r="N1185" s="937">
        <f t="shared" si="123"/>
        <v>9.8500000000000004E-2</v>
      </c>
      <c r="O1185" s="898" t="e">
        <f>+#REF!-I1185</f>
        <v>#REF!</v>
      </c>
    </row>
    <row r="1186" spans="1:15" s="47" customFormat="1" ht="13">
      <c r="A1186" s="176">
        <v>39533</v>
      </c>
      <c r="B1186" s="50">
        <v>54173.851801506855</v>
      </c>
      <c r="C1186" s="50">
        <f t="shared" si="124"/>
        <v>54663.642790397193</v>
      </c>
      <c r="D1186" s="49">
        <f t="shared" si="117"/>
        <v>39566</v>
      </c>
      <c r="E1186" s="51">
        <v>33</v>
      </c>
      <c r="F1186" s="179">
        <v>0.1</v>
      </c>
      <c r="G1186" s="177" t="s">
        <v>120</v>
      </c>
      <c r="H1186" s="933">
        <f t="shared" si="118"/>
        <v>39533</v>
      </c>
      <c r="I1186" s="934">
        <f t="shared" si="119"/>
        <v>54173.851801506855</v>
      </c>
      <c r="K1186" s="935">
        <f t="shared" si="120"/>
        <v>39566</v>
      </c>
      <c r="L1186" s="920">
        <f t="shared" si="121"/>
        <v>33</v>
      </c>
      <c r="M1186" s="936" t="str">
        <f t="shared" si="122"/>
        <v>HSBC</v>
      </c>
      <c r="N1186" s="937">
        <f t="shared" si="123"/>
        <v>0.1</v>
      </c>
      <c r="O1186" s="898" t="e">
        <f>+#REF!-I1186</f>
        <v>#REF!</v>
      </c>
    </row>
    <row r="1187" spans="1:15" s="47" customFormat="1" ht="13">
      <c r="A1187" s="176">
        <v>39533</v>
      </c>
      <c r="B1187" s="50">
        <v>54173.851801506855</v>
      </c>
      <c r="C1187" s="50">
        <f t="shared" si="124"/>
        <v>54663.642790397193</v>
      </c>
      <c r="D1187" s="49">
        <f t="shared" si="117"/>
        <v>39566</v>
      </c>
      <c r="E1187" s="51">
        <v>33</v>
      </c>
      <c r="F1187" s="52">
        <v>0.1</v>
      </c>
      <c r="G1187" s="177" t="s">
        <v>120</v>
      </c>
      <c r="H1187" s="933">
        <f t="shared" si="118"/>
        <v>39533</v>
      </c>
      <c r="I1187" s="934">
        <f t="shared" si="119"/>
        <v>54173.851801506855</v>
      </c>
      <c r="K1187" s="935">
        <f t="shared" si="120"/>
        <v>39566</v>
      </c>
      <c r="L1187" s="920">
        <f t="shared" si="121"/>
        <v>33</v>
      </c>
      <c r="M1187" s="936" t="str">
        <f t="shared" si="122"/>
        <v>HSBC</v>
      </c>
      <c r="N1187" s="937">
        <f t="shared" si="123"/>
        <v>0.1</v>
      </c>
      <c r="O1187" s="898" t="e">
        <f>+#REF!-I1187</f>
        <v>#REF!</v>
      </c>
    </row>
    <row r="1188" spans="1:15" s="47" customFormat="1" ht="13">
      <c r="A1188" s="176">
        <v>39533</v>
      </c>
      <c r="B1188" s="50">
        <v>55000</v>
      </c>
      <c r="C1188" s="50">
        <f t="shared" si="124"/>
        <v>55497.260273972606</v>
      </c>
      <c r="D1188" s="49">
        <f t="shared" si="117"/>
        <v>39566</v>
      </c>
      <c r="E1188" s="51">
        <v>33</v>
      </c>
      <c r="F1188" s="52">
        <v>0.1</v>
      </c>
      <c r="G1188" s="177" t="s">
        <v>120</v>
      </c>
      <c r="H1188" s="933">
        <f t="shared" si="118"/>
        <v>39533</v>
      </c>
      <c r="I1188" s="934">
        <f t="shared" si="119"/>
        <v>55000</v>
      </c>
      <c r="K1188" s="935">
        <f t="shared" si="120"/>
        <v>39566</v>
      </c>
      <c r="L1188" s="920">
        <f t="shared" si="121"/>
        <v>33</v>
      </c>
      <c r="M1188" s="936" t="str">
        <f t="shared" si="122"/>
        <v>HSBC</v>
      </c>
      <c r="N1188" s="937">
        <f t="shared" si="123"/>
        <v>0.1</v>
      </c>
      <c r="O1188" s="898" t="e">
        <f>+#REF!-I1188</f>
        <v>#REF!</v>
      </c>
    </row>
    <row r="1189" spans="1:15" s="47" customFormat="1" ht="13">
      <c r="A1189" s="176">
        <v>39503</v>
      </c>
      <c r="B1189" s="50">
        <v>56100</v>
      </c>
      <c r="C1189" s="50">
        <f t="shared" si="124"/>
        <v>57089.050684931506</v>
      </c>
      <c r="D1189" s="49">
        <f t="shared" si="117"/>
        <v>39568</v>
      </c>
      <c r="E1189" s="51">
        <v>65</v>
      </c>
      <c r="F1189" s="179">
        <v>9.9000000000000005E-2</v>
      </c>
      <c r="G1189" s="177" t="s">
        <v>441</v>
      </c>
      <c r="H1189" s="933">
        <f t="shared" si="118"/>
        <v>39503</v>
      </c>
      <c r="I1189" s="934">
        <f t="shared" si="119"/>
        <v>56100</v>
      </c>
      <c r="K1189" s="935">
        <f t="shared" si="120"/>
        <v>39568</v>
      </c>
      <c r="L1189" s="920">
        <f t="shared" si="121"/>
        <v>65</v>
      </c>
      <c r="M1189" s="936" t="str">
        <f t="shared" si="122"/>
        <v>GALICIA</v>
      </c>
      <c r="N1189" s="937">
        <f t="shared" si="123"/>
        <v>9.9000000000000005E-2</v>
      </c>
      <c r="O1189" s="898" t="e">
        <f>+#REF!-I1189</f>
        <v>#REF!</v>
      </c>
    </row>
    <row r="1190" spans="1:15" s="47" customFormat="1" ht="13">
      <c r="A1190" s="176">
        <v>39539</v>
      </c>
      <c r="B1190" s="50">
        <v>20953.28</v>
      </c>
      <c r="C1190" s="50">
        <f t="shared" si="124"/>
        <v>21159.942487671233</v>
      </c>
      <c r="D1190" s="49">
        <f t="shared" si="117"/>
        <v>39575</v>
      </c>
      <c r="E1190" s="51">
        <v>36</v>
      </c>
      <c r="F1190" s="52">
        <v>0.1</v>
      </c>
      <c r="G1190" s="177" t="s">
        <v>120</v>
      </c>
      <c r="H1190" s="933">
        <f t="shared" si="118"/>
        <v>39539</v>
      </c>
      <c r="I1190" s="934">
        <f t="shared" si="119"/>
        <v>20953.28</v>
      </c>
      <c r="K1190" s="935">
        <f t="shared" si="120"/>
        <v>39575</v>
      </c>
      <c r="L1190" s="920">
        <f t="shared" si="121"/>
        <v>36</v>
      </c>
      <c r="M1190" s="936" t="str">
        <f t="shared" si="122"/>
        <v>HSBC</v>
      </c>
      <c r="N1190" s="937">
        <f t="shared" si="123"/>
        <v>0.1</v>
      </c>
      <c r="O1190" s="898" t="e">
        <f>+#REF!-I1190</f>
        <v>#REF!</v>
      </c>
    </row>
    <row r="1191" spans="1:15" s="47" customFormat="1" ht="13">
      <c r="A1191" s="176">
        <v>39539</v>
      </c>
      <c r="B1191" s="50">
        <v>63000</v>
      </c>
      <c r="C1191" s="50">
        <f t="shared" si="124"/>
        <v>63621.369863013701</v>
      </c>
      <c r="D1191" s="49">
        <f t="shared" si="117"/>
        <v>39575</v>
      </c>
      <c r="E1191" s="51">
        <v>36</v>
      </c>
      <c r="F1191" s="52">
        <v>0.1</v>
      </c>
      <c r="G1191" s="177" t="s">
        <v>120</v>
      </c>
      <c r="H1191" s="933">
        <f t="shared" si="118"/>
        <v>39539</v>
      </c>
      <c r="I1191" s="934">
        <f t="shared" si="119"/>
        <v>63000</v>
      </c>
      <c r="K1191" s="935">
        <f t="shared" si="120"/>
        <v>39575</v>
      </c>
      <c r="L1191" s="920">
        <f t="shared" si="121"/>
        <v>36</v>
      </c>
      <c r="M1191" s="936" t="str">
        <f t="shared" si="122"/>
        <v>HSBC</v>
      </c>
      <c r="N1191" s="937">
        <f t="shared" si="123"/>
        <v>0.1</v>
      </c>
      <c r="O1191" s="898" t="e">
        <f>+#REF!-I1191</f>
        <v>#REF!</v>
      </c>
    </row>
    <row r="1192" spans="1:15" s="47" customFormat="1" ht="13">
      <c r="A1192" s="176">
        <v>39539</v>
      </c>
      <c r="B1192" s="50">
        <v>67000</v>
      </c>
      <c r="C1192" s="50">
        <f t="shared" si="124"/>
        <v>67660.821917808222</v>
      </c>
      <c r="D1192" s="49">
        <f t="shared" si="117"/>
        <v>39575</v>
      </c>
      <c r="E1192" s="51">
        <v>36</v>
      </c>
      <c r="F1192" s="52">
        <v>0.1</v>
      </c>
      <c r="G1192" s="177" t="s">
        <v>120</v>
      </c>
      <c r="H1192" s="933">
        <f t="shared" si="118"/>
        <v>39539</v>
      </c>
      <c r="I1192" s="934">
        <f t="shared" si="119"/>
        <v>67000</v>
      </c>
      <c r="K1192" s="935">
        <f t="shared" si="120"/>
        <v>39575</v>
      </c>
      <c r="L1192" s="920">
        <f t="shared" si="121"/>
        <v>36</v>
      </c>
      <c r="M1192" s="936" t="str">
        <f t="shared" si="122"/>
        <v>HSBC</v>
      </c>
      <c r="N1192" s="937">
        <f t="shared" si="123"/>
        <v>0.1</v>
      </c>
      <c r="O1192" s="898" t="e">
        <f>+#REF!-I1192</f>
        <v>#REF!</v>
      </c>
    </row>
    <row r="1193" spans="1:15" s="47" customFormat="1" ht="13">
      <c r="A1193" s="176">
        <v>39539</v>
      </c>
      <c r="B1193" s="50">
        <v>48000</v>
      </c>
      <c r="C1193" s="50">
        <f t="shared" si="124"/>
        <v>48473.424657534248</v>
      </c>
      <c r="D1193" s="49">
        <f t="shared" si="117"/>
        <v>39575</v>
      </c>
      <c r="E1193" s="51">
        <v>36</v>
      </c>
      <c r="F1193" s="52">
        <v>0.1</v>
      </c>
      <c r="G1193" s="177" t="s">
        <v>120</v>
      </c>
      <c r="H1193" s="933">
        <f t="shared" si="118"/>
        <v>39539</v>
      </c>
      <c r="I1193" s="934">
        <f t="shared" si="119"/>
        <v>48000</v>
      </c>
      <c r="K1193" s="935">
        <f t="shared" si="120"/>
        <v>39575</v>
      </c>
      <c r="L1193" s="920">
        <f t="shared" si="121"/>
        <v>36</v>
      </c>
      <c r="M1193" s="936" t="str">
        <f t="shared" si="122"/>
        <v>HSBC</v>
      </c>
      <c r="N1193" s="937">
        <f t="shared" si="123"/>
        <v>0.1</v>
      </c>
      <c r="O1193" s="898" t="e">
        <f>+#REF!-I1193</f>
        <v>#REF!</v>
      </c>
    </row>
    <row r="1194" spans="1:15" s="47" customFormat="1" ht="13">
      <c r="A1194" s="176">
        <v>39539</v>
      </c>
      <c r="B1194" s="50">
        <v>22000</v>
      </c>
      <c r="C1194" s="50">
        <f t="shared" si="124"/>
        <v>22216.986301369863</v>
      </c>
      <c r="D1194" s="49">
        <f t="shared" si="117"/>
        <v>39575</v>
      </c>
      <c r="E1194" s="51">
        <v>36</v>
      </c>
      <c r="F1194" s="52">
        <v>0.1</v>
      </c>
      <c r="G1194" s="177" t="s">
        <v>120</v>
      </c>
      <c r="H1194" s="933">
        <f t="shared" si="118"/>
        <v>39539</v>
      </c>
      <c r="I1194" s="934">
        <f t="shared" si="119"/>
        <v>22000</v>
      </c>
      <c r="K1194" s="935">
        <f t="shared" si="120"/>
        <v>39575</v>
      </c>
      <c r="L1194" s="920">
        <f t="shared" si="121"/>
        <v>36</v>
      </c>
      <c r="M1194" s="936" t="str">
        <f t="shared" si="122"/>
        <v>HSBC</v>
      </c>
      <c r="N1194" s="937">
        <f t="shared" si="123"/>
        <v>0.1</v>
      </c>
      <c r="O1194" s="898" t="e">
        <f>+#REF!-I1194</f>
        <v>#REF!</v>
      </c>
    </row>
    <row r="1195" spans="1:15" s="47" customFormat="1" ht="13">
      <c r="A1195" s="176">
        <v>39547</v>
      </c>
      <c r="B1195" s="50">
        <v>57347.79</v>
      </c>
      <c r="C1195" s="50">
        <f t="shared" si="124"/>
        <v>57859.206593013696</v>
      </c>
      <c r="D1195" s="49">
        <f t="shared" si="117"/>
        <v>39582</v>
      </c>
      <c r="E1195" s="51">
        <v>35</v>
      </c>
      <c r="F1195" s="52">
        <v>9.2999999999999999E-2</v>
      </c>
      <c r="G1195" s="177" t="s">
        <v>276</v>
      </c>
      <c r="H1195" s="933">
        <f t="shared" si="118"/>
        <v>39547</v>
      </c>
      <c r="I1195" s="934">
        <f t="shared" si="119"/>
        <v>57347.79</v>
      </c>
      <c r="K1195" s="935">
        <f t="shared" si="120"/>
        <v>39582</v>
      </c>
      <c r="L1195" s="920">
        <f t="shared" si="121"/>
        <v>35</v>
      </c>
      <c r="M1195" s="936" t="str">
        <f t="shared" si="122"/>
        <v>BBVA</v>
      </c>
      <c r="N1195" s="937">
        <f t="shared" si="123"/>
        <v>9.2999999999999999E-2</v>
      </c>
      <c r="O1195" s="898" t="e">
        <f>+#REF!-I1195</f>
        <v>#REF!</v>
      </c>
    </row>
    <row r="1196" spans="1:15" s="47" customFormat="1" ht="13">
      <c r="A1196" s="176">
        <v>39547</v>
      </c>
      <c r="B1196" s="50">
        <v>58508.42</v>
      </c>
      <c r="C1196" s="50">
        <f t="shared" si="124"/>
        <v>59030.186868767123</v>
      </c>
      <c r="D1196" s="49">
        <f t="shared" si="117"/>
        <v>39582</v>
      </c>
      <c r="E1196" s="51">
        <v>35</v>
      </c>
      <c r="F1196" s="52">
        <v>9.2999999999999999E-2</v>
      </c>
      <c r="G1196" s="177" t="s">
        <v>276</v>
      </c>
      <c r="H1196" s="933">
        <f t="shared" si="118"/>
        <v>39547</v>
      </c>
      <c r="I1196" s="934">
        <f t="shared" si="119"/>
        <v>58508.42</v>
      </c>
      <c r="K1196" s="935">
        <f t="shared" si="120"/>
        <v>39582</v>
      </c>
      <c r="L1196" s="920">
        <f t="shared" si="121"/>
        <v>35</v>
      </c>
      <c r="M1196" s="936" t="str">
        <f t="shared" si="122"/>
        <v>BBVA</v>
      </c>
      <c r="N1196" s="937">
        <f t="shared" si="123"/>
        <v>9.2999999999999999E-2</v>
      </c>
      <c r="O1196" s="898" t="e">
        <f>+#REF!-I1196</f>
        <v>#REF!</v>
      </c>
    </row>
    <row r="1197" spans="1:15" s="47" customFormat="1" ht="13">
      <c r="A1197" s="176">
        <v>39549</v>
      </c>
      <c r="B1197" s="50">
        <v>50000</v>
      </c>
      <c r="C1197" s="50">
        <f t="shared" si="124"/>
        <v>50452.054794520547</v>
      </c>
      <c r="D1197" s="49">
        <f t="shared" si="117"/>
        <v>39582</v>
      </c>
      <c r="E1197" s="51">
        <v>33</v>
      </c>
      <c r="F1197" s="52">
        <v>0.1</v>
      </c>
      <c r="G1197" s="177" t="s">
        <v>120</v>
      </c>
      <c r="H1197" s="933">
        <f t="shared" si="118"/>
        <v>39549</v>
      </c>
      <c r="I1197" s="934">
        <f t="shared" si="119"/>
        <v>50000</v>
      </c>
      <c r="K1197" s="935">
        <f t="shared" si="120"/>
        <v>39582</v>
      </c>
      <c r="L1197" s="920">
        <f t="shared" si="121"/>
        <v>33</v>
      </c>
      <c r="M1197" s="936" t="str">
        <f t="shared" si="122"/>
        <v>HSBC</v>
      </c>
      <c r="N1197" s="937">
        <f t="shared" si="123"/>
        <v>0.1</v>
      </c>
      <c r="O1197" s="898" t="e">
        <f>+#REF!-I1197</f>
        <v>#REF!</v>
      </c>
    </row>
    <row r="1198" spans="1:15" s="47" customFormat="1" ht="13">
      <c r="A1198" s="176">
        <v>39554</v>
      </c>
      <c r="B1198" s="50">
        <v>60672.89</v>
      </c>
      <c r="C1198" s="50">
        <f t="shared" si="124"/>
        <v>61275.62944969863</v>
      </c>
      <c r="D1198" s="49">
        <f t="shared" si="117"/>
        <v>39591</v>
      </c>
      <c r="E1198" s="51">
        <v>37</v>
      </c>
      <c r="F1198" s="52">
        <v>9.8000000000000004E-2</v>
      </c>
      <c r="G1198" s="177" t="s">
        <v>120</v>
      </c>
      <c r="H1198" s="933">
        <f t="shared" si="118"/>
        <v>39554</v>
      </c>
      <c r="I1198" s="934">
        <f t="shared" si="119"/>
        <v>60672.89</v>
      </c>
      <c r="K1198" s="935">
        <f t="shared" si="120"/>
        <v>39591</v>
      </c>
      <c r="L1198" s="920">
        <f t="shared" si="121"/>
        <v>37</v>
      </c>
      <c r="M1198" s="936" t="str">
        <f t="shared" si="122"/>
        <v>HSBC</v>
      </c>
      <c r="N1198" s="937">
        <f t="shared" si="123"/>
        <v>9.8000000000000004E-2</v>
      </c>
      <c r="O1198" s="898" t="e">
        <f>+#REF!-I1198</f>
        <v>#REF!</v>
      </c>
    </row>
    <row r="1199" spans="1:15" s="47" customFormat="1" ht="13">
      <c r="A1199" s="176">
        <v>39554</v>
      </c>
      <c r="B1199" s="50">
        <v>59413.26</v>
      </c>
      <c r="C1199" s="50">
        <f t="shared" si="124"/>
        <v>60003.485974684932</v>
      </c>
      <c r="D1199" s="49">
        <f t="shared" si="117"/>
        <v>39591</v>
      </c>
      <c r="E1199" s="51">
        <v>37</v>
      </c>
      <c r="F1199" s="52">
        <v>9.8000000000000004E-2</v>
      </c>
      <c r="G1199" s="177" t="s">
        <v>120</v>
      </c>
      <c r="H1199" s="933">
        <f t="shared" si="118"/>
        <v>39554</v>
      </c>
      <c r="I1199" s="934">
        <f t="shared" si="119"/>
        <v>59413.26</v>
      </c>
      <c r="K1199" s="935">
        <f t="shared" si="120"/>
        <v>39591</v>
      </c>
      <c r="L1199" s="920">
        <f t="shared" si="121"/>
        <v>37</v>
      </c>
      <c r="M1199" s="936" t="str">
        <f t="shared" si="122"/>
        <v>HSBC</v>
      </c>
      <c r="N1199" s="937">
        <f t="shared" si="123"/>
        <v>9.8000000000000004E-2</v>
      </c>
      <c r="O1199" s="898" t="e">
        <f>+#REF!-I1199</f>
        <v>#REF!</v>
      </c>
    </row>
    <row r="1200" spans="1:15" s="47" customFormat="1" ht="13">
      <c r="A1200" s="176">
        <v>39566</v>
      </c>
      <c r="B1200" s="50">
        <v>54663.65</v>
      </c>
      <c r="C1200" s="50">
        <f t="shared" si="124"/>
        <v>55108.447371232876</v>
      </c>
      <c r="D1200" s="49">
        <f t="shared" ref="D1200:D1231" si="125">A1200+E1200</f>
        <v>39596</v>
      </c>
      <c r="E1200" s="51">
        <v>30</v>
      </c>
      <c r="F1200" s="52">
        <v>9.9000000000000005E-2</v>
      </c>
      <c r="G1200" s="177" t="s">
        <v>120</v>
      </c>
      <c r="H1200" s="933">
        <f t="shared" si="118"/>
        <v>39566</v>
      </c>
      <c r="I1200" s="934">
        <f t="shared" si="119"/>
        <v>54663.65</v>
      </c>
      <c r="K1200" s="935">
        <f t="shared" si="120"/>
        <v>39596</v>
      </c>
      <c r="L1200" s="920">
        <f t="shared" si="121"/>
        <v>30</v>
      </c>
      <c r="M1200" s="936" t="str">
        <f t="shared" si="122"/>
        <v>HSBC</v>
      </c>
      <c r="N1200" s="937">
        <f t="shared" si="123"/>
        <v>9.9000000000000005E-2</v>
      </c>
      <c r="O1200" s="898" t="e">
        <f>+#REF!-I1200</f>
        <v>#REF!</v>
      </c>
    </row>
    <row r="1201" spans="1:15" s="47" customFormat="1" ht="13">
      <c r="A1201" s="176">
        <v>39566</v>
      </c>
      <c r="B1201" s="50">
        <v>54663.65</v>
      </c>
      <c r="C1201" s="50">
        <f t="shared" si="124"/>
        <v>55108.447371232876</v>
      </c>
      <c r="D1201" s="49">
        <f t="shared" si="125"/>
        <v>39596</v>
      </c>
      <c r="E1201" s="51">
        <v>30</v>
      </c>
      <c r="F1201" s="52">
        <v>9.9000000000000005E-2</v>
      </c>
      <c r="G1201" s="177" t="s">
        <v>120</v>
      </c>
      <c r="H1201" s="933">
        <f t="shared" si="118"/>
        <v>39566</v>
      </c>
      <c r="I1201" s="934">
        <f t="shared" si="119"/>
        <v>54663.65</v>
      </c>
      <c r="K1201" s="935">
        <f t="shared" si="120"/>
        <v>39596</v>
      </c>
      <c r="L1201" s="920">
        <f t="shared" si="121"/>
        <v>30</v>
      </c>
      <c r="M1201" s="936" t="str">
        <f t="shared" si="122"/>
        <v>HSBC</v>
      </c>
      <c r="N1201" s="937">
        <f t="shared" si="123"/>
        <v>9.9000000000000005E-2</v>
      </c>
      <c r="O1201" s="898" t="e">
        <f>+#REF!-I1201</f>
        <v>#REF!</v>
      </c>
    </row>
    <row r="1202" spans="1:15" s="47" customFormat="1" ht="13">
      <c r="A1202" s="176">
        <v>39566</v>
      </c>
      <c r="B1202" s="50">
        <f>55497.26-20000-20000</f>
        <v>15497.260000000002</v>
      </c>
      <c r="C1202" s="50">
        <f t="shared" si="124"/>
        <v>15623.360992328769</v>
      </c>
      <c r="D1202" s="49">
        <f t="shared" si="125"/>
        <v>39596</v>
      </c>
      <c r="E1202" s="51">
        <v>30</v>
      </c>
      <c r="F1202" s="52">
        <v>9.9000000000000005E-2</v>
      </c>
      <c r="G1202" s="177" t="s">
        <v>120</v>
      </c>
      <c r="H1202" s="933">
        <f t="shared" si="118"/>
        <v>39566</v>
      </c>
      <c r="I1202" s="934">
        <f t="shared" si="119"/>
        <v>15497.260000000002</v>
      </c>
      <c r="K1202" s="935">
        <f t="shared" si="120"/>
        <v>39596</v>
      </c>
      <c r="L1202" s="920">
        <f t="shared" si="121"/>
        <v>30</v>
      </c>
      <c r="M1202" s="936" t="str">
        <f t="shared" si="122"/>
        <v>HSBC</v>
      </c>
      <c r="N1202" s="937">
        <f t="shared" si="123"/>
        <v>9.9000000000000005E-2</v>
      </c>
      <c r="O1202" s="898" t="e">
        <f>+#REF!-I1202</f>
        <v>#REF!</v>
      </c>
    </row>
    <row r="1203" spans="1:15" s="47" customFormat="1" ht="13">
      <c r="A1203" s="176">
        <v>39561</v>
      </c>
      <c r="B1203" s="50">
        <v>81485.740000000005</v>
      </c>
      <c r="C1203" s="50">
        <f t="shared" si="124"/>
        <v>82259.296408493159</v>
      </c>
      <c r="D1203" s="49">
        <f t="shared" si="125"/>
        <v>39596</v>
      </c>
      <c r="E1203" s="51">
        <v>35</v>
      </c>
      <c r="F1203" s="52">
        <v>9.9000000000000005E-2</v>
      </c>
      <c r="G1203" s="177" t="s">
        <v>120</v>
      </c>
      <c r="H1203" s="933">
        <f t="shared" si="118"/>
        <v>39561</v>
      </c>
      <c r="I1203" s="934">
        <f t="shared" si="119"/>
        <v>81485.740000000005</v>
      </c>
      <c r="K1203" s="935">
        <f t="shared" si="120"/>
        <v>39596</v>
      </c>
      <c r="L1203" s="920">
        <f t="shared" si="121"/>
        <v>35</v>
      </c>
      <c r="M1203" s="936" t="str">
        <f t="shared" si="122"/>
        <v>HSBC</v>
      </c>
      <c r="N1203" s="937">
        <f t="shared" si="123"/>
        <v>9.9000000000000005E-2</v>
      </c>
      <c r="O1203" s="898" t="e">
        <f>+#REF!-I1203</f>
        <v>#REF!</v>
      </c>
    </row>
    <row r="1204" spans="1:15" s="47" customFormat="1" ht="13">
      <c r="A1204" s="176">
        <v>39561</v>
      </c>
      <c r="B1204" s="50">
        <v>47596.93</v>
      </c>
      <c r="C1204" s="50">
        <f t="shared" si="124"/>
        <v>48048.774828630136</v>
      </c>
      <c r="D1204" s="49">
        <f t="shared" si="125"/>
        <v>39596</v>
      </c>
      <c r="E1204" s="51">
        <v>35</v>
      </c>
      <c r="F1204" s="52">
        <v>9.9000000000000005E-2</v>
      </c>
      <c r="G1204" s="177" t="s">
        <v>120</v>
      </c>
      <c r="H1204" s="933">
        <f t="shared" si="118"/>
        <v>39561</v>
      </c>
      <c r="I1204" s="934">
        <f t="shared" si="119"/>
        <v>47596.93</v>
      </c>
      <c r="K1204" s="935">
        <f t="shared" si="120"/>
        <v>39596</v>
      </c>
      <c r="L1204" s="920">
        <f t="shared" si="121"/>
        <v>35</v>
      </c>
      <c r="M1204" s="936" t="str">
        <f t="shared" si="122"/>
        <v>HSBC</v>
      </c>
      <c r="N1204" s="937">
        <f t="shared" si="123"/>
        <v>9.9000000000000005E-2</v>
      </c>
      <c r="O1204" s="898" t="e">
        <f>+#REF!-I1204</f>
        <v>#REF!</v>
      </c>
    </row>
    <row r="1205" spans="1:15" s="47" customFormat="1" ht="13">
      <c r="A1205" s="176">
        <v>39568</v>
      </c>
      <c r="B1205" s="50">
        <v>57000</v>
      </c>
      <c r="C1205" s="50">
        <f t="shared" si="124"/>
        <v>57557.506849315068</v>
      </c>
      <c r="D1205" s="49">
        <f t="shared" si="125"/>
        <v>39603</v>
      </c>
      <c r="E1205" s="51">
        <v>35</v>
      </c>
      <c r="F1205" s="52">
        <v>0.10199999999999999</v>
      </c>
      <c r="G1205" s="177" t="s">
        <v>120</v>
      </c>
      <c r="H1205" s="933">
        <f t="shared" si="118"/>
        <v>39568</v>
      </c>
      <c r="I1205" s="934">
        <f t="shared" si="119"/>
        <v>57000</v>
      </c>
      <c r="K1205" s="935">
        <f t="shared" si="120"/>
        <v>39603</v>
      </c>
      <c r="L1205" s="920">
        <f t="shared" si="121"/>
        <v>35</v>
      </c>
      <c r="M1205" s="936" t="str">
        <f t="shared" si="122"/>
        <v>HSBC</v>
      </c>
      <c r="N1205" s="937">
        <f t="shared" si="123"/>
        <v>0.10199999999999999</v>
      </c>
      <c r="O1205" s="898" t="e">
        <f>+#REF!-I1205</f>
        <v>#REF!</v>
      </c>
    </row>
    <row r="1206" spans="1:15" s="47" customFormat="1" ht="13">
      <c r="A1206" s="176">
        <v>39575</v>
      </c>
      <c r="B1206" s="50">
        <v>21159.94</v>
      </c>
      <c r="C1206" s="50">
        <f t="shared" si="124"/>
        <v>21393.279064383561</v>
      </c>
      <c r="D1206" s="49">
        <f t="shared" si="125"/>
        <v>39610</v>
      </c>
      <c r="E1206" s="51">
        <v>35</v>
      </c>
      <c r="F1206" s="52">
        <v>0.115</v>
      </c>
      <c r="G1206" s="177" t="s">
        <v>120</v>
      </c>
      <c r="H1206" s="933">
        <f t="shared" si="118"/>
        <v>39575</v>
      </c>
      <c r="I1206" s="934">
        <f t="shared" si="119"/>
        <v>21159.94</v>
      </c>
      <c r="K1206" s="935">
        <f t="shared" si="120"/>
        <v>39610</v>
      </c>
      <c r="L1206" s="920">
        <f t="shared" si="121"/>
        <v>35</v>
      </c>
      <c r="M1206" s="936" t="str">
        <f t="shared" si="122"/>
        <v>HSBC</v>
      </c>
      <c r="N1206" s="937">
        <f t="shared" si="123"/>
        <v>0.115</v>
      </c>
      <c r="O1206" s="898" t="e">
        <f>+#REF!-I1206</f>
        <v>#REF!</v>
      </c>
    </row>
    <row r="1207" spans="1:15" s="47" customFormat="1" ht="13">
      <c r="A1207" s="176">
        <v>39575</v>
      </c>
      <c r="B1207" s="50">
        <v>63621.37</v>
      </c>
      <c r="C1207" s="50">
        <f t="shared" si="124"/>
        <v>64322.948121232883</v>
      </c>
      <c r="D1207" s="49">
        <f t="shared" si="125"/>
        <v>39610</v>
      </c>
      <c r="E1207" s="51">
        <v>35</v>
      </c>
      <c r="F1207" s="52">
        <v>0.115</v>
      </c>
      <c r="G1207" s="177" t="s">
        <v>120</v>
      </c>
      <c r="H1207" s="933">
        <f t="shared" si="118"/>
        <v>39575</v>
      </c>
      <c r="I1207" s="934">
        <f t="shared" si="119"/>
        <v>63621.37</v>
      </c>
      <c r="K1207" s="935">
        <f t="shared" si="120"/>
        <v>39610</v>
      </c>
      <c r="L1207" s="920">
        <f t="shared" si="121"/>
        <v>35</v>
      </c>
      <c r="M1207" s="936" t="str">
        <f t="shared" si="122"/>
        <v>HSBC</v>
      </c>
      <c r="N1207" s="937">
        <f t="shared" si="123"/>
        <v>0.115</v>
      </c>
      <c r="O1207" s="898" t="e">
        <f>+#REF!-I1207</f>
        <v>#REF!</v>
      </c>
    </row>
    <row r="1208" spans="1:15" s="47" customFormat="1" ht="13">
      <c r="A1208" s="176">
        <v>39575</v>
      </c>
      <c r="B1208" s="50">
        <v>67660.820000000007</v>
      </c>
      <c r="C1208" s="50">
        <f t="shared" si="124"/>
        <v>68406.942741095903</v>
      </c>
      <c r="D1208" s="49">
        <f t="shared" si="125"/>
        <v>39610</v>
      </c>
      <c r="E1208" s="51">
        <v>35</v>
      </c>
      <c r="F1208" s="52">
        <v>0.115</v>
      </c>
      <c r="G1208" s="177" t="s">
        <v>120</v>
      </c>
      <c r="H1208" s="933">
        <f t="shared" si="118"/>
        <v>39575</v>
      </c>
      <c r="I1208" s="934">
        <f t="shared" si="119"/>
        <v>67660.820000000007</v>
      </c>
      <c r="K1208" s="935">
        <f t="shared" si="120"/>
        <v>39610</v>
      </c>
      <c r="L1208" s="920">
        <f t="shared" si="121"/>
        <v>35</v>
      </c>
      <c r="M1208" s="936" t="str">
        <f t="shared" si="122"/>
        <v>HSBC</v>
      </c>
      <c r="N1208" s="937">
        <f t="shared" si="123"/>
        <v>0.115</v>
      </c>
      <c r="O1208" s="898" t="e">
        <f>+#REF!-I1208</f>
        <v>#REF!</v>
      </c>
    </row>
    <row r="1209" spans="1:15" s="47" customFormat="1" ht="13">
      <c r="A1209" s="176">
        <v>39575</v>
      </c>
      <c r="B1209" s="50">
        <v>48473.42</v>
      </c>
      <c r="C1209" s="50">
        <f t="shared" si="124"/>
        <v>49007.955658904109</v>
      </c>
      <c r="D1209" s="49">
        <f t="shared" si="125"/>
        <v>39610</v>
      </c>
      <c r="E1209" s="51">
        <v>35</v>
      </c>
      <c r="F1209" s="52">
        <v>0.115</v>
      </c>
      <c r="G1209" s="177" t="s">
        <v>120</v>
      </c>
      <c r="H1209" s="933">
        <f t="shared" si="118"/>
        <v>39575</v>
      </c>
      <c r="I1209" s="934">
        <f t="shared" si="119"/>
        <v>48473.42</v>
      </c>
      <c r="K1209" s="935">
        <f t="shared" si="120"/>
        <v>39610</v>
      </c>
      <c r="L1209" s="920">
        <f t="shared" si="121"/>
        <v>35</v>
      </c>
      <c r="M1209" s="936" t="str">
        <f t="shared" si="122"/>
        <v>HSBC</v>
      </c>
      <c r="N1209" s="937">
        <f t="shared" si="123"/>
        <v>0.115</v>
      </c>
      <c r="O1209" s="898" t="e">
        <f>+#REF!-I1209</f>
        <v>#REF!</v>
      </c>
    </row>
    <row r="1210" spans="1:15" s="47" customFormat="1" ht="13">
      <c r="A1210" s="176">
        <v>39575</v>
      </c>
      <c r="B1210" s="50">
        <v>22216.99</v>
      </c>
      <c r="C1210" s="50">
        <f t="shared" si="124"/>
        <v>22461.985574657538</v>
      </c>
      <c r="D1210" s="49">
        <f t="shared" si="125"/>
        <v>39610</v>
      </c>
      <c r="E1210" s="51">
        <v>35</v>
      </c>
      <c r="F1210" s="52">
        <v>0.115</v>
      </c>
      <c r="G1210" s="177" t="s">
        <v>120</v>
      </c>
      <c r="H1210" s="933">
        <f t="shared" ref="H1210:H1241" si="126">+A1210</f>
        <v>39575</v>
      </c>
      <c r="I1210" s="934">
        <f t="shared" ref="I1210:I1241" si="127">+B1210</f>
        <v>22216.99</v>
      </c>
      <c r="K1210" s="935">
        <f t="shared" ref="K1210:K1241" si="128">+D1210</f>
        <v>39610</v>
      </c>
      <c r="L1210" s="920">
        <f t="shared" ref="L1210:L1241" si="129">+E1210</f>
        <v>35</v>
      </c>
      <c r="M1210" s="936" t="str">
        <f t="shared" ref="M1210:M1241" si="130">+G1210</f>
        <v>HSBC</v>
      </c>
      <c r="N1210" s="937">
        <f t="shared" ref="N1210:N1241" si="131">+F1210</f>
        <v>0.115</v>
      </c>
      <c r="O1210" s="898" t="e">
        <f>+#REF!-I1210</f>
        <v>#REF!</v>
      </c>
    </row>
    <row r="1211" spans="1:15" s="47" customFormat="1" ht="13">
      <c r="A1211" s="176">
        <v>39584</v>
      </c>
      <c r="B1211" s="50">
        <v>85000</v>
      </c>
      <c r="C1211" s="50">
        <f t="shared" si="124"/>
        <v>85999.04109589041</v>
      </c>
      <c r="D1211" s="49">
        <f t="shared" si="125"/>
        <v>39617</v>
      </c>
      <c r="E1211" s="51">
        <v>33</v>
      </c>
      <c r="F1211" s="52">
        <v>0.13</v>
      </c>
      <c r="G1211" s="177" t="s">
        <v>120</v>
      </c>
      <c r="H1211" s="933">
        <f t="shared" si="126"/>
        <v>39584</v>
      </c>
      <c r="I1211" s="934">
        <f t="shared" si="127"/>
        <v>85000</v>
      </c>
      <c r="K1211" s="935">
        <f t="shared" si="128"/>
        <v>39617</v>
      </c>
      <c r="L1211" s="920">
        <f t="shared" si="129"/>
        <v>33</v>
      </c>
      <c r="M1211" s="936" t="str">
        <f t="shared" si="130"/>
        <v>HSBC</v>
      </c>
      <c r="N1211" s="937">
        <f t="shared" si="131"/>
        <v>0.13</v>
      </c>
      <c r="O1211" s="898" t="e">
        <f>+#REF!-I1211</f>
        <v>#REF!</v>
      </c>
    </row>
    <row r="1212" spans="1:15" s="47" customFormat="1" ht="13">
      <c r="A1212" s="176">
        <v>39591</v>
      </c>
      <c r="B1212" s="50">
        <v>61275.63</v>
      </c>
      <c r="C1212" s="50">
        <f t="shared" si="124"/>
        <v>61952.180106575339</v>
      </c>
      <c r="D1212" s="49">
        <f t="shared" si="125"/>
        <v>39622</v>
      </c>
      <c r="E1212" s="51">
        <v>31</v>
      </c>
      <c r="F1212" s="52">
        <v>0.13</v>
      </c>
      <c r="G1212" s="177" t="s">
        <v>120</v>
      </c>
      <c r="H1212" s="933">
        <f t="shared" si="126"/>
        <v>39591</v>
      </c>
      <c r="I1212" s="934">
        <f t="shared" si="127"/>
        <v>61275.63</v>
      </c>
      <c r="K1212" s="935">
        <f t="shared" si="128"/>
        <v>39622</v>
      </c>
      <c r="L1212" s="920">
        <f t="shared" si="129"/>
        <v>31</v>
      </c>
      <c r="M1212" s="936" t="str">
        <f t="shared" si="130"/>
        <v>HSBC</v>
      </c>
      <c r="N1212" s="937">
        <f t="shared" si="131"/>
        <v>0.13</v>
      </c>
      <c r="O1212" s="898" t="e">
        <f>+#REF!-I1212</f>
        <v>#REF!</v>
      </c>
    </row>
    <row r="1213" spans="1:15" s="47" customFormat="1" ht="13">
      <c r="A1213" s="176">
        <v>39591</v>
      </c>
      <c r="B1213" s="50">
        <v>60003.49</v>
      </c>
      <c r="C1213" s="50">
        <f t="shared" si="124"/>
        <v>60665.994286849316</v>
      </c>
      <c r="D1213" s="49">
        <f t="shared" si="125"/>
        <v>39622</v>
      </c>
      <c r="E1213" s="51">
        <v>31</v>
      </c>
      <c r="F1213" s="52">
        <v>0.13</v>
      </c>
      <c r="G1213" s="177" t="s">
        <v>120</v>
      </c>
      <c r="H1213" s="933">
        <f t="shared" si="126"/>
        <v>39591</v>
      </c>
      <c r="I1213" s="934">
        <f t="shared" si="127"/>
        <v>60003.49</v>
      </c>
      <c r="K1213" s="935">
        <f t="shared" si="128"/>
        <v>39622</v>
      </c>
      <c r="L1213" s="920">
        <f t="shared" si="129"/>
        <v>31</v>
      </c>
      <c r="M1213" s="936" t="str">
        <f t="shared" si="130"/>
        <v>HSBC</v>
      </c>
      <c r="N1213" s="937">
        <f t="shared" si="131"/>
        <v>0.13</v>
      </c>
      <c r="O1213" s="898" t="e">
        <f>+#REF!-I1213</f>
        <v>#REF!</v>
      </c>
    </row>
    <row r="1214" spans="1:15" s="47" customFormat="1" ht="13">
      <c r="A1214" s="176">
        <v>39597</v>
      </c>
      <c r="B1214" s="50">
        <v>55108.45</v>
      </c>
      <c r="C1214" s="50">
        <f t="shared" ref="C1214:C1245" si="132">B1214+(B1214*F1214/365*E1214)*1</f>
        <v>55809.00673424657</v>
      </c>
      <c r="D1214" s="49">
        <f t="shared" si="125"/>
        <v>39629</v>
      </c>
      <c r="E1214" s="51">
        <v>32</v>
      </c>
      <c r="F1214" s="52">
        <v>0.14499999999999999</v>
      </c>
      <c r="G1214" s="177" t="s">
        <v>276</v>
      </c>
      <c r="H1214" s="933">
        <f t="shared" si="126"/>
        <v>39597</v>
      </c>
      <c r="I1214" s="934">
        <f t="shared" si="127"/>
        <v>55108.45</v>
      </c>
      <c r="K1214" s="935">
        <f t="shared" si="128"/>
        <v>39629</v>
      </c>
      <c r="L1214" s="920">
        <f t="shared" si="129"/>
        <v>32</v>
      </c>
      <c r="M1214" s="936" t="str">
        <f t="shared" si="130"/>
        <v>BBVA</v>
      </c>
      <c r="N1214" s="937">
        <f t="shared" si="131"/>
        <v>0.14499999999999999</v>
      </c>
      <c r="O1214" s="898" t="e">
        <f>+#REF!-I1214</f>
        <v>#REF!</v>
      </c>
    </row>
    <row r="1215" spans="1:15" s="47" customFormat="1" ht="13">
      <c r="A1215" s="176">
        <v>39597</v>
      </c>
      <c r="B1215" s="50">
        <v>55108.45</v>
      </c>
      <c r="C1215" s="50">
        <f t="shared" si="132"/>
        <v>55809.00673424657</v>
      </c>
      <c r="D1215" s="49">
        <f t="shared" si="125"/>
        <v>39629</v>
      </c>
      <c r="E1215" s="51">
        <v>32</v>
      </c>
      <c r="F1215" s="52">
        <v>0.14499999999999999</v>
      </c>
      <c r="G1215" s="177" t="s">
        <v>276</v>
      </c>
      <c r="H1215" s="933">
        <f t="shared" si="126"/>
        <v>39597</v>
      </c>
      <c r="I1215" s="934">
        <f t="shared" si="127"/>
        <v>55108.45</v>
      </c>
      <c r="K1215" s="935">
        <f t="shared" si="128"/>
        <v>39629</v>
      </c>
      <c r="L1215" s="920">
        <f t="shared" si="129"/>
        <v>32</v>
      </c>
      <c r="M1215" s="936" t="str">
        <f t="shared" si="130"/>
        <v>BBVA</v>
      </c>
      <c r="N1215" s="937">
        <f t="shared" si="131"/>
        <v>0.14499999999999999</v>
      </c>
      <c r="O1215" s="898" t="e">
        <f>+#REF!-I1215</f>
        <v>#REF!</v>
      </c>
    </row>
    <row r="1216" spans="1:15" s="47" customFormat="1" ht="13">
      <c r="A1216" s="176">
        <v>39597</v>
      </c>
      <c r="B1216" s="50">
        <v>15623.36</v>
      </c>
      <c r="C1216" s="50">
        <f t="shared" si="132"/>
        <v>15821.969288767124</v>
      </c>
      <c r="D1216" s="49">
        <f t="shared" si="125"/>
        <v>39629</v>
      </c>
      <c r="E1216" s="51">
        <v>32</v>
      </c>
      <c r="F1216" s="52">
        <v>0.14499999999999999</v>
      </c>
      <c r="G1216" s="177" t="s">
        <v>276</v>
      </c>
      <c r="H1216" s="933">
        <f t="shared" si="126"/>
        <v>39597</v>
      </c>
      <c r="I1216" s="934">
        <f t="shared" si="127"/>
        <v>15623.36</v>
      </c>
      <c r="K1216" s="935">
        <f t="shared" si="128"/>
        <v>39629</v>
      </c>
      <c r="L1216" s="920">
        <f t="shared" si="129"/>
        <v>32</v>
      </c>
      <c r="M1216" s="936" t="str">
        <f t="shared" si="130"/>
        <v>BBVA</v>
      </c>
      <c r="N1216" s="937">
        <f t="shared" si="131"/>
        <v>0.14499999999999999</v>
      </c>
      <c r="O1216" s="898" t="e">
        <f>+#REF!-I1216</f>
        <v>#REF!</v>
      </c>
    </row>
    <row r="1217" spans="1:15" s="47" customFormat="1" ht="13">
      <c r="A1217" s="176">
        <v>39597</v>
      </c>
      <c r="B1217" s="50">
        <v>82259.3</v>
      </c>
      <c r="C1217" s="50">
        <f t="shared" si="132"/>
        <v>83305.007265753433</v>
      </c>
      <c r="D1217" s="49">
        <f t="shared" si="125"/>
        <v>39629</v>
      </c>
      <c r="E1217" s="51">
        <v>32</v>
      </c>
      <c r="F1217" s="52">
        <v>0.14499999999999999</v>
      </c>
      <c r="G1217" s="177" t="s">
        <v>276</v>
      </c>
      <c r="H1217" s="933">
        <f t="shared" si="126"/>
        <v>39597</v>
      </c>
      <c r="I1217" s="934">
        <f t="shared" si="127"/>
        <v>82259.3</v>
      </c>
      <c r="K1217" s="935">
        <f t="shared" si="128"/>
        <v>39629</v>
      </c>
      <c r="L1217" s="920">
        <f t="shared" si="129"/>
        <v>32</v>
      </c>
      <c r="M1217" s="936" t="str">
        <f t="shared" si="130"/>
        <v>BBVA</v>
      </c>
      <c r="N1217" s="937">
        <f t="shared" si="131"/>
        <v>0.14499999999999999</v>
      </c>
      <c r="O1217" s="898" t="e">
        <f>+#REF!-I1217</f>
        <v>#REF!</v>
      </c>
    </row>
    <row r="1218" spans="1:15" s="47" customFormat="1" ht="13">
      <c r="A1218" s="176">
        <v>39597</v>
      </c>
      <c r="B1218" s="50">
        <v>48048.77</v>
      </c>
      <c r="C1218" s="50">
        <f t="shared" si="132"/>
        <v>48659.581761095884</v>
      </c>
      <c r="D1218" s="49">
        <f t="shared" si="125"/>
        <v>39629</v>
      </c>
      <c r="E1218" s="51">
        <v>32</v>
      </c>
      <c r="F1218" s="52">
        <v>0.14499999999999999</v>
      </c>
      <c r="G1218" s="177" t="s">
        <v>276</v>
      </c>
      <c r="H1218" s="933">
        <f t="shared" si="126"/>
        <v>39597</v>
      </c>
      <c r="I1218" s="934">
        <f t="shared" si="127"/>
        <v>48048.77</v>
      </c>
      <c r="K1218" s="935">
        <f t="shared" si="128"/>
        <v>39629</v>
      </c>
      <c r="L1218" s="920">
        <f t="shared" si="129"/>
        <v>32</v>
      </c>
      <c r="M1218" s="936" t="str">
        <f t="shared" si="130"/>
        <v>BBVA</v>
      </c>
      <c r="N1218" s="937">
        <f t="shared" si="131"/>
        <v>0.14499999999999999</v>
      </c>
      <c r="O1218" s="898" t="e">
        <f>+#REF!-I1218</f>
        <v>#REF!</v>
      </c>
    </row>
    <row r="1219" spans="1:15" s="47" customFormat="1" ht="13">
      <c r="A1219" s="176">
        <v>39603</v>
      </c>
      <c r="B1219" s="50">
        <v>57557.51</v>
      </c>
      <c r="C1219" s="50">
        <f t="shared" si="132"/>
        <v>58522.583866301371</v>
      </c>
      <c r="D1219" s="49">
        <f t="shared" si="125"/>
        <v>39639</v>
      </c>
      <c r="E1219" s="51">
        <v>36</v>
      </c>
      <c r="F1219" s="52">
        <v>0.17</v>
      </c>
      <c r="G1219" s="177" t="s">
        <v>120</v>
      </c>
      <c r="H1219" s="933">
        <f t="shared" si="126"/>
        <v>39603</v>
      </c>
      <c r="I1219" s="934">
        <f t="shared" si="127"/>
        <v>57557.51</v>
      </c>
      <c r="K1219" s="935">
        <f t="shared" si="128"/>
        <v>39639</v>
      </c>
      <c r="L1219" s="920">
        <f t="shared" si="129"/>
        <v>36</v>
      </c>
      <c r="M1219" s="936" t="str">
        <f t="shared" si="130"/>
        <v>HSBC</v>
      </c>
      <c r="N1219" s="937">
        <f t="shared" si="131"/>
        <v>0.17</v>
      </c>
      <c r="O1219" s="898" t="e">
        <f>+#REF!-I1219</f>
        <v>#REF!</v>
      </c>
    </row>
    <row r="1220" spans="1:15" s="47" customFormat="1" ht="13">
      <c r="A1220" s="176">
        <v>39610</v>
      </c>
      <c r="B1220" s="50">
        <v>21393.279999999999</v>
      </c>
      <c r="C1220" s="50">
        <f t="shared" si="132"/>
        <v>21752.276821917807</v>
      </c>
      <c r="D1220" s="49">
        <f t="shared" si="125"/>
        <v>39645</v>
      </c>
      <c r="E1220" s="51">
        <v>35</v>
      </c>
      <c r="F1220" s="52">
        <v>0.17499999999999999</v>
      </c>
      <c r="G1220" s="177" t="s">
        <v>120</v>
      </c>
      <c r="H1220" s="933">
        <f t="shared" si="126"/>
        <v>39610</v>
      </c>
      <c r="I1220" s="934">
        <f t="shared" si="127"/>
        <v>21393.279999999999</v>
      </c>
      <c r="K1220" s="935">
        <f t="shared" si="128"/>
        <v>39645</v>
      </c>
      <c r="L1220" s="920">
        <f t="shared" si="129"/>
        <v>35</v>
      </c>
      <c r="M1220" s="936" t="str">
        <f t="shared" si="130"/>
        <v>HSBC</v>
      </c>
      <c r="N1220" s="937">
        <f t="shared" si="131"/>
        <v>0.17499999999999999</v>
      </c>
      <c r="O1220" s="898" t="e">
        <f>+#REF!-I1220</f>
        <v>#REF!</v>
      </c>
    </row>
    <row r="1221" spans="1:15" s="47" customFormat="1" ht="13">
      <c r="A1221" s="176">
        <v>39610</v>
      </c>
      <c r="B1221" s="50">
        <v>64322.95</v>
      </c>
      <c r="C1221" s="50">
        <f t="shared" si="132"/>
        <v>65402.34196917808</v>
      </c>
      <c r="D1221" s="49">
        <f t="shared" si="125"/>
        <v>39645</v>
      </c>
      <c r="E1221" s="51">
        <v>35</v>
      </c>
      <c r="F1221" s="52">
        <v>0.17499999999999999</v>
      </c>
      <c r="G1221" s="177" t="s">
        <v>120</v>
      </c>
      <c r="H1221" s="933">
        <f t="shared" si="126"/>
        <v>39610</v>
      </c>
      <c r="I1221" s="934">
        <f t="shared" si="127"/>
        <v>64322.95</v>
      </c>
      <c r="K1221" s="935">
        <f t="shared" si="128"/>
        <v>39645</v>
      </c>
      <c r="L1221" s="920">
        <f t="shared" si="129"/>
        <v>35</v>
      </c>
      <c r="M1221" s="936" t="str">
        <f t="shared" si="130"/>
        <v>HSBC</v>
      </c>
      <c r="N1221" s="937">
        <f t="shared" si="131"/>
        <v>0.17499999999999999</v>
      </c>
      <c r="O1221" s="898" t="e">
        <f>+#REF!-I1221</f>
        <v>#REF!</v>
      </c>
    </row>
    <row r="1222" spans="1:15" s="47" customFormat="1" ht="13">
      <c r="A1222" s="176">
        <v>39610</v>
      </c>
      <c r="B1222" s="50">
        <v>68406.94</v>
      </c>
      <c r="C1222" s="50">
        <f t="shared" si="132"/>
        <v>69554.864678082187</v>
      </c>
      <c r="D1222" s="49">
        <f t="shared" si="125"/>
        <v>39645</v>
      </c>
      <c r="E1222" s="51">
        <v>35</v>
      </c>
      <c r="F1222" s="52">
        <v>0.17499999999999999</v>
      </c>
      <c r="G1222" s="177" t="s">
        <v>120</v>
      </c>
      <c r="H1222" s="933">
        <f t="shared" si="126"/>
        <v>39610</v>
      </c>
      <c r="I1222" s="934">
        <f t="shared" si="127"/>
        <v>68406.94</v>
      </c>
      <c r="K1222" s="935">
        <f t="shared" si="128"/>
        <v>39645</v>
      </c>
      <c r="L1222" s="920">
        <f t="shared" si="129"/>
        <v>35</v>
      </c>
      <c r="M1222" s="936" t="str">
        <f t="shared" si="130"/>
        <v>HSBC</v>
      </c>
      <c r="N1222" s="937">
        <f t="shared" si="131"/>
        <v>0.17499999999999999</v>
      </c>
      <c r="O1222" s="898" t="e">
        <f>+#REF!-I1222</f>
        <v>#REF!</v>
      </c>
    </row>
    <row r="1223" spans="1:15" s="47" customFormat="1" ht="13">
      <c r="A1223" s="176">
        <v>39610</v>
      </c>
      <c r="B1223" s="50">
        <v>49007.96</v>
      </c>
      <c r="C1223" s="50">
        <f t="shared" si="132"/>
        <v>49830.35384931507</v>
      </c>
      <c r="D1223" s="49">
        <f t="shared" si="125"/>
        <v>39645</v>
      </c>
      <c r="E1223" s="51">
        <v>35</v>
      </c>
      <c r="F1223" s="52">
        <v>0.17499999999999999</v>
      </c>
      <c r="G1223" s="177" t="s">
        <v>120</v>
      </c>
      <c r="H1223" s="933">
        <f t="shared" si="126"/>
        <v>39610</v>
      </c>
      <c r="I1223" s="934">
        <f t="shared" si="127"/>
        <v>49007.96</v>
      </c>
      <c r="K1223" s="935">
        <f t="shared" si="128"/>
        <v>39645</v>
      </c>
      <c r="L1223" s="920">
        <f t="shared" si="129"/>
        <v>35</v>
      </c>
      <c r="M1223" s="936" t="str">
        <f t="shared" si="130"/>
        <v>HSBC</v>
      </c>
      <c r="N1223" s="937">
        <f t="shared" si="131"/>
        <v>0.17499999999999999</v>
      </c>
      <c r="O1223" s="898" t="e">
        <f>+#REF!-I1223</f>
        <v>#REF!</v>
      </c>
    </row>
    <row r="1224" spans="1:15" s="47" customFormat="1" ht="13">
      <c r="A1224" s="176">
        <v>39610</v>
      </c>
      <c r="B1224" s="50">
        <v>22461.98</v>
      </c>
      <c r="C1224" s="50">
        <f t="shared" si="132"/>
        <v>22838.910486301371</v>
      </c>
      <c r="D1224" s="49">
        <f t="shared" si="125"/>
        <v>39645</v>
      </c>
      <c r="E1224" s="51">
        <v>35</v>
      </c>
      <c r="F1224" s="52">
        <v>0.17499999999999999</v>
      </c>
      <c r="G1224" s="177" t="s">
        <v>120</v>
      </c>
      <c r="H1224" s="933">
        <f t="shared" si="126"/>
        <v>39610</v>
      </c>
      <c r="I1224" s="934">
        <f t="shared" si="127"/>
        <v>22461.98</v>
      </c>
      <c r="K1224" s="935">
        <f t="shared" si="128"/>
        <v>39645</v>
      </c>
      <c r="L1224" s="920">
        <f t="shared" si="129"/>
        <v>35</v>
      </c>
      <c r="M1224" s="936" t="str">
        <f t="shared" si="130"/>
        <v>HSBC</v>
      </c>
      <c r="N1224" s="937">
        <f t="shared" si="131"/>
        <v>0.17499999999999999</v>
      </c>
      <c r="O1224" s="898" t="e">
        <f>+#REF!-I1224</f>
        <v>#REF!</v>
      </c>
    </row>
    <row r="1225" spans="1:15" s="47" customFormat="1" ht="13">
      <c r="A1225" s="176">
        <v>39618</v>
      </c>
      <c r="B1225" s="50">
        <v>95000</v>
      </c>
      <c r="C1225" s="50">
        <f t="shared" si="132"/>
        <v>96592.876712328769</v>
      </c>
      <c r="D1225" s="49">
        <f t="shared" si="125"/>
        <v>39652</v>
      </c>
      <c r="E1225" s="51">
        <v>34</v>
      </c>
      <c r="F1225" s="52">
        <v>0.18</v>
      </c>
      <c r="G1225" s="177" t="s">
        <v>276</v>
      </c>
      <c r="H1225" s="933">
        <f t="shared" si="126"/>
        <v>39618</v>
      </c>
      <c r="I1225" s="934">
        <f t="shared" si="127"/>
        <v>95000</v>
      </c>
      <c r="K1225" s="935">
        <f t="shared" si="128"/>
        <v>39652</v>
      </c>
      <c r="L1225" s="920">
        <f t="shared" si="129"/>
        <v>34</v>
      </c>
      <c r="M1225" s="936" t="str">
        <f t="shared" si="130"/>
        <v>BBVA</v>
      </c>
      <c r="N1225" s="937">
        <f t="shared" si="131"/>
        <v>0.18</v>
      </c>
      <c r="O1225" s="898" t="e">
        <f>+#REF!-I1225</f>
        <v>#REF!</v>
      </c>
    </row>
    <row r="1226" spans="1:15" s="47" customFormat="1" ht="13">
      <c r="A1226" s="176">
        <v>39623</v>
      </c>
      <c r="B1226" s="50">
        <v>61952.18</v>
      </c>
      <c r="C1226" s="50">
        <f t="shared" si="132"/>
        <v>63036.767480000002</v>
      </c>
      <c r="D1226" s="49">
        <f t="shared" si="125"/>
        <v>39659</v>
      </c>
      <c r="E1226" s="51">
        <v>36</v>
      </c>
      <c r="F1226" s="52">
        <v>0.17749999999999999</v>
      </c>
      <c r="G1226" s="177" t="s">
        <v>276</v>
      </c>
      <c r="H1226" s="933">
        <f t="shared" si="126"/>
        <v>39623</v>
      </c>
      <c r="I1226" s="934">
        <f t="shared" si="127"/>
        <v>61952.18</v>
      </c>
      <c r="K1226" s="935">
        <f t="shared" si="128"/>
        <v>39659</v>
      </c>
      <c r="L1226" s="920">
        <f t="shared" si="129"/>
        <v>36</v>
      </c>
      <c r="M1226" s="936" t="str">
        <f t="shared" si="130"/>
        <v>BBVA</v>
      </c>
      <c r="N1226" s="937">
        <f t="shared" si="131"/>
        <v>0.17749999999999999</v>
      </c>
      <c r="O1226" s="898" t="e">
        <f>+#REF!-I1226</f>
        <v>#REF!</v>
      </c>
    </row>
    <row r="1227" spans="1:15" s="47" customFormat="1" ht="13">
      <c r="A1227" s="176">
        <v>39623</v>
      </c>
      <c r="B1227" s="50">
        <v>60665.99</v>
      </c>
      <c r="C1227" s="50">
        <f t="shared" si="132"/>
        <v>61728.060345479447</v>
      </c>
      <c r="D1227" s="49">
        <f t="shared" si="125"/>
        <v>39659</v>
      </c>
      <c r="E1227" s="51">
        <v>36</v>
      </c>
      <c r="F1227" s="52">
        <v>0.17749999999999999</v>
      </c>
      <c r="G1227" s="177" t="s">
        <v>276</v>
      </c>
      <c r="H1227" s="933">
        <f t="shared" si="126"/>
        <v>39623</v>
      </c>
      <c r="I1227" s="934">
        <f t="shared" si="127"/>
        <v>60665.99</v>
      </c>
      <c r="K1227" s="935">
        <f t="shared" si="128"/>
        <v>39659</v>
      </c>
      <c r="L1227" s="920">
        <f t="shared" si="129"/>
        <v>36</v>
      </c>
      <c r="M1227" s="936" t="str">
        <f t="shared" si="130"/>
        <v>BBVA</v>
      </c>
      <c r="N1227" s="937">
        <f t="shared" si="131"/>
        <v>0.17749999999999999</v>
      </c>
      <c r="O1227" s="898" t="e">
        <f>+#REF!-I1227</f>
        <v>#REF!</v>
      </c>
    </row>
    <row r="1228" spans="1:15" s="47" customFormat="1" ht="13">
      <c r="A1228" s="176">
        <v>39629</v>
      </c>
      <c r="B1228" s="50">
        <v>55809.01</v>
      </c>
      <c r="C1228" s="50">
        <f t="shared" si="132"/>
        <v>56784.903168013698</v>
      </c>
      <c r="D1228" s="49">
        <f t="shared" si="125"/>
        <v>39666</v>
      </c>
      <c r="E1228" s="51">
        <v>37</v>
      </c>
      <c r="F1228" s="52">
        <v>0.17249999999999999</v>
      </c>
      <c r="G1228" s="177" t="s">
        <v>276</v>
      </c>
      <c r="H1228" s="933">
        <f t="shared" si="126"/>
        <v>39629</v>
      </c>
      <c r="I1228" s="934">
        <f t="shared" si="127"/>
        <v>55809.01</v>
      </c>
      <c r="K1228" s="935">
        <f t="shared" si="128"/>
        <v>39666</v>
      </c>
      <c r="L1228" s="920">
        <f t="shared" si="129"/>
        <v>37</v>
      </c>
      <c r="M1228" s="936" t="str">
        <f t="shared" si="130"/>
        <v>BBVA</v>
      </c>
      <c r="N1228" s="937">
        <f t="shared" si="131"/>
        <v>0.17249999999999999</v>
      </c>
      <c r="O1228" s="898" t="e">
        <f>+#REF!-I1228</f>
        <v>#REF!</v>
      </c>
    </row>
    <row r="1229" spans="1:15" s="47" customFormat="1" ht="13">
      <c r="A1229" s="176">
        <v>39629</v>
      </c>
      <c r="B1229" s="50">
        <v>55809.01</v>
      </c>
      <c r="C1229" s="50">
        <f t="shared" si="132"/>
        <v>56784.903168013698</v>
      </c>
      <c r="D1229" s="49">
        <f t="shared" si="125"/>
        <v>39666</v>
      </c>
      <c r="E1229" s="51">
        <v>37</v>
      </c>
      <c r="F1229" s="52">
        <v>0.17249999999999999</v>
      </c>
      <c r="G1229" s="177" t="s">
        <v>276</v>
      </c>
      <c r="H1229" s="933">
        <f t="shared" si="126"/>
        <v>39629</v>
      </c>
      <c r="I1229" s="934">
        <f t="shared" si="127"/>
        <v>55809.01</v>
      </c>
      <c r="K1229" s="935">
        <f t="shared" si="128"/>
        <v>39666</v>
      </c>
      <c r="L1229" s="920">
        <f t="shared" si="129"/>
        <v>37</v>
      </c>
      <c r="M1229" s="936" t="str">
        <f t="shared" si="130"/>
        <v>BBVA</v>
      </c>
      <c r="N1229" s="937">
        <f t="shared" si="131"/>
        <v>0.17249999999999999</v>
      </c>
      <c r="O1229" s="898" t="e">
        <f>+#REF!-I1229</f>
        <v>#REF!</v>
      </c>
    </row>
    <row r="1230" spans="1:15" s="47" customFormat="1" ht="13">
      <c r="A1230" s="176">
        <v>39629</v>
      </c>
      <c r="B1230" s="50">
        <v>15821.97</v>
      </c>
      <c r="C1230" s="50">
        <f t="shared" si="132"/>
        <v>16098.637735684932</v>
      </c>
      <c r="D1230" s="49">
        <f t="shared" si="125"/>
        <v>39666</v>
      </c>
      <c r="E1230" s="51">
        <v>37</v>
      </c>
      <c r="F1230" s="52">
        <v>0.17249999999999999</v>
      </c>
      <c r="G1230" s="177" t="s">
        <v>276</v>
      </c>
      <c r="H1230" s="933">
        <f t="shared" si="126"/>
        <v>39629</v>
      </c>
      <c r="I1230" s="934">
        <f t="shared" si="127"/>
        <v>15821.97</v>
      </c>
      <c r="K1230" s="935">
        <f t="shared" si="128"/>
        <v>39666</v>
      </c>
      <c r="L1230" s="920">
        <f t="shared" si="129"/>
        <v>37</v>
      </c>
      <c r="M1230" s="936" t="str">
        <f t="shared" si="130"/>
        <v>BBVA</v>
      </c>
      <c r="N1230" s="937">
        <f t="shared" si="131"/>
        <v>0.17249999999999999</v>
      </c>
      <c r="O1230" s="898" t="e">
        <f>+#REF!-I1230</f>
        <v>#REF!</v>
      </c>
    </row>
    <row r="1231" spans="1:15" s="47" customFormat="1" ht="13">
      <c r="A1231" s="176">
        <v>39629</v>
      </c>
      <c r="B1231" s="50">
        <v>83305.009999999995</v>
      </c>
      <c r="C1231" s="50">
        <f t="shared" si="132"/>
        <v>84761.706510479446</v>
      </c>
      <c r="D1231" s="49">
        <f t="shared" si="125"/>
        <v>39666</v>
      </c>
      <c r="E1231" s="51">
        <v>37</v>
      </c>
      <c r="F1231" s="52">
        <v>0.17249999999999999</v>
      </c>
      <c r="G1231" s="177" t="s">
        <v>276</v>
      </c>
      <c r="H1231" s="933">
        <f t="shared" si="126"/>
        <v>39629</v>
      </c>
      <c r="I1231" s="934">
        <f t="shared" si="127"/>
        <v>83305.009999999995</v>
      </c>
      <c r="K1231" s="935">
        <f t="shared" si="128"/>
        <v>39666</v>
      </c>
      <c r="L1231" s="920">
        <f t="shared" si="129"/>
        <v>37</v>
      </c>
      <c r="M1231" s="936" t="str">
        <f t="shared" si="130"/>
        <v>BBVA</v>
      </c>
      <c r="N1231" s="937">
        <f t="shared" si="131"/>
        <v>0.17249999999999999</v>
      </c>
      <c r="O1231" s="898" t="e">
        <f>+#REF!-I1231</f>
        <v>#REF!</v>
      </c>
    </row>
    <row r="1232" spans="1:15" s="47" customFormat="1" ht="13">
      <c r="A1232" s="176">
        <v>39629</v>
      </c>
      <c r="B1232" s="50">
        <v>48659.58</v>
      </c>
      <c r="C1232" s="50">
        <f t="shared" si="132"/>
        <v>49510.456080410957</v>
      </c>
      <c r="D1232" s="49">
        <f t="shared" ref="D1232:D1263" si="133">A1232+E1232</f>
        <v>39666</v>
      </c>
      <c r="E1232" s="51">
        <v>37</v>
      </c>
      <c r="F1232" s="52">
        <v>0.17249999999999999</v>
      </c>
      <c r="G1232" s="177" t="s">
        <v>276</v>
      </c>
      <c r="H1232" s="933">
        <f t="shared" si="126"/>
        <v>39629</v>
      </c>
      <c r="I1232" s="934">
        <f t="shared" si="127"/>
        <v>48659.58</v>
      </c>
      <c r="K1232" s="935">
        <f t="shared" si="128"/>
        <v>39666</v>
      </c>
      <c r="L1232" s="920">
        <f t="shared" si="129"/>
        <v>37</v>
      </c>
      <c r="M1232" s="936" t="str">
        <f t="shared" si="130"/>
        <v>BBVA</v>
      </c>
      <c r="N1232" s="937">
        <f t="shared" si="131"/>
        <v>0.17249999999999999</v>
      </c>
      <c r="O1232" s="898" t="e">
        <f>+#REF!-I1232</f>
        <v>#REF!</v>
      </c>
    </row>
    <row r="1233" spans="1:15" s="47" customFormat="1" ht="13">
      <c r="A1233" s="176">
        <v>39639</v>
      </c>
      <c r="B1233" s="50">
        <v>58522.58</v>
      </c>
      <c r="C1233" s="50">
        <f t="shared" si="132"/>
        <v>59422.064037808224</v>
      </c>
      <c r="D1233" s="49">
        <f t="shared" si="133"/>
        <v>39673</v>
      </c>
      <c r="E1233" s="51">
        <v>34</v>
      </c>
      <c r="F1233" s="52">
        <v>0.16500000000000001</v>
      </c>
      <c r="G1233" s="177" t="s">
        <v>120</v>
      </c>
      <c r="H1233" s="933">
        <f t="shared" si="126"/>
        <v>39639</v>
      </c>
      <c r="I1233" s="934">
        <f t="shared" si="127"/>
        <v>58522.58</v>
      </c>
      <c r="K1233" s="935">
        <f t="shared" si="128"/>
        <v>39673</v>
      </c>
      <c r="L1233" s="920">
        <f t="shared" si="129"/>
        <v>34</v>
      </c>
      <c r="M1233" s="936" t="str">
        <f t="shared" si="130"/>
        <v>HSBC</v>
      </c>
      <c r="N1233" s="937">
        <f t="shared" si="131"/>
        <v>0.16500000000000001</v>
      </c>
      <c r="O1233" s="898" t="e">
        <f>+#REF!-I1233</f>
        <v>#REF!</v>
      </c>
    </row>
    <row r="1234" spans="1:15" s="47" customFormat="1" ht="13">
      <c r="A1234" s="176">
        <v>39643</v>
      </c>
      <c r="B1234" s="50">
        <v>10000</v>
      </c>
      <c r="C1234" s="50">
        <f t="shared" si="132"/>
        <v>10135.616438356165</v>
      </c>
      <c r="D1234" s="49">
        <f t="shared" si="133"/>
        <v>39673</v>
      </c>
      <c r="E1234" s="51">
        <v>30</v>
      </c>
      <c r="F1234" s="52">
        <v>0.16500000000000001</v>
      </c>
      <c r="G1234" s="177" t="s">
        <v>120</v>
      </c>
      <c r="H1234" s="933">
        <f t="shared" si="126"/>
        <v>39643</v>
      </c>
      <c r="I1234" s="934">
        <f t="shared" si="127"/>
        <v>10000</v>
      </c>
      <c r="K1234" s="935">
        <f t="shared" si="128"/>
        <v>39673</v>
      </c>
      <c r="L1234" s="920">
        <f t="shared" si="129"/>
        <v>30</v>
      </c>
      <c r="M1234" s="936" t="str">
        <f t="shared" si="130"/>
        <v>HSBC</v>
      </c>
      <c r="N1234" s="937">
        <f t="shared" si="131"/>
        <v>0.16500000000000001</v>
      </c>
      <c r="O1234" s="898" t="e">
        <f>+#REF!-I1234</f>
        <v>#REF!</v>
      </c>
    </row>
    <row r="1235" spans="1:15" s="47" customFormat="1" ht="13">
      <c r="A1235" s="176">
        <v>39645</v>
      </c>
      <c r="B1235" s="50">
        <v>21752.28</v>
      </c>
      <c r="C1235" s="50">
        <f t="shared" si="132"/>
        <v>22051.746320547943</v>
      </c>
      <c r="D1235" s="49">
        <f t="shared" si="133"/>
        <v>39675</v>
      </c>
      <c r="E1235" s="51">
        <v>30</v>
      </c>
      <c r="F1235" s="52">
        <v>0.16750000000000001</v>
      </c>
      <c r="G1235" s="177" t="s">
        <v>120</v>
      </c>
      <c r="H1235" s="933">
        <f t="shared" si="126"/>
        <v>39645</v>
      </c>
      <c r="I1235" s="934">
        <f t="shared" si="127"/>
        <v>21752.28</v>
      </c>
      <c r="K1235" s="935">
        <f t="shared" si="128"/>
        <v>39675</v>
      </c>
      <c r="L1235" s="920">
        <f t="shared" si="129"/>
        <v>30</v>
      </c>
      <c r="M1235" s="936" t="str">
        <f t="shared" si="130"/>
        <v>HSBC</v>
      </c>
      <c r="N1235" s="937">
        <f t="shared" si="131"/>
        <v>0.16750000000000001</v>
      </c>
      <c r="O1235" s="898" t="e">
        <f>+#REF!-I1235</f>
        <v>#REF!</v>
      </c>
    </row>
    <row r="1236" spans="1:15" s="47" customFormat="1" ht="13">
      <c r="A1236" s="176">
        <v>39645</v>
      </c>
      <c r="B1236" s="50">
        <v>65402.34</v>
      </c>
      <c r="C1236" s="50">
        <f t="shared" si="132"/>
        <v>66302.742078082185</v>
      </c>
      <c r="D1236" s="49">
        <f t="shared" si="133"/>
        <v>39675</v>
      </c>
      <c r="E1236" s="51">
        <v>30</v>
      </c>
      <c r="F1236" s="52">
        <v>0.16750000000000001</v>
      </c>
      <c r="G1236" s="177" t="s">
        <v>120</v>
      </c>
      <c r="H1236" s="933">
        <f t="shared" si="126"/>
        <v>39645</v>
      </c>
      <c r="I1236" s="934">
        <f t="shared" si="127"/>
        <v>65402.34</v>
      </c>
      <c r="K1236" s="935">
        <f t="shared" si="128"/>
        <v>39675</v>
      </c>
      <c r="L1236" s="920">
        <f t="shared" si="129"/>
        <v>30</v>
      </c>
      <c r="M1236" s="936" t="str">
        <f t="shared" si="130"/>
        <v>HSBC</v>
      </c>
      <c r="N1236" s="937">
        <f t="shared" si="131"/>
        <v>0.16750000000000001</v>
      </c>
      <c r="O1236" s="898" t="e">
        <f>+#REF!-I1236</f>
        <v>#REF!</v>
      </c>
    </row>
    <row r="1237" spans="1:15" s="47" customFormat="1" ht="13">
      <c r="A1237" s="176">
        <v>39645</v>
      </c>
      <c r="B1237" s="50">
        <v>69554.86</v>
      </c>
      <c r="C1237" s="50">
        <f t="shared" si="132"/>
        <v>70512.430332876713</v>
      </c>
      <c r="D1237" s="49">
        <f t="shared" si="133"/>
        <v>39675</v>
      </c>
      <c r="E1237" s="51">
        <v>30</v>
      </c>
      <c r="F1237" s="52">
        <v>0.16750000000000001</v>
      </c>
      <c r="G1237" s="177" t="s">
        <v>120</v>
      </c>
      <c r="H1237" s="933">
        <f t="shared" si="126"/>
        <v>39645</v>
      </c>
      <c r="I1237" s="934">
        <f t="shared" si="127"/>
        <v>69554.86</v>
      </c>
      <c r="K1237" s="935">
        <f t="shared" si="128"/>
        <v>39675</v>
      </c>
      <c r="L1237" s="920">
        <f t="shared" si="129"/>
        <v>30</v>
      </c>
      <c r="M1237" s="936" t="str">
        <f t="shared" si="130"/>
        <v>HSBC</v>
      </c>
      <c r="N1237" s="937">
        <f t="shared" si="131"/>
        <v>0.16750000000000001</v>
      </c>
      <c r="O1237" s="898" t="e">
        <f>+#REF!-I1237</f>
        <v>#REF!</v>
      </c>
    </row>
    <row r="1238" spans="1:15" s="47" customFormat="1" ht="13">
      <c r="A1238" s="176">
        <v>39645</v>
      </c>
      <c r="B1238" s="50">
        <v>49830.35</v>
      </c>
      <c r="C1238" s="50">
        <f t="shared" si="132"/>
        <v>50516.370571917803</v>
      </c>
      <c r="D1238" s="49">
        <f t="shared" si="133"/>
        <v>39675</v>
      </c>
      <c r="E1238" s="51">
        <v>30</v>
      </c>
      <c r="F1238" s="52">
        <v>0.16750000000000001</v>
      </c>
      <c r="G1238" s="177" t="s">
        <v>120</v>
      </c>
      <c r="H1238" s="933">
        <f t="shared" si="126"/>
        <v>39645</v>
      </c>
      <c r="I1238" s="934">
        <f t="shared" si="127"/>
        <v>49830.35</v>
      </c>
      <c r="K1238" s="935">
        <f t="shared" si="128"/>
        <v>39675</v>
      </c>
      <c r="L1238" s="920">
        <f t="shared" si="129"/>
        <v>30</v>
      </c>
      <c r="M1238" s="936" t="str">
        <f t="shared" si="130"/>
        <v>HSBC</v>
      </c>
      <c r="N1238" s="937">
        <f t="shared" si="131"/>
        <v>0.16750000000000001</v>
      </c>
      <c r="O1238" s="898" t="e">
        <f>+#REF!-I1238</f>
        <v>#REF!</v>
      </c>
    </row>
    <row r="1239" spans="1:15" s="47" customFormat="1" ht="13">
      <c r="A1239" s="176">
        <v>39645</v>
      </c>
      <c r="B1239" s="50">
        <v>22838.91</v>
      </c>
      <c r="C1239" s="50">
        <f t="shared" si="132"/>
        <v>23153.336089726028</v>
      </c>
      <c r="D1239" s="49">
        <f t="shared" si="133"/>
        <v>39675</v>
      </c>
      <c r="E1239" s="51">
        <v>30</v>
      </c>
      <c r="F1239" s="52">
        <v>0.16750000000000001</v>
      </c>
      <c r="G1239" s="177" t="s">
        <v>120</v>
      </c>
      <c r="H1239" s="933">
        <f t="shared" si="126"/>
        <v>39645</v>
      </c>
      <c r="I1239" s="934">
        <f t="shared" si="127"/>
        <v>22838.91</v>
      </c>
      <c r="K1239" s="935">
        <f t="shared" si="128"/>
        <v>39675</v>
      </c>
      <c r="L1239" s="920">
        <f t="shared" si="129"/>
        <v>30</v>
      </c>
      <c r="M1239" s="936" t="str">
        <f t="shared" si="130"/>
        <v>HSBC</v>
      </c>
      <c r="N1239" s="937">
        <f t="shared" si="131"/>
        <v>0.16750000000000001</v>
      </c>
      <c r="O1239" s="898" t="e">
        <f>+#REF!-I1239</f>
        <v>#REF!</v>
      </c>
    </row>
    <row r="1240" spans="1:15" s="47" customFormat="1" ht="13">
      <c r="A1240" s="176">
        <v>39652</v>
      </c>
      <c r="B1240" s="50">
        <v>96592.88</v>
      </c>
      <c r="C1240" s="50">
        <f t="shared" si="132"/>
        <v>98125.795773698628</v>
      </c>
      <c r="D1240" s="49">
        <f t="shared" si="133"/>
        <v>39687</v>
      </c>
      <c r="E1240" s="51">
        <v>35</v>
      </c>
      <c r="F1240" s="52">
        <v>0.16550000000000001</v>
      </c>
      <c r="G1240" s="177" t="s">
        <v>276</v>
      </c>
      <c r="H1240" s="933">
        <f t="shared" si="126"/>
        <v>39652</v>
      </c>
      <c r="I1240" s="934">
        <f t="shared" si="127"/>
        <v>96592.88</v>
      </c>
      <c r="K1240" s="935">
        <f t="shared" si="128"/>
        <v>39687</v>
      </c>
      <c r="L1240" s="920">
        <f t="shared" si="129"/>
        <v>35</v>
      </c>
      <c r="M1240" s="936" t="str">
        <f t="shared" si="130"/>
        <v>BBVA</v>
      </c>
      <c r="N1240" s="937">
        <f t="shared" si="131"/>
        <v>0.16550000000000001</v>
      </c>
      <c r="O1240" s="898" t="e">
        <f>+#REF!-I1240</f>
        <v>#REF!</v>
      </c>
    </row>
    <row r="1241" spans="1:15" s="47" customFormat="1" ht="13">
      <c r="A1241" s="176">
        <v>39659</v>
      </c>
      <c r="B1241" s="50">
        <v>63036.77</v>
      </c>
      <c r="C1241" s="50">
        <f t="shared" si="132"/>
        <v>63917.557745205479</v>
      </c>
      <c r="D1241" s="49">
        <f t="shared" si="133"/>
        <v>39693</v>
      </c>
      <c r="E1241" s="51">
        <v>34</v>
      </c>
      <c r="F1241" s="52">
        <v>0.15</v>
      </c>
      <c r="G1241" s="177" t="s">
        <v>276</v>
      </c>
      <c r="H1241" s="933">
        <f t="shared" si="126"/>
        <v>39659</v>
      </c>
      <c r="I1241" s="934">
        <f t="shared" si="127"/>
        <v>63036.77</v>
      </c>
      <c r="K1241" s="935">
        <f t="shared" si="128"/>
        <v>39693</v>
      </c>
      <c r="L1241" s="920">
        <f t="shared" si="129"/>
        <v>34</v>
      </c>
      <c r="M1241" s="936" t="str">
        <f t="shared" si="130"/>
        <v>BBVA</v>
      </c>
      <c r="N1241" s="937">
        <f t="shared" si="131"/>
        <v>0.15</v>
      </c>
      <c r="O1241" s="898" t="e">
        <f>+#REF!-I1241</f>
        <v>#REF!</v>
      </c>
    </row>
    <row r="1242" spans="1:15" s="47" customFormat="1" ht="13">
      <c r="A1242" s="176">
        <v>39659</v>
      </c>
      <c r="B1242" s="50">
        <v>61728.06</v>
      </c>
      <c r="C1242" s="50">
        <f t="shared" si="132"/>
        <v>62590.561660273968</v>
      </c>
      <c r="D1242" s="49">
        <f t="shared" si="133"/>
        <v>39693</v>
      </c>
      <c r="E1242" s="51">
        <v>34</v>
      </c>
      <c r="F1242" s="52">
        <v>0.15</v>
      </c>
      <c r="G1242" s="177" t="s">
        <v>276</v>
      </c>
      <c r="H1242" s="933">
        <f t="shared" ref="H1242:H1247" si="134">+A1242</f>
        <v>39659</v>
      </c>
      <c r="I1242" s="934">
        <f t="shared" ref="I1242:I1247" si="135">+B1242</f>
        <v>61728.06</v>
      </c>
      <c r="K1242" s="935">
        <f t="shared" ref="K1242:K1247" si="136">+D1242</f>
        <v>39693</v>
      </c>
      <c r="L1242" s="920">
        <f t="shared" ref="L1242:L1247" si="137">+E1242</f>
        <v>34</v>
      </c>
      <c r="M1242" s="936" t="str">
        <f t="shared" ref="M1242:M1247" si="138">+G1242</f>
        <v>BBVA</v>
      </c>
      <c r="N1242" s="937">
        <f t="shared" ref="N1242:N1247" si="139">+F1242</f>
        <v>0.15</v>
      </c>
      <c r="O1242" s="898" t="e">
        <f>+#REF!-I1242</f>
        <v>#REF!</v>
      </c>
    </row>
    <row r="1243" spans="1:15" s="47" customFormat="1" ht="13">
      <c r="A1243" s="176">
        <v>39666</v>
      </c>
      <c r="B1243" s="50">
        <v>56784.9</v>
      </c>
      <c r="C1243" s="50">
        <f t="shared" si="132"/>
        <v>57547.217835616437</v>
      </c>
      <c r="D1243" s="49">
        <f t="shared" si="133"/>
        <v>39701</v>
      </c>
      <c r="E1243" s="51">
        <v>35</v>
      </c>
      <c r="F1243" s="52">
        <v>0.14000000000000001</v>
      </c>
      <c r="G1243" s="177" t="s">
        <v>276</v>
      </c>
      <c r="H1243" s="933">
        <f t="shared" si="134"/>
        <v>39666</v>
      </c>
      <c r="I1243" s="934">
        <f t="shared" si="135"/>
        <v>56784.9</v>
      </c>
      <c r="K1243" s="935">
        <f t="shared" si="136"/>
        <v>39701</v>
      </c>
      <c r="L1243" s="920">
        <f t="shared" si="137"/>
        <v>35</v>
      </c>
      <c r="M1243" s="936" t="str">
        <f t="shared" si="138"/>
        <v>BBVA</v>
      </c>
      <c r="N1243" s="937">
        <f t="shared" si="139"/>
        <v>0.14000000000000001</v>
      </c>
      <c r="O1243" s="898" t="e">
        <f>+#REF!-I1243</f>
        <v>#REF!</v>
      </c>
    </row>
    <row r="1244" spans="1:15" s="47" customFormat="1" ht="13">
      <c r="A1244" s="176">
        <v>39666</v>
      </c>
      <c r="B1244" s="50">
        <v>56784.9</v>
      </c>
      <c r="C1244" s="50">
        <f t="shared" si="132"/>
        <v>57547.217835616437</v>
      </c>
      <c r="D1244" s="49">
        <f t="shared" si="133"/>
        <v>39701</v>
      </c>
      <c r="E1244" s="51">
        <v>35</v>
      </c>
      <c r="F1244" s="52">
        <v>0.14000000000000001</v>
      </c>
      <c r="G1244" s="177" t="s">
        <v>276</v>
      </c>
      <c r="H1244" s="933">
        <f t="shared" si="134"/>
        <v>39666</v>
      </c>
      <c r="I1244" s="934">
        <f t="shared" si="135"/>
        <v>56784.9</v>
      </c>
      <c r="K1244" s="935">
        <f t="shared" si="136"/>
        <v>39701</v>
      </c>
      <c r="L1244" s="920">
        <f t="shared" si="137"/>
        <v>35</v>
      </c>
      <c r="M1244" s="936" t="str">
        <f t="shared" si="138"/>
        <v>BBVA</v>
      </c>
      <c r="N1244" s="937">
        <f t="shared" si="139"/>
        <v>0.14000000000000001</v>
      </c>
      <c r="O1244" s="898" t="e">
        <f>+#REF!-I1244</f>
        <v>#REF!</v>
      </c>
    </row>
    <row r="1245" spans="1:15" s="47" customFormat="1" ht="13">
      <c r="A1245" s="176">
        <v>39666</v>
      </c>
      <c r="B1245" s="50">
        <v>16098.64</v>
      </c>
      <c r="C1245" s="50">
        <f t="shared" si="132"/>
        <v>16314.758728767123</v>
      </c>
      <c r="D1245" s="49">
        <f t="shared" si="133"/>
        <v>39701</v>
      </c>
      <c r="E1245" s="51">
        <v>35</v>
      </c>
      <c r="F1245" s="52">
        <v>0.14000000000000001</v>
      </c>
      <c r="G1245" s="177" t="s">
        <v>276</v>
      </c>
      <c r="H1245" s="933">
        <f t="shared" si="134"/>
        <v>39666</v>
      </c>
      <c r="I1245" s="934">
        <f t="shared" si="135"/>
        <v>16098.64</v>
      </c>
      <c r="K1245" s="935">
        <f t="shared" si="136"/>
        <v>39701</v>
      </c>
      <c r="L1245" s="920">
        <f t="shared" si="137"/>
        <v>35</v>
      </c>
      <c r="M1245" s="936" t="str">
        <f t="shared" si="138"/>
        <v>BBVA</v>
      </c>
      <c r="N1245" s="937">
        <f t="shared" si="139"/>
        <v>0.14000000000000001</v>
      </c>
      <c r="O1245" s="898" t="e">
        <f>+#REF!-I1245</f>
        <v>#REF!</v>
      </c>
    </row>
    <row r="1246" spans="1:15" s="47" customFormat="1" ht="13">
      <c r="A1246" s="176">
        <v>39666</v>
      </c>
      <c r="B1246" s="50">
        <v>84761.71</v>
      </c>
      <c r="C1246" s="50">
        <f t="shared" ref="C1246:C1272" si="140">B1246+(B1246*F1246/365*E1246)*1</f>
        <v>85899.606928767127</v>
      </c>
      <c r="D1246" s="49">
        <f t="shared" si="133"/>
        <v>39701</v>
      </c>
      <c r="E1246" s="51">
        <v>35</v>
      </c>
      <c r="F1246" s="52">
        <v>0.14000000000000001</v>
      </c>
      <c r="G1246" s="177" t="s">
        <v>276</v>
      </c>
      <c r="H1246" s="933">
        <f t="shared" si="134"/>
        <v>39666</v>
      </c>
      <c r="I1246" s="934">
        <f t="shared" si="135"/>
        <v>84761.71</v>
      </c>
      <c r="K1246" s="935">
        <f t="shared" si="136"/>
        <v>39701</v>
      </c>
      <c r="L1246" s="920">
        <f t="shared" si="137"/>
        <v>35</v>
      </c>
      <c r="M1246" s="936" t="str">
        <f t="shared" si="138"/>
        <v>BBVA</v>
      </c>
      <c r="N1246" s="937">
        <f t="shared" si="139"/>
        <v>0.14000000000000001</v>
      </c>
      <c r="O1246" s="898" t="e">
        <f>+#REF!-I1246</f>
        <v>#REF!</v>
      </c>
    </row>
    <row r="1247" spans="1:15" s="47" customFormat="1" ht="13">
      <c r="A1247" s="176">
        <v>39666</v>
      </c>
      <c r="B1247" s="50">
        <v>49510.46</v>
      </c>
      <c r="C1247" s="50">
        <f t="shared" si="140"/>
        <v>50175.120969863012</v>
      </c>
      <c r="D1247" s="49">
        <f t="shared" si="133"/>
        <v>39701</v>
      </c>
      <c r="E1247" s="51">
        <v>35</v>
      </c>
      <c r="F1247" s="52">
        <v>0.14000000000000001</v>
      </c>
      <c r="G1247" s="177" t="s">
        <v>276</v>
      </c>
      <c r="H1247" s="933">
        <f t="shared" si="134"/>
        <v>39666</v>
      </c>
      <c r="I1247" s="934">
        <f t="shared" si="135"/>
        <v>49510.46</v>
      </c>
      <c r="K1247" s="935">
        <f t="shared" si="136"/>
        <v>39701</v>
      </c>
      <c r="L1247" s="920">
        <f t="shared" si="137"/>
        <v>35</v>
      </c>
      <c r="M1247" s="936" t="str">
        <f t="shared" si="138"/>
        <v>BBVA</v>
      </c>
      <c r="N1247" s="937">
        <f t="shared" si="139"/>
        <v>0.14000000000000001</v>
      </c>
      <c r="O1247" s="898" t="e">
        <f>+#REF!-I1247</f>
        <v>#REF!</v>
      </c>
    </row>
    <row r="1248" spans="1:15" s="47" customFormat="1" ht="13">
      <c r="A1248" s="176">
        <v>39673</v>
      </c>
      <c r="B1248" s="50">
        <v>59422.06</v>
      </c>
      <c r="C1248" s="50">
        <f t="shared" si="140"/>
        <v>60191.290776712325</v>
      </c>
      <c r="D1248" s="49">
        <f t="shared" si="133"/>
        <v>39708</v>
      </c>
      <c r="E1248" s="51">
        <v>35</v>
      </c>
      <c r="F1248" s="52">
        <v>0.13500000000000001</v>
      </c>
      <c r="G1248" s="177" t="s">
        <v>120</v>
      </c>
      <c r="H1248" s="933"/>
      <c r="I1248" s="934"/>
      <c r="K1248" s="935"/>
      <c r="L1248" s="920"/>
      <c r="M1248" s="936"/>
      <c r="N1248" s="937"/>
      <c r="O1248" s="898"/>
    </row>
    <row r="1249" spans="1:15" s="47" customFormat="1" ht="13">
      <c r="A1249" s="176">
        <v>39673</v>
      </c>
      <c r="B1249" s="50">
        <v>10135.620000000001</v>
      </c>
      <c r="C1249" s="50">
        <f t="shared" si="140"/>
        <v>10266.827683561645</v>
      </c>
      <c r="D1249" s="49">
        <f t="shared" si="133"/>
        <v>39708</v>
      </c>
      <c r="E1249" s="51">
        <v>35</v>
      </c>
      <c r="F1249" s="52">
        <v>0.13500000000000001</v>
      </c>
      <c r="G1249" s="177" t="s">
        <v>120</v>
      </c>
      <c r="H1249" s="933"/>
      <c r="I1249" s="934"/>
      <c r="K1249" s="935"/>
      <c r="L1249" s="920"/>
      <c r="M1249" s="936"/>
      <c r="N1249" s="937"/>
      <c r="O1249" s="898"/>
    </row>
    <row r="1250" spans="1:15" s="47" customFormat="1" ht="13">
      <c r="A1250" s="176">
        <v>39675</v>
      </c>
      <c r="B1250" s="50">
        <v>22051.75</v>
      </c>
      <c r="C1250" s="50">
        <f t="shared" si="140"/>
        <v>22320.902181506848</v>
      </c>
      <c r="D1250" s="49">
        <f t="shared" si="133"/>
        <v>39708</v>
      </c>
      <c r="E1250" s="51">
        <v>33</v>
      </c>
      <c r="F1250" s="52">
        <v>0.13500000000000001</v>
      </c>
      <c r="G1250" s="177" t="s">
        <v>120</v>
      </c>
      <c r="H1250" s="933" t="e">
        <f>+' PF ANTERIORES U$S'!#REF!</f>
        <v>#REF!</v>
      </c>
      <c r="I1250" s="934" t="e">
        <f>+' PF ANTERIORES U$S'!#REF!</f>
        <v>#REF!</v>
      </c>
      <c r="K1250" s="935" t="e">
        <f>+' PF ANTERIORES U$S'!#REF!</f>
        <v>#REF!</v>
      </c>
      <c r="L1250" s="920" t="e">
        <f>+' PF ANTERIORES U$S'!#REF!</f>
        <v>#REF!</v>
      </c>
      <c r="M1250" s="936" t="e">
        <f>+' PF ANTERIORES U$S'!#REF!</f>
        <v>#REF!</v>
      </c>
      <c r="N1250" s="937" t="e">
        <f>+' PF ANTERIORES U$S'!#REF!</f>
        <v>#REF!</v>
      </c>
      <c r="O1250" s="898" t="e">
        <f>+#REF!-I1250</f>
        <v>#REF!</v>
      </c>
    </row>
    <row r="1251" spans="1:15" s="47" customFormat="1" ht="13">
      <c r="A1251" s="176">
        <v>39675</v>
      </c>
      <c r="B1251" s="50">
        <v>66302.740000000005</v>
      </c>
      <c r="C1251" s="50">
        <f t="shared" si="140"/>
        <v>67111.996730684943</v>
      </c>
      <c r="D1251" s="49">
        <f t="shared" si="133"/>
        <v>39708</v>
      </c>
      <c r="E1251" s="51">
        <v>33</v>
      </c>
      <c r="F1251" s="52">
        <v>0.13500000000000001</v>
      </c>
      <c r="G1251" s="177" t="s">
        <v>120</v>
      </c>
      <c r="H1251" s="933" t="e">
        <f>+' PF ANTERIORES U$S'!#REF!</f>
        <v>#REF!</v>
      </c>
      <c r="I1251" s="934" t="e">
        <f>+' PF ANTERIORES U$S'!#REF!</f>
        <v>#REF!</v>
      </c>
      <c r="K1251" s="935" t="e">
        <f>+' PF ANTERIORES U$S'!#REF!</f>
        <v>#REF!</v>
      </c>
      <c r="L1251" s="920" t="e">
        <f>+' PF ANTERIORES U$S'!#REF!</f>
        <v>#REF!</v>
      </c>
      <c r="M1251" s="936" t="e">
        <f>+' PF ANTERIORES U$S'!#REF!</f>
        <v>#REF!</v>
      </c>
      <c r="N1251" s="937" t="e">
        <f>+' PF ANTERIORES U$S'!#REF!</f>
        <v>#REF!</v>
      </c>
      <c r="O1251" s="898" t="e">
        <f>+#REF!-I1251</f>
        <v>#REF!</v>
      </c>
    </row>
    <row r="1252" spans="1:15" s="47" customFormat="1" ht="13">
      <c r="A1252" s="176">
        <v>39675</v>
      </c>
      <c r="B1252" s="50">
        <v>70512.429999999993</v>
      </c>
      <c r="C1252" s="50">
        <f t="shared" si="140"/>
        <v>71373.068015479439</v>
      </c>
      <c r="D1252" s="49">
        <f t="shared" si="133"/>
        <v>39708</v>
      </c>
      <c r="E1252" s="51">
        <v>33</v>
      </c>
      <c r="F1252" s="52">
        <v>0.13500000000000001</v>
      </c>
      <c r="G1252" s="177" t="s">
        <v>120</v>
      </c>
      <c r="H1252" s="933" t="e">
        <f>+' PF ANTERIORES U$S'!#REF!</f>
        <v>#REF!</v>
      </c>
      <c r="I1252" s="934" t="e">
        <f>+' PF ANTERIORES U$S'!#REF!</f>
        <v>#REF!</v>
      </c>
      <c r="K1252" s="935" t="e">
        <f>+' PF ANTERIORES U$S'!#REF!</f>
        <v>#REF!</v>
      </c>
      <c r="L1252" s="920" t="e">
        <f>+' PF ANTERIORES U$S'!#REF!</f>
        <v>#REF!</v>
      </c>
      <c r="M1252" s="936" t="e">
        <f>+' PF ANTERIORES U$S'!#REF!</f>
        <v>#REF!</v>
      </c>
      <c r="N1252" s="937" t="e">
        <f>+' PF ANTERIORES U$S'!#REF!</f>
        <v>#REF!</v>
      </c>
      <c r="O1252" s="898" t="e">
        <f>+#REF!-I1252</f>
        <v>#REF!</v>
      </c>
    </row>
    <row r="1253" spans="1:15" s="47" customFormat="1" ht="13">
      <c r="A1253" s="176">
        <v>39675</v>
      </c>
      <c r="B1253" s="50">
        <v>50516.37</v>
      </c>
      <c r="C1253" s="50">
        <f t="shared" si="140"/>
        <v>51132.946516027398</v>
      </c>
      <c r="D1253" s="49">
        <f t="shared" si="133"/>
        <v>39708</v>
      </c>
      <c r="E1253" s="51">
        <v>33</v>
      </c>
      <c r="F1253" s="52">
        <v>0.13500000000000001</v>
      </c>
      <c r="G1253" s="177" t="s">
        <v>120</v>
      </c>
      <c r="H1253" s="933" t="e">
        <f>+' PF ANTERIORES U$S'!#REF!</f>
        <v>#REF!</v>
      </c>
      <c r="I1253" s="934" t="e">
        <f>+' PF ANTERIORES U$S'!#REF!</f>
        <v>#REF!</v>
      </c>
      <c r="K1253" s="935" t="e">
        <f>+' PF ANTERIORES U$S'!#REF!</f>
        <v>#REF!</v>
      </c>
      <c r="L1253" s="920" t="e">
        <f>+' PF ANTERIORES U$S'!#REF!</f>
        <v>#REF!</v>
      </c>
      <c r="M1253" s="936" t="e">
        <f>+' PF ANTERIORES U$S'!#REF!</f>
        <v>#REF!</v>
      </c>
      <c r="N1253" s="937" t="e">
        <f>+' PF ANTERIORES U$S'!#REF!</f>
        <v>#REF!</v>
      </c>
      <c r="O1253" s="898" t="e">
        <f>+#REF!-I1253</f>
        <v>#REF!</v>
      </c>
    </row>
    <row r="1254" spans="1:15" s="47" customFormat="1" ht="13">
      <c r="A1254" s="176">
        <v>39675</v>
      </c>
      <c r="B1254" s="50">
        <v>23153.34</v>
      </c>
      <c r="C1254" s="50">
        <f t="shared" si="140"/>
        <v>23435.93761561644</v>
      </c>
      <c r="D1254" s="49">
        <f t="shared" si="133"/>
        <v>39708</v>
      </c>
      <c r="E1254" s="51">
        <v>33</v>
      </c>
      <c r="F1254" s="52">
        <v>0.13500000000000001</v>
      </c>
      <c r="G1254" s="177" t="s">
        <v>120</v>
      </c>
      <c r="H1254" s="933" t="e">
        <f>+' PF ANTERIORES U$S'!#REF!</f>
        <v>#REF!</v>
      </c>
      <c r="I1254" s="934" t="e">
        <f>+' PF ANTERIORES U$S'!#REF!</f>
        <v>#REF!</v>
      </c>
      <c r="K1254" s="935" t="e">
        <f>+' PF ANTERIORES U$S'!#REF!</f>
        <v>#REF!</v>
      </c>
      <c r="L1254" s="920" t="e">
        <f>+' PF ANTERIORES U$S'!#REF!</f>
        <v>#REF!</v>
      </c>
      <c r="M1254" s="936" t="e">
        <f>+' PF ANTERIORES U$S'!#REF!</f>
        <v>#REF!</v>
      </c>
      <c r="N1254" s="937" t="e">
        <f>+' PF ANTERIORES U$S'!#REF!</f>
        <v>#REF!</v>
      </c>
      <c r="O1254" s="898" t="e">
        <f>+#REF!-I1254</f>
        <v>#REF!</v>
      </c>
    </row>
    <row r="1255" spans="1:15" s="47" customFormat="1" ht="13">
      <c r="A1255" s="176">
        <v>39687</v>
      </c>
      <c r="B1255" s="50">
        <v>98125.8</v>
      </c>
      <c r="C1255" s="50">
        <f t="shared" si="140"/>
        <v>99405.467967123288</v>
      </c>
      <c r="D1255" s="49">
        <f t="shared" si="133"/>
        <v>39722</v>
      </c>
      <c r="E1255" s="51">
        <v>35</v>
      </c>
      <c r="F1255" s="52">
        <v>0.13600000000000001</v>
      </c>
      <c r="G1255" s="177" t="s">
        <v>276</v>
      </c>
      <c r="H1255" s="933">
        <f t="shared" ref="H1255:H1269" si="141">+A1255</f>
        <v>39687</v>
      </c>
      <c r="I1255" s="934">
        <f t="shared" ref="I1255:I1269" si="142">+B1255</f>
        <v>98125.8</v>
      </c>
      <c r="K1255" s="935">
        <f t="shared" ref="K1255:K1269" si="143">+D1255</f>
        <v>39722</v>
      </c>
      <c r="L1255" s="920">
        <f t="shared" ref="L1255:L1269" si="144">+E1255</f>
        <v>35</v>
      </c>
      <c r="M1255" s="936" t="str">
        <f t="shared" ref="M1255:M1269" si="145">+G1255</f>
        <v>BBVA</v>
      </c>
      <c r="N1255" s="937">
        <f t="shared" ref="N1255:N1269" si="146">+F1255</f>
        <v>0.13600000000000001</v>
      </c>
      <c r="O1255" s="898" t="e">
        <f>+#REF!-I1255</f>
        <v>#REF!</v>
      </c>
    </row>
    <row r="1256" spans="1:15" s="47" customFormat="1" ht="13">
      <c r="A1256" s="176">
        <v>39694</v>
      </c>
      <c r="B1256" s="50">
        <v>63917.56</v>
      </c>
      <c r="C1256" s="50">
        <f t="shared" si="140"/>
        <v>64744.985947945206</v>
      </c>
      <c r="D1256" s="49">
        <f t="shared" si="133"/>
        <v>39729</v>
      </c>
      <c r="E1256" s="51">
        <v>35</v>
      </c>
      <c r="F1256" s="52">
        <v>0.13500000000000001</v>
      </c>
      <c r="G1256" s="177" t="s">
        <v>120</v>
      </c>
      <c r="H1256" s="933">
        <f t="shared" si="141"/>
        <v>39694</v>
      </c>
      <c r="I1256" s="934">
        <f t="shared" si="142"/>
        <v>63917.56</v>
      </c>
      <c r="K1256" s="935">
        <f t="shared" si="143"/>
        <v>39729</v>
      </c>
      <c r="L1256" s="920">
        <f t="shared" si="144"/>
        <v>35</v>
      </c>
      <c r="M1256" s="936" t="str">
        <f t="shared" si="145"/>
        <v>HSBC</v>
      </c>
      <c r="N1256" s="937">
        <f t="shared" si="146"/>
        <v>0.13500000000000001</v>
      </c>
      <c r="O1256" s="898" t="e">
        <f>+#REF!-I1256</f>
        <v>#REF!</v>
      </c>
    </row>
    <row r="1257" spans="1:15" s="47" customFormat="1" ht="13">
      <c r="A1257" s="176">
        <v>39694</v>
      </c>
      <c r="B1257" s="50">
        <v>62590.559999999998</v>
      </c>
      <c r="C1257" s="50">
        <f t="shared" si="140"/>
        <v>63400.807660273967</v>
      </c>
      <c r="D1257" s="49">
        <f t="shared" si="133"/>
        <v>39729</v>
      </c>
      <c r="E1257" s="51">
        <v>35</v>
      </c>
      <c r="F1257" s="52">
        <v>0.13500000000000001</v>
      </c>
      <c r="G1257" s="177" t="s">
        <v>120</v>
      </c>
      <c r="H1257" s="933">
        <f t="shared" si="141"/>
        <v>39694</v>
      </c>
      <c r="I1257" s="934">
        <f t="shared" si="142"/>
        <v>62590.559999999998</v>
      </c>
      <c r="K1257" s="935">
        <f t="shared" si="143"/>
        <v>39729</v>
      </c>
      <c r="L1257" s="920">
        <f t="shared" si="144"/>
        <v>35</v>
      </c>
      <c r="M1257" s="936" t="str">
        <f t="shared" si="145"/>
        <v>HSBC</v>
      </c>
      <c r="N1257" s="937">
        <f t="shared" si="146"/>
        <v>0.13500000000000001</v>
      </c>
      <c r="O1257" s="898" t="e">
        <f>+#REF!-I1257</f>
        <v>#REF!</v>
      </c>
    </row>
    <row r="1258" spans="1:15" s="47" customFormat="1" ht="13">
      <c r="A1258" s="176">
        <v>39701</v>
      </c>
      <c r="B1258" s="50">
        <v>57547.22</v>
      </c>
      <c r="C1258" s="50">
        <f t="shared" si="140"/>
        <v>58319.771720547949</v>
      </c>
      <c r="D1258" s="49">
        <f t="shared" si="133"/>
        <v>39736</v>
      </c>
      <c r="E1258" s="51">
        <v>35</v>
      </c>
      <c r="F1258" s="52">
        <v>0.14000000000000001</v>
      </c>
      <c r="G1258" s="177" t="s">
        <v>276</v>
      </c>
      <c r="H1258" s="933">
        <f t="shared" si="141"/>
        <v>39701</v>
      </c>
      <c r="I1258" s="934">
        <f t="shared" si="142"/>
        <v>57547.22</v>
      </c>
      <c r="K1258" s="935">
        <f t="shared" si="143"/>
        <v>39736</v>
      </c>
      <c r="L1258" s="920">
        <f t="shared" si="144"/>
        <v>35</v>
      </c>
      <c r="M1258" s="936" t="str">
        <f t="shared" si="145"/>
        <v>BBVA</v>
      </c>
      <c r="N1258" s="937">
        <f t="shared" si="146"/>
        <v>0.14000000000000001</v>
      </c>
      <c r="O1258" s="898" t="e">
        <f>+#REF!-I1258</f>
        <v>#REF!</v>
      </c>
    </row>
    <row r="1259" spans="1:15" s="47" customFormat="1" ht="13">
      <c r="A1259" s="176">
        <v>39701</v>
      </c>
      <c r="B1259" s="50">
        <v>57492.77</v>
      </c>
      <c r="C1259" s="50">
        <f t="shared" si="140"/>
        <v>58264.5907479452</v>
      </c>
      <c r="D1259" s="49">
        <f t="shared" si="133"/>
        <v>39736</v>
      </c>
      <c r="E1259" s="51">
        <v>35</v>
      </c>
      <c r="F1259" s="52">
        <v>0.14000000000000001</v>
      </c>
      <c r="G1259" s="177" t="s">
        <v>276</v>
      </c>
      <c r="H1259" s="933">
        <f t="shared" si="141"/>
        <v>39701</v>
      </c>
      <c r="I1259" s="934">
        <f t="shared" si="142"/>
        <v>57492.77</v>
      </c>
      <c r="K1259" s="935">
        <f t="shared" si="143"/>
        <v>39736</v>
      </c>
      <c r="L1259" s="920">
        <f t="shared" si="144"/>
        <v>35</v>
      </c>
      <c r="M1259" s="936" t="str">
        <f t="shared" si="145"/>
        <v>BBVA</v>
      </c>
      <c r="N1259" s="937">
        <f t="shared" si="146"/>
        <v>0.14000000000000001</v>
      </c>
      <c r="O1259" s="898" t="e">
        <f>+#REF!-I1259</f>
        <v>#REF!</v>
      </c>
    </row>
    <row r="1260" spans="1:15" s="47" customFormat="1" ht="13">
      <c r="A1260" s="176">
        <v>39701</v>
      </c>
      <c r="B1260" s="50">
        <v>16314.76</v>
      </c>
      <c r="C1260" s="50">
        <f t="shared" si="140"/>
        <v>16533.780065753424</v>
      </c>
      <c r="D1260" s="49">
        <f t="shared" si="133"/>
        <v>39736</v>
      </c>
      <c r="E1260" s="51">
        <v>35</v>
      </c>
      <c r="F1260" s="52">
        <v>0.14000000000000001</v>
      </c>
      <c r="G1260" s="177" t="s">
        <v>276</v>
      </c>
      <c r="H1260" s="933">
        <f t="shared" si="141"/>
        <v>39701</v>
      </c>
      <c r="I1260" s="934">
        <f t="shared" si="142"/>
        <v>16314.76</v>
      </c>
      <c r="K1260" s="935">
        <f t="shared" si="143"/>
        <v>39736</v>
      </c>
      <c r="L1260" s="920">
        <f t="shared" si="144"/>
        <v>35</v>
      </c>
      <c r="M1260" s="936" t="str">
        <f t="shared" si="145"/>
        <v>BBVA</v>
      </c>
      <c r="N1260" s="937">
        <f t="shared" si="146"/>
        <v>0.14000000000000001</v>
      </c>
      <c r="O1260" s="898" t="e">
        <f>+#REF!-I1260</f>
        <v>#REF!</v>
      </c>
    </row>
    <row r="1261" spans="1:15" s="47" customFormat="1" ht="13">
      <c r="A1261" s="176">
        <v>39701</v>
      </c>
      <c r="B1261" s="50">
        <v>85899.61</v>
      </c>
      <c r="C1261" s="50">
        <f t="shared" si="140"/>
        <v>87052.782846575341</v>
      </c>
      <c r="D1261" s="49">
        <f t="shared" si="133"/>
        <v>39736</v>
      </c>
      <c r="E1261" s="51">
        <v>35</v>
      </c>
      <c r="F1261" s="52">
        <v>0.14000000000000001</v>
      </c>
      <c r="G1261" s="177" t="s">
        <v>276</v>
      </c>
      <c r="H1261" s="933">
        <f t="shared" si="141"/>
        <v>39701</v>
      </c>
      <c r="I1261" s="934">
        <f t="shared" si="142"/>
        <v>85899.61</v>
      </c>
      <c r="K1261" s="935">
        <f t="shared" si="143"/>
        <v>39736</v>
      </c>
      <c r="L1261" s="920">
        <f t="shared" si="144"/>
        <v>35</v>
      </c>
      <c r="M1261" s="936" t="str">
        <f t="shared" si="145"/>
        <v>BBVA</v>
      </c>
      <c r="N1261" s="937">
        <f t="shared" si="146"/>
        <v>0.14000000000000001</v>
      </c>
      <c r="O1261" s="898" t="e">
        <f>+#REF!-I1261</f>
        <v>#REF!</v>
      </c>
    </row>
    <row r="1262" spans="1:15" s="47" customFormat="1" ht="13">
      <c r="A1262" s="176">
        <v>39701</v>
      </c>
      <c r="B1262" s="50">
        <v>50175.12</v>
      </c>
      <c r="C1262" s="50">
        <f t="shared" si="140"/>
        <v>50848.703802739728</v>
      </c>
      <c r="D1262" s="49">
        <f t="shared" si="133"/>
        <v>39736</v>
      </c>
      <c r="E1262" s="51">
        <v>35</v>
      </c>
      <c r="F1262" s="52">
        <v>0.14000000000000001</v>
      </c>
      <c r="G1262" s="177" t="s">
        <v>276</v>
      </c>
      <c r="H1262" s="933">
        <f t="shared" si="141"/>
        <v>39701</v>
      </c>
      <c r="I1262" s="934">
        <f t="shared" si="142"/>
        <v>50175.12</v>
      </c>
      <c r="K1262" s="935">
        <f t="shared" si="143"/>
        <v>39736</v>
      </c>
      <c r="L1262" s="920">
        <f t="shared" si="144"/>
        <v>35</v>
      </c>
      <c r="M1262" s="936" t="str">
        <f t="shared" si="145"/>
        <v>BBVA</v>
      </c>
      <c r="N1262" s="937">
        <f t="shared" si="146"/>
        <v>0.14000000000000001</v>
      </c>
      <c r="O1262" s="898" t="e">
        <f>+#REF!-I1262</f>
        <v>#REF!</v>
      </c>
    </row>
    <row r="1263" spans="1:15" s="47" customFormat="1" ht="13">
      <c r="A1263" s="176">
        <v>39708</v>
      </c>
      <c r="B1263" s="50">
        <v>22320.902181506848</v>
      </c>
      <c r="C1263" s="50">
        <f t="shared" si="140"/>
        <v>22575.91084478598</v>
      </c>
      <c r="D1263" s="49">
        <f t="shared" si="133"/>
        <v>39738</v>
      </c>
      <c r="E1263" s="51">
        <v>30</v>
      </c>
      <c r="F1263" s="52">
        <v>0.13900000000000001</v>
      </c>
      <c r="G1263" s="177" t="s">
        <v>276</v>
      </c>
      <c r="H1263" s="933">
        <f t="shared" si="141"/>
        <v>39708</v>
      </c>
      <c r="I1263" s="934">
        <f t="shared" si="142"/>
        <v>22320.902181506848</v>
      </c>
      <c r="K1263" s="935">
        <f t="shared" si="143"/>
        <v>39738</v>
      </c>
      <c r="L1263" s="920">
        <f t="shared" si="144"/>
        <v>30</v>
      </c>
      <c r="M1263" s="936" t="str">
        <f t="shared" si="145"/>
        <v>BBVA</v>
      </c>
      <c r="N1263" s="937">
        <f t="shared" si="146"/>
        <v>0.13900000000000001</v>
      </c>
      <c r="O1263" s="898" t="e">
        <f>+#REF!-I1263</f>
        <v>#REF!</v>
      </c>
    </row>
    <row r="1264" spans="1:15" s="47" customFormat="1" ht="13">
      <c r="A1264" s="176">
        <v>39708</v>
      </c>
      <c r="B1264" s="50">
        <v>67111.996730684943</v>
      </c>
      <c r="C1264" s="50">
        <f t="shared" si="140"/>
        <v>67878.728309772501</v>
      </c>
      <c r="D1264" s="49">
        <f t="shared" ref="D1264:D1272" si="147">A1264+E1264</f>
        <v>39738</v>
      </c>
      <c r="E1264" s="51">
        <v>30</v>
      </c>
      <c r="F1264" s="52">
        <v>0.13900000000000001</v>
      </c>
      <c r="G1264" s="177" t="s">
        <v>276</v>
      </c>
      <c r="H1264" s="933">
        <f t="shared" si="141"/>
        <v>39708</v>
      </c>
      <c r="I1264" s="934">
        <f t="shared" si="142"/>
        <v>67111.996730684943</v>
      </c>
      <c r="K1264" s="935">
        <f t="shared" si="143"/>
        <v>39738</v>
      </c>
      <c r="L1264" s="920">
        <f t="shared" si="144"/>
        <v>30</v>
      </c>
      <c r="M1264" s="936" t="str">
        <f t="shared" si="145"/>
        <v>BBVA</v>
      </c>
      <c r="N1264" s="937">
        <f t="shared" si="146"/>
        <v>0.13900000000000001</v>
      </c>
      <c r="O1264" s="898" t="e">
        <f>+#REF!-I1264</f>
        <v>#REF!</v>
      </c>
    </row>
    <row r="1265" spans="1:15" s="47" customFormat="1" ht="13">
      <c r="A1265" s="176">
        <v>39708</v>
      </c>
      <c r="B1265" s="50">
        <v>71373.068015479439</v>
      </c>
      <c r="C1265" s="50">
        <f t="shared" si="140"/>
        <v>72188.480874724773</v>
      </c>
      <c r="D1265" s="49">
        <f t="shared" si="147"/>
        <v>39738</v>
      </c>
      <c r="E1265" s="51">
        <v>30</v>
      </c>
      <c r="F1265" s="52">
        <v>0.13900000000000001</v>
      </c>
      <c r="G1265" s="177" t="s">
        <v>276</v>
      </c>
      <c r="H1265" s="933">
        <f t="shared" si="141"/>
        <v>39708</v>
      </c>
      <c r="I1265" s="934">
        <f t="shared" si="142"/>
        <v>71373.068015479439</v>
      </c>
      <c r="K1265" s="935">
        <f t="shared" si="143"/>
        <v>39738</v>
      </c>
      <c r="L1265" s="920">
        <f t="shared" si="144"/>
        <v>30</v>
      </c>
      <c r="M1265" s="936" t="str">
        <f t="shared" si="145"/>
        <v>BBVA</v>
      </c>
      <c r="N1265" s="937">
        <f t="shared" si="146"/>
        <v>0.13900000000000001</v>
      </c>
      <c r="O1265" s="898" t="e">
        <f>+#REF!-I1265</f>
        <v>#REF!</v>
      </c>
    </row>
    <row r="1266" spans="1:15" s="47" customFormat="1" ht="13">
      <c r="A1266" s="176">
        <v>39708</v>
      </c>
      <c r="B1266" s="50">
        <v>51132.946516027398</v>
      </c>
      <c r="C1266" s="50">
        <f t="shared" si="140"/>
        <v>51717.122918689958</v>
      </c>
      <c r="D1266" s="49">
        <f t="shared" si="147"/>
        <v>39738</v>
      </c>
      <c r="E1266" s="51">
        <v>30</v>
      </c>
      <c r="F1266" s="52">
        <v>0.13900000000000001</v>
      </c>
      <c r="G1266" s="177" t="s">
        <v>276</v>
      </c>
      <c r="H1266" s="933">
        <f t="shared" si="141"/>
        <v>39708</v>
      </c>
      <c r="I1266" s="934">
        <f t="shared" si="142"/>
        <v>51132.946516027398</v>
      </c>
      <c r="K1266" s="935">
        <f t="shared" si="143"/>
        <v>39738</v>
      </c>
      <c r="L1266" s="920">
        <f t="shared" si="144"/>
        <v>30</v>
      </c>
      <c r="M1266" s="936" t="str">
        <f t="shared" si="145"/>
        <v>BBVA</v>
      </c>
      <c r="N1266" s="937">
        <f t="shared" si="146"/>
        <v>0.13900000000000001</v>
      </c>
      <c r="O1266" s="898" t="e">
        <f>+#REF!-I1266</f>
        <v>#REF!</v>
      </c>
    </row>
    <row r="1267" spans="1:15" s="47" customFormat="1" ht="13">
      <c r="A1267" s="176">
        <v>39708</v>
      </c>
      <c r="B1267" s="50">
        <v>23435.93761561644</v>
      </c>
      <c r="C1267" s="50">
        <f t="shared" si="140"/>
        <v>23703.685176868825</v>
      </c>
      <c r="D1267" s="49">
        <f t="shared" si="147"/>
        <v>39738</v>
      </c>
      <c r="E1267" s="51">
        <v>30</v>
      </c>
      <c r="F1267" s="52">
        <v>0.13900000000000001</v>
      </c>
      <c r="G1267" s="177" t="s">
        <v>276</v>
      </c>
      <c r="H1267" s="933">
        <f t="shared" si="141"/>
        <v>39708</v>
      </c>
      <c r="I1267" s="934">
        <f t="shared" si="142"/>
        <v>23435.93761561644</v>
      </c>
      <c r="K1267" s="935">
        <f t="shared" si="143"/>
        <v>39738</v>
      </c>
      <c r="L1267" s="920">
        <f t="shared" si="144"/>
        <v>30</v>
      </c>
      <c r="M1267" s="936" t="str">
        <f t="shared" si="145"/>
        <v>BBVA</v>
      </c>
      <c r="N1267" s="937">
        <f t="shared" si="146"/>
        <v>0.13900000000000001</v>
      </c>
      <c r="O1267" s="898" t="e">
        <f>+#REF!-I1267</f>
        <v>#REF!</v>
      </c>
    </row>
    <row r="1268" spans="1:15" s="47" customFormat="1" ht="13">
      <c r="A1268" s="176">
        <v>39708</v>
      </c>
      <c r="B1268" s="50">
        <v>60191.290776712325</v>
      </c>
      <c r="C1268" s="50">
        <f t="shared" si="140"/>
        <v>60878.955660380518</v>
      </c>
      <c r="D1268" s="49">
        <f t="shared" si="147"/>
        <v>39738</v>
      </c>
      <c r="E1268" s="51">
        <v>30</v>
      </c>
      <c r="F1268" s="52">
        <v>0.13900000000000001</v>
      </c>
      <c r="G1268" s="177" t="s">
        <v>276</v>
      </c>
      <c r="H1268" s="933">
        <f t="shared" si="141"/>
        <v>39708</v>
      </c>
      <c r="I1268" s="934">
        <f t="shared" si="142"/>
        <v>60191.290776712325</v>
      </c>
      <c r="K1268" s="935">
        <f t="shared" si="143"/>
        <v>39738</v>
      </c>
      <c r="L1268" s="920">
        <f t="shared" si="144"/>
        <v>30</v>
      </c>
      <c r="M1268" s="936" t="str">
        <f t="shared" si="145"/>
        <v>BBVA</v>
      </c>
      <c r="N1268" s="937">
        <f t="shared" si="146"/>
        <v>0.13900000000000001</v>
      </c>
      <c r="O1268" s="898" t="e">
        <f>+#REF!-I1268</f>
        <v>#REF!</v>
      </c>
    </row>
    <row r="1269" spans="1:15" s="47" customFormat="1" ht="13">
      <c r="A1269" s="176">
        <v>39708</v>
      </c>
      <c r="B1269" s="50">
        <v>10266.827683561645</v>
      </c>
      <c r="C1269" s="50">
        <f t="shared" si="140"/>
        <v>10384.122673809459</v>
      </c>
      <c r="D1269" s="49">
        <f t="shared" si="147"/>
        <v>39738</v>
      </c>
      <c r="E1269" s="51">
        <v>30</v>
      </c>
      <c r="F1269" s="52">
        <v>0.13900000000000001</v>
      </c>
      <c r="G1269" s="177" t="s">
        <v>276</v>
      </c>
      <c r="H1269" s="933">
        <f t="shared" si="141"/>
        <v>39708</v>
      </c>
      <c r="I1269" s="934">
        <f t="shared" si="142"/>
        <v>10266.827683561645</v>
      </c>
      <c r="K1269" s="935">
        <f t="shared" si="143"/>
        <v>39738</v>
      </c>
      <c r="L1269" s="920">
        <f t="shared" si="144"/>
        <v>30</v>
      </c>
      <c r="M1269" s="936" t="str">
        <f t="shared" si="145"/>
        <v>BBVA</v>
      </c>
      <c r="N1269" s="937">
        <f t="shared" si="146"/>
        <v>0.13900000000000001</v>
      </c>
      <c r="O1269" s="898" t="e">
        <f>+#REF!-I1269</f>
        <v>#REF!</v>
      </c>
    </row>
    <row r="1270" spans="1:15" ht="13">
      <c r="A1270" s="176">
        <v>39776</v>
      </c>
      <c r="B1270" s="50">
        <v>150000</v>
      </c>
      <c r="C1270" s="50">
        <f t="shared" si="140"/>
        <v>152958.90410958903</v>
      </c>
      <c r="D1270" s="49">
        <f t="shared" si="147"/>
        <v>39806</v>
      </c>
      <c r="E1270" s="51">
        <v>30</v>
      </c>
      <c r="F1270" s="52">
        <v>0.24</v>
      </c>
      <c r="G1270" s="177" t="s">
        <v>276</v>
      </c>
      <c r="H1270" s="21"/>
      <c r="I1270" s="21"/>
    </row>
    <row r="1271" spans="1:15" ht="13">
      <c r="A1271" s="176">
        <v>39776</v>
      </c>
      <c r="B1271" s="50">
        <v>150000</v>
      </c>
      <c r="C1271" s="50">
        <f t="shared" si="140"/>
        <v>152958.90410958903</v>
      </c>
      <c r="D1271" s="49">
        <f t="shared" si="147"/>
        <v>39806</v>
      </c>
      <c r="E1271" s="51">
        <v>30</v>
      </c>
      <c r="F1271" s="52">
        <v>0.24</v>
      </c>
      <c r="G1271" s="177" t="s">
        <v>276</v>
      </c>
      <c r="H1271" s="21"/>
      <c r="I1271" s="21"/>
    </row>
    <row r="1272" spans="1:15" ht="13">
      <c r="A1272" s="176">
        <v>39776</v>
      </c>
      <c r="B1272" s="50">
        <v>152200</v>
      </c>
      <c r="C1272" s="50">
        <f t="shared" si="140"/>
        <v>155202.30136986301</v>
      </c>
      <c r="D1272" s="49">
        <f t="shared" si="147"/>
        <v>39806</v>
      </c>
      <c r="E1272" s="51">
        <v>30</v>
      </c>
      <c r="F1272" s="52">
        <v>0.24</v>
      </c>
      <c r="G1272" s="177" t="s">
        <v>276</v>
      </c>
      <c r="H1272" s="21"/>
      <c r="I1272" s="21"/>
    </row>
    <row r="1273" spans="1:15" s="47" customFormat="1" ht="13">
      <c r="A1273" s="176"/>
      <c r="B1273" s="50">
        <f>SUM(B1151:B1272)</f>
        <v>6829434.301903558</v>
      </c>
      <c r="C1273" s="50">
        <f>SUM(C1151:C1272)</f>
        <v>6913079.4188623438</v>
      </c>
      <c r="D1273" s="49"/>
      <c r="E1273" s="51"/>
      <c r="F1273" s="52"/>
      <c r="G1273" s="177"/>
      <c r="H1273" s="933"/>
      <c r="I1273" s="934"/>
      <c r="K1273" s="935"/>
      <c r="L1273" s="920"/>
      <c r="M1273" s="936"/>
      <c r="N1273" s="937"/>
      <c r="O1273" s="898"/>
    </row>
    <row r="1274" spans="1:15" s="47" customFormat="1" ht="13">
      <c r="A1274" s="176"/>
      <c r="B1274" s="50"/>
      <c r="C1274" s="50">
        <f>+C1273-B1273</f>
        <v>83645.116958785802</v>
      </c>
      <c r="D1274" s="49"/>
      <c r="E1274" s="51"/>
      <c r="F1274" s="52"/>
      <c r="G1274" s="177"/>
      <c r="H1274" s="933" t="e">
        <f>+' PF ANTERIORES U$S'!#REF!</f>
        <v>#REF!</v>
      </c>
      <c r="I1274" s="934" t="e">
        <f>+' PF ANTERIORES U$S'!#REF!</f>
        <v>#REF!</v>
      </c>
      <c r="K1274" s="935" t="e">
        <f>+' PF ANTERIORES U$S'!#REF!</f>
        <v>#REF!</v>
      </c>
      <c r="L1274" s="920" t="e">
        <f>+' PF ANTERIORES U$S'!#REF!</f>
        <v>#REF!</v>
      </c>
      <c r="M1274" s="936" t="e">
        <f>+' PF ANTERIORES U$S'!#REF!</f>
        <v>#REF!</v>
      </c>
      <c r="N1274" s="937" t="e">
        <f>+' PF ANTERIORES U$S'!#REF!</f>
        <v>#REF!</v>
      </c>
      <c r="O1274" s="898" t="e">
        <f>+#REF!-I1274</f>
        <v>#REF!</v>
      </c>
    </row>
    <row r="1275" spans="1:15" ht="13">
      <c r="A1275" s="176">
        <v>39806</v>
      </c>
      <c r="B1275" s="50">
        <v>152958.90410958903</v>
      </c>
      <c r="C1275" s="50">
        <f t="shared" ref="C1275:C1290" si="148">B1275+(B1275*F1275/365*E1275)*1</f>
        <v>156222.37661850252</v>
      </c>
      <c r="D1275" s="49">
        <f t="shared" ref="D1275:D1290" si="149">A1275+E1275</f>
        <v>39841</v>
      </c>
      <c r="E1275" s="51">
        <v>35</v>
      </c>
      <c r="F1275" s="52">
        <v>0.2225</v>
      </c>
      <c r="G1275" s="177" t="s">
        <v>276</v>
      </c>
      <c r="H1275" s="21"/>
      <c r="I1275" s="21"/>
    </row>
    <row r="1276" spans="1:15" ht="13">
      <c r="A1276" s="176">
        <v>39806</v>
      </c>
      <c r="B1276" s="50">
        <v>152958.90410958903</v>
      </c>
      <c r="C1276" s="50">
        <f t="shared" si="148"/>
        <v>156222.37661850252</v>
      </c>
      <c r="D1276" s="49">
        <f t="shared" si="149"/>
        <v>39841</v>
      </c>
      <c r="E1276" s="51">
        <v>35</v>
      </c>
      <c r="F1276" s="52">
        <v>0.2225</v>
      </c>
      <c r="G1276" s="177" t="s">
        <v>276</v>
      </c>
      <c r="H1276" s="21"/>
      <c r="I1276" s="21"/>
    </row>
    <row r="1277" spans="1:15" ht="13">
      <c r="A1277" s="176">
        <v>39806</v>
      </c>
      <c r="B1277" s="50">
        <v>155202.30136986301</v>
      </c>
      <c r="C1277" s="50">
        <f t="shared" si="148"/>
        <v>158513.63814224055</v>
      </c>
      <c r="D1277" s="49">
        <f t="shared" si="149"/>
        <v>39841</v>
      </c>
      <c r="E1277" s="51">
        <v>35</v>
      </c>
      <c r="F1277" s="52">
        <v>0.2225</v>
      </c>
      <c r="G1277" s="177" t="s">
        <v>276</v>
      </c>
      <c r="H1277" s="21"/>
      <c r="I1277" s="21"/>
    </row>
    <row r="1278" spans="1:15" ht="13">
      <c r="A1278" s="176">
        <v>39797</v>
      </c>
      <c r="B1278" s="50">
        <v>225000</v>
      </c>
      <c r="C1278" s="50">
        <f t="shared" si="148"/>
        <v>228976.02739726027</v>
      </c>
      <c r="D1278" s="49">
        <f t="shared" si="149"/>
        <v>39827</v>
      </c>
      <c r="E1278" s="51">
        <v>30</v>
      </c>
      <c r="F1278" s="52">
        <v>0.215</v>
      </c>
      <c r="G1278" s="177" t="s">
        <v>120</v>
      </c>
      <c r="H1278" s="21"/>
      <c r="I1278" s="21"/>
    </row>
    <row r="1279" spans="1:15" ht="13">
      <c r="A1279" s="176">
        <v>39797</v>
      </c>
      <c r="B1279" s="50">
        <v>225000</v>
      </c>
      <c r="C1279" s="50">
        <f t="shared" si="148"/>
        <v>228976.02739726027</v>
      </c>
      <c r="D1279" s="49">
        <f t="shared" si="149"/>
        <v>39827</v>
      </c>
      <c r="E1279" s="51">
        <v>30</v>
      </c>
      <c r="F1279" s="52">
        <v>0.215</v>
      </c>
      <c r="G1279" s="177" t="s">
        <v>120</v>
      </c>
      <c r="H1279" s="21"/>
      <c r="I1279" s="21"/>
    </row>
    <row r="1280" spans="1:15" ht="13">
      <c r="A1280" s="176">
        <v>39827</v>
      </c>
      <c r="B1280" s="50">
        <v>228976.03</v>
      </c>
      <c r="C1280" s="50">
        <f t="shared" si="148"/>
        <v>233367.35112328766</v>
      </c>
      <c r="D1280" s="49">
        <f t="shared" si="149"/>
        <v>39862</v>
      </c>
      <c r="E1280" s="51">
        <v>35</v>
      </c>
      <c r="F1280" s="52">
        <v>0.2</v>
      </c>
      <c r="G1280" s="177" t="s">
        <v>120</v>
      </c>
      <c r="H1280" s="21"/>
      <c r="I1280" s="21"/>
    </row>
    <row r="1281" spans="1:9" ht="13">
      <c r="A1281" s="176">
        <v>39827</v>
      </c>
      <c r="B1281" s="50">
        <v>228976.03</v>
      </c>
      <c r="C1281" s="50">
        <f t="shared" si="148"/>
        <v>233367.35112328766</v>
      </c>
      <c r="D1281" s="49">
        <f t="shared" si="149"/>
        <v>39862</v>
      </c>
      <c r="E1281" s="51">
        <v>35</v>
      </c>
      <c r="F1281" s="52">
        <v>0.2</v>
      </c>
      <c r="G1281" s="177" t="s">
        <v>120</v>
      </c>
      <c r="H1281" s="21"/>
      <c r="I1281" s="21"/>
    </row>
    <row r="1282" spans="1:9" ht="13">
      <c r="A1282" s="176">
        <v>39841</v>
      </c>
      <c r="B1282" s="50">
        <v>156222.37661850252</v>
      </c>
      <c r="C1282" s="50">
        <f t="shared" si="148"/>
        <v>158148.40591927856</v>
      </c>
      <c r="D1282" s="49">
        <f t="shared" si="149"/>
        <v>39871</v>
      </c>
      <c r="E1282" s="51">
        <v>30</v>
      </c>
      <c r="F1282" s="52">
        <v>0.15</v>
      </c>
      <c r="G1282" s="177" t="s">
        <v>276</v>
      </c>
      <c r="H1282" s="21"/>
      <c r="I1282" s="21"/>
    </row>
    <row r="1283" spans="1:9" ht="13">
      <c r="A1283" s="176">
        <v>39841</v>
      </c>
      <c r="B1283" s="50">
        <v>158513.63814224055</v>
      </c>
      <c r="C1283" s="50">
        <f t="shared" si="148"/>
        <v>160467.91587276134</v>
      </c>
      <c r="D1283" s="49">
        <f t="shared" si="149"/>
        <v>39871</v>
      </c>
      <c r="E1283" s="51">
        <v>30</v>
      </c>
      <c r="F1283" s="52">
        <v>0.15</v>
      </c>
      <c r="G1283" s="177" t="s">
        <v>276</v>
      </c>
      <c r="H1283" s="21">
        <f>SUM(C1283:C1283)</f>
        <v>160467.91587276134</v>
      </c>
      <c r="I1283" s="21"/>
    </row>
    <row r="1284" spans="1:9" ht="13">
      <c r="A1284" s="176">
        <v>39841</v>
      </c>
      <c r="B1284" s="50">
        <v>156222.37661850252</v>
      </c>
      <c r="C1284" s="50">
        <f t="shared" si="148"/>
        <v>158469.41080274124</v>
      </c>
      <c r="D1284" s="49">
        <f t="shared" si="149"/>
        <v>39876</v>
      </c>
      <c r="E1284" s="51">
        <v>35</v>
      </c>
      <c r="F1284" s="52">
        <v>0.15</v>
      </c>
      <c r="G1284" s="177" t="s">
        <v>276</v>
      </c>
      <c r="H1284" s="21">
        <v>160467.91587276134</v>
      </c>
      <c r="I1284" s="21"/>
    </row>
    <row r="1285" spans="1:9" ht="13">
      <c r="A1285" s="176">
        <v>40127</v>
      </c>
      <c r="B1285" s="50">
        <v>100000</v>
      </c>
      <c r="C1285" s="50">
        <f t="shared" si="148"/>
        <v>101109.5890410959</v>
      </c>
      <c r="D1285" s="49">
        <f t="shared" si="149"/>
        <v>40163</v>
      </c>
      <c r="E1285" s="51">
        <v>36</v>
      </c>
      <c r="F1285" s="52">
        <v>0.1125</v>
      </c>
      <c r="G1285" s="177" t="s">
        <v>276</v>
      </c>
      <c r="H1285" s="21">
        <v>158148.40591927856</v>
      </c>
      <c r="I1285" s="21"/>
    </row>
    <row r="1286" spans="1:9" ht="13">
      <c r="A1286" s="176">
        <v>40127</v>
      </c>
      <c r="B1286" s="50">
        <v>100000</v>
      </c>
      <c r="C1286" s="50">
        <f t="shared" si="148"/>
        <v>101109.5890410959</v>
      </c>
      <c r="D1286" s="49">
        <f t="shared" si="149"/>
        <v>40163</v>
      </c>
      <c r="E1286" s="51">
        <v>36</v>
      </c>
      <c r="F1286" s="52">
        <v>0.1125</v>
      </c>
      <c r="G1286" s="177" t="s">
        <v>276</v>
      </c>
      <c r="H1286" s="21">
        <f>SUM(H1285:H1285)</f>
        <v>158148.40591927856</v>
      </c>
      <c r="I1286" s="21"/>
    </row>
    <row r="1287" spans="1:9" ht="13">
      <c r="A1287" s="176">
        <v>40127</v>
      </c>
      <c r="B1287" s="50">
        <v>100000</v>
      </c>
      <c r="C1287" s="50">
        <f t="shared" si="148"/>
        <v>101109.5890410959</v>
      </c>
      <c r="D1287" s="49">
        <f t="shared" si="149"/>
        <v>40163</v>
      </c>
      <c r="E1287" s="51">
        <v>36</v>
      </c>
      <c r="F1287" s="52">
        <v>0.1125</v>
      </c>
      <c r="G1287" s="177" t="s">
        <v>276</v>
      </c>
      <c r="H1287" s="21">
        <v>3.63</v>
      </c>
      <c r="I1287" s="21">
        <v>89300</v>
      </c>
    </row>
    <row r="1288" spans="1:9" ht="13">
      <c r="A1288" s="176">
        <v>40127</v>
      </c>
      <c r="B1288" s="50">
        <v>100000</v>
      </c>
      <c r="C1288" s="50">
        <f t="shared" si="148"/>
        <v>101109.5890410959</v>
      </c>
      <c r="D1288" s="49">
        <f t="shared" si="149"/>
        <v>40163</v>
      </c>
      <c r="E1288" s="51">
        <v>36</v>
      </c>
      <c r="F1288" s="52">
        <v>0.1125</v>
      </c>
      <c r="G1288" s="177" t="s">
        <v>276</v>
      </c>
      <c r="H1288" s="21"/>
      <c r="I1288" s="21"/>
    </row>
    <row r="1289" spans="1:9" ht="13">
      <c r="A1289" s="176">
        <v>40127</v>
      </c>
      <c r="B1289" s="50">
        <v>100000</v>
      </c>
      <c r="C1289" s="50">
        <f t="shared" si="148"/>
        <v>101109.5890410959</v>
      </c>
      <c r="D1289" s="49">
        <f t="shared" si="149"/>
        <v>40163</v>
      </c>
      <c r="E1289" s="51">
        <v>36</v>
      </c>
      <c r="F1289" s="52">
        <v>0.1125</v>
      </c>
      <c r="G1289" s="177" t="s">
        <v>276</v>
      </c>
      <c r="H1289" s="21"/>
      <c r="I1289" s="21"/>
    </row>
    <row r="1290" spans="1:9" ht="13">
      <c r="A1290" s="176">
        <v>40127</v>
      </c>
      <c r="B1290" s="50">
        <v>78500</v>
      </c>
      <c r="C1290" s="50">
        <f t="shared" si="148"/>
        <v>79371.027397260274</v>
      </c>
      <c r="D1290" s="49">
        <f t="shared" si="149"/>
        <v>40163</v>
      </c>
      <c r="E1290" s="51">
        <v>36</v>
      </c>
      <c r="F1290" s="52">
        <v>0.1125</v>
      </c>
      <c r="G1290" s="177" t="s">
        <v>276</v>
      </c>
      <c r="H1290" s="21"/>
      <c r="I1290" s="21"/>
    </row>
    <row r="1291" spans="1:9" ht="13">
      <c r="A1291" s="176"/>
      <c r="B1291" s="50">
        <f>SUM(B1275:B1290)</f>
        <v>2418530.5609682864</v>
      </c>
      <c r="C1291" s="50">
        <f>SUM(C1275:C1290)</f>
        <v>2457649.8536178614</v>
      </c>
      <c r="D1291" s="50">
        <f>+C1291-B1291</f>
        <v>39119.292649575043</v>
      </c>
      <c r="E1291" s="51"/>
      <c r="F1291" s="52"/>
      <c r="G1291" s="177"/>
      <c r="H1291" s="21"/>
      <c r="I1291" s="21"/>
    </row>
    <row r="1292" spans="1:9" ht="13">
      <c r="A1292" s="176">
        <v>40163</v>
      </c>
      <c r="B1292" s="50">
        <v>100000</v>
      </c>
      <c r="C1292" s="50">
        <f t="shared" ref="C1292:C1322" si="150">B1292+(B1292*F1292/365*E1292)*1</f>
        <v>101534.24657534246</v>
      </c>
      <c r="D1292" s="49">
        <f t="shared" ref="D1292:D1322" si="151">A1292+E1292</f>
        <v>40198</v>
      </c>
      <c r="E1292" s="51">
        <v>35</v>
      </c>
      <c r="F1292" s="52">
        <v>0.16</v>
      </c>
      <c r="G1292" s="177" t="s">
        <v>648</v>
      </c>
      <c r="H1292" s="21">
        <v>3.63</v>
      </c>
      <c r="I1292" s="21">
        <v>89300</v>
      </c>
    </row>
    <row r="1293" spans="1:9" ht="13">
      <c r="A1293" s="176">
        <v>40163</v>
      </c>
      <c r="B1293" s="50">
        <v>100000</v>
      </c>
      <c r="C1293" s="50">
        <f t="shared" si="150"/>
        <v>101102.7397260274</v>
      </c>
      <c r="D1293" s="49">
        <f t="shared" si="151"/>
        <v>40198</v>
      </c>
      <c r="E1293" s="51">
        <v>35</v>
      </c>
      <c r="F1293" s="52">
        <v>0.115</v>
      </c>
      <c r="G1293" s="177" t="s">
        <v>649</v>
      </c>
      <c r="H1293" s="21">
        <v>158148.40591927856</v>
      </c>
      <c r="I1293" s="21"/>
    </row>
    <row r="1294" spans="1:9" ht="13">
      <c r="A1294" s="176">
        <v>40163</v>
      </c>
      <c r="B1294" s="50">
        <v>103000</v>
      </c>
      <c r="C1294" s="50">
        <f t="shared" si="150"/>
        <v>104135.82191780822</v>
      </c>
      <c r="D1294" s="49">
        <f t="shared" si="151"/>
        <v>40198</v>
      </c>
      <c r="E1294" s="51">
        <v>35</v>
      </c>
      <c r="F1294" s="52">
        <v>0.115</v>
      </c>
      <c r="G1294" s="177" t="s">
        <v>649</v>
      </c>
      <c r="H1294" s="21">
        <f>SUM(H1293:H1293)</f>
        <v>158148.40591927856</v>
      </c>
      <c r="I1294" s="21"/>
    </row>
    <row r="1295" spans="1:9" ht="13">
      <c r="A1295" s="176">
        <v>40198</v>
      </c>
      <c r="B1295" s="50">
        <v>50000</v>
      </c>
      <c r="C1295" s="50">
        <f t="shared" si="150"/>
        <v>50527.397260273974</v>
      </c>
      <c r="D1295" s="49">
        <f t="shared" si="151"/>
        <v>40233</v>
      </c>
      <c r="E1295" s="51">
        <v>35</v>
      </c>
      <c r="F1295" s="52">
        <v>0.11</v>
      </c>
      <c r="G1295" s="177" t="s">
        <v>650</v>
      </c>
      <c r="H1295" s="21">
        <v>158148.40591927856</v>
      </c>
      <c r="I1295" s="21"/>
    </row>
    <row r="1296" spans="1:9" ht="13">
      <c r="A1296" s="176">
        <v>40163</v>
      </c>
      <c r="B1296" s="50">
        <v>100000</v>
      </c>
      <c r="C1296" s="50">
        <f t="shared" si="150"/>
        <v>102847.94520547945</v>
      </c>
      <c r="D1296" s="49">
        <f t="shared" si="151"/>
        <v>40226</v>
      </c>
      <c r="E1296" s="51">
        <v>63</v>
      </c>
      <c r="F1296" s="52">
        <v>0.16500000000000001</v>
      </c>
      <c r="G1296" s="177" t="s">
        <v>648</v>
      </c>
      <c r="H1296" s="21">
        <v>158148.40591927856</v>
      </c>
      <c r="I1296" s="21"/>
    </row>
    <row r="1297" spans="1:9" ht="13">
      <c r="A1297" s="176">
        <v>40198</v>
      </c>
      <c r="B1297" s="50">
        <v>56000</v>
      </c>
      <c r="C1297" s="50">
        <f t="shared" si="150"/>
        <v>56590.684931506847</v>
      </c>
      <c r="D1297" s="49">
        <f t="shared" si="151"/>
        <v>40233</v>
      </c>
      <c r="E1297" s="51">
        <v>35</v>
      </c>
      <c r="F1297" s="52">
        <v>0.11</v>
      </c>
      <c r="G1297" s="177" t="s">
        <v>650</v>
      </c>
      <c r="H1297" s="21">
        <f>SUM(H1295:H1295)</f>
        <v>158148.40591927856</v>
      </c>
      <c r="I1297" s="21"/>
    </row>
    <row r="1298" spans="1:9" ht="13">
      <c r="A1298" s="176">
        <v>40198</v>
      </c>
      <c r="B1298" s="50">
        <v>50000</v>
      </c>
      <c r="C1298" s="50">
        <f t="shared" si="150"/>
        <v>50527.397260273974</v>
      </c>
      <c r="D1298" s="49">
        <f t="shared" si="151"/>
        <v>40233</v>
      </c>
      <c r="E1298" s="51">
        <v>35</v>
      </c>
      <c r="F1298" s="52">
        <v>0.11</v>
      </c>
      <c r="G1298" s="177" t="s">
        <v>650</v>
      </c>
      <c r="H1298" s="21">
        <v>158148.40591927856</v>
      </c>
      <c r="I1298" s="21"/>
    </row>
    <row r="1299" spans="1:9" ht="13">
      <c r="A1299" s="176">
        <v>40198</v>
      </c>
      <c r="B1299" s="50">
        <v>50000.39</v>
      </c>
      <c r="C1299" s="50">
        <f t="shared" si="150"/>
        <v>50527.791373972599</v>
      </c>
      <c r="D1299" s="49">
        <f t="shared" si="151"/>
        <v>40233</v>
      </c>
      <c r="E1299" s="51">
        <v>35</v>
      </c>
      <c r="F1299" s="52">
        <v>0.11</v>
      </c>
      <c r="G1299" s="177" t="s">
        <v>650</v>
      </c>
      <c r="H1299" s="21">
        <f>SUM(H1298:H1298)</f>
        <v>158148.40591927856</v>
      </c>
      <c r="I1299" s="21"/>
    </row>
    <row r="1300" spans="1:9" ht="13">
      <c r="A1300" s="176">
        <v>40198</v>
      </c>
      <c r="B1300" s="50">
        <v>101534.25</v>
      </c>
      <c r="C1300" s="50">
        <f t="shared" si="150"/>
        <v>102751.27011986301</v>
      </c>
      <c r="D1300" s="49">
        <f t="shared" si="151"/>
        <v>40233</v>
      </c>
      <c r="E1300" s="51">
        <v>35</v>
      </c>
      <c r="F1300" s="52">
        <v>0.125</v>
      </c>
      <c r="G1300" s="177" t="s">
        <v>648</v>
      </c>
      <c r="H1300" s="21">
        <v>3.63</v>
      </c>
      <c r="I1300" s="21">
        <v>89300</v>
      </c>
    </row>
    <row r="1301" spans="1:9" ht="13">
      <c r="A1301" s="176">
        <v>40226</v>
      </c>
      <c r="B1301" s="50">
        <v>50000</v>
      </c>
      <c r="C1301" s="50">
        <f t="shared" si="150"/>
        <v>50493.150684931505</v>
      </c>
      <c r="D1301" s="49">
        <f t="shared" si="151"/>
        <v>40256</v>
      </c>
      <c r="E1301" s="51">
        <v>30</v>
      </c>
      <c r="F1301" s="52">
        <v>0.12</v>
      </c>
      <c r="G1301" s="177" t="s">
        <v>648</v>
      </c>
      <c r="H1301" s="21">
        <v>158148.40591927856</v>
      </c>
      <c r="I1301" s="21"/>
    </row>
    <row r="1302" spans="1:9" ht="13">
      <c r="A1302" s="176">
        <v>40226</v>
      </c>
      <c r="B1302" s="50">
        <v>52847.95</v>
      </c>
      <c r="C1302" s="50">
        <f t="shared" si="150"/>
        <v>53490.812734246574</v>
      </c>
      <c r="D1302" s="49">
        <f t="shared" si="151"/>
        <v>40263</v>
      </c>
      <c r="E1302" s="51">
        <v>37</v>
      </c>
      <c r="F1302" s="52">
        <v>0.12</v>
      </c>
      <c r="G1302" s="177" t="s">
        <v>648</v>
      </c>
      <c r="H1302" s="21">
        <v>158148.40591927856</v>
      </c>
      <c r="I1302" s="21"/>
    </row>
    <row r="1303" spans="1:9" ht="13">
      <c r="A1303" s="176">
        <v>40233</v>
      </c>
      <c r="B1303" s="50">
        <v>51375.5</v>
      </c>
      <c r="C1303" s="50">
        <f t="shared" si="150"/>
        <v>51882.217260273974</v>
      </c>
      <c r="D1303" s="49">
        <f t="shared" si="151"/>
        <v>40263</v>
      </c>
      <c r="E1303" s="51">
        <v>30</v>
      </c>
      <c r="F1303" s="52">
        <v>0.12</v>
      </c>
      <c r="G1303" s="177" t="s">
        <v>648</v>
      </c>
      <c r="H1303" s="21">
        <v>158148.40591927856</v>
      </c>
      <c r="I1303" s="21"/>
    </row>
    <row r="1304" spans="1:9" ht="13">
      <c r="A1304" s="176">
        <v>40233</v>
      </c>
      <c r="B1304" s="50">
        <v>50000</v>
      </c>
      <c r="C1304" s="50">
        <f t="shared" si="150"/>
        <v>50452.054794520547</v>
      </c>
      <c r="D1304" s="49">
        <f t="shared" si="151"/>
        <v>40263</v>
      </c>
      <c r="E1304" s="51">
        <v>30</v>
      </c>
      <c r="F1304" s="52">
        <v>0.11</v>
      </c>
      <c r="G1304" s="177" t="s">
        <v>650</v>
      </c>
      <c r="H1304" s="21">
        <v>158148.40591927856</v>
      </c>
      <c r="I1304" s="21"/>
    </row>
    <row r="1305" spans="1:9" ht="13">
      <c r="A1305" s="176">
        <v>40233</v>
      </c>
      <c r="B1305" s="50">
        <v>50000</v>
      </c>
      <c r="C1305" s="50">
        <f t="shared" si="150"/>
        <v>50452.054794520547</v>
      </c>
      <c r="D1305" s="49">
        <f t="shared" si="151"/>
        <v>40263</v>
      </c>
      <c r="E1305" s="51">
        <v>30</v>
      </c>
      <c r="F1305" s="52">
        <v>0.11</v>
      </c>
      <c r="G1305" s="177" t="s">
        <v>650</v>
      </c>
      <c r="H1305" s="21">
        <f>SUM(H1303:H1303)</f>
        <v>158148.40591927856</v>
      </c>
      <c r="I1305" s="21"/>
    </row>
    <row r="1306" spans="1:9" ht="13">
      <c r="A1306" s="176">
        <v>40233</v>
      </c>
      <c r="B1306" s="50">
        <v>50000</v>
      </c>
      <c r="C1306" s="50">
        <f t="shared" si="150"/>
        <v>50527.397260273974</v>
      </c>
      <c r="D1306" s="49">
        <f t="shared" si="151"/>
        <v>40268</v>
      </c>
      <c r="E1306" s="51">
        <v>35</v>
      </c>
      <c r="F1306" s="52">
        <v>0.11</v>
      </c>
      <c r="G1306" s="177" t="s">
        <v>650</v>
      </c>
      <c r="H1306" s="21">
        <v>158148.40591927856</v>
      </c>
      <c r="I1306" s="21"/>
    </row>
    <row r="1307" spans="1:9" ht="13">
      <c r="A1307" s="176">
        <v>40233</v>
      </c>
      <c r="B1307" s="50">
        <v>58537.07</v>
      </c>
      <c r="C1307" s="50">
        <f t="shared" si="150"/>
        <v>59154.515806849318</v>
      </c>
      <c r="D1307" s="49">
        <f t="shared" si="151"/>
        <v>40268</v>
      </c>
      <c r="E1307" s="51">
        <v>35</v>
      </c>
      <c r="F1307" s="52">
        <v>0.11</v>
      </c>
      <c r="G1307" s="177" t="s">
        <v>650</v>
      </c>
      <c r="H1307" s="21">
        <v>158148.40591927856</v>
      </c>
      <c r="I1307" s="21"/>
    </row>
    <row r="1308" spans="1:9" ht="13">
      <c r="A1308" s="176">
        <v>40233</v>
      </c>
      <c r="B1308" s="50">
        <f>102751.27/2</f>
        <v>51375.635000000002</v>
      </c>
      <c r="C1308" s="50">
        <f t="shared" si="150"/>
        <v>51966.806690410958</v>
      </c>
      <c r="D1308" s="49">
        <f t="shared" si="151"/>
        <v>40268</v>
      </c>
      <c r="E1308" s="51">
        <v>35</v>
      </c>
      <c r="F1308" s="52">
        <v>0.12</v>
      </c>
      <c r="G1308" s="177" t="s">
        <v>648</v>
      </c>
      <c r="H1308" s="21">
        <f>SUM(H1306:H1306)</f>
        <v>158148.40591927856</v>
      </c>
      <c r="I1308" s="21"/>
    </row>
    <row r="1309" spans="1:9" ht="13">
      <c r="A1309" s="176">
        <v>40256</v>
      </c>
      <c r="B1309" s="50">
        <v>50492</v>
      </c>
      <c r="C1309" s="50">
        <f t="shared" si="150"/>
        <v>50994.153315068492</v>
      </c>
      <c r="D1309" s="49">
        <f t="shared" si="151"/>
        <v>40289</v>
      </c>
      <c r="E1309" s="51">
        <v>33</v>
      </c>
      <c r="F1309" s="52">
        <v>0.11</v>
      </c>
      <c r="G1309" s="177" t="s">
        <v>650</v>
      </c>
      <c r="H1309" s="21">
        <v>158148.40591927856</v>
      </c>
      <c r="I1309" s="21"/>
    </row>
    <row r="1310" spans="1:9" ht="13">
      <c r="A1310" s="176">
        <v>40263</v>
      </c>
      <c r="B1310" s="50">
        <v>50452.05</v>
      </c>
      <c r="C1310" s="50">
        <f t="shared" si="150"/>
        <v>50938.601276712332</v>
      </c>
      <c r="D1310" s="49">
        <f t="shared" si="151"/>
        <v>40295</v>
      </c>
      <c r="E1310" s="51">
        <v>32</v>
      </c>
      <c r="F1310" s="52">
        <v>0.11</v>
      </c>
      <c r="G1310" s="177" t="s">
        <v>650</v>
      </c>
      <c r="H1310" s="21">
        <v>158148.40591927856</v>
      </c>
      <c r="I1310" s="21"/>
    </row>
    <row r="1311" spans="1:9" ht="13">
      <c r="A1311" s="176">
        <v>40263</v>
      </c>
      <c r="B1311" s="50">
        <v>50452.05</v>
      </c>
      <c r="C1311" s="50">
        <f t="shared" si="150"/>
        <v>50938.601276712332</v>
      </c>
      <c r="D1311" s="49">
        <f t="shared" si="151"/>
        <v>40295</v>
      </c>
      <c r="E1311" s="51">
        <v>32</v>
      </c>
      <c r="F1311" s="52">
        <v>0.11</v>
      </c>
      <c r="G1311" s="177" t="s">
        <v>650</v>
      </c>
      <c r="H1311" s="21">
        <v>158148.40591927856</v>
      </c>
      <c r="I1311" s="21"/>
    </row>
    <row r="1312" spans="1:9" ht="13">
      <c r="A1312" s="176">
        <v>40263</v>
      </c>
      <c r="B1312" s="50">
        <v>53490.81</v>
      </c>
      <c r="C1312" s="50">
        <f t="shared" si="150"/>
        <v>54119.510205205479</v>
      </c>
      <c r="D1312" s="49">
        <f t="shared" si="151"/>
        <v>40302</v>
      </c>
      <c r="E1312" s="51">
        <v>39</v>
      </c>
      <c r="F1312" s="52">
        <v>0.11</v>
      </c>
      <c r="G1312" s="177" t="s">
        <v>650</v>
      </c>
      <c r="H1312" s="21">
        <v>158148.40591927856</v>
      </c>
      <c r="I1312" s="21"/>
    </row>
    <row r="1313" spans="1:9" ht="13">
      <c r="A1313" s="176">
        <v>40263</v>
      </c>
      <c r="B1313" s="50">
        <v>21509.19</v>
      </c>
      <c r="C1313" s="50">
        <f t="shared" si="150"/>
        <v>21761.996644109589</v>
      </c>
      <c r="D1313" s="49">
        <f t="shared" si="151"/>
        <v>40302</v>
      </c>
      <c r="E1313" s="51">
        <v>39</v>
      </c>
      <c r="F1313" s="52">
        <v>0.11</v>
      </c>
      <c r="G1313" s="177" t="s">
        <v>650</v>
      </c>
      <c r="H1313" s="21">
        <f>SUM(H1312:H1312)</f>
        <v>158148.40591927856</v>
      </c>
      <c r="I1313" s="21"/>
    </row>
    <row r="1314" spans="1:9" ht="13">
      <c r="A1314" s="176">
        <v>40268</v>
      </c>
      <c r="B1314" s="50">
        <v>50527.4</v>
      </c>
      <c r="C1314" s="50">
        <f t="shared" si="150"/>
        <v>51136.497424657537</v>
      </c>
      <c r="D1314" s="49">
        <f t="shared" si="151"/>
        <v>40308</v>
      </c>
      <c r="E1314" s="51">
        <v>40</v>
      </c>
      <c r="F1314" s="52">
        <v>0.11</v>
      </c>
      <c r="G1314" s="177" t="s">
        <v>650</v>
      </c>
      <c r="H1314" s="21">
        <v>3.63</v>
      </c>
      <c r="I1314" s="21">
        <v>89300</v>
      </c>
    </row>
    <row r="1315" spans="1:9" ht="13">
      <c r="A1315" s="176">
        <v>40268</v>
      </c>
      <c r="B1315" s="50">
        <v>59154.52</v>
      </c>
      <c r="C1315" s="50">
        <f t="shared" si="150"/>
        <v>59867.615583561637</v>
      </c>
      <c r="D1315" s="49">
        <f t="shared" si="151"/>
        <v>40308</v>
      </c>
      <c r="E1315" s="51">
        <v>40</v>
      </c>
      <c r="F1315" s="52">
        <v>0.11</v>
      </c>
      <c r="G1315" s="177" t="s">
        <v>650</v>
      </c>
      <c r="H1315" s="21">
        <v>3.63</v>
      </c>
      <c r="I1315" s="21">
        <v>89300</v>
      </c>
    </row>
    <row r="1316" spans="1:9" ht="13">
      <c r="A1316" s="176">
        <v>40296</v>
      </c>
      <c r="B1316" s="50">
        <v>101000</v>
      </c>
      <c r="C1316" s="50">
        <f t="shared" si="150"/>
        <v>101244.89171919771</v>
      </c>
      <c r="D1316" s="49">
        <f t="shared" si="151"/>
        <v>40305</v>
      </c>
      <c r="E1316" s="51">
        <v>9</v>
      </c>
      <c r="F1316" s="52">
        <v>9.8333858643741751E-2</v>
      </c>
      <c r="G1316" s="177" t="s">
        <v>446</v>
      </c>
      <c r="H1316" s="21"/>
      <c r="I1316" s="21"/>
    </row>
    <row r="1317" spans="1:9" ht="13">
      <c r="A1317" s="176">
        <v>40303</v>
      </c>
      <c r="B1317" s="50">
        <v>69000</v>
      </c>
      <c r="C1317" s="50">
        <f t="shared" si="150"/>
        <v>69037.178280802298</v>
      </c>
      <c r="D1317" s="49">
        <f t="shared" si="151"/>
        <v>40305</v>
      </c>
      <c r="E1317" s="51">
        <v>2</v>
      </c>
      <c r="F1317" s="52">
        <f>+F1316</f>
        <v>9.8333858643741751E-2</v>
      </c>
      <c r="G1317" s="177" t="s">
        <v>446</v>
      </c>
      <c r="H1317" s="21"/>
      <c r="I1317" s="21"/>
    </row>
    <row r="1318" spans="1:9" ht="13">
      <c r="A1318" s="176">
        <v>40289</v>
      </c>
      <c r="B1318" s="50">
        <v>50994.15</v>
      </c>
      <c r="C1318" s="50">
        <f t="shared" si="150"/>
        <v>51495.359625000005</v>
      </c>
      <c r="D1318" s="49">
        <f t="shared" si="151"/>
        <v>40324</v>
      </c>
      <c r="E1318" s="51">
        <v>35</v>
      </c>
      <c r="F1318" s="52">
        <v>0.10249999999999999</v>
      </c>
      <c r="G1318" s="177" t="s">
        <v>650</v>
      </c>
      <c r="H1318" s="21">
        <v>3.63</v>
      </c>
      <c r="I1318" s="21">
        <v>89300</v>
      </c>
    </row>
    <row r="1319" spans="1:9" ht="13">
      <c r="A1319" s="176">
        <v>40311</v>
      </c>
      <c r="B1319" s="50">
        <v>94200</v>
      </c>
      <c r="C1319" s="50">
        <f t="shared" si="150"/>
        <v>94687.999999999985</v>
      </c>
      <c r="D1319" s="49">
        <f t="shared" si="151"/>
        <v>40330</v>
      </c>
      <c r="E1319" s="51">
        <v>19</v>
      </c>
      <c r="F1319" s="52">
        <v>9.9519499385404511E-2</v>
      </c>
      <c r="G1319" s="177" t="s">
        <v>446</v>
      </c>
      <c r="H1319" s="21"/>
      <c r="I1319" s="21"/>
    </row>
    <row r="1320" spans="1:9" ht="13">
      <c r="A1320" s="176">
        <v>40308</v>
      </c>
      <c r="B1320" s="50">
        <v>51136.5</v>
      </c>
      <c r="C1320" s="50">
        <f t="shared" si="150"/>
        <v>51567.307500000003</v>
      </c>
      <c r="D1320" s="49">
        <f t="shared" si="151"/>
        <v>40338</v>
      </c>
      <c r="E1320" s="51">
        <v>30</v>
      </c>
      <c r="F1320" s="52">
        <v>0.10249999999999999</v>
      </c>
      <c r="G1320" s="177" t="s">
        <v>650</v>
      </c>
      <c r="H1320" s="21">
        <v>3.63</v>
      </c>
      <c r="I1320" s="21">
        <v>89300</v>
      </c>
    </row>
    <row r="1321" spans="1:9" ht="13">
      <c r="A1321" s="176">
        <v>40308</v>
      </c>
      <c r="B1321" s="50">
        <v>51136.5</v>
      </c>
      <c r="C1321" s="50">
        <f t="shared" si="150"/>
        <v>51567.307500000003</v>
      </c>
      <c r="D1321" s="49">
        <f t="shared" si="151"/>
        <v>40338</v>
      </c>
      <c r="E1321" s="51">
        <v>30</v>
      </c>
      <c r="F1321" s="52">
        <v>0.10249999999999999</v>
      </c>
      <c r="G1321" s="177" t="s">
        <v>650</v>
      </c>
      <c r="H1321" s="21">
        <v>3.63</v>
      </c>
      <c r="I1321" s="21">
        <v>89300</v>
      </c>
    </row>
    <row r="1322" spans="1:9" ht="13">
      <c r="A1322" s="176">
        <v>40308</v>
      </c>
      <c r="B1322" s="50">
        <v>59867.75</v>
      </c>
      <c r="C1322" s="50">
        <f t="shared" si="150"/>
        <v>60489.800525684928</v>
      </c>
      <c r="D1322" s="49">
        <f t="shared" si="151"/>
        <v>40345</v>
      </c>
      <c r="E1322" s="51">
        <v>37</v>
      </c>
      <c r="F1322" s="52">
        <v>0.10249999999999999</v>
      </c>
      <c r="G1322" s="177" t="s">
        <v>650</v>
      </c>
      <c r="H1322" s="21"/>
      <c r="I1322" s="21"/>
    </row>
    <row r="1323" spans="1:9" ht="13">
      <c r="A1323" s="176"/>
      <c r="B1323" s="50"/>
      <c r="C1323" s="50"/>
      <c r="D1323" s="49"/>
      <c r="E1323" s="51"/>
      <c r="F1323" s="52"/>
      <c r="G1323" s="177"/>
      <c r="H1323" s="21"/>
      <c r="I1323" s="21"/>
    </row>
    <row r="1324" spans="1:9" ht="13">
      <c r="A1324" s="379">
        <v>40543</v>
      </c>
      <c r="B1324" s="380">
        <f>SUM(B1292:B1322)</f>
        <v>1938083.7149999999</v>
      </c>
      <c r="C1324" s="380">
        <f>SUM(C1292:C1322)</f>
        <v>1958811.1252732873</v>
      </c>
      <c r="D1324" s="380">
        <f>+C1324-B1324</f>
        <v>20727.410273287445</v>
      </c>
      <c r="E1324" s="381"/>
      <c r="F1324" s="382"/>
      <c r="G1324" s="383"/>
      <c r="H1324" s="21"/>
      <c r="I1324" s="21"/>
    </row>
    <row r="1325" spans="1:9" ht="13">
      <c r="A1325" s="176"/>
      <c r="B1325" s="50"/>
      <c r="C1325" s="50"/>
      <c r="D1325" s="49"/>
      <c r="E1325" s="51"/>
      <c r="F1325" s="52"/>
      <c r="G1325" s="177"/>
      <c r="H1325" s="21"/>
      <c r="I1325" s="21"/>
    </row>
    <row r="1326" spans="1:9" ht="13">
      <c r="A1326" s="176">
        <v>40676</v>
      </c>
      <c r="B1326" s="50">
        <v>540058.37</v>
      </c>
      <c r="C1326" s="50">
        <f>B1326+(B1326*F1326/365*E1326)*1</f>
        <v>545380.53426545206</v>
      </c>
      <c r="D1326" s="49">
        <f>A1326+E1326</f>
        <v>40709</v>
      </c>
      <c r="E1326" s="51">
        <v>33</v>
      </c>
      <c r="F1326" s="52">
        <v>0.109</v>
      </c>
      <c r="G1326" s="177" t="s">
        <v>120</v>
      </c>
      <c r="H1326" s="21">
        <f>+C1326-B1326</f>
        <v>5322.1642654520692</v>
      </c>
      <c r="I1326" s="21"/>
    </row>
    <row r="1327" spans="1:9" ht="13">
      <c r="A1327" s="176">
        <v>40893</v>
      </c>
      <c r="B1327" s="50">
        <v>192000</v>
      </c>
      <c r="C1327" s="50">
        <f>B1327+(B1327*F1327/365*E1327)*1</f>
        <v>195298.19178082192</v>
      </c>
      <c r="D1327" s="49">
        <f>A1327+E1327</f>
        <v>40926</v>
      </c>
      <c r="E1327" s="51">
        <v>33</v>
      </c>
      <c r="F1327" s="52">
        <v>0.19</v>
      </c>
      <c r="G1327" s="177" t="s">
        <v>120</v>
      </c>
      <c r="H1327" s="21"/>
      <c r="I1327" s="21"/>
    </row>
    <row r="1328" spans="1:9" ht="13">
      <c r="A1328" s="176">
        <v>40906</v>
      </c>
      <c r="B1328" s="50">
        <v>217570</v>
      </c>
      <c r="C1328" s="50">
        <f>B1328+(B1328*F1328/365*E1328)*1</f>
        <v>221218.02301369864</v>
      </c>
      <c r="D1328" s="49">
        <f>A1328+E1328</f>
        <v>40940</v>
      </c>
      <c r="E1328" s="51">
        <v>34</v>
      </c>
      <c r="F1328" s="52">
        <v>0.18</v>
      </c>
      <c r="G1328" s="177" t="s">
        <v>120</v>
      </c>
      <c r="H1328" s="21"/>
      <c r="I1328" s="21"/>
    </row>
    <row r="1329" spans="1:8" ht="13">
      <c r="A1329" s="379">
        <v>40908</v>
      </c>
      <c r="B1329" s="380">
        <f>SUM(B1326:B1328)</f>
        <v>949628.37</v>
      </c>
      <c r="C1329" s="380">
        <f>SUM(C1326:C1328)</f>
        <v>961896.74905997259</v>
      </c>
      <c r="D1329" s="380">
        <f>+C1329-B1329</f>
        <v>12268.379059972591</v>
      </c>
      <c r="E1329" s="381"/>
      <c r="F1329" s="382"/>
      <c r="G1329" s="383"/>
      <c r="H1329" s="379"/>
    </row>
    <row r="1330" spans="1:8" s="47" customFormat="1">
      <c r="A1330" s="1004"/>
      <c r="B1330" s="1005"/>
      <c r="C1330" s="1005"/>
      <c r="D1330" s="817"/>
      <c r="E1330" s="1006"/>
      <c r="F1330" s="1007"/>
      <c r="G1330" s="1008"/>
      <c r="H1330" s="862"/>
    </row>
    <row r="1331" spans="1:8" s="47" customFormat="1">
      <c r="A1331" s="1004">
        <v>40940</v>
      </c>
      <c r="B1331" s="1005">
        <v>221218.02</v>
      </c>
      <c r="C1331" s="1005">
        <f t="shared" ref="C1331:C1349" si="152">B1331+(B1331*F1331/365*E1331)*1</f>
        <v>224219.61518917806</v>
      </c>
      <c r="D1331" s="817">
        <f t="shared" ref="D1331:D1349" si="153">A1331+E1331</f>
        <v>40975</v>
      </c>
      <c r="E1331" s="1006">
        <v>35</v>
      </c>
      <c r="F1331" s="1007">
        <v>0.14149999999999999</v>
      </c>
      <c r="G1331" s="1008" t="s">
        <v>120</v>
      </c>
      <c r="H1331" s="862"/>
    </row>
    <row r="1332" spans="1:8" s="47" customFormat="1">
      <c r="A1332" s="1004">
        <v>40926</v>
      </c>
      <c r="B1332" s="1005">
        <v>195298.19</v>
      </c>
      <c r="C1332" s="1005">
        <f t="shared" si="152"/>
        <v>200523.0854119178</v>
      </c>
      <c r="D1332" s="817">
        <f t="shared" si="153"/>
        <v>40989</v>
      </c>
      <c r="E1332" s="1006">
        <v>63</v>
      </c>
      <c r="F1332" s="1007">
        <v>0.155</v>
      </c>
      <c r="G1332" s="1008" t="s">
        <v>120</v>
      </c>
      <c r="H1332" s="862"/>
    </row>
    <row r="1333" spans="1:8" s="47" customFormat="1">
      <c r="A1333" s="1004">
        <v>40926</v>
      </c>
      <c r="B1333" s="1005">
        <v>23000</v>
      </c>
      <c r="C1333" s="1005">
        <f t="shared" si="152"/>
        <v>23615.328767123287</v>
      </c>
      <c r="D1333" s="817">
        <f t="shared" si="153"/>
        <v>40989</v>
      </c>
      <c r="E1333" s="1006">
        <v>63</v>
      </c>
      <c r="F1333" s="1007">
        <v>0.155</v>
      </c>
      <c r="G1333" s="1008" t="s">
        <v>120</v>
      </c>
      <c r="H1333" s="862"/>
    </row>
    <row r="1334" spans="1:8" s="47" customFormat="1">
      <c r="A1334" s="1004">
        <v>40912</v>
      </c>
      <c r="B1334" s="1005">
        <v>566247.09</v>
      </c>
      <c r="C1334" s="1005">
        <f t="shared" si="152"/>
        <v>591305.46293486294</v>
      </c>
      <c r="D1334" s="817">
        <f t="shared" si="153"/>
        <v>41003</v>
      </c>
      <c r="E1334" s="1006">
        <v>91</v>
      </c>
      <c r="F1334" s="1007">
        <v>0.17749999999999999</v>
      </c>
      <c r="G1334" s="1008" t="s">
        <v>120</v>
      </c>
      <c r="H1334" s="862"/>
    </row>
    <row r="1335" spans="1:8" s="47" customFormat="1">
      <c r="A1335" s="1004">
        <v>40975</v>
      </c>
      <c r="B1335" s="1005">
        <v>224219.62</v>
      </c>
      <c r="C1335" s="1005">
        <f t="shared" si="152"/>
        <v>227014.6864958904</v>
      </c>
      <c r="D1335" s="817">
        <f t="shared" si="153"/>
        <v>41010</v>
      </c>
      <c r="E1335" s="1006">
        <v>35</v>
      </c>
      <c r="F1335" s="1007">
        <v>0.13</v>
      </c>
      <c r="G1335" s="1008" t="s">
        <v>120</v>
      </c>
      <c r="H1335" s="862"/>
    </row>
    <row r="1336" spans="1:8" s="47" customFormat="1">
      <c r="A1336" s="1004">
        <v>40975</v>
      </c>
      <c r="B1336" s="1005">
        <v>35000</v>
      </c>
      <c r="C1336" s="1005">
        <f t="shared" si="152"/>
        <v>35436.301369863017</v>
      </c>
      <c r="D1336" s="817">
        <f t="shared" si="153"/>
        <v>41010</v>
      </c>
      <c r="E1336" s="1006">
        <v>35</v>
      </c>
      <c r="F1336" s="1007">
        <v>0.13</v>
      </c>
      <c r="G1336" s="1008" t="s">
        <v>120</v>
      </c>
      <c r="H1336" s="862"/>
    </row>
    <row r="1337" spans="1:8" s="47" customFormat="1">
      <c r="A1337" s="1004">
        <v>41058</v>
      </c>
      <c r="B1337" s="1005">
        <v>412468.25</v>
      </c>
      <c r="C1337" s="1005">
        <f t="shared" si="152"/>
        <v>417756.88400000002</v>
      </c>
      <c r="D1337" s="817">
        <f t="shared" si="153"/>
        <v>41094</v>
      </c>
      <c r="E1337" s="1006">
        <v>36</v>
      </c>
      <c r="F1337" s="1007">
        <v>0.13</v>
      </c>
      <c r="G1337" s="1008" t="s">
        <v>120</v>
      </c>
      <c r="H1337" s="862"/>
    </row>
    <row r="1338" spans="1:8" s="47" customFormat="1">
      <c r="A1338" s="1004">
        <v>41059</v>
      </c>
      <c r="B1338" s="1005">
        <v>99000</v>
      </c>
      <c r="C1338" s="1005">
        <f t="shared" si="152"/>
        <v>100234.10958904109</v>
      </c>
      <c r="D1338" s="817">
        <f t="shared" si="153"/>
        <v>41094</v>
      </c>
      <c r="E1338" s="1006">
        <v>35</v>
      </c>
      <c r="F1338" s="1007">
        <v>0.13</v>
      </c>
      <c r="G1338" s="1008" t="s">
        <v>120</v>
      </c>
      <c r="H1338" s="862"/>
    </row>
    <row r="1339" spans="1:8" s="47" customFormat="1">
      <c r="A1339" s="1004">
        <v>41094</v>
      </c>
      <c r="B1339" s="1005">
        <v>417756.88</v>
      </c>
      <c r="C1339" s="1005">
        <f t="shared" si="152"/>
        <v>423164.82865205477</v>
      </c>
      <c r="D1339" s="817">
        <f t="shared" si="153"/>
        <v>41129</v>
      </c>
      <c r="E1339" s="1006">
        <v>35</v>
      </c>
      <c r="F1339" s="1007">
        <v>0.13500000000000001</v>
      </c>
      <c r="G1339" s="1008" t="s">
        <v>120</v>
      </c>
      <c r="H1339" s="862"/>
    </row>
    <row r="1340" spans="1:8" s="47" customFormat="1">
      <c r="A1340" s="1004">
        <v>41094</v>
      </c>
      <c r="B1340" s="1005">
        <v>100234.11</v>
      </c>
      <c r="C1340" s="1005">
        <f t="shared" si="152"/>
        <v>101531.66115</v>
      </c>
      <c r="D1340" s="817">
        <f t="shared" si="153"/>
        <v>41129</v>
      </c>
      <c r="E1340" s="1006">
        <v>35</v>
      </c>
      <c r="F1340" s="1007">
        <v>0.13500000000000001</v>
      </c>
      <c r="G1340" s="1008" t="s">
        <v>120</v>
      </c>
      <c r="H1340" s="862"/>
    </row>
    <row r="1341" spans="1:8" s="47" customFormat="1">
      <c r="A1341" s="1004">
        <v>41129</v>
      </c>
      <c r="B1341" s="1005">
        <v>362000</v>
      </c>
      <c r="C1341" s="1005">
        <f t="shared" si="152"/>
        <v>367033.28767123289</v>
      </c>
      <c r="D1341" s="817">
        <f t="shared" si="153"/>
        <v>41164</v>
      </c>
      <c r="E1341" s="1006">
        <v>35</v>
      </c>
      <c r="F1341" s="1007">
        <v>0.14499999999999999</v>
      </c>
      <c r="G1341" s="1008" t="s">
        <v>120</v>
      </c>
      <c r="H1341" s="862"/>
    </row>
    <row r="1342" spans="1:8" s="47" customFormat="1">
      <c r="A1342" s="1004">
        <v>41164</v>
      </c>
      <c r="B1342" s="1005">
        <v>367033.28767123289</v>
      </c>
      <c r="C1342" s="1005">
        <f t="shared" si="152"/>
        <v>371960.5838618878</v>
      </c>
      <c r="D1342" s="817">
        <f t="shared" si="153"/>
        <v>41199</v>
      </c>
      <c r="E1342" s="1006">
        <v>35</v>
      </c>
      <c r="F1342" s="1007">
        <v>0.14000000000000001</v>
      </c>
      <c r="G1342" s="1008" t="s">
        <v>120</v>
      </c>
      <c r="H1342" s="862"/>
    </row>
    <row r="1343" spans="1:8" s="47" customFormat="1">
      <c r="A1343" s="1004">
        <v>41199</v>
      </c>
      <c r="B1343" s="1005">
        <v>371960.59</v>
      </c>
      <c r="C1343" s="1005">
        <f t="shared" si="152"/>
        <v>376469.97523493151</v>
      </c>
      <c r="D1343" s="817">
        <f t="shared" si="153"/>
        <v>41229</v>
      </c>
      <c r="E1343" s="1006">
        <v>30</v>
      </c>
      <c r="F1343" s="1007">
        <v>0.14749999999999999</v>
      </c>
      <c r="G1343" s="1008" t="s">
        <v>120</v>
      </c>
      <c r="H1343" s="862"/>
    </row>
    <row r="1344" spans="1:8" s="47" customFormat="1">
      <c r="A1344" s="1004">
        <v>41199</v>
      </c>
      <c r="B1344" s="1005">
        <v>40000</v>
      </c>
      <c r="C1344" s="1005">
        <f t="shared" si="152"/>
        <v>40484.931506849316</v>
      </c>
      <c r="D1344" s="817">
        <f t="shared" si="153"/>
        <v>41229</v>
      </c>
      <c r="E1344" s="1006">
        <v>30</v>
      </c>
      <c r="F1344" s="1007">
        <v>0.14749999999999999</v>
      </c>
      <c r="G1344" s="1008" t="s">
        <v>120</v>
      </c>
      <c r="H1344" s="862"/>
    </row>
    <row r="1345" spans="1:7" s="47" customFormat="1">
      <c r="A1345" s="1004">
        <v>41229</v>
      </c>
      <c r="B1345" s="1005">
        <v>376469.97</v>
      </c>
      <c r="C1345" s="1005">
        <f t="shared" si="152"/>
        <v>381745.70670287666</v>
      </c>
      <c r="D1345" s="817">
        <f t="shared" si="153"/>
        <v>41262</v>
      </c>
      <c r="E1345" s="1006">
        <v>33</v>
      </c>
      <c r="F1345" s="1007">
        <v>0.155</v>
      </c>
      <c r="G1345" s="1008" t="s">
        <v>120</v>
      </c>
    </row>
    <row r="1346" spans="1:7" s="47" customFormat="1">
      <c r="A1346" s="1004">
        <v>41229</v>
      </c>
      <c r="B1346" s="1005">
        <v>40484.93</v>
      </c>
      <c r="C1346" s="1005">
        <f t="shared" si="152"/>
        <v>41052.273608082192</v>
      </c>
      <c r="D1346" s="817">
        <f t="shared" si="153"/>
        <v>41262</v>
      </c>
      <c r="E1346" s="1006">
        <v>33</v>
      </c>
      <c r="F1346" s="1007">
        <v>0.155</v>
      </c>
      <c r="G1346" s="1008" t="s">
        <v>120</v>
      </c>
    </row>
    <row r="1347" spans="1:7" s="47" customFormat="1">
      <c r="A1347" s="1004">
        <v>41262</v>
      </c>
      <c r="B1347" s="1005">
        <v>381745.71</v>
      </c>
      <c r="C1347" s="1005">
        <f t="shared" si="152"/>
        <v>387419.6017171233</v>
      </c>
      <c r="D1347" s="817">
        <f t="shared" si="153"/>
        <v>41297</v>
      </c>
      <c r="E1347" s="1006">
        <v>35</v>
      </c>
      <c r="F1347" s="1007">
        <v>0.155</v>
      </c>
      <c r="G1347" s="1008" t="s">
        <v>120</v>
      </c>
    </row>
    <row r="1348" spans="1:7" s="47" customFormat="1">
      <c r="A1348" s="1004">
        <v>41262</v>
      </c>
      <c r="B1348" s="1005">
        <v>41052.28</v>
      </c>
      <c r="C1348" s="1005">
        <f t="shared" si="152"/>
        <v>41662.440600000002</v>
      </c>
      <c r="D1348" s="817">
        <f t="shared" si="153"/>
        <v>41297</v>
      </c>
      <c r="E1348" s="1006">
        <v>35</v>
      </c>
      <c r="F1348" s="1007">
        <v>0.155</v>
      </c>
      <c r="G1348" s="1008" t="s">
        <v>120</v>
      </c>
    </row>
    <row r="1349" spans="1:7" s="47" customFormat="1">
      <c r="A1349" s="1004">
        <v>41261</v>
      </c>
      <c r="B1349" s="1005">
        <v>202000</v>
      </c>
      <c r="C1349" s="1005">
        <f t="shared" si="152"/>
        <v>205088.10958904109</v>
      </c>
      <c r="D1349" s="817">
        <f t="shared" si="153"/>
        <v>41297</v>
      </c>
      <c r="E1349" s="1006">
        <v>36</v>
      </c>
      <c r="F1349" s="1007">
        <v>0.155</v>
      </c>
      <c r="G1349" s="1008" t="s">
        <v>651</v>
      </c>
    </row>
    <row r="1350" spans="1:7" s="47" customFormat="1">
      <c r="A1350" s="1004"/>
      <c r="B1350" s="1005"/>
      <c r="C1350" s="1005"/>
      <c r="D1350" s="817"/>
      <c r="E1350" s="1006"/>
      <c r="F1350" s="1007"/>
      <c r="G1350" s="1008"/>
    </row>
    <row r="1351" spans="1:7" ht="13">
      <c r="A1351" s="379">
        <v>41274</v>
      </c>
      <c r="B1351" s="380">
        <f>SUM(B1331:B1349)</f>
        <v>4477188.9276712332</v>
      </c>
      <c r="C1351" s="380">
        <f>SUM(C1331:C1349)</f>
        <v>4557718.8740519565</v>
      </c>
      <c r="D1351" s="380">
        <f>+C1351-B1351</f>
        <v>80529.946380723268</v>
      </c>
      <c r="E1351" s="381"/>
      <c r="F1351" s="382"/>
      <c r="G1351" s="383"/>
    </row>
    <row r="1352" spans="1:7" s="47" customFormat="1">
      <c r="A1352" s="1004"/>
      <c r="B1352" s="1005"/>
      <c r="C1352" s="1005"/>
      <c r="D1352" s="817"/>
      <c r="E1352" s="1006"/>
      <c r="F1352" s="1007"/>
      <c r="G1352" s="1008"/>
    </row>
    <row r="1353" spans="1:7" s="47" customFormat="1">
      <c r="A1353" s="1004">
        <v>41297</v>
      </c>
      <c r="B1353" s="1005">
        <v>387419.6017171233</v>
      </c>
      <c r="C1353" s="1005">
        <f t="shared" ref="C1353:C1380" si="154">B1353+(B1353*F1353/365*E1353)*1</f>
        <v>393177.8245645627</v>
      </c>
      <c r="D1353" s="817">
        <f t="shared" ref="D1353:D1380" si="155">A1353+E1353</f>
        <v>41332</v>
      </c>
      <c r="E1353" s="1006">
        <v>35</v>
      </c>
      <c r="F1353" s="1007">
        <v>0.155</v>
      </c>
      <c r="G1353" s="1008" t="s">
        <v>120</v>
      </c>
    </row>
    <row r="1354" spans="1:7" s="47" customFormat="1">
      <c r="A1354" s="1004">
        <v>41297</v>
      </c>
      <c r="B1354" s="1005">
        <v>41662.440600000002</v>
      </c>
      <c r="C1354" s="1005">
        <f t="shared" si="154"/>
        <v>42281.670025356165</v>
      </c>
      <c r="D1354" s="817">
        <f t="shared" si="155"/>
        <v>41332</v>
      </c>
      <c r="E1354" s="1006">
        <v>35</v>
      </c>
      <c r="F1354" s="1007">
        <v>0.155</v>
      </c>
      <c r="G1354" s="1008" t="s">
        <v>120</v>
      </c>
    </row>
    <row r="1355" spans="1:7" s="47" customFormat="1">
      <c r="A1355" s="1004">
        <v>41297</v>
      </c>
      <c r="B1355" s="1005">
        <v>205088.10958904109</v>
      </c>
      <c r="C1355" s="1005">
        <f t="shared" si="154"/>
        <v>208136.33697128916</v>
      </c>
      <c r="D1355" s="817">
        <f t="shared" si="155"/>
        <v>41332</v>
      </c>
      <c r="E1355" s="1006">
        <v>35</v>
      </c>
      <c r="F1355" s="1007">
        <v>0.155</v>
      </c>
      <c r="G1355" s="1008" t="s">
        <v>120</v>
      </c>
    </row>
    <row r="1356" spans="1:7" s="47" customFormat="1">
      <c r="A1356" s="1004">
        <v>41297</v>
      </c>
      <c r="B1356" s="1005">
        <v>40000</v>
      </c>
      <c r="C1356" s="1005">
        <f t="shared" si="154"/>
        <v>40594.520547945205</v>
      </c>
      <c r="D1356" s="817">
        <f t="shared" si="155"/>
        <v>41332</v>
      </c>
      <c r="E1356" s="1006">
        <v>35</v>
      </c>
      <c r="F1356" s="1007">
        <v>0.155</v>
      </c>
      <c r="G1356" s="1008" t="s">
        <v>652</v>
      </c>
    </row>
    <row r="1357" spans="1:7" s="47" customFormat="1">
      <c r="A1357" s="1004">
        <v>41332</v>
      </c>
      <c r="B1357" s="1005">
        <v>393177.82</v>
      </c>
      <c r="C1357" s="1005">
        <f t="shared" si="154"/>
        <v>399021.62732465751</v>
      </c>
      <c r="D1357" s="817">
        <f t="shared" si="155"/>
        <v>41367</v>
      </c>
      <c r="E1357" s="1006">
        <v>35</v>
      </c>
      <c r="F1357" s="1007">
        <v>0.155</v>
      </c>
      <c r="G1357" s="1008" t="s">
        <v>120</v>
      </c>
    </row>
    <row r="1358" spans="1:7" s="47" customFormat="1">
      <c r="A1358" s="1004">
        <v>41332</v>
      </c>
      <c r="B1358" s="1005">
        <v>42281.68</v>
      </c>
      <c r="C1358" s="1005">
        <f t="shared" si="154"/>
        <v>42910.113189041098</v>
      </c>
      <c r="D1358" s="817">
        <f t="shared" si="155"/>
        <v>41367</v>
      </c>
      <c r="E1358" s="1006">
        <v>35</v>
      </c>
      <c r="F1358" s="1007">
        <v>0.155</v>
      </c>
      <c r="G1358" s="1008" t="s">
        <v>120</v>
      </c>
    </row>
    <row r="1359" spans="1:7" s="47" customFormat="1">
      <c r="A1359" s="1004">
        <v>41332</v>
      </c>
      <c r="B1359" s="1005">
        <v>208136.34</v>
      </c>
      <c r="C1359" s="1005">
        <f t="shared" si="154"/>
        <v>211229.87327260274</v>
      </c>
      <c r="D1359" s="817">
        <f t="shared" si="155"/>
        <v>41367</v>
      </c>
      <c r="E1359" s="1006">
        <v>35</v>
      </c>
      <c r="F1359" s="1007">
        <v>0.155</v>
      </c>
      <c r="G1359" s="1008" t="s">
        <v>120</v>
      </c>
    </row>
    <row r="1360" spans="1:7" s="47" customFormat="1">
      <c r="A1360" s="1004">
        <v>41332</v>
      </c>
      <c r="B1360" s="1005">
        <v>40594.519999999997</v>
      </c>
      <c r="C1360" s="1005">
        <f t="shared" si="154"/>
        <v>41197.876906849313</v>
      </c>
      <c r="D1360" s="817">
        <f t="shared" si="155"/>
        <v>41367</v>
      </c>
      <c r="E1360" s="1006">
        <v>35</v>
      </c>
      <c r="F1360" s="1007">
        <v>0.155</v>
      </c>
      <c r="G1360" s="1008" t="s">
        <v>652</v>
      </c>
    </row>
    <row r="1361" spans="1:7" s="47" customFormat="1">
      <c r="A1361" s="1004">
        <v>41332</v>
      </c>
      <c r="B1361" s="1005">
        <v>50000</v>
      </c>
      <c r="C1361" s="1005">
        <f t="shared" si="154"/>
        <v>50743.150684931505</v>
      </c>
      <c r="D1361" s="817">
        <f t="shared" si="155"/>
        <v>41367</v>
      </c>
      <c r="E1361" s="1006">
        <v>35</v>
      </c>
      <c r="F1361" s="1007">
        <v>0.155</v>
      </c>
      <c r="G1361" s="1008" t="s">
        <v>540</v>
      </c>
    </row>
    <row r="1362" spans="1:7" s="47" customFormat="1">
      <c r="A1362" s="1004">
        <v>41367</v>
      </c>
      <c r="B1362" s="1005">
        <v>399021.62732465751</v>
      </c>
      <c r="C1362" s="1005">
        <f t="shared" si="154"/>
        <v>404990.55358545925</v>
      </c>
      <c r="D1362" s="817">
        <f t="shared" si="155"/>
        <v>41402</v>
      </c>
      <c r="E1362" s="1006">
        <v>35</v>
      </c>
      <c r="F1362" s="1007">
        <v>0.156</v>
      </c>
      <c r="G1362" s="1008" t="s">
        <v>120</v>
      </c>
    </row>
    <row r="1363" spans="1:7" s="47" customFormat="1">
      <c r="A1363" s="1004">
        <v>41367</v>
      </c>
      <c r="B1363" s="1005">
        <v>42910.1</v>
      </c>
      <c r="C1363" s="1005">
        <f t="shared" si="154"/>
        <v>43551.988071232874</v>
      </c>
      <c r="D1363" s="817">
        <f t="shared" si="155"/>
        <v>41402</v>
      </c>
      <c r="E1363" s="1006">
        <v>35</v>
      </c>
      <c r="F1363" s="1007">
        <v>0.156</v>
      </c>
      <c r="G1363" s="1008" t="s">
        <v>120</v>
      </c>
    </row>
    <row r="1364" spans="1:7" s="47" customFormat="1">
      <c r="A1364" s="1004">
        <v>41367</v>
      </c>
      <c r="B1364" s="1005">
        <v>211229.87327260274</v>
      </c>
      <c r="C1364" s="1005">
        <f t="shared" si="154"/>
        <v>214389.64069196823</v>
      </c>
      <c r="D1364" s="817">
        <f t="shared" si="155"/>
        <v>41402</v>
      </c>
      <c r="E1364" s="1006">
        <v>35</v>
      </c>
      <c r="F1364" s="1007">
        <v>0.156</v>
      </c>
      <c r="G1364" s="1008" t="s">
        <v>120</v>
      </c>
    </row>
    <row r="1365" spans="1:7" s="47" customFormat="1">
      <c r="A1365" s="1004">
        <v>41367</v>
      </c>
      <c r="B1365" s="1005">
        <v>41197.876906849313</v>
      </c>
      <c r="C1365" s="1005">
        <f t="shared" si="154"/>
        <v>41814.151997017521</v>
      </c>
      <c r="D1365" s="817">
        <f t="shared" si="155"/>
        <v>41402</v>
      </c>
      <c r="E1365" s="1006">
        <v>35</v>
      </c>
      <c r="F1365" s="1007">
        <v>0.156</v>
      </c>
      <c r="G1365" s="1008" t="s">
        <v>652</v>
      </c>
    </row>
    <row r="1366" spans="1:7" s="47" customFormat="1">
      <c r="A1366" s="1004">
        <v>41367</v>
      </c>
      <c r="B1366" s="1005">
        <f>50743.1506849315+10000</f>
        <v>60743.150684931497</v>
      </c>
      <c r="C1366" s="1005">
        <f t="shared" si="154"/>
        <v>61651.801651341702</v>
      </c>
      <c r="D1366" s="817">
        <f t="shared" si="155"/>
        <v>41402</v>
      </c>
      <c r="E1366" s="1006">
        <v>35</v>
      </c>
      <c r="F1366" s="1007">
        <v>0.156</v>
      </c>
      <c r="G1366" s="1008" t="s">
        <v>540</v>
      </c>
    </row>
    <row r="1367" spans="1:7" s="47" customFormat="1">
      <c r="A1367" s="1004">
        <v>41402</v>
      </c>
      <c r="B1367" s="1005">
        <v>214389.64069196823</v>
      </c>
      <c r="C1367" s="1005">
        <f t="shared" si="154"/>
        <v>217596.67476916863</v>
      </c>
      <c r="D1367" s="817">
        <f t="shared" si="155"/>
        <v>41437</v>
      </c>
      <c r="E1367" s="1006">
        <v>35</v>
      </c>
      <c r="F1367" s="1007">
        <v>0.156</v>
      </c>
      <c r="G1367" s="1008" t="s">
        <v>120</v>
      </c>
    </row>
    <row r="1368" spans="1:7" s="47" customFormat="1">
      <c r="A1368" s="1004">
        <v>41402</v>
      </c>
      <c r="B1368" s="1005">
        <v>61651.801651341702</v>
      </c>
      <c r="C1368" s="1005">
        <f t="shared" si="154"/>
        <v>62574.045040427525</v>
      </c>
      <c r="D1368" s="817">
        <f t="shared" si="155"/>
        <v>41437</v>
      </c>
      <c r="E1368" s="1006">
        <v>35</v>
      </c>
      <c r="F1368" s="1007">
        <v>0.156</v>
      </c>
      <c r="G1368" s="1008" t="s">
        <v>540</v>
      </c>
    </row>
    <row r="1369" spans="1:7" s="47" customFormat="1">
      <c r="A1369" s="1004">
        <v>41437</v>
      </c>
      <c r="B1369" s="1005">
        <v>217596.67476916863</v>
      </c>
      <c r="C1369" s="1005">
        <f t="shared" si="154"/>
        <v>220935.14429987367</v>
      </c>
      <c r="D1369" s="817">
        <f t="shared" si="155"/>
        <v>41472</v>
      </c>
      <c r="E1369" s="1006">
        <v>35</v>
      </c>
      <c r="F1369" s="1007">
        <v>0.16</v>
      </c>
      <c r="G1369" s="1008" t="s">
        <v>120</v>
      </c>
    </row>
    <row r="1370" spans="1:7" s="47" customFormat="1">
      <c r="A1370" s="1004">
        <v>41437</v>
      </c>
      <c r="B1370" s="1005">
        <v>62574.045040427525</v>
      </c>
      <c r="C1370" s="1005">
        <f t="shared" si="154"/>
        <v>63534.08518351354</v>
      </c>
      <c r="D1370" s="817">
        <f t="shared" si="155"/>
        <v>41472</v>
      </c>
      <c r="E1370" s="1006">
        <v>35</v>
      </c>
      <c r="F1370" s="1007">
        <v>0.16</v>
      </c>
      <c r="G1370" s="1008" t="s">
        <v>540</v>
      </c>
    </row>
    <row r="1371" spans="1:7" s="47" customFormat="1">
      <c r="A1371" s="1004">
        <v>41472</v>
      </c>
      <c r="B1371" s="1005">
        <v>220935.14429987367</v>
      </c>
      <c r="C1371" s="1005">
        <f t="shared" si="154"/>
        <v>223976.78567002947</v>
      </c>
      <c r="D1371" s="817">
        <f t="shared" si="155"/>
        <v>41502</v>
      </c>
      <c r="E1371" s="1006">
        <v>30</v>
      </c>
      <c r="F1371" s="1007">
        <v>0.16750000000000001</v>
      </c>
      <c r="G1371" s="1008" t="s">
        <v>120</v>
      </c>
    </row>
    <row r="1372" spans="1:7" s="47" customFormat="1">
      <c r="A1372" s="1004">
        <v>41472</v>
      </c>
      <c r="B1372" s="1005">
        <v>63534.08518351354</v>
      </c>
      <c r="C1372" s="1005">
        <f t="shared" si="154"/>
        <v>64408.766767204375</v>
      </c>
      <c r="D1372" s="817">
        <f t="shared" si="155"/>
        <v>41502</v>
      </c>
      <c r="E1372" s="1006">
        <v>30</v>
      </c>
      <c r="F1372" s="1007">
        <v>0.16750000000000001</v>
      </c>
      <c r="G1372" s="1008" t="s">
        <v>540</v>
      </c>
    </row>
    <row r="1373" spans="1:7" s="47" customFormat="1">
      <c r="A1373" s="1004">
        <v>41502</v>
      </c>
      <c r="B1373" s="1005">
        <v>223976.78</v>
      </c>
      <c r="C1373" s="1005">
        <f t="shared" si="154"/>
        <v>227210.63652219178</v>
      </c>
      <c r="D1373" s="817">
        <f t="shared" si="155"/>
        <v>41533</v>
      </c>
      <c r="E1373" s="1006">
        <v>31</v>
      </c>
      <c r="F1373" s="1007">
        <v>0.17</v>
      </c>
      <c r="G1373" s="1008" t="s">
        <v>120</v>
      </c>
    </row>
    <row r="1374" spans="1:7" s="47" customFormat="1">
      <c r="A1374" s="1004">
        <v>41502</v>
      </c>
      <c r="B1374" s="1005">
        <v>64408.77</v>
      </c>
      <c r="C1374" s="1005">
        <f t="shared" si="154"/>
        <v>65338.726761369857</v>
      </c>
      <c r="D1374" s="817">
        <f t="shared" si="155"/>
        <v>41533</v>
      </c>
      <c r="E1374" s="1006">
        <v>31</v>
      </c>
      <c r="F1374" s="1007">
        <v>0.17</v>
      </c>
      <c r="G1374" s="1008" t="s">
        <v>540</v>
      </c>
    </row>
    <row r="1375" spans="1:7" s="47" customFormat="1">
      <c r="A1375" s="1004">
        <v>41548</v>
      </c>
      <c r="B1375" s="1005">
        <f>660000-65338.72</f>
        <v>594661.28</v>
      </c>
      <c r="C1375" s="1005">
        <f t="shared" si="154"/>
        <v>604192.15256986301</v>
      </c>
      <c r="D1375" s="817">
        <f t="shared" si="155"/>
        <v>41578</v>
      </c>
      <c r="E1375" s="1006">
        <v>30</v>
      </c>
      <c r="F1375" s="1007">
        <v>0.19500000000000001</v>
      </c>
      <c r="G1375" s="1008" t="s">
        <v>120</v>
      </c>
    </row>
    <row r="1376" spans="1:7" s="47" customFormat="1">
      <c r="A1376" s="1004">
        <v>41548</v>
      </c>
      <c r="B1376" s="1005">
        <v>65338.720000000001</v>
      </c>
      <c r="C1376" s="1005">
        <f t="shared" si="154"/>
        <v>66385.929621917807</v>
      </c>
      <c r="D1376" s="817">
        <f t="shared" si="155"/>
        <v>41578</v>
      </c>
      <c r="E1376" s="1006">
        <v>30</v>
      </c>
      <c r="F1376" s="1007">
        <v>0.19500000000000001</v>
      </c>
      <c r="G1376" s="1008" t="s">
        <v>540</v>
      </c>
    </row>
    <row r="1377" spans="1:7" s="47" customFormat="1">
      <c r="A1377" s="1004">
        <v>41579</v>
      </c>
      <c r="B1377" s="1005">
        <v>604192.15256986301</v>
      </c>
      <c r="C1377" s="1005">
        <f t="shared" si="154"/>
        <v>615117.27094509895</v>
      </c>
      <c r="D1377" s="817">
        <f t="shared" si="155"/>
        <v>41612</v>
      </c>
      <c r="E1377" s="1006">
        <v>33</v>
      </c>
      <c r="F1377" s="1007">
        <v>0.2</v>
      </c>
      <c r="G1377" s="1008" t="s">
        <v>120</v>
      </c>
    </row>
    <row r="1378" spans="1:7" s="47" customFormat="1">
      <c r="A1378" s="1004">
        <v>41579</v>
      </c>
      <c r="B1378" s="1005">
        <v>66385.929621917807</v>
      </c>
      <c r="C1378" s="1005">
        <f t="shared" si="154"/>
        <v>67586.332732889467</v>
      </c>
      <c r="D1378" s="817">
        <f t="shared" si="155"/>
        <v>41612</v>
      </c>
      <c r="E1378" s="1006">
        <v>33</v>
      </c>
      <c r="F1378" s="1007">
        <v>0.2</v>
      </c>
      <c r="G1378" s="1008" t="s">
        <v>540</v>
      </c>
    </row>
    <row r="1379" spans="1:7" s="47" customFormat="1">
      <c r="A1379" s="1004">
        <v>41612</v>
      </c>
      <c r="B1379" s="1005">
        <v>400000</v>
      </c>
      <c r="C1379" s="1005">
        <f t="shared" si="154"/>
        <v>407671.23287671234</v>
      </c>
      <c r="D1379" s="817">
        <f t="shared" si="155"/>
        <v>41647</v>
      </c>
      <c r="E1379" s="1006">
        <v>35</v>
      </c>
      <c r="F1379" s="1007">
        <v>0.2</v>
      </c>
      <c r="G1379" s="1008" t="s">
        <v>120</v>
      </c>
    </row>
    <row r="1380" spans="1:7" s="47" customFormat="1">
      <c r="A1380" s="1004">
        <v>41612</v>
      </c>
      <c r="B1380" s="1005">
        <v>67586.332732889467</v>
      </c>
      <c r="C1380" s="1005">
        <f t="shared" si="154"/>
        <v>68882.508977081874</v>
      </c>
      <c r="D1380" s="817">
        <f t="shared" si="155"/>
        <v>41647</v>
      </c>
      <c r="E1380" s="1006">
        <v>35</v>
      </c>
      <c r="F1380" s="1007">
        <v>0.2</v>
      </c>
      <c r="G1380" s="1008" t="s">
        <v>540</v>
      </c>
    </row>
    <row r="1381" spans="1:7" s="47" customFormat="1">
      <c r="A1381" s="1004"/>
      <c r="B1381" s="1005"/>
      <c r="C1381" s="1005"/>
      <c r="D1381" s="817"/>
      <c r="E1381" s="1006"/>
      <c r="F1381" s="1007"/>
      <c r="G1381" s="1008"/>
    </row>
    <row r="1382" spans="1:7" ht="13">
      <c r="A1382" s="379">
        <v>41639</v>
      </c>
      <c r="B1382" s="380">
        <f>SUM(B1353:B1380)</f>
        <v>5090694.4966561701</v>
      </c>
      <c r="C1382" s="380">
        <f>SUM(C1353:C1380)</f>
        <v>5171101.4222215973</v>
      </c>
      <c r="D1382" s="380">
        <f>+C1382-B1382</f>
        <v>80406.925565427169</v>
      </c>
      <c r="E1382" s="381"/>
      <c r="F1382" s="382"/>
      <c r="G1382" s="383"/>
    </row>
    <row r="1383" spans="1:7" s="47" customFormat="1">
      <c r="A1383" s="1004"/>
      <c r="B1383" s="1005"/>
      <c r="C1383" s="1005"/>
      <c r="D1383" s="817"/>
      <c r="E1383" s="1006"/>
      <c r="F1383" s="1007"/>
      <c r="G1383" s="1008"/>
    </row>
    <row r="1384" spans="1:7" s="47" customFormat="1">
      <c r="A1384" s="1004"/>
      <c r="B1384" s="1005"/>
      <c r="C1384" s="1005"/>
      <c r="D1384" s="817"/>
      <c r="E1384" s="1006"/>
      <c r="F1384" s="1007"/>
      <c r="G1384" s="1008"/>
    </row>
    <row r="1385" spans="1:7" s="47" customFormat="1">
      <c r="A1385" s="1004">
        <v>41647</v>
      </c>
      <c r="B1385" s="1005">
        <v>407671.23287671234</v>
      </c>
      <c r="C1385" s="1005">
        <f t="shared" ref="C1385:C1399" si="156">B1385+(B1385*F1385/365*E1385)*1</f>
        <v>414372.67780071311</v>
      </c>
      <c r="D1385" s="817">
        <f t="shared" ref="D1385:D1399" si="157">A1385+E1385</f>
        <v>41677</v>
      </c>
      <c r="E1385" s="1006">
        <v>30</v>
      </c>
      <c r="F1385" s="1007">
        <v>0.2</v>
      </c>
      <c r="G1385" s="1008" t="s">
        <v>120</v>
      </c>
    </row>
    <row r="1386" spans="1:7" s="47" customFormat="1">
      <c r="A1386" s="1004">
        <v>41647</v>
      </c>
      <c r="B1386" s="1005">
        <v>68882.508977081874</v>
      </c>
      <c r="C1386" s="1005">
        <f t="shared" si="156"/>
        <v>70014.82419314349</v>
      </c>
      <c r="D1386" s="817">
        <f t="shared" si="157"/>
        <v>41677</v>
      </c>
      <c r="E1386" s="1006">
        <v>30</v>
      </c>
      <c r="F1386" s="1007">
        <v>0.2</v>
      </c>
      <c r="G1386" s="1008" t="s">
        <v>540</v>
      </c>
    </row>
    <row r="1387" spans="1:7" s="47" customFormat="1">
      <c r="A1387" s="1004">
        <v>41677</v>
      </c>
      <c r="B1387" s="1005">
        <v>414372.67780071311</v>
      </c>
      <c r="C1387" s="1005">
        <f t="shared" si="156"/>
        <v>423171.00178141316</v>
      </c>
      <c r="D1387" s="817">
        <f t="shared" si="157"/>
        <v>41708</v>
      </c>
      <c r="E1387" s="1006">
        <v>31</v>
      </c>
      <c r="F1387" s="1007">
        <v>0.25</v>
      </c>
      <c r="G1387" s="1008" t="s">
        <v>120</v>
      </c>
    </row>
    <row r="1388" spans="1:7" s="47" customFormat="1">
      <c r="A1388" s="1004">
        <v>41677</v>
      </c>
      <c r="B1388" s="1005">
        <v>70014.82419314349</v>
      </c>
      <c r="C1388" s="1005">
        <f t="shared" si="156"/>
        <v>71501.440323271876</v>
      </c>
      <c r="D1388" s="817">
        <f t="shared" si="157"/>
        <v>41708</v>
      </c>
      <c r="E1388" s="1006">
        <v>31</v>
      </c>
      <c r="F1388" s="1007">
        <v>0.25</v>
      </c>
      <c r="G1388" s="1008" t="s">
        <v>540</v>
      </c>
    </row>
    <row r="1389" spans="1:7" s="47" customFormat="1">
      <c r="A1389" s="1004">
        <v>41708</v>
      </c>
      <c r="B1389" s="1005">
        <v>423171.00178141316</v>
      </c>
      <c r="C1389" s="1005">
        <f t="shared" si="156"/>
        <v>432214.10812085157</v>
      </c>
      <c r="D1389" s="817">
        <f t="shared" si="157"/>
        <v>41738</v>
      </c>
      <c r="E1389" s="1006">
        <v>30</v>
      </c>
      <c r="F1389" s="1007">
        <v>0.26</v>
      </c>
      <c r="G1389" s="1008" t="s">
        <v>120</v>
      </c>
    </row>
    <row r="1390" spans="1:7" s="47" customFormat="1">
      <c r="A1390" s="1004">
        <v>41708</v>
      </c>
      <c r="B1390" s="1005">
        <v>71501.440323271876</v>
      </c>
      <c r="C1390" s="1005">
        <f t="shared" si="156"/>
        <v>73029.416308262342</v>
      </c>
      <c r="D1390" s="817">
        <f t="shared" si="157"/>
        <v>41738</v>
      </c>
      <c r="E1390" s="1006">
        <v>30</v>
      </c>
      <c r="F1390" s="1007">
        <v>0.26</v>
      </c>
      <c r="G1390" s="1008" t="s">
        <v>540</v>
      </c>
    </row>
    <row r="1391" spans="1:7" s="47" customFormat="1">
      <c r="A1391" s="1004">
        <v>41738</v>
      </c>
      <c r="B1391" s="1005">
        <v>432214.10812085157</v>
      </c>
      <c r="C1391" s="1005">
        <f t="shared" si="156"/>
        <v>442989.85711783718</v>
      </c>
      <c r="D1391" s="817">
        <f t="shared" si="157"/>
        <v>41773</v>
      </c>
      <c r="E1391" s="1006">
        <v>35</v>
      </c>
      <c r="F1391" s="1007">
        <v>0.26</v>
      </c>
      <c r="G1391" s="1008" t="s">
        <v>120</v>
      </c>
    </row>
    <row r="1392" spans="1:7" s="47" customFormat="1">
      <c r="A1392" s="1004">
        <v>41738</v>
      </c>
      <c r="B1392" s="1005">
        <v>73029.416308262342</v>
      </c>
      <c r="C1392" s="1005">
        <f t="shared" si="156"/>
        <v>74797.628545589105</v>
      </c>
      <c r="D1392" s="817">
        <f t="shared" si="157"/>
        <v>41773</v>
      </c>
      <c r="E1392" s="1006">
        <v>35</v>
      </c>
      <c r="F1392" s="1007">
        <v>0.2525</v>
      </c>
      <c r="G1392" s="1008" t="s">
        <v>540</v>
      </c>
    </row>
    <row r="1393" spans="1:7" s="47" customFormat="1">
      <c r="A1393" s="1004">
        <v>41773</v>
      </c>
      <c r="B1393" s="1005">
        <v>100000</v>
      </c>
      <c r="C1393" s="1005">
        <f t="shared" si="156"/>
        <v>102905.47945205479</v>
      </c>
      <c r="D1393" s="817">
        <f t="shared" si="157"/>
        <v>41815</v>
      </c>
      <c r="E1393" s="1006">
        <v>42</v>
      </c>
      <c r="F1393" s="1007">
        <v>0.2525</v>
      </c>
      <c r="G1393" s="1008" t="s">
        <v>653</v>
      </c>
    </row>
    <row r="1394" spans="1:7" s="47" customFormat="1">
      <c r="A1394" s="1004">
        <v>41773</v>
      </c>
      <c r="B1394" s="1005">
        <v>442989.85711783718</v>
      </c>
      <c r="C1394" s="1005">
        <f t="shared" si="156"/>
        <v>453715.67317887524</v>
      </c>
      <c r="D1394" s="817">
        <f t="shared" si="157"/>
        <v>41808</v>
      </c>
      <c r="E1394" s="1006">
        <v>35</v>
      </c>
      <c r="F1394" s="1007">
        <v>0.2525</v>
      </c>
      <c r="G1394" s="1008" t="s">
        <v>120</v>
      </c>
    </row>
    <row r="1395" spans="1:7" s="47" customFormat="1">
      <c r="A1395" s="1004">
        <v>41773</v>
      </c>
      <c r="B1395" s="1005">
        <v>74797.628545589105</v>
      </c>
      <c r="C1395" s="1005">
        <f t="shared" si="156"/>
        <v>76608.653318936078</v>
      </c>
      <c r="D1395" s="817">
        <f t="shared" si="157"/>
        <v>41808</v>
      </c>
      <c r="E1395" s="1006">
        <v>35</v>
      </c>
      <c r="F1395" s="1007">
        <v>0.2525</v>
      </c>
      <c r="G1395" s="1008" t="s">
        <v>540</v>
      </c>
    </row>
    <row r="1396" spans="1:7" s="47" customFormat="1">
      <c r="A1396" s="1004">
        <v>41745</v>
      </c>
      <c r="B1396" s="1005">
        <v>82000</v>
      </c>
      <c r="C1396" s="1005">
        <f t="shared" si="156"/>
        <v>83985.410958904104</v>
      </c>
      <c r="D1396" s="817">
        <f t="shared" si="157"/>
        <v>41780</v>
      </c>
      <c r="E1396" s="1006">
        <v>35</v>
      </c>
      <c r="F1396" s="1007">
        <v>0.2525</v>
      </c>
      <c r="G1396" s="1008" t="s">
        <v>654</v>
      </c>
    </row>
    <row r="1397" spans="1:7" s="47" customFormat="1">
      <c r="A1397" s="1004">
        <v>41780</v>
      </c>
      <c r="B1397" s="1005">
        <v>84123.013698630137</v>
      </c>
      <c r="C1397" s="1005">
        <f t="shared" si="156"/>
        <v>86159.827763182591</v>
      </c>
      <c r="D1397" s="817">
        <f t="shared" si="157"/>
        <v>41815</v>
      </c>
      <c r="E1397" s="1006">
        <v>35</v>
      </c>
      <c r="F1397" s="1007">
        <v>0.2525</v>
      </c>
      <c r="G1397" s="1008" t="s">
        <v>654</v>
      </c>
    </row>
    <row r="1398" spans="1:7" s="47" customFormat="1">
      <c r="A1398" s="1004">
        <v>41815</v>
      </c>
      <c r="B1398" s="1005">
        <v>102905.47945205479</v>
      </c>
      <c r="C1398" s="1005">
        <f t="shared" si="156"/>
        <v>105273.71514355413</v>
      </c>
      <c r="D1398" s="817">
        <f t="shared" si="157"/>
        <v>41850</v>
      </c>
      <c r="E1398" s="1006">
        <v>35</v>
      </c>
      <c r="F1398" s="1007">
        <v>0.24</v>
      </c>
      <c r="G1398" s="1008" t="s">
        <v>653</v>
      </c>
    </row>
    <row r="1399" spans="1:7" s="47" customFormat="1">
      <c r="A1399" s="1004">
        <v>41815</v>
      </c>
      <c r="B1399" s="1005">
        <v>86159.827763182591</v>
      </c>
      <c r="C1399" s="1005">
        <f t="shared" si="156"/>
        <v>88142.684073348981</v>
      </c>
      <c r="D1399" s="817">
        <f t="shared" si="157"/>
        <v>41850</v>
      </c>
      <c r="E1399" s="1006">
        <v>35</v>
      </c>
      <c r="F1399" s="1007">
        <v>0.24</v>
      </c>
      <c r="G1399" s="1008" t="s">
        <v>654</v>
      </c>
    </row>
    <row r="1400" spans="1:7" ht="13">
      <c r="A1400" s="379">
        <v>42004</v>
      </c>
      <c r="B1400" s="380">
        <f>SUM(B1377:B1399)</f>
        <v>9162691.9285395835</v>
      </c>
      <c r="C1400" s="380">
        <f>SUM(C1377:C1399)</f>
        <v>9329241.1658333186</v>
      </c>
      <c r="D1400" s="380">
        <f>+C1400-B1400</f>
        <v>166549.23729373515</v>
      </c>
      <c r="E1400" s="381"/>
      <c r="F1400" s="382"/>
      <c r="G1400" s="383"/>
    </row>
    <row r="1401" spans="1:7" s="47" customFormat="1">
      <c r="A1401" s="1004"/>
      <c r="B1401" s="1005"/>
      <c r="C1401" s="1005"/>
      <c r="D1401" s="817"/>
      <c r="E1401" s="1006"/>
      <c r="F1401" s="919"/>
      <c r="G1401" s="1008"/>
    </row>
    <row r="1402" spans="1:7" s="47" customFormat="1">
      <c r="A1402" s="1004">
        <v>42362</v>
      </c>
      <c r="B1402" s="1005">
        <v>290000</v>
      </c>
      <c r="C1402" s="1005">
        <f>B1402+(B1402*F1402/365*E1402)*1</f>
        <v>298104.10958904109</v>
      </c>
      <c r="D1402" s="817">
        <f>A1402+E1402</f>
        <v>42396</v>
      </c>
      <c r="E1402" s="1006">
        <v>34</v>
      </c>
      <c r="F1402" s="1007">
        <v>0.3</v>
      </c>
      <c r="G1402" s="1008" t="s">
        <v>276</v>
      </c>
    </row>
    <row r="1403" spans="1:7" s="47" customFormat="1">
      <c r="A1403" s="1004">
        <v>42362</v>
      </c>
      <c r="B1403" s="1005">
        <v>179129.57</v>
      </c>
      <c r="C1403" s="1005">
        <f>B1403+(B1403*F1403/365*E1403)*1</f>
        <v>184218.81285178082</v>
      </c>
      <c r="D1403" s="817">
        <f>A1403+E1403</f>
        <v>42396</v>
      </c>
      <c r="E1403" s="1006">
        <v>34</v>
      </c>
      <c r="F1403" s="1007">
        <v>0.30499999999999999</v>
      </c>
      <c r="G1403" s="1008" t="s">
        <v>655</v>
      </c>
    </row>
    <row r="1404" spans="1:7" s="47" customFormat="1">
      <c r="A1404" s="1004">
        <v>42362</v>
      </c>
      <c r="B1404" s="1005">
        <v>150000</v>
      </c>
      <c r="C1404" s="1005">
        <f>B1404+(B1404*F1404/365*E1404)*1</f>
        <v>155139.04109589042</v>
      </c>
      <c r="D1404" s="817">
        <f>A1404+E1404</f>
        <v>42403</v>
      </c>
      <c r="E1404" s="1006">
        <v>41</v>
      </c>
      <c r="F1404" s="1007">
        <v>0.30499999999999999</v>
      </c>
      <c r="G1404" s="1008" t="s">
        <v>527</v>
      </c>
    </row>
    <row r="1405" spans="1:7" s="47" customFormat="1">
      <c r="A1405" s="1004"/>
      <c r="B1405" s="1005"/>
      <c r="C1405" s="1005"/>
      <c r="D1405" s="817"/>
      <c r="E1405" s="1006"/>
      <c r="F1405" s="919"/>
      <c r="G1405" s="1008"/>
    </row>
    <row r="1406" spans="1:7" s="47" customFormat="1">
      <c r="A1406" s="1004"/>
      <c r="B1406" s="1005"/>
      <c r="C1406" s="1005"/>
      <c r="D1406" s="817"/>
      <c r="E1406" s="1006"/>
      <c r="F1406" s="919"/>
      <c r="G1406" s="1008"/>
    </row>
    <row r="1407" spans="1:7" ht="13">
      <c r="A1407" s="176"/>
      <c r="B1407" s="50"/>
      <c r="C1407" s="50"/>
      <c r="D1407" s="49"/>
      <c r="E1407" s="51"/>
      <c r="F1407" s="52"/>
      <c r="G1407" s="53"/>
    </row>
    <row r="1408" spans="1:7" ht="13">
      <c r="A1408" s="379">
        <v>42369</v>
      </c>
      <c r="B1408" s="380">
        <f>SUM(B1402:B1407)</f>
        <v>619129.57000000007</v>
      </c>
      <c r="C1408" s="380">
        <f>SUM(C1402:C1407)</f>
        <v>637461.96353671234</v>
      </c>
      <c r="D1408" s="380">
        <f>+C1408-B1408</f>
        <v>18332.393536712276</v>
      </c>
      <c r="E1408" s="381"/>
      <c r="F1408" s="382"/>
      <c r="G1408" s="383"/>
    </row>
    <row r="1412" spans="1:8" s="47" customFormat="1" ht="13">
      <c r="A1412" s="420">
        <v>42396</v>
      </c>
      <c r="B1412" s="430">
        <v>298104.11</v>
      </c>
      <c r="C1412" s="430">
        <f t="shared" ref="C1412:C1443" si="158">B1412+(B1412*F1412/365*E1412)*1</f>
        <v>305536.29466027394</v>
      </c>
      <c r="D1412" s="422">
        <f t="shared" ref="D1412:D1443" si="159">A1412+E1412</f>
        <v>42431</v>
      </c>
      <c r="E1412" s="421">
        <v>35</v>
      </c>
      <c r="F1412" s="423">
        <v>0.26</v>
      </c>
      <c r="G1412" s="424" t="s">
        <v>197</v>
      </c>
      <c r="H1412" s="420"/>
    </row>
    <row r="1413" spans="1:8" s="47" customFormat="1" ht="13">
      <c r="A1413" s="420">
        <v>42396</v>
      </c>
      <c r="B1413" s="430">
        <v>184218.81285178082</v>
      </c>
      <c r="C1413" s="430">
        <f t="shared" si="158"/>
        <v>188811.6654461677</v>
      </c>
      <c r="D1413" s="422">
        <f t="shared" si="159"/>
        <v>42431</v>
      </c>
      <c r="E1413" s="421">
        <v>35</v>
      </c>
      <c r="F1413" s="423">
        <v>0.26</v>
      </c>
      <c r="G1413" s="424" t="s">
        <v>655</v>
      </c>
      <c r="H1413" s="420"/>
    </row>
    <row r="1414" spans="1:8" s="47" customFormat="1" ht="13">
      <c r="A1414" s="420">
        <v>42396</v>
      </c>
      <c r="B1414" s="430">
        <v>298104.11</v>
      </c>
      <c r="C1414" s="430">
        <f t="shared" si="158"/>
        <v>305536.29466027394</v>
      </c>
      <c r="D1414" s="422">
        <f t="shared" si="159"/>
        <v>42431</v>
      </c>
      <c r="E1414" s="421">
        <v>35</v>
      </c>
      <c r="F1414" s="423">
        <v>0.26</v>
      </c>
      <c r="G1414" s="424" t="s">
        <v>197</v>
      </c>
      <c r="H1414" s="420"/>
    </row>
    <row r="1415" spans="1:8" s="47" customFormat="1" ht="13">
      <c r="A1415" s="420">
        <v>42403</v>
      </c>
      <c r="B1415" s="430">
        <v>155139.04</v>
      </c>
      <c r="C1415" s="430">
        <f t="shared" si="158"/>
        <v>159006.89003835618</v>
      </c>
      <c r="D1415" s="422">
        <f t="shared" si="159"/>
        <v>42438</v>
      </c>
      <c r="E1415" s="421">
        <v>35</v>
      </c>
      <c r="F1415" s="423">
        <v>0.26</v>
      </c>
      <c r="G1415" s="424" t="s">
        <v>527</v>
      </c>
      <c r="H1415" s="420"/>
    </row>
    <row r="1416" spans="1:8" s="47" customFormat="1" ht="13">
      <c r="A1416" s="420">
        <v>42446</v>
      </c>
      <c r="B1416" s="430">
        <v>50000</v>
      </c>
      <c r="C1416" s="430">
        <f t="shared" si="158"/>
        <v>50489.726027397257</v>
      </c>
      <c r="D1416" s="422">
        <f t="shared" si="159"/>
        <v>42457</v>
      </c>
      <c r="E1416" s="421">
        <v>11</v>
      </c>
      <c r="F1416" s="423">
        <v>0.32500000000000001</v>
      </c>
      <c r="G1416" s="424" t="s">
        <v>656</v>
      </c>
      <c r="H1416" s="420"/>
    </row>
    <row r="1417" spans="1:8" s="47" customFormat="1" ht="13">
      <c r="A1417" s="420">
        <v>42431</v>
      </c>
      <c r="B1417" s="430">
        <v>188811.6654461677</v>
      </c>
      <c r="C1417" s="430">
        <f t="shared" si="158"/>
        <v>193790.60319937143</v>
      </c>
      <c r="D1417" s="422">
        <f t="shared" si="159"/>
        <v>42466</v>
      </c>
      <c r="E1417" s="421">
        <v>35</v>
      </c>
      <c r="F1417" s="423">
        <v>0.27500000000000002</v>
      </c>
      <c r="G1417" s="424" t="s">
        <v>655</v>
      </c>
      <c r="H1417" s="420"/>
    </row>
    <row r="1418" spans="1:8" s="47" customFormat="1" ht="13">
      <c r="A1418" s="420">
        <v>42431</v>
      </c>
      <c r="B1418" s="430">
        <v>305536.29466027394</v>
      </c>
      <c r="C1418" s="430">
        <f t="shared" si="158"/>
        <v>313446.75489188923</v>
      </c>
      <c r="D1418" s="422">
        <f t="shared" si="159"/>
        <v>42466</v>
      </c>
      <c r="E1418" s="421">
        <v>35</v>
      </c>
      <c r="F1418" s="423">
        <v>0.27</v>
      </c>
      <c r="G1418" s="424" t="s">
        <v>197</v>
      </c>
      <c r="H1418" s="420"/>
    </row>
    <row r="1419" spans="1:8" s="47" customFormat="1" ht="13">
      <c r="A1419" s="420">
        <v>42438</v>
      </c>
      <c r="B1419" s="430">
        <f>21000+159006.890038356</f>
        <v>180006.89003835601</v>
      </c>
      <c r="C1419" s="430">
        <f t="shared" si="158"/>
        <v>185012.56109010754</v>
      </c>
      <c r="D1419" s="422">
        <f t="shared" si="159"/>
        <v>42473</v>
      </c>
      <c r="E1419" s="421">
        <v>35</v>
      </c>
      <c r="F1419" s="423">
        <v>0.28999999999999998</v>
      </c>
      <c r="G1419" s="424" t="s">
        <v>527</v>
      </c>
      <c r="H1419" s="420"/>
    </row>
    <row r="1420" spans="1:8" s="47" customFormat="1" ht="13">
      <c r="A1420" s="420">
        <v>42439</v>
      </c>
      <c r="B1420" s="430">
        <v>54000</v>
      </c>
      <c r="C1420" s="430">
        <f t="shared" si="158"/>
        <v>55458.739726027394</v>
      </c>
      <c r="D1420" s="422">
        <f t="shared" si="159"/>
        <v>42473</v>
      </c>
      <c r="E1420" s="421">
        <v>34</v>
      </c>
      <c r="F1420" s="423">
        <v>0.28999999999999998</v>
      </c>
      <c r="G1420" s="424" t="s">
        <v>527</v>
      </c>
      <c r="H1420" s="420"/>
    </row>
    <row r="1421" spans="1:8" s="47" customFormat="1" ht="13">
      <c r="A1421" s="420">
        <v>42445</v>
      </c>
      <c r="B1421" s="430">
        <v>144694.03</v>
      </c>
      <c r="C1421" s="430">
        <f t="shared" si="158"/>
        <v>148856.46100000001</v>
      </c>
      <c r="D1421" s="422">
        <f t="shared" si="159"/>
        <v>42480</v>
      </c>
      <c r="E1421" s="421">
        <v>35</v>
      </c>
      <c r="F1421" s="423">
        <v>0.3</v>
      </c>
      <c r="G1421" s="424" t="s">
        <v>657</v>
      </c>
      <c r="H1421" s="420"/>
    </row>
    <row r="1422" spans="1:8" s="47" customFormat="1" ht="13">
      <c r="A1422" s="420">
        <v>42457</v>
      </c>
      <c r="B1422" s="430">
        <v>50490</v>
      </c>
      <c r="C1422" s="430">
        <f t="shared" si="158"/>
        <v>51870.659424657533</v>
      </c>
      <c r="D1422" s="422">
        <f t="shared" si="159"/>
        <v>42487</v>
      </c>
      <c r="E1422" s="421">
        <v>30</v>
      </c>
      <c r="F1422" s="423">
        <v>0.3327</v>
      </c>
      <c r="G1422" s="424" t="s">
        <v>656</v>
      </c>
      <c r="H1422" s="420"/>
    </row>
    <row r="1423" spans="1:8" s="47" customFormat="1" ht="13">
      <c r="A1423" s="420">
        <v>42466</v>
      </c>
      <c r="B1423" s="430">
        <f>193790.61+20000</f>
        <v>213790.61</v>
      </c>
      <c r="C1423" s="430">
        <f t="shared" si="158"/>
        <v>219685.95928671231</v>
      </c>
      <c r="D1423" s="422">
        <f t="shared" si="159"/>
        <v>42499</v>
      </c>
      <c r="E1423" s="421">
        <v>33</v>
      </c>
      <c r="F1423" s="423">
        <v>0.30499999999999999</v>
      </c>
      <c r="G1423" s="424" t="s">
        <v>658</v>
      </c>
      <c r="H1423" s="420"/>
    </row>
    <row r="1424" spans="1:8" s="47" customFormat="1" ht="13">
      <c r="A1424" s="420">
        <v>42472</v>
      </c>
      <c r="B1424" s="430">
        <f>53066.2+319362.04</f>
        <v>372428.24</v>
      </c>
      <c r="C1424" s="430">
        <f t="shared" si="158"/>
        <v>386000.0199360011</v>
      </c>
      <c r="D1424" s="422">
        <f t="shared" si="159"/>
        <v>42507</v>
      </c>
      <c r="E1424" s="421">
        <v>35</v>
      </c>
      <c r="F1424" s="423">
        <v>0.38003100000000001</v>
      </c>
      <c r="G1424" s="424" t="s">
        <v>520</v>
      </c>
      <c r="H1424" s="420"/>
    </row>
    <row r="1425" spans="1:8" s="47" customFormat="1" ht="13">
      <c r="A1425" s="420">
        <v>42480</v>
      </c>
      <c r="B1425" s="430">
        <v>269885</v>
      </c>
      <c r="C1425" s="430">
        <f t="shared" si="158"/>
        <v>280000.96710043837</v>
      </c>
      <c r="D1425" s="422">
        <f t="shared" si="159"/>
        <v>42516</v>
      </c>
      <c r="E1425" s="421">
        <v>36</v>
      </c>
      <c r="F1425" s="423">
        <v>0.38003100000000001</v>
      </c>
      <c r="G1425" s="424" t="s">
        <v>520</v>
      </c>
      <c r="H1425" s="420"/>
    </row>
    <row r="1426" spans="1:8" s="47" customFormat="1" ht="13">
      <c r="A1426" s="420">
        <v>42487</v>
      </c>
      <c r="B1426" s="430">
        <v>697581.49</v>
      </c>
      <c r="C1426" s="430">
        <f t="shared" si="158"/>
        <v>723000.88170005893</v>
      </c>
      <c r="D1426" s="422">
        <f t="shared" si="159"/>
        <v>42522</v>
      </c>
      <c r="E1426" s="421">
        <v>35</v>
      </c>
      <c r="F1426" s="423">
        <v>0.38001000000000001</v>
      </c>
      <c r="G1426" s="424" t="s">
        <v>520</v>
      </c>
      <c r="H1426" s="420"/>
    </row>
    <row r="1427" spans="1:8" s="47" customFormat="1" ht="13">
      <c r="A1427" s="420">
        <v>42494</v>
      </c>
      <c r="B1427" s="430">
        <v>140106.88</v>
      </c>
      <c r="C1427" s="430">
        <f t="shared" si="158"/>
        <v>145000.54462027398</v>
      </c>
      <c r="D1427" s="422">
        <f t="shared" si="159"/>
        <v>42529</v>
      </c>
      <c r="E1427" s="421">
        <v>35</v>
      </c>
      <c r="F1427" s="423">
        <v>0.36425000000000002</v>
      </c>
      <c r="G1427" s="424" t="s">
        <v>520</v>
      </c>
      <c r="H1427" s="420"/>
    </row>
    <row r="1428" spans="1:8" s="47" customFormat="1" ht="13">
      <c r="A1428" s="420">
        <v>42501</v>
      </c>
      <c r="B1428" s="430">
        <v>267652.44</v>
      </c>
      <c r="C1428" s="430">
        <f t="shared" si="158"/>
        <v>277002.30968827399</v>
      </c>
      <c r="D1428" s="422">
        <f t="shared" si="159"/>
        <v>42536</v>
      </c>
      <c r="E1428" s="421">
        <v>35</v>
      </c>
      <c r="F1428" s="423">
        <v>0.36430000000000001</v>
      </c>
      <c r="G1428" s="424" t="s">
        <v>520</v>
      </c>
      <c r="H1428" s="420"/>
    </row>
    <row r="1429" spans="1:8" s="47" customFormat="1" ht="13">
      <c r="A1429" s="420">
        <v>42508</v>
      </c>
      <c r="B1429" s="430">
        <v>372860.56</v>
      </c>
      <c r="C1429" s="430">
        <f t="shared" si="158"/>
        <v>386000.06398082193</v>
      </c>
      <c r="D1429" s="422">
        <f t="shared" si="159"/>
        <v>42543</v>
      </c>
      <c r="E1429" s="421">
        <v>35</v>
      </c>
      <c r="F1429" s="423">
        <v>0.36749999999999999</v>
      </c>
      <c r="G1429" s="424" t="s">
        <v>520</v>
      </c>
      <c r="H1429" s="420"/>
    </row>
    <row r="1430" spans="1:8" s="47" customFormat="1" ht="13">
      <c r="A1430" s="420">
        <v>42516</v>
      </c>
      <c r="B1430" s="430">
        <f>280091.92+72688.22</f>
        <v>352780.14</v>
      </c>
      <c r="C1430" s="430">
        <f t="shared" si="158"/>
        <v>364000.77145014249</v>
      </c>
      <c r="D1430" s="422">
        <f t="shared" si="159"/>
        <v>42550</v>
      </c>
      <c r="E1430" s="421">
        <v>34</v>
      </c>
      <c r="F1430" s="423">
        <v>0.34144999999999998</v>
      </c>
      <c r="G1430" s="424" t="s">
        <v>520</v>
      </c>
      <c r="H1430" s="420"/>
    </row>
    <row r="1431" spans="1:8" s="47" customFormat="1" ht="13">
      <c r="A1431" s="420">
        <v>42522</v>
      </c>
      <c r="B1431" s="430">
        <v>723000.97</v>
      </c>
      <c r="C1431" s="430">
        <f t="shared" si="158"/>
        <v>746000.81935044518</v>
      </c>
      <c r="D1431" s="422">
        <f t="shared" si="159"/>
        <v>42557</v>
      </c>
      <c r="E1431" s="421">
        <v>35</v>
      </c>
      <c r="F1431" s="423">
        <v>0.33174999999999999</v>
      </c>
      <c r="G1431" s="424" t="s">
        <v>520</v>
      </c>
      <c r="H1431" s="420"/>
    </row>
    <row r="1432" spans="1:8" s="47" customFormat="1" ht="13">
      <c r="A1432" s="420">
        <v>42529</v>
      </c>
      <c r="B1432" s="430">
        <v>144540.6</v>
      </c>
      <c r="C1432" s="430">
        <f t="shared" si="158"/>
        <v>149000.76651452057</v>
      </c>
      <c r="D1432" s="422">
        <f t="shared" si="159"/>
        <v>42564</v>
      </c>
      <c r="E1432" s="421">
        <v>35</v>
      </c>
      <c r="F1432" s="423">
        <v>0.32179999999999997</v>
      </c>
      <c r="G1432" s="424" t="s">
        <v>520</v>
      </c>
      <c r="H1432" s="420"/>
    </row>
    <row r="1433" spans="1:8" s="47" customFormat="1" ht="13">
      <c r="A1433" s="420">
        <v>42536</v>
      </c>
      <c r="B1433" s="430">
        <v>276727.31</v>
      </c>
      <c r="C1433" s="430">
        <f t="shared" si="158"/>
        <v>285000.54678058357</v>
      </c>
      <c r="D1433" s="422">
        <f t="shared" si="159"/>
        <v>42571</v>
      </c>
      <c r="E1433" s="421">
        <v>35</v>
      </c>
      <c r="F1433" s="423">
        <v>0.31178</v>
      </c>
      <c r="G1433" s="424" t="s">
        <v>520</v>
      </c>
      <c r="H1433" s="420"/>
    </row>
    <row r="1434" spans="1:8" s="47" customFormat="1" ht="13">
      <c r="A1434" s="420">
        <v>42543</v>
      </c>
      <c r="B1434" s="430">
        <v>385745.32</v>
      </c>
      <c r="C1434" s="430">
        <f t="shared" si="158"/>
        <v>397000.4172847562</v>
      </c>
      <c r="D1434" s="422">
        <f t="shared" si="159"/>
        <v>42578</v>
      </c>
      <c r="E1434" s="421">
        <v>35</v>
      </c>
      <c r="F1434" s="423">
        <v>0.30427999999999999</v>
      </c>
      <c r="G1434" s="424" t="s">
        <v>520</v>
      </c>
      <c r="H1434" s="420"/>
    </row>
    <row r="1435" spans="1:8" s="47" customFormat="1" ht="13">
      <c r="A1435" s="420">
        <v>42550</v>
      </c>
      <c r="B1435" s="430">
        <v>363651.18</v>
      </c>
      <c r="C1435" s="430">
        <f t="shared" si="158"/>
        <v>374000.79221326025</v>
      </c>
      <c r="D1435" s="422">
        <f t="shared" si="159"/>
        <v>42585</v>
      </c>
      <c r="E1435" s="421">
        <v>35</v>
      </c>
      <c r="F1435" s="423">
        <v>0.29680000000000001</v>
      </c>
      <c r="G1435" s="424" t="s">
        <v>520</v>
      </c>
      <c r="H1435" s="420"/>
    </row>
    <row r="1436" spans="1:8" s="47" customFormat="1" ht="13">
      <c r="A1436" s="420">
        <v>42557</v>
      </c>
      <c r="B1436" s="430">
        <v>745151.64</v>
      </c>
      <c r="C1436" s="430">
        <f t="shared" si="158"/>
        <v>766000.16628266301</v>
      </c>
      <c r="D1436" s="422">
        <f t="shared" si="159"/>
        <v>42592</v>
      </c>
      <c r="E1436" s="421">
        <v>35</v>
      </c>
      <c r="F1436" s="423">
        <v>0.29177999999999998</v>
      </c>
      <c r="G1436" s="424" t="s">
        <v>520</v>
      </c>
      <c r="H1436" s="420"/>
    </row>
    <row r="1437" spans="1:8" s="47" customFormat="1" ht="13">
      <c r="A1437" s="420">
        <v>42564</v>
      </c>
      <c r="B1437" s="430">
        <f>148835.77+70040.36</f>
        <v>218876.13</v>
      </c>
      <c r="C1437" s="430">
        <f t="shared" si="158"/>
        <v>225000.46401558904</v>
      </c>
      <c r="D1437" s="422">
        <f t="shared" si="159"/>
        <v>42599</v>
      </c>
      <c r="E1437" s="421">
        <v>35</v>
      </c>
      <c r="F1437" s="423">
        <v>0.2918</v>
      </c>
      <c r="G1437" s="424" t="s">
        <v>520</v>
      </c>
      <c r="H1437" s="420"/>
    </row>
    <row r="1438" spans="1:8" s="47" customFormat="1" ht="13">
      <c r="A1438" s="420">
        <v>42571</v>
      </c>
      <c r="B1438" s="430">
        <v>285025.36</v>
      </c>
      <c r="C1438" s="430">
        <f t="shared" si="158"/>
        <v>293000.60384021915</v>
      </c>
      <c r="D1438" s="422">
        <f t="shared" si="159"/>
        <v>42606</v>
      </c>
      <c r="E1438" s="421">
        <v>35</v>
      </c>
      <c r="F1438" s="423">
        <v>0.2918</v>
      </c>
      <c r="G1438" s="424" t="s">
        <v>520</v>
      </c>
      <c r="H1438" s="420"/>
    </row>
    <row r="1439" spans="1:8" s="47" customFormat="1" ht="13">
      <c r="A1439" s="420">
        <v>42578</v>
      </c>
      <c r="B1439" s="430">
        <v>396895.39</v>
      </c>
      <c r="C1439" s="430">
        <f t="shared" si="158"/>
        <v>408000.84922758903</v>
      </c>
      <c r="D1439" s="422">
        <f t="shared" si="159"/>
        <v>42613</v>
      </c>
      <c r="E1439" s="421">
        <v>35</v>
      </c>
      <c r="F1439" s="423">
        <v>0.2918</v>
      </c>
      <c r="G1439" s="424" t="s">
        <v>520</v>
      </c>
      <c r="H1439" s="420"/>
    </row>
    <row r="1440" spans="1:8" s="47" customFormat="1" ht="13">
      <c r="A1440" s="420">
        <v>42585</v>
      </c>
      <c r="B1440" s="430">
        <v>373645.37</v>
      </c>
      <c r="C1440" s="430">
        <f t="shared" si="158"/>
        <v>384000.66991591506</v>
      </c>
      <c r="D1440" s="422">
        <f t="shared" si="159"/>
        <v>42620</v>
      </c>
      <c r="E1440" s="421">
        <v>35</v>
      </c>
      <c r="F1440" s="423">
        <v>0.28902</v>
      </c>
      <c r="G1440" s="424" t="s">
        <v>520</v>
      </c>
      <c r="H1440" s="420"/>
    </row>
    <row r="1441" spans="1:19" s="47" customFormat="1" ht="13">
      <c r="A1441" s="420">
        <v>42592</v>
      </c>
      <c r="B1441" s="430">
        <v>765936.94</v>
      </c>
      <c r="C1441" s="430">
        <f t="shared" si="158"/>
        <v>787000.52061860543</v>
      </c>
      <c r="D1441" s="422">
        <f t="shared" si="159"/>
        <v>42627</v>
      </c>
      <c r="E1441" s="421">
        <v>35</v>
      </c>
      <c r="F1441" s="423">
        <v>0.28678999999999999</v>
      </c>
      <c r="G1441" s="424" t="s">
        <v>520</v>
      </c>
      <c r="H1441" s="420"/>
      <c r="I1441" s="430"/>
      <c r="K1441" s="421"/>
      <c r="L1441" s="422"/>
      <c r="M1441" s="423"/>
      <c r="N1441" s="424"/>
      <c r="O1441" s="420"/>
      <c r="P1441" s="430"/>
      <c r="Q1441" s="430"/>
      <c r="R1441" s="421"/>
      <c r="S1441" s="422"/>
    </row>
    <row r="1442" spans="1:19" s="47" customFormat="1" ht="13">
      <c r="A1442" s="420">
        <v>42606</v>
      </c>
      <c r="B1442" s="430">
        <f>292243.25+293217.39</f>
        <v>585460.64</v>
      </c>
      <c r="C1442" s="430">
        <f t="shared" si="158"/>
        <v>601000.20898717805</v>
      </c>
      <c r="D1442" s="422">
        <f t="shared" si="159"/>
        <v>42641</v>
      </c>
      <c r="E1442" s="421">
        <v>35</v>
      </c>
      <c r="F1442" s="423">
        <v>0.27679999999999999</v>
      </c>
      <c r="G1442" s="424" t="s">
        <v>520</v>
      </c>
      <c r="H1442" s="420"/>
      <c r="I1442" s="430"/>
      <c r="K1442" s="421"/>
      <c r="L1442" s="422"/>
      <c r="M1442" s="423"/>
      <c r="N1442" s="424"/>
      <c r="O1442" s="420"/>
      <c r="P1442" s="430"/>
      <c r="Q1442" s="430"/>
      <c r="R1442" s="421"/>
      <c r="S1442" s="422"/>
    </row>
    <row r="1443" spans="1:19" s="47" customFormat="1" ht="13">
      <c r="A1443" s="420">
        <v>42613</v>
      </c>
      <c r="B1443" s="430">
        <v>407382.23</v>
      </c>
      <c r="C1443" s="430">
        <f t="shared" si="158"/>
        <v>418000.61992205749</v>
      </c>
      <c r="D1443" s="422">
        <f t="shared" si="159"/>
        <v>42648</v>
      </c>
      <c r="E1443" s="421">
        <v>35</v>
      </c>
      <c r="F1443" s="423">
        <v>0.27182000000000001</v>
      </c>
      <c r="G1443" s="424" t="s">
        <v>520</v>
      </c>
      <c r="H1443" s="862"/>
      <c r="I1443" s="647"/>
      <c r="K1443" s="986"/>
      <c r="L1443" s="870"/>
      <c r="M1443" s="1173"/>
      <c r="N1443" s="1173"/>
      <c r="O1443" s="1173"/>
      <c r="P1443" s="1173"/>
      <c r="Q1443" s="1173"/>
      <c r="R1443" s="1173"/>
      <c r="S1443" s="1173"/>
    </row>
    <row r="1444" spans="1:19" s="47" customFormat="1" ht="13">
      <c r="A1444" s="420">
        <v>42620</v>
      </c>
      <c r="B1444" s="430">
        <v>384171.31</v>
      </c>
      <c r="C1444" s="430">
        <f t="shared" ref="C1444:C1469" si="160">B1444+(B1444*F1444/365*E1444)*1</f>
        <v>394000.51715807396</v>
      </c>
      <c r="D1444" s="422">
        <f t="shared" ref="D1444:D1469" si="161">A1444+E1444</f>
        <v>42655</v>
      </c>
      <c r="E1444" s="421">
        <v>35</v>
      </c>
      <c r="F1444" s="423">
        <v>0.26682</v>
      </c>
      <c r="G1444" s="424" t="s">
        <v>520</v>
      </c>
      <c r="H1444" s="862"/>
      <c r="I1444" s="647"/>
      <c r="K1444" s="986"/>
      <c r="L1444" s="870"/>
      <c r="M1444" s="1173"/>
      <c r="N1444" s="1173"/>
      <c r="O1444" s="1173"/>
      <c r="P1444" s="1173"/>
      <c r="Q1444" s="1173"/>
      <c r="R1444" s="1173"/>
      <c r="S1444" s="1173"/>
    </row>
    <row r="1445" spans="1:19" s="47" customFormat="1" ht="13">
      <c r="A1445" s="420">
        <v>42592</v>
      </c>
      <c r="B1445" s="430">
        <v>52443.72</v>
      </c>
      <c r="C1445" s="430">
        <f t="shared" si="160"/>
        <v>55000.890155342466</v>
      </c>
      <c r="D1445" s="422">
        <f t="shared" si="161"/>
        <v>42655</v>
      </c>
      <c r="E1445" s="421">
        <v>63</v>
      </c>
      <c r="F1445" s="423">
        <v>0.28249999999999997</v>
      </c>
      <c r="G1445" s="424" t="s">
        <v>520</v>
      </c>
      <c r="H1445" s="862"/>
      <c r="I1445" s="647"/>
      <c r="K1445" s="986"/>
      <c r="L1445" s="870"/>
      <c r="M1445" s="1173"/>
      <c r="N1445" s="1173"/>
      <c r="O1445" s="1173"/>
      <c r="P1445" s="1173"/>
      <c r="Q1445" s="1173"/>
      <c r="R1445" s="1173"/>
      <c r="S1445" s="1173"/>
    </row>
    <row r="1446" spans="1:19" s="47" customFormat="1" ht="13">
      <c r="A1446" s="420">
        <v>42627</v>
      </c>
      <c r="B1446" s="430">
        <v>787237</v>
      </c>
      <c r="C1446" s="430">
        <f t="shared" si="160"/>
        <v>807000.03489750682</v>
      </c>
      <c r="D1446" s="422">
        <f t="shared" si="161"/>
        <v>42662</v>
      </c>
      <c r="E1446" s="421">
        <v>35</v>
      </c>
      <c r="F1446" s="423">
        <v>0.26180199999999998</v>
      </c>
      <c r="G1446" s="424" t="s">
        <v>520</v>
      </c>
      <c r="H1446" s="862"/>
      <c r="I1446" s="647"/>
      <c r="K1446" s="986"/>
      <c r="L1446" s="870"/>
      <c r="M1446" s="1173"/>
      <c r="N1446" s="1173"/>
      <c r="O1446" s="1173"/>
      <c r="P1446" s="1173"/>
      <c r="Q1446" s="1173"/>
      <c r="R1446" s="1173"/>
      <c r="S1446" s="1173"/>
    </row>
    <row r="1447" spans="1:19" s="47" customFormat="1" ht="13">
      <c r="A1447" s="420">
        <v>42599</v>
      </c>
      <c r="B1447" s="430">
        <v>19084.89</v>
      </c>
      <c r="C1447" s="430">
        <f t="shared" si="160"/>
        <v>20000.156880135615</v>
      </c>
      <c r="D1447" s="422">
        <f t="shared" si="161"/>
        <v>42662</v>
      </c>
      <c r="E1447" s="421">
        <v>63</v>
      </c>
      <c r="F1447" s="423">
        <v>0.27784999999999999</v>
      </c>
      <c r="G1447" s="424" t="s">
        <v>520</v>
      </c>
      <c r="H1447" s="862"/>
      <c r="I1447" s="647"/>
      <c r="K1447" s="986"/>
      <c r="L1447" s="870"/>
      <c r="M1447" s="1173"/>
      <c r="N1447" s="1173"/>
      <c r="O1447" s="1173"/>
      <c r="P1447" s="1173"/>
      <c r="Q1447" s="1173"/>
      <c r="R1447" s="1173"/>
      <c r="S1447" s="1173"/>
    </row>
    <row r="1448" spans="1:19" s="47" customFormat="1" ht="13.5" thickBot="1">
      <c r="A1448" s="420">
        <v>42641</v>
      </c>
      <c r="B1448" s="430">
        <v>600219.09</v>
      </c>
      <c r="C1448" s="430">
        <f t="shared" si="160"/>
        <v>615000.43064187118</v>
      </c>
      <c r="D1448" s="422">
        <f t="shared" si="161"/>
        <v>42676</v>
      </c>
      <c r="E1448" s="421">
        <v>35</v>
      </c>
      <c r="F1448" s="423">
        <v>0.25681999999999999</v>
      </c>
      <c r="G1448" s="424" t="s">
        <v>520</v>
      </c>
      <c r="H1448" s="862"/>
      <c r="I1448" s="647"/>
      <c r="K1448" s="986"/>
      <c r="L1448" s="870"/>
      <c r="M1448" s="1173"/>
      <c r="N1448" s="1173"/>
      <c r="O1448" s="1173"/>
      <c r="P1448" s="1173"/>
      <c r="Q1448" s="1173"/>
      <c r="R1448" s="1173"/>
      <c r="S1448" s="1173"/>
    </row>
    <row r="1449" spans="1:19" s="47" customFormat="1" ht="13">
      <c r="A1449" s="500">
        <v>42648</v>
      </c>
      <c r="B1449" s="501">
        <v>417713.45</v>
      </c>
      <c r="C1449" s="502">
        <f t="shared" si="160"/>
        <v>428000.30174798629</v>
      </c>
      <c r="D1449" s="422">
        <f t="shared" si="161"/>
        <v>42683</v>
      </c>
      <c r="E1449" s="421">
        <v>35</v>
      </c>
      <c r="F1449" s="423">
        <v>0.25681999999999999</v>
      </c>
      <c r="G1449" s="424" t="s">
        <v>520</v>
      </c>
      <c r="H1449" s="862"/>
      <c r="I1449" s="647"/>
      <c r="K1449" s="986"/>
      <c r="L1449" s="870"/>
      <c r="M1449" s="1173"/>
      <c r="N1449" s="1173"/>
      <c r="O1449" s="1173"/>
      <c r="P1449" s="1173"/>
      <c r="Q1449" s="1173"/>
      <c r="R1449" s="1173"/>
      <c r="S1449" s="1173"/>
    </row>
    <row r="1450" spans="1:19" s="47" customFormat="1" ht="13.5" thickBot="1">
      <c r="A1450" s="503">
        <v>42620</v>
      </c>
      <c r="B1450" s="504">
        <v>37306.839999999997</v>
      </c>
      <c r="C1450" s="505">
        <f t="shared" si="160"/>
        <v>39000.366114958902</v>
      </c>
      <c r="D1450" s="422">
        <f t="shared" si="161"/>
        <v>42683</v>
      </c>
      <c r="E1450" s="421">
        <v>63</v>
      </c>
      <c r="F1450" s="423">
        <v>0.26300000000000001</v>
      </c>
      <c r="G1450" s="424" t="s">
        <v>520</v>
      </c>
      <c r="H1450" s="862"/>
      <c r="I1450" s="647"/>
      <c r="K1450" s="986"/>
      <c r="L1450" s="870"/>
      <c r="M1450" s="1173"/>
      <c r="N1450" s="1173"/>
      <c r="O1450" s="1173"/>
      <c r="P1450" s="1173"/>
      <c r="Q1450" s="1173"/>
      <c r="R1450" s="1173"/>
      <c r="S1450" s="1173"/>
    </row>
    <row r="1451" spans="1:19" s="47" customFormat="1" ht="13">
      <c r="A1451" s="422">
        <v>42655</v>
      </c>
      <c r="B1451" s="430">
        <v>448944.36</v>
      </c>
      <c r="C1451" s="430">
        <f t="shared" si="160"/>
        <v>460000.32210611505</v>
      </c>
      <c r="D1451" s="422">
        <f t="shared" si="161"/>
        <v>42690</v>
      </c>
      <c r="E1451" s="421">
        <v>35</v>
      </c>
      <c r="F1451" s="423">
        <v>0.25681999999999999</v>
      </c>
      <c r="G1451" s="424" t="s">
        <v>520</v>
      </c>
      <c r="H1451" s="862"/>
      <c r="I1451" s="647"/>
      <c r="K1451" s="986"/>
      <c r="L1451" s="870"/>
      <c r="M1451" s="1173"/>
      <c r="N1451" s="1173"/>
      <c r="O1451" s="1173"/>
      <c r="P1451" s="1173"/>
      <c r="Q1451" s="1173"/>
      <c r="R1451" s="1173"/>
      <c r="S1451" s="1173"/>
    </row>
    <row r="1452" spans="1:19" s="47" customFormat="1" ht="13">
      <c r="A1452" s="422">
        <v>42662</v>
      </c>
      <c r="B1452" s="430">
        <v>827619.16</v>
      </c>
      <c r="C1452" s="430">
        <f t="shared" si="160"/>
        <v>848000.58559860825</v>
      </c>
      <c r="D1452" s="422">
        <f t="shared" si="161"/>
        <v>42697</v>
      </c>
      <c r="E1452" s="421">
        <v>35</v>
      </c>
      <c r="F1452" s="423">
        <v>0.25681999999999999</v>
      </c>
      <c r="G1452" s="424" t="s">
        <v>520</v>
      </c>
      <c r="H1452" s="862"/>
      <c r="I1452" s="647"/>
      <c r="K1452" s="986"/>
      <c r="L1452" s="870"/>
      <c r="M1452" s="1173"/>
      <c r="N1452" s="1173"/>
      <c r="O1452" s="1173"/>
      <c r="P1452" s="1173"/>
      <c r="Q1452" s="1173"/>
      <c r="R1452" s="1173"/>
      <c r="S1452" s="1173"/>
    </row>
    <row r="1453" spans="1:19" s="47" customFormat="1" ht="13">
      <c r="A1453" s="422">
        <v>42641</v>
      </c>
      <c r="B1453" s="430">
        <v>28744.51</v>
      </c>
      <c r="C1453" s="430">
        <f t="shared" si="160"/>
        <v>30000.235576172599</v>
      </c>
      <c r="D1453" s="422">
        <f t="shared" si="161"/>
        <v>42704</v>
      </c>
      <c r="E1453" s="421">
        <v>63</v>
      </c>
      <c r="F1453" s="423">
        <v>0.25309999999999999</v>
      </c>
      <c r="G1453" s="424" t="s">
        <v>520</v>
      </c>
      <c r="H1453" s="862"/>
      <c r="I1453" s="647"/>
      <c r="K1453" s="986"/>
      <c r="L1453" s="870"/>
      <c r="M1453" s="1173"/>
      <c r="N1453" s="1173"/>
      <c r="O1453" s="1173"/>
      <c r="P1453" s="1173"/>
      <c r="Q1453" s="1173"/>
      <c r="R1453" s="1173"/>
      <c r="S1453" s="1173"/>
    </row>
    <row r="1454" spans="1:19" s="47" customFormat="1" ht="13">
      <c r="A1454" s="422">
        <v>42676</v>
      </c>
      <c r="B1454" s="430">
        <v>614858.56999999995</v>
      </c>
      <c r="C1454" s="430">
        <f t="shared" si="160"/>
        <v>630000.43089906569</v>
      </c>
      <c r="D1454" s="422">
        <f t="shared" si="161"/>
        <v>42711</v>
      </c>
      <c r="E1454" s="421">
        <v>35</v>
      </c>
      <c r="F1454" s="423">
        <v>0.25681999999999999</v>
      </c>
      <c r="G1454" s="469" t="s">
        <v>520</v>
      </c>
      <c r="H1454" s="862"/>
      <c r="I1454" s="647"/>
      <c r="K1454" s="986"/>
      <c r="L1454" s="870"/>
      <c r="M1454" s="1173"/>
      <c r="N1454" s="1173"/>
      <c r="O1454" s="1173"/>
      <c r="P1454" s="1173"/>
      <c r="Q1454" s="1173"/>
      <c r="R1454" s="1173"/>
      <c r="S1454" s="1173"/>
    </row>
    <row r="1455" spans="1:19" s="47" customFormat="1" ht="13">
      <c r="A1455" s="422">
        <v>42648</v>
      </c>
      <c r="B1455" s="430">
        <v>28744.99</v>
      </c>
      <c r="C1455" s="430">
        <f t="shared" si="160"/>
        <v>30000.73654533425</v>
      </c>
      <c r="D1455" s="422">
        <f t="shared" si="161"/>
        <v>42711</v>
      </c>
      <c r="E1455" s="421">
        <v>63</v>
      </c>
      <c r="F1455" s="423">
        <v>0.25309999999999999</v>
      </c>
      <c r="G1455" s="469" t="s">
        <v>520</v>
      </c>
      <c r="H1455" s="862"/>
      <c r="I1455" s="647"/>
      <c r="K1455" s="986"/>
      <c r="L1455" s="870"/>
      <c r="M1455" s="1173"/>
      <c r="N1455" s="1173"/>
      <c r="O1455" s="1173"/>
      <c r="P1455" s="1173"/>
      <c r="Q1455" s="1173"/>
      <c r="R1455" s="1173"/>
      <c r="S1455" s="1173"/>
    </row>
    <row r="1456" spans="1:19" s="47" customFormat="1" ht="13">
      <c r="A1456" s="422">
        <v>42683</v>
      </c>
      <c r="B1456" s="430">
        <v>466729.93</v>
      </c>
      <c r="C1456" s="430">
        <f t="shared" si="160"/>
        <v>478000.56271100411</v>
      </c>
      <c r="D1456" s="422">
        <f t="shared" si="161"/>
        <v>42718</v>
      </c>
      <c r="E1456" s="421">
        <v>35</v>
      </c>
      <c r="F1456" s="423">
        <v>0.25183</v>
      </c>
      <c r="G1456" s="469" t="s">
        <v>520</v>
      </c>
      <c r="H1456" s="862"/>
      <c r="I1456" s="647"/>
      <c r="K1456" s="986"/>
      <c r="L1456" s="870"/>
      <c r="M1456" s="1173"/>
      <c r="N1456" s="1173"/>
      <c r="O1456" s="1173"/>
      <c r="P1456" s="1173"/>
      <c r="Q1456" s="1173"/>
      <c r="R1456" s="1173"/>
      <c r="S1456" s="1173"/>
    </row>
    <row r="1457" spans="1:19" s="47" customFormat="1" ht="13">
      <c r="A1457" s="422">
        <v>42655</v>
      </c>
      <c r="B1457" s="430">
        <v>28744.51</v>
      </c>
      <c r="C1457" s="430">
        <f t="shared" si="160"/>
        <v>30000.235576172599</v>
      </c>
      <c r="D1457" s="422">
        <f t="shared" si="161"/>
        <v>42718</v>
      </c>
      <c r="E1457" s="421">
        <v>63</v>
      </c>
      <c r="F1457" s="423">
        <v>0.25309999999999999</v>
      </c>
      <c r="G1457" s="469" t="s">
        <v>520</v>
      </c>
      <c r="H1457" s="862"/>
      <c r="I1457" s="647"/>
      <c r="K1457" s="986"/>
      <c r="L1457" s="870"/>
      <c r="M1457" s="1173"/>
      <c r="N1457" s="1173"/>
      <c r="O1457" s="1173"/>
      <c r="P1457" s="1173"/>
      <c r="Q1457" s="1173"/>
      <c r="R1457" s="1173"/>
      <c r="S1457" s="1173"/>
    </row>
    <row r="1458" spans="1:19" s="47" customFormat="1" ht="13">
      <c r="A1458" s="422">
        <v>42690</v>
      </c>
      <c r="B1458" s="430">
        <v>460109.96</v>
      </c>
      <c r="C1458" s="430">
        <f t="shared" si="160"/>
        <v>471000.57366691506</v>
      </c>
      <c r="D1458" s="422">
        <f t="shared" si="161"/>
        <v>42725</v>
      </c>
      <c r="E1458" s="421">
        <v>35</v>
      </c>
      <c r="F1458" s="423">
        <v>0.24684</v>
      </c>
      <c r="G1458" s="469" t="s">
        <v>520</v>
      </c>
      <c r="H1458" s="862"/>
      <c r="I1458" s="647"/>
      <c r="K1458" s="986"/>
      <c r="L1458" s="870"/>
      <c r="M1458" s="1173"/>
      <c r="N1458" s="1173"/>
      <c r="O1458" s="1173"/>
      <c r="P1458" s="1173"/>
      <c r="Q1458" s="1173"/>
      <c r="R1458" s="1173"/>
      <c r="S1458" s="1173"/>
    </row>
    <row r="1459" spans="1:19" s="47" customFormat="1" ht="13">
      <c r="A1459" s="422">
        <v>42662</v>
      </c>
      <c r="B1459" s="430">
        <v>86234.96</v>
      </c>
      <c r="C1459" s="430">
        <f t="shared" si="160"/>
        <v>90000.710760109592</v>
      </c>
      <c r="D1459" s="422">
        <f t="shared" si="161"/>
        <v>42725</v>
      </c>
      <c r="E1459" s="421">
        <v>63</v>
      </c>
      <c r="F1459" s="423">
        <v>0.253</v>
      </c>
      <c r="G1459" s="469" t="s">
        <v>520</v>
      </c>
      <c r="H1459" s="862"/>
      <c r="I1459" s="647"/>
      <c r="K1459" s="986"/>
      <c r="L1459" s="870"/>
      <c r="M1459" s="1173"/>
      <c r="N1459" s="1173"/>
      <c r="O1459" s="1173"/>
      <c r="P1459" s="1173"/>
      <c r="Q1459" s="1173"/>
      <c r="R1459" s="1173"/>
      <c r="S1459" s="1173"/>
    </row>
    <row r="1460" spans="1:19" s="47" customFormat="1" ht="13">
      <c r="A1460" s="422">
        <v>42697</v>
      </c>
      <c r="B1460" s="430">
        <v>848327.96</v>
      </c>
      <c r="C1460" s="430">
        <f t="shared" si="160"/>
        <v>868000.80160170957</v>
      </c>
      <c r="D1460" s="422">
        <f t="shared" si="161"/>
        <v>42732</v>
      </c>
      <c r="E1460" s="421">
        <v>35</v>
      </c>
      <c r="F1460" s="423">
        <v>0.24184</v>
      </c>
      <c r="G1460" s="469" t="s">
        <v>519</v>
      </c>
      <c r="H1460" s="862"/>
      <c r="I1460" s="647"/>
      <c r="K1460" s="986"/>
      <c r="L1460" s="870"/>
      <c r="M1460" s="1173"/>
      <c r="N1460" s="1173"/>
      <c r="O1460" s="1173"/>
      <c r="P1460" s="1173"/>
      <c r="Q1460" s="1173"/>
      <c r="R1460" s="1173"/>
      <c r="S1460" s="1173"/>
    </row>
    <row r="1461" spans="1:19" s="47" customFormat="1" ht="13">
      <c r="A1461" s="422">
        <v>42704</v>
      </c>
      <c r="B1461" s="430">
        <v>29333.81</v>
      </c>
      <c r="C1461" s="430">
        <f t="shared" si="160"/>
        <v>30000.450969726029</v>
      </c>
      <c r="D1461" s="422">
        <f t="shared" si="161"/>
        <v>42739</v>
      </c>
      <c r="E1461" s="421">
        <v>35</v>
      </c>
      <c r="F1461" s="423">
        <v>0.23699999999999999</v>
      </c>
      <c r="G1461" s="469" t="s">
        <v>520</v>
      </c>
      <c r="H1461" s="1009">
        <f>+C1461</f>
        <v>30000.450969726029</v>
      </c>
      <c r="I1461" s="647"/>
      <c r="K1461" s="986"/>
      <c r="L1461" s="870"/>
      <c r="M1461" s="1173"/>
      <c r="N1461" s="1173"/>
      <c r="O1461" s="1173"/>
      <c r="P1461" s="1173"/>
      <c r="Q1461" s="1173"/>
      <c r="R1461" s="1173"/>
      <c r="S1461" s="1173"/>
    </row>
    <row r="1462" spans="1:19" s="47" customFormat="1" ht="13">
      <c r="A1462" s="422">
        <v>42711</v>
      </c>
      <c r="B1462" s="430">
        <v>659033.03</v>
      </c>
      <c r="C1462" s="430">
        <f t="shared" si="160"/>
        <v>674000.75345326716</v>
      </c>
      <c r="D1462" s="422">
        <f t="shared" si="161"/>
        <v>42746</v>
      </c>
      <c r="E1462" s="421">
        <v>35</v>
      </c>
      <c r="F1462" s="423">
        <v>0.23685</v>
      </c>
      <c r="G1462" s="469" t="s">
        <v>520</v>
      </c>
      <c r="H1462" s="1009">
        <f>+C1462</f>
        <v>674000.75345326716</v>
      </c>
      <c r="I1462" s="647"/>
      <c r="K1462" s="986"/>
      <c r="L1462" s="870"/>
      <c r="M1462" s="1173"/>
      <c r="N1462" s="1173"/>
      <c r="O1462" s="1173"/>
      <c r="P1462" s="1173"/>
      <c r="Q1462" s="1173"/>
      <c r="R1462" s="1173"/>
      <c r="S1462" s="1173"/>
    </row>
    <row r="1463" spans="1:19" s="47" customFormat="1" ht="13">
      <c r="A1463" s="422">
        <v>42718</v>
      </c>
      <c r="B1463" s="430">
        <v>507474.99</v>
      </c>
      <c r="C1463" s="430">
        <f t="shared" si="160"/>
        <v>519000.58122836298</v>
      </c>
      <c r="D1463" s="422">
        <f t="shared" si="161"/>
        <v>42753</v>
      </c>
      <c r="E1463" s="421">
        <v>35</v>
      </c>
      <c r="F1463" s="423">
        <v>0.23685</v>
      </c>
      <c r="G1463" s="469" t="s">
        <v>520</v>
      </c>
      <c r="H1463" s="1009"/>
      <c r="I1463" s="647"/>
      <c r="K1463" s="986"/>
      <c r="L1463" s="870"/>
      <c r="M1463" s="1173"/>
      <c r="N1463" s="1173"/>
      <c r="O1463" s="1173"/>
      <c r="P1463" s="1173"/>
      <c r="Q1463" s="1173"/>
      <c r="R1463" s="1173"/>
      <c r="S1463" s="1173"/>
    </row>
    <row r="1464" spans="1:19" s="47" customFormat="1" ht="13">
      <c r="A1464" s="422">
        <v>42690</v>
      </c>
      <c r="B1464" s="430">
        <v>11514.35</v>
      </c>
      <c r="C1464" s="430">
        <f t="shared" si="160"/>
        <v>12000.271343082191</v>
      </c>
      <c r="D1464" s="422">
        <f t="shared" si="161"/>
        <v>42753</v>
      </c>
      <c r="E1464" s="421">
        <v>63</v>
      </c>
      <c r="F1464" s="423">
        <v>0.2445</v>
      </c>
      <c r="G1464" s="469" t="s">
        <v>520</v>
      </c>
      <c r="H1464" s="1009"/>
      <c r="I1464" s="647"/>
      <c r="K1464" s="986"/>
      <c r="L1464" s="870"/>
      <c r="M1464" s="1173"/>
      <c r="N1464" s="1173"/>
      <c r="O1464" s="1173"/>
      <c r="P1464" s="1173"/>
      <c r="Q1464" s="1173"/>
      <c r="R1464" s="1173"/>
      <c r="S1464" s="1173"/>
    </row>
    <row r="1465" spans="1:19" s="47" customFormat="1" ht="13">
      <c r="A1465" s="422">
        <v>42683</v>
      </c>
      <c r="B1465" s="430">
        <v>23864.84</v>
      </c>
      <c r="C1465" s="430">
        <f t="shared" si="160"/>
        <v>25000.806384</v>
      </c>
      <c r="D1465" s="422">
        <f t="shared" si="161"/>
        <v>42753</v>
      </c>
      <c r="E1465" s="421">
        <v>70</v>
      </c>
      <c r="F1465" s="423">
        <v>0.2482</v>
      </c>
      <c r="G1465" s="469" t="s">
        <v>520</v>
      </c>
      <c r="H1465" s="1009">
        <f>+C1465+C1464+C1463</f>
        <v>556001.65895544516</v>
      </c>
      <c r="I1465" s="647"/>
      <c r="K1465" s="986"/>
      <c r="L1465" s="870"/>
      <c r="M1465" s="1173"/>
      <c r="N1465" s="1173"/>
      <c r="O1465" s="1173"/>
      <c r="P1465" s="1173"/>
      <c r="Q1465" s="1173"/>
      <c r="R1465" s="1173"/>
      <c r="S1465" s="1173"/>
    </row>
    <row r="1466" spans="1:19" s="47" customFormat="1" ht="13">
      <c r="A1466" s="422">
        <v>42725</v>
      </c>
      <c r="B1466" s="430">
        <v>560275.86</v>
      </c>
      <c r="C1466" s="430">
        <f t="shared" si="160"/>
        <v>573000.64578201366</v>
      </c>
      <c r="D1466" s="422">
        <f t="shared" si="161"/>
        <v>42760</v>
      </c>
      <c r="E1466" s="421">
        <v>35</v>
      </c>
      <c r="F1466" s="423">
        <v>0.23685</v>
      </c>
      <c r="G1466" s="469" t="s">
        <v>520</v>
      </c>
      <c r="H1466" s="1009"/>
      <c r="I1466" s="647"/>
      <c r="K1466" s="986"/>
      <c r="L1466" s="870"/>
      <c r="M1466" s="1173"/>
      <c r="N1466" s="1173"/>
      <c r="O1466" s="1173"/>
      <c r="P1466" s="1173"/>
      <c r="Q1466" s="1173"/>
      <c r="R1466" s="1173"/>
      <c r="S1466" s="1173"/>
    </row>
    <row r="1467" spans="1:19" s="47" customFormat="1" ht="13">
      <c r="A1467" s="422">
        <v>42725</v>
      </c>
      <c r="B1467" s="430">
        <v>10755.73</v>
      </c>
      <c r="C1467" s="430">
        <f t="shared" si="160"/>
        <v>11000.010308952054</v>
      </c>
      <c r="D1467" s="422">
        <f t="shared" si="161"/>
        <v>42760</v>
      </c>
      <c r="E1467" s="421">
        <v>35</v>
      </c>
      <c r="F1467" s="423">
        <v>0.23685</v>
      </c>
      <c r="G1467" s="469" t="s">
        <v>520</v>
      </c>
      <c r="H1467" s="1009">
        <f>+C1467+C1466</f>
        <v>584000.65609096573</v>
      </c>
      <c r="I1467" s="647"/>
      <c r="K1467" s="986"/>
      <c r="L1467" s="870"/>
      <c r="M1467" s="1173"/>
      <c r="N1467" s="1173"/>
      <c r="O1467" s="1173"/>
      <c r="P1467" s="1173"/>
      <c r="Q1467" s="1173"/>
      <c r="R1467" s="1173"/>
      <c r="S1467" s="1173"/>
    </row>
    <row r="1468" spans="1:19" s="47" customFormat="1" ht="13">
      <c r="A1468" s="422">
        <v>42732</v>
      </c>
      <c r="B1468" s="430">
        <v>866436.68</v>
      </c>
      <c r="C1468" s="430">
        <f t="shared" si="160"/>
        <v>887000.54573517269</v>
      </c>
      <c r="D1468" s="422">
        <f t="shared" si="161"/>
        <v>42767</v>
      </c>
      <c r="E1468" s="421">
        <v>35</v>
      </c>
      <c r="F1468" s="423">
        <v>0.24751000000000001</v>
      </c>
      <c r="G1468" s="469" t="s">
        <v>519</v>
      </c>
      <c r="H1468" s="1009">
        <f>+C1468</f>
        <v>887000.54573517269</v>
      </c>
      <c r="I1468" s="647"/>
      <c r="K1468" s="986"/>
      <c r="L1468" s="870"/>
      <c r="M1468" s="1173"/>
      <c r="N1468" s="1173"/>
      <c r="O1468" s="1173"/>
      <c r="P1468" s="1173"/>
      <c r="Q1468" s="1173"/>
      <c r="R1468" s="1173"/>
      <c r="S1468" s="1173"/>
    </row>
    <row r="1469" spans="1:19" s="47" customFormat="1" ht="13">
      <c r="A1469" s="422">
        <v>42732</v>
      </c>
      <c r="B1469" s="430">
        <f>119071.99+38722.6</f>
        <v>157794.59</v>
      </c>
      <c r="C1469" s="430">
        <f t="shared" si="160"/>
        <v>163000.40644967809</v>
      </c>
      <c r="D1469" s="422">
        <f t="shared" si="161"/>
        <v>42781</v>
      </c>
      <c r="E1469" s="421">
        <v>49</v>
      </c>
      <c r="F1469" s="423">
        <v>0.24575</v>
      </c>
      <c r="G1469" s="469" t="s">
        <v>519</v>
      </c>
      <c r="H1469" s="1009">
        <f>+C1469</f>
        <v>163000.40644967809</v>
      </c>
      <c r="I1469" s="647"/>
      <c r="K1469" s="986"/>
      <c r="L1469" s="870"/>
      <c r="M1469" s="1173"/>
      <c r="N1469" s="1173"/>
      <c r="O1469" s="1173"/>
      <c r="P1469" s="1173"/>
      <c r="Q1469" s="1173"/>
      <c r="R1469" s="1173"/>
      <c r="S1469" s="1173"/>
    </row>
    <row r="1470" spans="1:19" s="47" customFormat="1" ht="13">
      <c r="A1470" s="422"/>
      <c r="B1470" s="590">
        <f>SUM(B1412:B1469)</f>
        <v>19231948.482996579</v>
      </c>
      <c r="C1470" s="590">
        <f>SUM(C1412:C1469)</f>
        <v>19758527.977171965</v>
      </c>
      <c r="D1470" s="422"/>
      <c r="E1470" s="421"/>
      <c r="F1470" s="423"/>
      <c r="G1470" s="469"/>
      <c r="H1470" s="862"/>
      <c r="I1470" s="647"/>
      <c r="K1470" s="986"/>
      <c r="L1470" s="870"/>
      <c r="M1470" s="442"/>
      <c r="N1470" s="442"/>
      <c r="O1470" s="442"/>
      <c r="P1470" s="442"/>
      <c r="Q1470" s="442"/>
      <c r="R1470" s="442"/>
      <c r="S1470" s="442"/>
    </row>
    <row r="1471" spans="1:19" s="47" customFormat="1" ht="13">
      <c r="A1471" s="422"/>
      <c r="B1471" s="590"/>
      <c r="C1471" s="590">
        <f>+C1470-B1470</f>
        <v>526579.49417538568</v>
      </c>
      <c r="D1471" s="422"/>
      <c r="E1471" s="421"/>
      <c r="F1471" s="423"/>
      <c r="G1471" s="469"/>
      <c r="H1471" s="862"/>
      <c r="I1471" s="647"/>
      <c r="K1471" s="986"/>
      <c r="L1471" s="870"/>
      <c r="M1471" s="442"/>
      <c r="N1471" s="442"/>
      <c r="O1471" s="442"/>
      <c r="P1471" s="442"/>
      <c r="Q1471" s="442"/>
      <c r="R1471" s="442"/>
      <c r="S1471" s="442"/>
    </row>
    <row r="1473" spans="1:32" s="47" customFormat="1" ht="13">
      <c r="A1473" s="422">
        <v>42753</v>
      </c>
      <c r="B1473" s="430">
        <v>554994.98</v>
      </c>
      <c r="C1473" s="430">
        <f>B1473+(B1473*F1473/365*E1473)*1</f>
        <v>565000.09498191776</v>
      </c>
      <c r="D1473" s="422">
        <f t="shared" ref="D1473:D1517" si="162">A1473+E1473</f>
        <v>42781</v>
      </c>
      <c r="E1473" s="421">
        <v>28</v>
      </c>
      <c r="F1473" s="423">
        <v>0.23499999999999999</v>
      </c>
      <c r="G1473" s="469" t="s">
        <v>519</v>
      </c>
      <c r="H1473" s="862"/>
      <c r="I1473" s="647"/>
      <c r="K1473" s="986"/>
      <c r="L1473" s="870"/>
      <c r="M1473" s="1173"/>
      <c r="N1473" s="1173"/>
      <c r="O1473" s="1173"/>
      <c r="P1473" s="1173"/>
      <c r="Q1473" s="1173"/>
      <c r="R1473" s="1173"/>
      <c r="S1473" s="11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</row>
    <row r="1474" spans="1:32" s="47" customFormat="1" ht="13">
      <c r="A1474" s="422">
        <v>42746</v>
      </c>
      <c r="B1474" s="430">
        <v>672531.75</v>
      </c>
      <c r="C1474" s="430">
        <f>B1474+(B1474*F1474/365*E1474)*1</f>
        <v>687000.57964397257</v>
      </c>
      <c r="D1474" s="422">
        <f t="shared" si="162"/>
        <v>42781</v>
      </c>
      <c r="E1474" s="421">
        <v>35</v>
      </c>
      <c r="F1474" s="423">
        <v>0.22436</v>
      </c>
      <c r="G1474" s="469" t="s">
        <v>520</v>
      </c>
      <c r="H1474" s="862"/>
      <c r="I1474" s="647"/>
      <c r="K1474" s="986"/>
      <c r="L1474" s="870"/>
      <c r="M1474" s="1173"/>
      <c r="N1474" s="1173"/>
      <c r="O1474" s="1173"/>
      <c r="P1474" s="1173"/>
      <c r="Q1474" s="1173"/>
      <c r="R1474" s="1173"/>
      <c r="S1474" s="1173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</row>
    <row r="1475" spans="1:32" s="47" customFormat="1" ht="13">
      <c r="A1475" s="422">
        <v>42739</v>
      </c>
      <c r="B1475" s="430">
        <v>29222.94</v>
      </c>
      <c r="C1475" s="430">
        <f>B1475+(B1475*F1475/365*E1475)*1</f>
        <v>30000.5504239726</v>
      </c>
      <c r="D1475" s="422">
        <f t="shared" si="162"/>
        <v>42781</v>
      </c>
      <c r="E1475" s="421">
        <v>42</v>
      </c>
      <c r="F1475" s="423">
        <v>0.23125000000000001</v>
      </c>
      <c r="G1475" s="469" t="s">
        <v>520</v>
      </c>
      <c r="H1475" s="862"/>
      <c r="I1475" s="647"/>
      <c r="K1475" s="986"/>
      <c r="L1475" s="870"/>
      <c r="M1475" s="1173"/>
      <c r="N1475" s="1173"/>
      <c r="O1475" s="1173"/>
      <c r="P1475" s="1173"/>
      <c r="Q1475" s="1173"/>
      <c r="R1475" s="1173"/>
      <c r="S1475" s="1173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</row>
    <row r="1476" spans="1:32" s="47" customFormat="1" ht="13">
      <c r="A1476" s="422">
        <v>42781</v>
      </c>
      <c r="B1476" s="430">
        <v>717211.96</v>
      </c>
      <c r="C1476" s="430">
        <f>B1476+(B1476*F1476/365*E1476)*1-0.88</f>
        <v>729000.00105955498</v>
      </c>
      <c r="D1476" s="422">
        <f t="shared" si="162"/>
        <v>42809</v>
      </c>
      <c r="E1476" s="421">
        <v>28</v>
      </c>
      <c r="F1476" s="423">
        <v>0.21426999999999999</v>
      </c>
      <c r="G1476" s="469" t="s">
        <v>520</v>
      </c>
      <c r="H1476" s="862"/>
      <c r="I1476" s="647">
        <f>+C1476-B1476</f>
        <v>11788.04105955502</v>
      </c>
      <c r="K1476" s="986"/>
      <c r="L1476" s="870"/>
      <c r="M1476" s="1173"/>
      <c r="N1476" s="1173"/>
      <c r="O1476" s="1173"/>
      <c r="P1476" s="1173"/>
      <c r="Q1476" s="1173"/>
      <c r="R1476" s="1173"/>
      <c r="S1476" s="1173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</row>
    <row r="1477" spans="1:32" s="47" customFormat="1" ht="13">
      <c r="A1477" s="422">
        <v>42781</v>
      </c>
      <c r="B1477" s="430">
        <v>727306.78</v>
      </c>
      <c r="C1477" s="430">
        <f>B1477+(B1477*F1477/365*E1477)*1-0.34</f>
        <v>739999.99571095454</v>
      </c>
      <c r="D1477" s="422">
        <f t="shared" si="162"/>
        <v>42809</v>
      </c>
      <c r="E1477" s="421">
        <v>28</v>
      </c>
      <c r="F1477" s="423">
        <v>0.22750999999999999</v>
      </c>
      <c r="G1477" s="469" t="s">
        <v>519</v>
      </c>
      <c r="H1477" s="862"/>
      <c r="I1477" s="647">
        <f>+C1477-B1477</f>
        <v>12693.215710954508</v>
      </c>
      <c r="K1477" s="986"/>
      <c r="L1477" s="870"/>
      <c r="M1477" s="1173">
        <f>+M1473+M1475</f>
        <v>0</v>
      </c>
      <c r="N1477" s="1173"/>
      <c r="O1477" s="1173"/>
      <c r="P1477" s="1173"/>
      <c r="Q1477" s="1173">
        <f>SUM(Q1469:Q1476)</f>
        <v>0</v>
      </c>
      <c r="R1477" s="1173"/>
      <c r="S1477" s="1173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</row>
    <row r="1478" spans="1:32" s="47" customFormat="1" ht="13">
      <c r="A1478" s="422">
        <v>42767</v>
      </c>
      <c r="B1478" s="430">
        <v>886339.09</v>
      </c>
      <c r="C1478" s="430">
        <f>B1478+(B1478*F1478/365*E1478)*1-0.7</f>
        <v>910000.0012135891</v>
      </c>
      <c r="D1478" s="422">
        <f t="shared" si="162"/>
        <v>42809</v>
      </c>
      <c r="E1478" s="421">
        <v>42</v>
      </c>
      <c r="F1478" s="423">
        <v>0.23200000000000001</v>
      </c>
      <c r="G1478" s="469" t="s">
        <v>519</v>
      </c>
      <c r="H1478" s="862"/>
      <c r="I1478" s="647"/>
      <c r="K1478" s="986"/>
      <c r="L1478" s="870"/>
      <c r="M1478" s="1173"/>
      <c r="N1478" s="1173"/>
      <c r="O1478" s="1173"/>
      <c r="P1478" s="1173"/>
      <c r="Q1478" s="1173"/>
      <c r="R1478" s="1173"/>
      <c r="S1478" s="1173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</row>
    <row r="1479" spans="1:32" s="47" customFormat="1" ht="13">
      <c r="A1479" s="422">
        <v>42753</v>
      </c>
      <c r="B1479" s="430">
        <v>80141.23</v>
      </c>
      <c r="C1479" s="430">
        <f>B1479+(B1479*F1479/365*E1479)*1-0.58</f>
        <v>83000.001260394522</v>
      </c>
      <c r="D1479" s="422">
        <f t="shared" si="162"/>
        <v>42809</v>
      </c>
      <c r="E1479" s="421">
        <v>56</v>
      </c>
      <c r="F1479" s="423">
        <v>0.23255000000000001</v>
      </c>
      <c r="G1479" s="469" t="s">
        <v>519</v>
      </c>
      <c r="H1479" s="862"/>
      <c r="I1479" s="647"/>
      <c r="K1479" s="986"/>
      <c r="L1479" s="870"/>
      <c r="M1479" s="1173"/>
      <c r="N1479" s="1173"/>
      <c r="O1479" s="1173"/>
      <c r="P1479" s="1173"/>
      <c r="Q1479" s="1173"/>
      <c r="R1479" s="1173"/>
      <c r="S1479" s="1173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</row>
    <row r="1480" spans="1:32" s="47" customFormat="1" ht="13">
      <c r="A1480" s="422">
        <v>42760</v>
      </c>
      <c r="B1480" s="430">
        <v>586342.54</v>
      </c>
      <c r="C1480" s="430">
        <f>B1480+(B1480*F1480/365*E1480)*1-0.56</f>
        <v>603999.99884359399</v>
      </c>
      <c r="D1480" s="422">
        <f t="shared" si="162"/>
        <v>42809</v>
      </c>
      <c r="E1480" s="421">
        <v>49</v>
      </c>
      <c r="F1480" s="423">
        <v>0.22433</v>
      </c>
      <c r="G1480" s="469" t="s">
        <v>520</v>
      </c>
      <c r="H1480" s="862"/>
      <c r="I1480" s="647"/>
      <c r="K1480" s="986"/>
      <c r="L1480" s="870"/>
      <c r="M1480" s="1173"/>
      <c r="N1480" s="1173"/>
      <c r="O1480" s="1173">
        <v>42508</v>
      </c>
      <c r="P1480" s="1173" t="s">
        <v>659</v>
      </c>
      <c r="Q1480" s="1173">
        <v>353</v>
      </c>
      <c r="R1480" s="1173" t="s">
        <v>660</v>
      </c>
      <c r="S1480" s="1173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</row>
    <row r="1481" spans="1:32" s="47" customFormat="1" ht="13">
      <c r="A1481" s="422">
        <v>42809</v>
      </c>
      <c r="B1481" s="430">
        <v>1532307.15</v>
      </c>
      <c r="C1481" s="430">
        <f>B1481+(B1481*F1481/365*E1481)*1-0.34</f>
        <v>1565000</v>
      </c>
      <c r="D1481" s="422">
        <f t="shared" si="162"/>
        <v>42844</v>
      </c>
      <c r="E1481" s="421">
        <v>35</v>
      </c>
      <c r="F1481" s="423">
        <v>0.22250321493498099</v>
      </c>
      <c r="G1481" s="469" t="s">
        <v>519</v>
      </c>
      <c r="H1481" s="862"/>
      <c r="I1481" s="647">
        <f>+C1481-B1481</f>
        <v>32692.850000000093</v>
      </c>
      <c r="K1481" s="986"/>
      <c r="L1481" s="870"/>
      <c r="M1481" s="1173">
        <f>+M1477+M1479</f>
        <v>0</v>
      </c>
      <c r="N1481" s="1173"/>
      <c r="O1481" s="1173"/>
      <c r="P1481" s="1173"/>
      <c r="Q1481" s="1173">
        <f>SUM(Q1467:Q1480)</f>
        <v>353</v>
      </c>
      <c r="R1481" s="1173"/>
      <c r="S1481" s="1173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</row>
    <row r="1482" spans="1:32" s="47" customFormat="1" ht="13">
      <c r="A1482" s="422">
        <v>42809</v>
      </c>
      <c r="B1482" s="430">
        <v>1531833.03</v>
      </c>
      <c r="C1482" s="430">
        <f>B1482+(B1482*F1482/365*E1482)*1-0.88</f>
        <v>1590000</v>
      </c>
      <c r="D1482" s="422">
        <f t="shared" si="162"/>
        <v>42872</v>
      </c>
      <c r="E1482" s="421">
        <v>63</v>
      </c>
      <c r="F1482" s="423">
        <v>0.22000061607070776</v>
      </c>
      <c r="G1482" s="469" t="s">
        <v>519</v>
      </c>
      <c r="H1482" s="862"/>
      <c r="I1482" s="647">
        <f>+C1482-B1482</f>
        <v>58166.969999999972</v>
      </c>
      <c r="K1482" s="986"/>
      <c r="L1482" s="870"/>
      <c r="M1482" s="1173"/>
      <c r="N1482" s="1173"/>
      <c r="O1482" s="1173"/>
      <c r="P1482" s="1173"/>
      <c r="Q1482" s="1173"/>
      <c r="R1482" s="1173"/>
      <c r="S1482" s="1173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</row>
    <row r="1483" spans="1:32" s="47" customFormat="1" ht="13">
      <c r="A1483" s="422">
        <v>42809</v>
      </c>
      <c r="B1483" s="430">
        <v>1531833.03</v>
      </c>
      <c r="C1483" s="430">
        <f>B1483+(B1483*F1483/365*E1483)*1-0.88</f>
        <v>1590000</v>
      </c>
      <c r="D1483" s="422">
        <f t="shared" si="162"/>
        <v>42872</v>
      </c>
      <c r="E1483" s="421">
        <v>63</v>
      </c>
      <c r="F1483" s="423">
        <v>0.22000061607070776</v>
      </c>
      <c r="G1483" s="469" t="s">
        <v>519</v>
      </c>
      <c r="H1483" s="862"/>
      <c r="I1483" s="647">
        <f>+C1483-B1483</f>
        <v>58166.969999999972</v>
      </c>
      <c r="K1483" s="986" t="s">
        <v>661</v>
      </c>
      <c r="L1483" s="870">
        <v>-7</v>
      </c>
      <c r="M1483" s="1173">
        <v>20</v>
      </c>
      <c r="N1483" s="1173">
        <f>+L1483*M1483</f>
        <v>-140</v>
      </c>
      <c r="O1483" s="1173"/>
      <c r="P1483" s="1173"/>
      <c r="Q1483" s="1173"/>
      <c r="R1483" s="1173"/>
      <c r="S1483" s="117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</row>
    <row r="1484" spans="1:32" s="47" customFormat="1" ht="13">
      <c r="A1484" s="422">
        <v>42844</v>
      </c>
      <c r="B1484" s="430">
        <v>1561943.57</v>
      </c>
      <c r="C1484" s="430">
        <f>B1484+(B1484*F1484/365*E1484)*1-0.34</f>
        <v>1591000.2588010954</v>
      </c>
      <c r="D1484" s="422">
        <f t="shared" si="162"/>
        <v>42872</v>
      </c>
      <c r="E1484" s="421">
        <v>28</v>
      </c>
      <c r="F1484" s="423">
        <v>0.242505</v>
      </c>
      <c r="G1484" s="469" t="s">
        <v>519</v>
      </c>
      <c r="H1484" s="862"/>
      <c r="I1484" s="647">
        <f>+C1484-B1484</f>
        <v>29056.688801095355</v>
      </c>
      <c r="K1484" s="986" t="s">
        <v>661</v>
      </c>
      <c r="L1484" s="870">
        <v>-7</v>
      </c>
      <c r="M1484" s="1173">
        <v>10</v>
      </c>
      <c r="N1484" s="1173">
        <f>+L1484*M1484</f>
        <v>-70</v>
      </c>
      <c r="O1484" s="1173"/>
      <c r="P1484" s="1173"/>
      <c r="Q1484" s="1173">
        <f>SUM(Q1467:Q1483)</f>
        <v>706</v>
      </c>
      <c r="R1484" s="1173"/>
      <c r="S1484" s="1173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</row>
    <row r="1485" spans="1:32" s="539" customFormat="1" ht="13">
      <c r="A1485" s="532">
        <v>42872</v>
      </c>
      <c r="B1485" s="533">
        <v>1588166.76</v>
      </c>
      <c r="C1485" s="533">
        <f>B1485+(B1485*F1485/365*E1485)*1-0.34</f>
        <v>1627000.3606383561</v>
      </c>
      <c r="D1485" s="532">
        <f t="shared" si="162"/>
        <v>42907</v>
      </c>
      <c r="E1485" s="534">
        <v>35</v>
      </c>
      <c r="F1485" s="535">
        <v>0.255</v>
      </c>
      <c r="G1485" s="536" t="s">
        <v>519</v>
      </c>
      <c r="H1485" s="863"/>
      <c r="I1485" s="581" t="s">
        <v>662</v>
      </c>
      <c r="K1485" s="578"/>
      <c r="L1485" s="578"/>
      <c r="M1485" s="578"/>
      <c r="N1485" s="578"/>
      <c r="O1485" s="579"/>
      <c r="P1485" s="578"/>
      <c r="Q1485" s="537"/>
      <c r="R1485" s="537"/>
      <c r="S1485" s="540">
        <f>SUM(S1469:S1484)</f>
        <v>0</v>
      </c>
      <c r="T1485" s="537"/>
      <c r="U1485" s="537"/>
      <c r="V1485" s="537"/>
      <c r="W1485" s="537"/>
      <c r="X1485" s="537"/>
      <c r="Y1485" s="537"/>
      <c r="Z1485" s="537"/>
      <c r="AA1485" s="537"/>
      <c r="AB1485" s="537"/>
      <c r="AC1485" s="537"/>
      <c r="AD1485" s="537"/>
      <c r="AE1485" s="537"/>
      <c r="AF1485" s="537"/>
    </row>
    <row r="1486" spans="1:32" s="539" customFormat="1" ht="13">
      <c r="A1486" s="532">
        <v>42844</v>
      </c>
      <c r="B1486" s="533">
        <v>100990.71</v>
      </c>
      <c r="C1486" s="533">
        <f>B1486+(B1486*F1486/365*E1486)*1-0.34</f>
        <v>105000.43440722329</v>
      </c>
      <c r="D1486" s="532">
        <f t="shared" si="162"/>
        <v>42907</v>
      </c>
      <c r="E1486" s="534">
        <v>63</v>
      </c>
      <c r="F1486" s="535">
        <v>0.23005</v>
      </c>
      <c r="G1486" s="536" t="s">
        <v>519</v>
      </c>
      <c r="H1486" s="863"/>
      <c r="I1486" s="581"/>
      <c r="K1486" s="578"/>
      <c r="L1486" s="578"/>
      <c r="M1486" s="578"/>
      <c r="N1486" s="578"/>
      <c r="O1486" s="579"/>
      <c r="P1486" s="578"/>
      <c r="Q1486" s="537"/>
      <c r="R1486" s="537"/>
      <c r="S1486" s="540"/>
      <c r="T1486" s="537"/>
      <c r="U1486" s="537"/>
      <c r="V1486" s="537"/>
      <c r="W1486" s="537"/>
      <c r="X1486" s="537"/>
      <c r="Y1486" s="537"/>
      <c r="Z1486" s="537"/>
      <c r="AA1486" s="537"/>
      <c r="AB1486" s="537"/>
      <c r="AC1486" s="537"/>
      <c r="AD1486" s="537"/>
      <c r="AE1486" s="537"/>
      <c r="AF1486" s="537"/>
    </row>
    <row r="1487" spans="1:32" s="539" customFormat="1" ht="13">
      <c r="A1487" s="532">
        <v>42872</v>
      </c>
      <c r="B1487" s="533">
        <v>1583967.41</v>
      </c>
      <c r="C1487" s="533">
        <f>B1487+(B1487*F1487/365*E1487)*1-0.88</f>
        <v>1653000.6684227649</v>
      </c>
      <c r="D1487" s="532">
        <f t="shared" si="162"/>
        <v>42935</v>
      </c>
      <c r="E1487" s="534">
        <v>63</v>
      </c>
      <c r="F1487" s="535">
        <v>0.25250499999999998</v>
      </c>
      <c r="G1487" s="536" t="s">
        <v>519</v>
      </c>
      <c r="H1487" s="863"/>
      <c r="I1487" s="581" t="s">
        <v>663</v>
      </c>
      <c r="K1487" s="578"/>
      <c r="L1487" s="578"/>
      <c r="M1487" s="578"/>
      <c r="N1487" s="578"/>
      <c r="O1487" s="579"/>
      <c r="P1487" s="578"/>
      <c r="Q1487" s="537"/>
      <c r="R1487" s="537"/>
      <c r="S1487" s="538"/>
      <c r="T1487" s="537"/>
      <c r="U1487" s="537"/>
      <c r="V1487" s="537"/>
      <c r="W1487" s="537"/>
      <c r="X1487" s="537"/>
      <c r="Y1487" s="537"/>
      <c r="Z1487" s="537"/>
      <c r="AA1487" s="537"/>
      <c r="AB1487" s="537"/>
      <c r="AC1487" s="537"/>
      <c r="AD1487" s="537"/>
      <c r="AE1487" s="537"/>
      <c r="AF1487" s="537"/>
    </row>
    <row r="1488" spans="1:32" s="539" customFormat="1" ht="13">
      <c r="A1488" s="532">
        <v>42907</v>
      </c>
      <c r="B1488" s="533">
        <v>1629859.56</v>
      </c>
      <c r="C1488" s="533">
        <f>B1488+(B1488*F1488/365*E1488)*1-0.34</f>
        <v>1693000.7831207584</v>
      </c>
      <c r="D1488" s="532">
        <f t="shared" si="162"/>
        <v>42963</v>
      </c>
      <c r="E1488" s="534">
        <v>56</v>
      </c>
      <c r="F1488" s="535">
        <v>0.25250499999999998</v>
      </c>
      <c r="G1488" s="536" t="s">
        <v>519</v>
      </c>
      <c r="H1488" s="863"/>
      <c r="I1488" s="581" t="s">
        <v>662</v>
      </c>
      <c r="K1488" s="578"/>
      <c r="L1488" s="578"/>
      <c r="M1488" s="578"/>
      <c r="N1488" s="578"/>
      <c r="O1488" s="579"/>
      <c r="P1488" s="578"/>
      <c r="Q1488" s="537"/>
      <c r="R1488" s="537"/>
      <c r="S1488" s="540">
        <f>SUM(S1472:S1487)</f>
        <v>0</v>
      </c>
      <c r="T1488" s="537"/>
      <c r="U1488" s="537"/>
      <c r="V1488" s="537"/>
      <c r="W1488" s="537"/>
      <c r="X1488" s="578"/>
      <c r="Y1488" s="578"/>
      <c r="Z1488" s="578"/>
      <c r="AA1488" s="578"/>
      <c r="AB1488" s="579"/>
      <c r="AC1488" s="578"/>
      <c r="AD1488" s="537"/>
      <c r="AE1488" s="537"/>
      <c r="AF1488" s="540">
        <f>SUM(AF1472:AF1487)</f>
        <v>0</v>
      </c>
    </row>
    <row r="1489" spans="1:11" s="539" customFormat="1" ht="13">
      <c r="A1489" s="532">
        <v>42935</v>
      </c>
      <c r="B1489" s="533">
        <v>1649411.14</v>
      </c>
      <c r="C1489" s="533">
        <f>B1489+(B1489*F1489/365*E1489)*1-0.88</f>
        <v>1724000.6490836863</v>
      </c>
      <c r="D1489" s="532">
        <f t="shared" si="162"/>
        <v>42998</v>
      </c>
      <c r="E1489" s="534">
        <v>63</v>
      </c>
      <c r="F1489" s="535">
        <v>0.26200299999999999</v>
      </c>
      <c r="G1489" s="536" t="s">
        <v>519</v>
      </c>
      <c r="H1489" s="863"/>
      <c r="I1489" s="581">
        <f>445+1649.12</f>
        <v>2094.12</v>
      </c>
      <c r="K1489"/>
    </row>
    <row r="1490" spans="1:11" s="539" customFormat="1" ht="13">
      <c r="A1490" s="532">
        <v>42963</v>
      </c>
      <c r="B1490" s="533">
        <f>1693000-1692</f>
        <v>1691308</v>
      </c>
      <c r="C1490" s="533">
        <f>B1490+(B1490*F1490/365*E1490)*1-0.34</f>
        <v>1767000.7362552327</v>
      </c>
      <c r="D1490" s="532">
        <f t="shared" si="162"/>
        <v>43026</v>
      </c>
      <c r="E1490" s="534">
        <v>63</v>
      </c>
      <c r="F1490" s="535">
        <v>0.25929000000000002</v>
      </c>
      <c r="G1490" s="536" t="s">
        <v>519</v>
      </c>
      <c r="H1490" s="863"/>
      <c r="I1490" s="581" t="s">
        <v>662</v>
      </c>
      <c r="K1490"/>
    </row>
    <row r="1491" spans="1:11" s="539" customFormat="1" ht="13">
      <c r="A1491" s="532">
        <v>42998</v>
      </c>
      <c r="B1491" s="533">
        <f>1655.67+1655669.26</f>
        <v>1657324.93</v>
      </c>
      <c r="C1491" s="533">
        <f>B1491+(B1491*F1491/365*E1491)*1-0.88</f>
        <v>1724000.1662364211</v>
      </c>
      <c r="D1491" s="532">
        <f t="shared" si="162"/>
        <v>43054</v>
      </c>
      <c r="E1491" s="534">
        <v>56</v>
      </c>
      <c r="F1491" s="535">
        <v>0.26222099999999998</v>
      </c>
      <c r="G1491" s="536" t="s">
        <v>519</v>
      </c>
      <c r="H1491" s="863"/>
      <c r="I1491" s="581" t="s">
        <v>664</v>
      </c>
      <c r="K1491"/>
    </row>
    <row r="1492" spans="1:11" s="539" customFormat="1" ht="13">
      <c r="A1492" s="532">
        <v>42998</v>
      </c>
      <c r="B1492" s="533">
        <f>62.43+62423.72</f>
        <v>62486.15</v>
      </c>
      <c r="C1492" s="533">
        <f>B1492+(B1492*F1492/365*E1492)*1-0.88</f>
        <v>65000.87680153425</v>
      </c>
      <c r="D1492" s="532">
        <f t="shared" si="162"/>
        <v>43054</v>
      </c>
      <c r="E1492" s="534">
        <v>56</v>
      </c>
      <c r="F1492" s="535">
        <v>0.26240000000000002</v>
      </c>
      <c r="G1492" s="536" t="s">
        <v>519</v>
      </c>
      <c r="H1492" s="863"/>
      <c r="I1492" s="581" t="s">
        <v>664</v>
      </c>
      <c r="K1492"/>
    </row>
    <row r="1493" spans="1:11" s="539" customFormat="1" ht="13">
      <c r="A1493" s="532">
        <v>43026</v>
      </c>
      <c r="B1493" s="533">
        <f>1688766.07+1688.77</f>
        <v>1690454.84</v>
      </c>
      <c r="C1493" s="533">
        <f>B1493+(B1493*F1493/365*E1493)*1-0.34</f>
        <v>1767000.1893908975</v>
      </c>
      <c r="D1493" s="532">
        <f t="shared" si="162"/>
        <v>43089</v>
      </c>
      <c r="E1493" s="534">
        <v>63</v>
      </c>
      <c r="F1493" s="535">
        <v>0.26234299999999999</v>
      </c>
      <c r="G1493" s="536" t="s">
        <v>519</v>
      </c>
      <c r="H1493" s="863"/>
      <c r="I1493" s="581" t="s">
        <v>662</v>
      </c>
      <c r="K1493"/>
    </row>
    <row r="1494" spans="1:11" s="539" customFormat="1" ht="13">
      <c r="A1494" s="532">
        <v>43026</v>
      </c>
      <c r="B1494" s="533">
        <f>62122.12+62.13</f>
        <v>62184.25</v>
      </c>
      <c r="C1494" s="533">
        <f>B1494+(B1494*F1494/365*E1494)*1-0.34</f>
        <v>65000.294311232879</v>
      </c>
      <c r="D1494" s="532">
        <f t="shared" si="162"/>
        <v>43089</v>
      </c>
      <c r="E1494" s="534">
        <v>63</v>
      </c>
      <c r="F1494" s="535">
        <v>0.26240000000000002</v>
      </c>
      <c r="G1494" s="536" t="s">
        <v>519</v>
      </c>
      <c r="H1494" s="863"/>
      <c r="I1494" s="581" t="s">
        <v>662</v>
      </c>
      <c r="K1494"/>
    </row>
    <row r="1495" spans="1:11" s="539" customFormat="1" ht="13">
      <c r="A1495" s="532">
        <v>43054</v>
      </c>
      <c r="B1495" s="533">
        <f>194634.2+194.64</f>
        <v>194828.84000000003</v>
      </c>
      <c r="C1495" s="533">
        <f t="shared" ref="C1495:C1505" si="163">B1495+(B1495*F1495/365*E1495)*1-0.88</f>
        <v>200000.13192435619</v>
      </c>
      <c r="D1495" s="532">
        <f t="shared" si="162"/>
        <v>43089</v>
      </c>
      <c r="E1495" s="534">
        <v>35</v>
      </c>
      <c r="F1495" s="535">
        <v>0.27684999999999998</v>
      </c>
      <c r="G1495" s="536" t="s">
        <v>519</v>
      </c>
      <c r="H1495" s="863"/>
      <c r="I1495" s="581" t="s">
        <v>664</v>
      </c>
      <c r="K1495"/>
    </row>
    <row r="1496" spans="1:11" s="539" customFormat="1" ht="13">
      <c r="A1496" s="532">
        <v>43054</v>
      </c>
      <c r="B1496" s="533">
        <f>1703441.07+1703.45</f>
        <v>1705144.52</v>
      </c>
      <c r="C1496" s="533">
        <f t="shared" si="163"/>
        <v>1789000.6620513508</v>
      </c>
      <c r="D1496" s="532">
        <f t="shared" si="162"/>
        <v>43117</v>
      </c>
      <c r="E1496" s="534">
        <v>63</v>
      </c>
      <c r="F1496" s="535">
        <v>0.28492499999999998</v>
      </c>
      <c r="G1496" s="536" t="s">
        <v>519</v>
      </c>
      <c r="H1496" s="863"/>
      <c r="I1496" s="581" t="s">
        <v>664</v>
      </c>
      <c r="K1496"/>
    </row>
    <row r="1497" spans="1:11" s="539" customFormat="1" ht="13">
      <c r="A1497" s="532">
        <v>43054</v>
      </c>
      <c r="B1497" s="533">
        <f>80934.87+80.94</f>
        <v>81015.81</v>
      </c>
      <c r="C1497" s="533">
        <f t="shared" si="163"/>
        <v>85000.102133122462</v>
      </c>
      <c r="D1497" s="532">
        <f t="shared" si="162"/>
        <v>43117</v>
      </c>
      <c r="E1497" s="534">
        <v>63</v>
      </c>
      <c r="F1497" s="535">
        <v>0.28499000000000002</v>
      </c>
      <c r="G1497" s="536" t="s">
        <v>519</v>
      </c>
      <c r="H1497" s="863"/>
      <c r="I1497" s="581" t="s">
        <v>664</v>
      </c>
      <c r="K1497"/>
    </row>
    <row r="1498" spans="1:11" s="539" customFormat="1" ht="13">
      <c r="A1498" s="532">
        <v>43089</v>
      </c>
      <c r="B1498" s="533">
        <f>181007.88+181.01</f>
        <v>181188.89</v>
      </c>
      <c r="C1498" s="533">
        <f t="shared" si="163"/>
        <v>185000.89936036823</v>
      </c>
      <c r="D1498" s="532">
        <f t="shared" si="162"/>
        <v>43117</v>
      </c>
      <c r="E1498" s="534">
        <v>28</v>
      </c>
      <c r="F1498" s="535">
        <v>0.27432000000000001</v>
      </c>
      <c r="G1498" s="536" t="s">
        <v>519</v>
      </c>
      <c r="H1498" s="863"/>
      <c r="I1498" s="581" t="s">
        <v>664</v>
      </c>
      <c r="K1498" s="596"/>
    </row>
    <row r="1499" spans="1:11" s="539" customFormat="1" ht="13">
      <c r="A1499" s="532">
        <v>43089</v>
      </c>
      <c r="B1499" s="533">
        <f>1935772.6+1935.78</f>
        <v>1937708.3800000001</v>
      </c>
      <c r="C1499" s="533">
        <f t="shared" si="163"/>
        <v>2032000.0528359569</v>
      </c>
      <c r="D1499" s="532">
        <f t="shared" si="162"/>
        <v>43152</v>
      </c>
      <c r="E1499" s="534">
        <v>63</v>
      </c>
      <c r="F1499" s="535">
        <v>0.28193000000000001</v>
      </c>
      <c r="G1499" s="536" t="s">
        <v>519</v>
      </c>
      <c r="H1499" s="863"/>
      <c r="I1499" s="581" t="s">
        <v>664</v>
      </c>
      <c r="K1499" s="596">
        <f>SUM(C1496:C1497)</f>
        <v>1874000.7641844733</v>
      </c>
    </row>
    <row r="1500" spans="1:11" s="539" customFormat="1" ht="13">
      <c r="A1500" s="532">
        <f>+A1499</f>
        <v>43089</v>
      </c>
      <c r="B1500" s="533">
        <f>76211.52+76.22</f>
        <v>76287.740000000005</v>
      </c>
      <c r="C1500" s="533">
        <f t="shared" si="163"/>
        <v>80000.087366684937</v>
      </c>
      <c r="D1500" s="532">
        <f t="shared" si="162"/>
        <v>43152</v>
      </c>
      <c r="E1500" s="534">
        <v>63</v>
      </c>
      <c r="F1500" s="535">
        <v>0.28199999999999997</v>
      </c>
      <c r="G1500" s="536" t="s">
        <v>519</v>
      </c>
      <c r="H1500" s="863"/>
      <c r="I1500" s="581" t="s">
        <v>664</v>
      </c>
      <c r="K1500" s="596">
        <f>+K1499+C1498</f>
        <v>2059001.6635448416</v>
      </c>
    </row>
    <row r="1501" spans="1:11" s="539" customFormat="1" ht="13">
      <c r="A1501" s="532">
        <v>43117</v>
      </c>
      <c r="B1501" s="533">
        <f>528.21+528202.84</f>
        <v>528731.04999999993</v>
      </c>
      <c r="C1501" s="533">
        <f t="shared" si="163"/>
        <v>542000</v>
      </c>
      <c r="D1501" s="532">
        <f t="shared" si="162"/>
        <v>43152</v>
      </c>
      <c r="E1501" s="534">
        <v>35</v>
      </c>
      <c r="F1501" s="535">
        <v>0.2617311201980676</v>
      </c>
      <c r="G1501" s="536" t="s">
        <v>519</v>
      </c>
      <c r="H1501" s="863"/>
      <c r="I1501" s="581" t="s">
        <v>664</v>
      </c>
      <c r="K1501" s="596"/>
    </row>
    <row r="1502" spans="1:11" s="47" customFormat="1" ht="13">
      <c r="A1502" s="532">
        <v>43152</v>
      </c>
      <c r="B1502" s="533">
        <f>2600633.36+2600.54</f>
        <v>2603233.9</v>
      </c>
      <c r="C1502" s="533">
        <f t="shared" si="163"/>
        <v>2653999.9999999995</v>
      </c>
      <c r="D1502" s="532">
        <f t="shared" si="162"/>
        <v>43180</v>
      </c>
      <c r="E1502" s="534">
        <v>28</v>
      </c>
      <c r="F1502" s="535">
        <v>0.25421605274446063</v>
      </c>
      <c r="G1502" s="536" t="s">
        <v>519</v>
      </c>
      <c r="H1502" s="862"/>
      <c r="I1502" s="647"/>
      <c r="K1502" s="986"/>
    </row>
    <row r="1503" spans="1:11" ht="13">
      <c r="A1503" s="532">
        <v>43153</v>
      </c>
      <c r="B1503" s="533">
        <f>225595.5+2278.52-2100-300</f>
        <v>225474.02</v>
      </c>
      <c r="C1503" s="533">
        <f t="shared" si="163"/>
        <v>230000</v>
      </c>
      <c r="D1503" s="532">
        <f t="shared" si="162"/>
        <v>43180</v>
      </c>
      <c r="E1503" s="534">
        <v>27</v>
      </c>
      <c r="F1503" s="535">
        <v>0.27141238152733033</v>
      </c>
      <c r="G1503" s="536" t="s">
        <v>519</v>
      </c>
    </row>
    <row r="1504" spans="1:11" ht="13">
      <c r="A1504" s="532">
        <v>43117</v>
      </c>
      <c r="B1504" s="533">
        <f>86+86006.7</f>
        <v>86092.7</v>
      </c>
      <c r="C1504" s="533">
        <f t="shared" si="163"/>
        <v>89999.999999999985</v>
      </c>
      <c r="D1504" s="532">
        <f t="shared" si="162"/>
        <v>43180</v>
      </c>
      <c r="E1504" s="534">
        <v>63</v>
      </c>
      <c r="F1504" s="535">
        <v>0.26300290452884056</v>
      </c>
      <c r="G1504" s="536" t="s">
        <v>519</v>
      </c>
    </row>
    <row r="1505" spans="1:21" ht="13">
      <c r="A1505" s="532">
        <v>43117</v>
      </c>
      <c r="B1505" s="533">
        <f>1967.64+1967642.67</f>
        <v>1969610.3099999998</v>
      </c>
      <c r="C1505" s="533">
        <f t="shared" si="163"/>
        <v>2058999.9999999998</v>
      </c>
      <c r="D1505" s="532">
        <f t="shared" si="162"/>
        <v>43180</v>
      </c>
      <c r="E1505" s="534">
        <v>63</v>
      </c>
      <c r="F1505" s="535">
        <v>0.26294427085193101</v>
      </c>
      <c r="G1505" s="536" t="s">
        <v>519</v>
      </c>
    </row>
    <row r="1506" spans="1:21" s="539" customFormat="1" ht="13">
      <c r="A1506" s="532">
        <v>43180</v>
      </c>
      <c r="B1506" s="533">
        <f>4932.73+4932722.51</f>
        <v>4937655.24</v>
      </c>
      <c r="C1506" s="533">
        <f>B1506+(B1506*F1506/365*E1506)*1</f>
        <v>5033000</v>
      </c>
      <c r="D1506" s="532">
        <f t="shared" si="162"/>
        <v>43208</v>
      </c>
      <c r="E1506" s="534">
        <v>28</v>
      </c>
      <c r="F1506" s="535">
        <v>0.25171604528630392</v>
      </c>
      <c r="G1506" s="536" t="s">
        <v>519</v>
      </c>
      <c r="H1506" s="863"/>
      <c r="I1506" s="581" t="s">
        <v>664</v>
      </c>
      <c r="K1506"/>
      <c r="L1506"/>
      <c r="M1506"/>
      <c r="N1506"/>
      <c r="O1506" s="32"/>
      <c r="P1506">
        <v>85010</v>
      </c>
      <c r="Q1506"/>
      <c r="R1506"/>
      <c r="S1506" s="32" t="s">
        <v>665</v>
      </c>
      <c r="T1506">
        <v>49314</v>
      </c>
      <c r="U1506"/>
    </row>
    <row r="1507" spans="1:21" s="539" customFormat="1" ht="13">
      <c r="A1507" s="532">
        <v>43180</v>
      </c>
      <c r="B1507" s="533">
        <f>178.37+178373.83</f>
        <v>178552.19999999998</v>
      </c>
      <c r="C1507" s="533">
        <f t="shared" ref="C1507:C1517" si="164">B1507+(B1507*F1507/365*E1507)*1-0.88</f>
        <v>182000</v>
      </c>
      <c r="D1507" s="532">
        <f t="shared" si="162"/>
        <v>43208</v>
      </c>
      <c r="E1507" s="534">
        <v>28</v>
      </c>
      <c r="F1507" s="535">
        <v>0.25178075175135078</v>
      </c>
      <c r="G1507" s="536" t="s">
        <v>519</v>
      </c>
      <c r="H1507" s="863"/>
      <c r="I1507" s="581" t="s">
        <v>664</v>
      </c>
      <c r="K1507"/>
      <c r="L1507"/>
      <c r="M1507"/>
      <c r="N1507"/>
      <c r="O1507" s="32"/>
      <c r="P1507"/>
      <c r="Q1507"/>
      <c r="R1507"/>
      <c r="S1507" s="32"/>
      <c r="T1507"/>
      <c r="U1507"/>
    </row>
    <row r="1508" spans="1:21" s="539" customFormat="1" ht="13">
      <c r="A1508" s="532">
        <v>43294</v>
      </c>
      <c r="B1508" s="533">
        <v>279900</v>
      </c>
      <c r="C1508" s="533">
        <f t="shared" si="164"/>
        <v>282840.93000000005</v>
      </c>
      <c r="D1508" s="532">
        <f t="shared" si="162"/>
        <v>43301</v>
      </c>
      <c r="E1508" s="534">
        <v>7</v>
      </c>
      <c r="F1508" s="535">
        <v>0.5480327923237982</v>
      </c>
      <c r="G1508" s="536" t="s">
        <v>666</v>
      </c>
      <c r="H1508" s="863"/>
      <c r="I1508" s="581">
        <v>282240.93</v>
      </c>
      <c r="K1508"/>
      <c r="L1508"/>
      <c r="M1508"/>
      <c r="N1508"/>
      <c r="O1508" s="32"/>
      <c r="P1508">
        <v>85010</v>
      </c>
      <c r="Q1508"/>
      <c r="R1508"/>
      <c r="S1508" s="32" t="s">
        <v>665</v>
      </c>
      <c r="T1508">
        <v>49314</v>
      </c>
      <c r="U1508"/>
    </row>
    <row r="1509" spans="1:21" s="539" customFormat="1" ht="13">
      <c r="A1509" s="532">
        <v>43301</v>
      </c>
      <c r="B1509" s="533">
        <v>307600</v>
      </c>
      <c r="C1509" s="533">
        <f t="shared" si="164"/>
        <v>309534.68</v>
      </c>
      <c r="D1509" s="532">
        <f t="shared" si="162"/>
        <v>43308</v>
      </c>
      <c r="E1509" s="534">
        <v>7</v>
      </c>
      <c r="F1509" s="535">
        <v>0.32810672487460574</v>
      </c>
      <c r="G1509" s="536" t="s">
        <v>666</v>
      </c>
      <c r="H1509" s="863"/>
      <c r="I1509" s="581">
        <v>282240.93</v>
      </c>
      <c r="K1509"/>
      <c r="L1509"/>
      <c r="M1509"/>
      <c r="N1509"/>
      <c r="O1509" s="32"/>
      <c r="P1509">
        <v>85010</v>
      </c>
      <c r="Q1509"/>
      <c r="R1509"/>
      <c r="S1509" s="32" t="s">
        <v>665</v>
      </c>
      <c r="T1509">
        <v>49314</v>
      </c>
      <c r="U1509"/>
    </row>
    <row r="1510" spans="1:21" ht="13">
      <c r="A1510" s="532">
        <v>43308</v>
      </c>
      <c r="B1510" s="533">
        <v>309102.28999999998</v>
      </c>
      <c r="C1510" s="533">
        <f t="shared" si="164"/>
        <v>315894.99999999988</v>
      </c>
      <c r="D1510" s="532">
        <f t="shared" si="162"/>
        <v>43327</v>
      </c>
      <c r="E1510" s="534">
        <v>19</v>
      </c>
      <c r="F1510" s="535">
        <v>0.4222176402306258</v>
      </c>
      <c r="G1510" s="536" t="s">
        <v>667</v>
      </c>
    </row>
    <row r="1511" spans="1:21" s="539" customFormat="1" ht="13">
      <c r="A1511" s="532">
        <v>43342</v>
      </c>
      <c r="B1511" s="533">
        <v>82700</v>
      </c>
      <c r="C1511" s="533">
        <f t="shared" si="164"/>
        <v>83769.62</v>
      </c>
      <c r="D1511" s="532">
        <f t="shared" si="162"/>
        <v>43349</v>
      </c>
      <c r="E1511" s="534">
        <v>7</v>
      </c>
      <c r="F1511" s="535">
        <v>0.67495681464847057</v>
      </c>
      <c r="G1511" s="536" t="s">
        <v>666</v>
      </c>
      <c r="H1511" s="863"/>
      <c r="I1511" s="581" t="s">
        <v>664</v>
      </c>
      <c r="K1511"/>
      <c r="L1511"/>
      <c r="M1511"/>
      <c r="N1511"/>
      <c r="O1511" s="32"/>
      <c r="P1511"/>
      <c r="Q1511"/>
      <c r="R1511"/>
      <c r="S1511" s="32"/>
      <c r="T1511"/>
      <c r="U1511"/>
    </row>
    <row r="1512" spans="1:21" s="539" customFormat="1" ht="13">
      <c r="A1512" s="532">
        <v>43327</v>
      </c>
      <c r="B1512" s="533">
        <v>315493.53000000003</v>
      </c>
      <c r="C1512" s="533">
        <f t="shared" si="164"/>
        <v>328000</v>
      </c>
      <c r="D1512" s="532">
        <f t="shared" si="162"/>
        <v>43362</v>
      </c>
      <c r="E1512" s="534">
        <v>35</v>
      </c>
      <c r="F1512" s="535">
        <v>0.41342778996812568</v>
      </c>
      <c r="G1512" s="536" t="s">
        <v>667</v>
      </c>
      <c r="H1512" s="863"/>
      <c r="I1512" s="581">
        <v>282240.93</v>
      </c>
      <c r="K1512"/>
      <c r="L1512"/>
      <c r="M1512"/>
      <c r="N1512"/>
      <c r="O1512" s="32"/>
      <c r="P1512">
        <v>85010</v>
      </c>
      <c r="Q1512"/>
      <c r="R1512"/>
      <c r="S1512" s="32" t="s">
        <v>665</v>
      </c>
      <c r="T1512"/>
      <c r="U1512">
        <v>49314</v>
      </c>
    </row>
    <row r="1513" spans="1:21" s="539" customFormat="1" ht="13">
      <c r="A1513" s="532">
        <v>43346</v>
      </c>
      <c r="B1513" s="533">
        <v>99274.6</v>
      </c>
      <c r="C1513" s="533">
        <f t="shared" si="164"/>
        <v>102000.00000000001</v>
      </c>
      <c r="D1513" s="532">
        <f t="shared" si="162"/>
        <v>43362</v>
      </c>
      <c r="E1513" s="534">
        <v>16</v>
      </c>
      <c r="F1513" s="535">
        <v>0.62647708980948003</v>
      </c>
      <c r="G1513" s="536" t="s">
        <v>667</v>
      </c>
      <c r="H1513" s="863"/>
      <c r="I1513" s="581">
        <v>282240.93</v>
      </c>
      <c r="K1513"/>
      <c r="L1513"/>
      <c r="M1513"/>
      <c r="N1513"/>
      <c r="O1513" s="32"/>
      <c r="P1513">
        <v>85010</v>
      </c>
      <c r="Q1513"/>
      <c r="R1513"/>
      <c r="S1513" s="32" t="s">
        <v>665</v>
      </c>
      <c r="T1513"/>
      <c r="U1513">
        <v>49314</v>
      </c>
    </row>
    <row r="1514" spans="1:21" s="539" customFormat="1" ht="13">
      <c r="A1514" s="532">
        <v>43362</v>
      </c>
      <c r="B1514" s="533">
        <v>431548.1</v>
      </c>
      <c r="C1514" s="533">
        <f t="shared" si="164"/>
        <v>446000</v>
      </c>
      <c r="D1514" s="532">
        <f t="shared" si="162"/>
        <v>43390</v>
      </c>
      <c r="E1514" s="534">
        <v>28</v>
      </c>
      <c r="F1514" s="601">
        <v>0.43657314379158702</v>
      </c>
      <c r="G1514" s="536" t="s">
        <v>667</v>
      </c>
      <c r="H1514" s="863"/>
      <c r="I1514" s="581">
        <v>282240.93</v>
      </c>
      <c r="K1514"/>
      <c r="L1514"/>
      <c r="M1514"/>
      <c r="N1514"/>
      <c r="O1514" s="32"/>
      <c r="P1514">
        <v>85010</v>
      </c>
      <c r="Q1514"/>
      <c r="R1514"/>
      <c r="S1514" s="32" t="s">
        <v>665</v>
      </c>
      <c r="T1514"/>
      <c r="U1514">
        <v>49314</v>
      </c>
    </row>
    <row r="1515" spans="1:21" s="539" customFormat="1" ht="13">
      <c r="A1515" s="532">
        <v>43390</v>
      </c>
      <c r="B1515" s="533">
        <v>446800</v>
      </c>
      <c r="C1515" s="533">
        <f t="shared" si="164"/>
        <v>450038.95</v>
      </c>
      <c r="D1515" s="532">
        <f t="shared" si="162"/>
        <v>43397</v>
      </c>
      <c r="E1515" s="534">
        <v>7</v>
      </c>
      <c r="F1515" s="601">
        <v>0.37809756682440143</v>
      </c>
      <c r="G1515" s="536" t="s">
        <v>666</v>
      </c>
      <c r="H1515" s="863"/>
      <c r="I1515" s="581">
        <v>282240.93</v>
      </c>
      <c r="K1515"/>
      <c r="L1515"/>
      <c r="M1515"/>
      <c r="N1515"/>
      <c r="O1515" s="32"/>
      <c r="P1515">
        <v>85010</v>
      </c>
      <c r="Q1515"/>
      <c r="R1515"/>
      <c r="S1515" s="32" t="s">
        <v>665</v>
      </c>
      <c r="T1515"/>
      <c r="U1515">
        <v>49314</v>
      </c>
    </row>
    <row r="1516" spans="1:21" s="539" customFormat="1" ht="13">
      <c r="A1516" s="532">
        <v>43397</v>
      </c>
      <c r="B1516" s="533">
        <v>447000</v>
      </c>
      <c r="C1516" s="533">
        <f t="shared" si="164"/>
        <v>450809.5</v>
      </c>
      <c r="D1516" s="532">
        <f t="shared" si="162"/>
        <v>43404</v>
      </c>
      <c r="E1516" s="534">
        <v>7</v>
      </c>
      <c r="F1516" s="601">
        <v>0.44448344519015737</v>
      </c>
      <c r="G1516" s="536" t="s">
        <v>666</v>
      </c>
      <c r="H1516" s="863"/>
      <c r="I1516" s="581">
        <v>282240.93</v>
      </c>
      <c r="K1516"/>
      <c r="L1516"/>
      <c r="M1516"/>
      <c r="N1516"/>
      <c r="O1516" s="32"/>
      <c r="P1516">
        <v>85010</v>
      </c>
      <c r="Q1516"/>
      <c r="R1516"/>
      <c r="S1516" s="32" t="s">
        <v>665</v>
      </c>
      <c r="T1516"/>
      <c r="U1516">
        <v>49314</v>
      </c>
    </row>
    <row r="1517" spans="1:21" s="539" customFormat="1" ht="13">
      <c r="A1517" s="532">
        <v>43405</v>
      </c>
      <c r="B1517" s="533">
        <v>540000</v>
      </c>
      <c r="C1517" s="533">
        <f t="shared" si="164"/>
        <v>586786.79123287671</v>
      </c>
      <c r="D1517" s="532">
        <f t="shared" si="162"/>
        <v>43460</v>
      </c>
      <c r="E1517" s="534">
        <v>55</v>
      </c>
      <c r="F1517" s="601">
        <v>0.57499999999999996</v>
      </c>
      <c r="G1517" s="536" t="s">
        <v>527</v>
      </c>
      <c r="H1517" s="863"/>
      <c r="I1517" s="581"/>
      <c r="K1517"/>
      <c r="L1517"/>
      <c r="M1517"/>
      <c r="N1517"/>
      <c r="O1517" s="32"/>
      <c r="P1517"/>
      <c r="Q1517"/>
      <c r="R1517"/>
      <c r="S1517" s="32"/>
      <c r="T1517"/>
      <c r="U1517"/>
    </row>
    <row r="1519" spans="1:21">
      <c r="B1519" s="596">
        <f>SUM(B1496:B1517)</f>
        <v>17770113.279999997</v>
      </c>
      <c r="C1519" s="596">
        <f>SUM(C1496:C1517)</f>
        <v>18316677.274980355</v>
      </c>
    </row>
    <row r="1521" spans="1:7">
      <c r="B1521" s="596">
        <f>-B1471</f>
        <v>0</v>
      </c>
      <c r="C1521" s="596">
        <f>+C1519-B1519</f>
        <v>546563.99498035759</v>
      </c>
    </row>
    <row r="1522" spans="1:7">
      <c r="B1522" s="596">
        <f>SUM(B1519:B1521)</f>
        <v>17770113.279999997</v>
      </c>
      <c r="C1522" s="596">
        <f>SUM(C1519:C1521)</f>
        <v>18863241.269960713</v>
      </c>
      <c r="E1522" s="591">
        <f>+C1522-B1522</f>
        <v>1093127.9899607152</v>
      </c>
    </row>
    <row r="1523" spans="1:7">
      <c r="E1523">
        <f>+E1522/20</f>
        <v>54656.39949803576</v>
      </c>
    </row>
    <row r="1525" spans="1:7" ht="13">
      <c r="A1525" s="532">
        <v>43460</v>
      </c>
      <c r="B1525" s="533">
        <v>586786.79</v>
      </c>
      <c r="C1525" s="533">
        <f>B1525+(B1525*F1525/365*E1525)*1-0.88</f>
        <v>590664.32953664381</v>
      </c>
      <c r="D1525" s="532">
        <f>A1525+E1525</f>
        <v>43465</v>
      </c>
      <c r="E1525" s="534">
        <v>5</v>
      </c>
      <c r="F1525" s="601">
        <v>0.48249999999999998</v>
      </c>
      <c r="G1525" s="536" t="s">
        <v>527</v>
      </c>
    </row>
    <row r="1526" spans="1:7" ht="13">
      <c r="A1526" s="532">
        <v>43462</v>
      </c>
      <c r="B1526" s="533">
        <v>90000</v>
      </c>
      <c r="C1526" s="533">
        <f>B1526+(B1526*F1526/365*E1526)*1-0.88</f>
        <v>90352.339178082184</v>
      </c>
      <c r="D1526" s="532">
        <f>A1526+E1526</f>
        <v>43465</v>
      </c>
      <c r="E1526" s="534">
        <v>3</v>
      </c>
      <c r="F1526" s="601">
        <v>0.47749999999999998</v>
      </c>
      <c r="G1526" s="536" t="s">
        <v>655</v>
      </c>
    </row>
    <row r="1527" spans="1:7" ht="13">
      <c r="A1527" s="532">
        <v>43462</v>
      </c>
      <c r="B1527" s="533">
        <v>190000</v>
      </c>
      <c r="C1527" s="533">
        <f>B1527+(B1527*F1527/365*E1527)*1-0.88</f>
        <v>190748.70904109589</v>
      </c>
      <c r="D1527" s="532">
        <f>A1527+E1527</f>
        <v>43465</v>
      </c>
      <c r="E1527" s="534">
        <v>3</v>
      </c>
      <c r="F1527" s="601">
        <v>0.48</v>
      </c>
      <c r="G1527" s="536" t="s">
        <v>527</v>
      </c>
    </row>
    <row r="1528" spans="1:7" ht="13">
      <c r="A1528" s="532">
        <v>43462</v>
      </c>
      <c r="B1528" s="533">
        <v>215000</v>
      </c>
      <c r="C1528" s="533">
        <f>B1528+(B1528*F1528/365*E1528)*1-0.88</f>
        <v>215811.99671232875</v>
      </c>
      <c r="D1528" s="532">
        <f>A1528+E1528</f>
        <v>43465</v>
      </c>
      <c r="E1528" s="534">
        <v>3</v>
      </c>
      <c r="F1528" s="601">
        <v>0.46</v>
      </c>
      <c r="G1528" s="536" t="s">
        <v>668</v>
      </c>
    </row>
    <row r="1530" spans="1:7">
      <c r="B1530" s="596">
        <f t="shared" ref="B1530:C1530" si="165">SUM(B1525:B1529)</f>
        <v>1081786.79</v>
      </c>
      <c r="C1530" s="596">
        <f t="shared" si="165"/>
        <v>1087577.3744681505</v>
      </c>
    </row>
    <row r="1531" spans="1:7">
      <c r="C1531" s="591">
        <f>+C1530-B1530</f>
        <v>5790.5844681505114</v>
      </c>
    </row>
    <row r="1535" spans="1:7" ht="13">
      <c r="A1535" s="532">
        <v>43460</v>
      </c>
      <c r="B1535" s="615">
        <v>586786.79</v>
      </c>
      <c r="C1535" s="615">
        <v>610056.42721986305</v>
      </c>
      <c r="D1535" s="532">
        <v>43490</v>
      </c>
      <c r="E1535" s="534">
        <v>30</v>
      </c>
      <c r="F1535" s="601">
        <v>0.48249999999999998</v>
      </c>
      <c r="G1535" s="536" t="s">
        <v>527</v>
      </c>
    </row>
    <row r="1536" spans="1:7" ht="13">
      <c r="A1536" s="532">
        <v>43462</v>
      </c>
      <c r="B1536" s="615">
        <v>90000</v>
      </c>
      <c r="C1536" s="615">
        <v>93649.051506849311</v>
      </c>
      <c r="D1536" s="532">
        <v>43493</v>
      </c>
      <c r="E1536" s="534">
        <v>31</v>
      </c>
      <c r="F1536" s="601">
        <v>0.47749999999999998</v>
      </c>
      <c r="G1536" s="536" t="s">
        <v>655</v>
      </c>
    </row>
    <row r="1537" spans="1:21" ht="13">
      <c r="A1537" s="532">
        <v>43462</v>
      </c>
      <c r="B1537" s="615">
        <v>190000</v>
      </c>
      <c r="C1537" s="615">
        <v>197744.87342465753</v>
      </c>
      <c r="D1537" s="532">
        <v>43493</v>
      </c>
      <c r="E1537" s="534">
        <v>31</v>
      </c>
      <c r="F1537" s="601">
        <v>0.48</v>
      </c>
      <c r="G1537" s="536" t="s">
        <v>527</v>
      </c>
    </row>
    <row r="1538" spans="1:21" ht="13">
      <c r="A1538" s="532">
        <v>43462</v>
      </c>
      <c r="B1538" s="615">
        <v>215000</v>
      </c>
      <c r="C1538" s="615">
        <v>223398.84602739726</v>
      </c>
      <c r="D1538" s="532">
        <v>43493</v>
      </c>
      <c r="E1538" s="534">
        <v>31</v>
      </c>
      <c r="F1538" s="601">
        <v>0.46</v>
      </c>
      <c r="G1538" s="536" t="s">
        <v>668</v>
      </c>
    </row>
    <row r="1539" spans="1:21" s="539" customFormat="1" ht="13">
      <c r="A1539" s="532">
        <v>43585</v>
      </c>
      <c r="B1539" s="533">
        <v>365000</v>
      </c>
      <c r="C1539" s="533">
        <f>B1539+(B1539*F1539/365*E1539)*1-0.88</f>
        <v>367995.42</v>
      </c>
      <c r="D1539" s="532">
        <f>A1539+E1539</f>
        <v>43592</v>
      </c>
      <c r="E1539" s="534">
        <v>7</v>
      </c>
      <c r="F1539" s="601">
        <v>0.4280428571428555</v>
      </c>
      <c r="G1539" s="536" t="s">
        <v>666</v>
      </c>
      <c r="H1539" s="863"/>
      <c r="I1539" s="581">
        <v>282240.93</v>
      </c>
      <c r="K1539"/>
      <c r="L1539"/>
      <c r="M1539"/>
      <c r="N1539"/>
      <c r="O1539" s="32"/>
      <c r="P1539">
        <v>85010</v>
      </c>
      <c r="Q1539"/>
      <c r="R1539"/>
      <c r="S1539" s="32" t="s">
        <v>665</v>
      </c>
      <c r="T1539"/>
      <c r="U1539">
        <v>49314</v>
      </c>
    </row>
    <row r="1540" spans="1:21" s="539" customFormat="1" ht="13">
      <c r="A1540" s="532">
        <v>43592</v>
      </c>
      <c r="B1540" s="533">
        <v>368000</v>
      </c>
      <c r="C1540" s="533">
        <f>B1540+(B1540*F1540/365*E1540)*1-0.88</f>
        <v>371390.42</v>
      </c>
      <c r="D1540" s="532">
        <f>A1540+E1540</f>
        <v>43599</v>
      </c>
      <c r="E1540" s="534">
        <v>7</v>
      </c>
      <c r="F1540" s="601">
        <v>0.48052193322981401</v>
      </c>
      <c r="G1540" s="536" t="s">
        <v>666</v>
      </c>
      <c r="H1540" s="863"/>
      <c r="I1540" s="581">
        <v>282240.93</v>
      </c>
      <c r="K1540"/>
      <c r="L1540"/>
      <c r="M1540"/>
      <c r="N1540"/>
      <c r="O1540" s="32"/>
      <c r="P1540">
        <v>85010</v>
      </c>
      <c r="Q1540"/>
      <c r="R1540"/>
      <c r="S1540" s="32" t="s">
        <v>665</v>
      </c>
      <c r="T1540"/>
      <c r="U1540">
        <v>49314</v>
      </c>
    </row>
    <row r="1541" spans="1:21" s="539" customFormat="1" ht="13">
      <c r="A1541" s="532">
        <v>43599</v>
      </c>
      <c r="B1541" s="533">
        <f>344469.37+37934.88</f>
        <v>382404.25</v>
      </c>
      <c r="C1541" s="533">
        <f>B1541+(B1541*F1541/365*E1541)*1-0.88</f>
        <v>409267.00664178084</v>
      </c>
      <c r="D1541" s="532">
        <f>A1541+E1541</f>
        <v>43644</v>
      </c>
      <c r="E1541" s="534">
        <v>45</v>
      </c>
      <c r="F1541" s="601">
        <v>0.56979999999999997</v>
      </c>
      <c r="G1541" s="536" t="s">
        <v>669</v>
      </c>
      <c r="H1541" s="863"/>
      <c r="I1541" s="581">
        <v>282240.93</v>
      </c>
      <c r="K1541"/>
      <c r="L1541"/>
      <c r="M1541"/>
      <c r="N1541"/>
      <c r="O1541" s="32"/>
      <c r="P1541">
        <v>85010</v>
      </c>
      <c r="Q1541"/>
      <c r="R1541"/>
      <c r="S1541" s="32" t="s">
        <v>665</v>
      </c>
      <c r="T1541"/>
      <c r="U1541">
        <v>49314</v>
      </c>
    </row>
    <row r="1542" spans="1:21" s="539" customFormat="1" ht="13">
      <c r="A1542" s="532">
        <v>43600</v>
      </c>
      <c r="B1542" s="533">
        <v>540000</v>
      </c>
      <c r="C1542" s="533">
        <v>568737.47616438358</v>
      </c>
      <c r="D1542" s="532">
        <v>43635</v>
      </c>
      <c r="E1542" s="534">
        <v>35</v>
      </c>
      <c r="F1542" s="601">
        <v>0.55500000000000005</v>
      </c>
      <c r="G1542" s="536" t="s">
        <v>120</v>
      </c>
      <c r="H1542" s="863"/>
      <c r="I1542" s="581"/>
      <c r="K1542"/>
      <c r="L1542"/>
      <c r="M1542"/>
      <c r="N1542"/>
      <c r="O1542" s="32"/>
      <c r="P1542"/>
      <c r="Q1542"/>
      <c r="R1542"/>
      <c r="S1542" s="32"/>
      <c r="T1542"/>
      <c r="U1542"/>
    </row>
    <row r="1543" spans="1:21" s="539" customFormat="1" ht="13">
      <c r="A1543" s="532">
        <v>43637</v>
      </c>
      <c r="B1543" s="533">
        <v>550000</v>
      </c>
      <c r="C1543" s="533">
        <f t="shared" ref="A1543:C1549" si="166">B1543+(B1543*F1543/365*E1543)*1-0.88</f>
        <v>575714.25698630139</v>
      </c>
      <c r="D1543" s="532">
        <f t="shared" ref="A1543:D1549" si="167">A1543+E1543</f>
        <v>43668</v>
      </c>
      <c r="E1543" s="534">
        <v>31</v>
      </c>
      <c r="F1543" s="601">
        <v>0.55049999999999999</v>
      </c>
      <c r="G1543" s="536" t="s">
        <v>670</v>
      </c>
      <c r="H1543" s="863"/>
      <c r="I1543" s="581"/>
      <c r="K1543"/>
      <c r="L1543"/>
      <c r="M1543"/>
      <c r="N1543"/>
      <c r="O1543" s="32"/>
      <c r="P1543"/>
      <c r="Q1543"/>
      <c r="R1543"/>
      <c r="S1543" s="32"/>
      <c r="T1543"/>
      <c r="U1543"/>
    </row>
    <row r="1544" spans="1:21" s="539" customFormat="1" ht="13">
      <c r="A1544" s="532">
        <v>43642</v>
      </c>
      <c r="B1544" s="533">
        <v>200000</v>
      </c>
      <c r="C1544" s="533">
        <f t="shared" si="166"/>
        <v>212091.17479452054</v>
      </c>
      <c r="D1544" s="532">
        <f t="shared" si="167"/>
        <v>43682</v>
      </c>
      <c r="E1544" s="534">
        <v>40</v>
      </c>
      <c r="F1544" s="601">
        <v>0.55169999999999997</v>
      </c>
      <c r="G1544" s="536" t="s">
        <v>671</v>
      </c>
      <c r="H1544" s="863"/>
      <c r="I1544" s="581"/>
      <c r="K1544"/>
      <c r="L1544"/>
      <c r="M1544"/>
      <c r="N1544"/>
      <c r="O1544" s="32"/>
      <c r="P1544"/>
      <c r="Q1544"/>
      <c r="R1544"/>
      <c r="S1544" s="32"/>
      <c r="T1544"/>
      <c r="U1544"/>
    </row>
    <row r="1545" spans="1:21" s="539" customFormat="1" ht="13">
      <c r="A1545" s="532">
        <v>43642</v>
      </c>
      <c r="B1545" s="533">
        <v>200000</v>
      </c>
      <c r="C1545" s="533">
        <f t="shared" si="166"/>
        <v>212091.17479452054</v>
      </c>
      <c r="D1545" s="532">
        <f t="shared" si="167"/>
        <v>43682</v>
      </c>
      <c r="E1545" s="534">
        <v>40</v>
      </c>
      <c r="F1545" s="601">
        <v>0.55169999999999997</v>
      </c>
      <c r="G1545" s="536" t="s">
        <v>671</v>
      </c>
      <c r="H1545" s="863"/>
      <c r="I1545" s="581"/>
      <c r="K1545"/>
      <c r="L1545"/>
      <c r="M1545"/>
      <c r="N1545"/>
      <c r="O1545" s="32"/>
      <c r="P1545"/>
      <c r="Q1545"/>
      <c r="R1545"/>
      <c r="S1545" s="32"/>
      <c r="T1545"/>
      <c r="U1545"/>
    </row>
    <row r="1546" spans="1:21" s="539" customFormat="1" ht="13">
      <c r="A1546" s="532">
        <v>43648</v>
      </c>
      <c r="B1546" s="533">
        <v>101000</v>
      </c>
      <c r="C1546" s="533">
        <f t="shared" si="166"/>
        <v>107262.78525479452</v>
      </c>
      <c r="D1546" s="532">
        <f t="shared" si="167"/>
        <v>43689</v>
      </c>
      <c r="E1546" s="534">
        <v>41</v>
      </c>
      <c r="F1546" s="601">
        <v>0.55209799999999998</v>
      </c>
      <c r="G1546" s="536" t="s">
        <v>672</v>
      </c>
      <c r="H1546" s="863"/>
      <c r="I1546" s="581"/>
      <c r="K1546"/>
      <c r="L1546"/>
      <c r="M1546"/>
      <c r="N1546"/>
      <c r="O1546" s="32"/>
      <c r="P1546"/>
      <c r="Q1546"/>
      <c r="R1546"/>
      <c r="S1546" s="32"/>
      <c r="T1546"/>
      <c r="U1546"/>
    </row>
    <row r="1547" spans="1:21" s="539" customFormat="1" ht="13">
      <c r="A1547" s="532">
        <v>43648</v>
      </c>
      <c r="B1547" s="533">
        <v>101000</v>
      </c>
      <c r="C1547" s="533">
        <f t="shared" si="166"/>
        <v>108479.56739726027</v>
      </c>
      <c r="D1547" s="532">
        <f t="shared" si="167"/>
        <v>43697</v>
      </c>
      <c r="E1547" s="534">
        <v>49</v>
      </c>
      <c r="F1547" s="601">
        <v>0.55169999999999997</v>
      </c>
      <c r="G1547" s="536" t="s">
        <v>673</v>
      </c>
      <c r="H1547" s="863"/>
      <c r="I1547" s="581"/>
      <c r="K1547"/>
      <c r="L1547"/>
      <c r="M1547"/>
      <c r="N1547"/>
      <c r="O1547" s="32"/>
      <c r="P1547"/>
      <c r="Q1547"/>
      <c r="R1547"/>
      <c r="S1547" s="32"/>
      <c r="T1547"/>
      <c r="U1547"/>
    </row>
    <row r="1548" spans="1:21" s="539" customFormat="1" ht="13">
      <c r="A1548" s="532">
        <v>43664</v>
      </c>
      <c r="B1548" s="533">
        <v>240000</v>
      </c>
      <c r="C1548" s="533">
        <f t="shared" si="166"/>
        <v>252564.5994520548</v>
      </c>
      <c r="D1548" s="532">
        <f t="shared" si="167"/>
        <v>43703</v>
      </c>
      <c r="E1548" s="534">
        <v>39</v>
      </c>
      <c r="F1548" s="601">
        <v>0.49</v>
      </c>
      <c r="G1548" s="536" t="s">
        <v>673</v>
      </c>
      <c r="H1548" s="863"/>
      <c r="I1548" s="581"/>
      <c r="K1548"/>
      <c r="L1548"/>
      <c r="M1548"/>
      <c r="N1548"/>
      <c r="O1548" s="32"/>
      <c r="P1548"/>
      <c r="Q1548"/>
      <c r="R1548"/>
      <c r="S1548" s="32"/>
      <c r="T1548"/>
      <c r="U1548"/>
    </row>
    <row r="1549" spans="1:21" s="539" customFormat="1" ht="13">
      <c r="A1549" s="532">
        <v>43668</v>
      </c>
      <c r="B1549" s="533">
        <v>575000</v>
      </c>
      <c r="C1549" s="533">
        <f t="shared" si="166"/>
        <v>608412.13369863015</v>
      </c>
      <c r="D1549" s="532">
        <f t="shared" si="167"/>
        <v>43710</v>
      </c>
      <c r="E1549" s="534">
        <v>42</v>
      </c>
      <c r="F1549" s="601">
        <v>0.505</v>
      </c>
      <c r="G1549" s="536" t="s">
        <v>670</v>
      </c>
      <c r="H1549" s="863"/>
      <c r="I1549" s="581"/>
      <c r="K1549" t="e">
        <f>+K1550*L1549/L1550</f>
        <v>#VALUE!</v>
      </c>
      <c r="L1549">
        <v>44</v>
      </c>
      <c r="M1549"/>
      <c r="N1549"/>
      <c r="O1549" s="32"/>
      <c r="P1549"/>
      <c r="Q1549"/>
      <c r="R1549"/>
      <c r="S1549" s="32"/>
      <c r="T1549"/>
      <c r="U1549"/>
    </row>
    <row r="1550" spans="1:21" s="539" customFormat="1" ht="13">
      <c r="A1550" s="532">
        <v>43690</v>
      </c>
      <c r="B1550" s="533">
        <v>249380.42</v>
      </c>
      <c r="C1550" s="533">
        <v>269507.32999999996</v>
      </c>
      <c r="D1550" s="532">
        <v>43707</v>
      </c>
      <c r="E1550" s="534">
        <v>17</v>
      </c>
      <c r="F1550" s="601">
        <v>1.7329166867890815</v>
      </c>
      <c r="G1550" s="536" t="s">
        <v>674</v>
      </c>
      <c r="H1550" s="863"/>
      <c r="I1550" s="581" t="s">
        <v>675</v>
      </c>
      <c r="K1550" t="s">
        <v>676</v>
      </c>
      <c r="L1550" t="e">
        <f>+#REF!/15%</f>
        <v>#REF!</v>
      </c>
      <c r="M1550"/>
      <c r="N1550"/>
      <c r="O1550" s="32"/>
      <c r="P1550"/>
      <c r="Q1550"/>
      <c r="R1550"/>
      <c r="S1550" s="32"/>
      <c r="T1550"/>
      <c r="U1550"/>
    </row>
    <row r="1551" spans="1:21" s="539" customFormat="1" ht="13">
      <c r="A1551" s="532">
        <v>43682</v>
      </c>
      <c r="B1551" s="533">
        <v>210000</v>
      </c>
      <c r="C1551" s="533">
        <f t="shared" ref="A1551:C1567" si="168">B1551+(B1551*F1551/365*E1551)*1-0.88</f>
        <v>221667.06520547945</v>
      </c>
      <c r="D1551" s="532">
        <f t="shared" ref="A1551:D1567" si="169">A1551+E1551</f>
        <v>43721</v>
      </c>
      <c r="E1551" s="534">
        <v>39</v>
      </c>
      <c r="F1551" s="601">
        <v>0.52</v>
      </c>
      <c r="G1551" s="536" t="s">
        <v>671</v>
      </c>
      <c r="H1551" s="863"/>
      <c r="I1551" s="581"/>
      <c r="K1551"/>
      <c r="L1551"/>
      <c r="M1551"/>
      <c r="N1551"/>
      <c r="O1551" s="32"/>
      <c r="P1551"/>
      <c r="Q1551"/>
      <c r="R1551"/>
      <c r="S1551" s="32"/>
      <c r="T1551"/>
      <c r="U1551"/>
    </row>
    <row r="1552" spans="1:21" s="539" customFormat="1" ht="13">
      <c r="A1552" s="532">
        <v>43677</v>
      </c>
      <c r="B1552" s="533">
        <v>169284.55</v>
      </c>
      <c r="C1552" s="533">
        <f t="shared" si="168"/>
        <v>180303.63000000006</v>
      </c>
      <c r="D1552" s="532">
        <f t="shared" si="169"/>
        <v>43721</v>
      </c>
      <c r="E1552" s="534">
        <v>44</v>
      </c>
      <c r="F1552" s="601">
        <v>0.5400113434612196</v>
      </c>
      <c r="G1552" s="536" t="s">
        <v>677</v>
      </c>
      <c r="H1552" s="863"/>
      <c r="I1552" s="581"/>
      <c r="K1552"/>
      <c r="L1552"/>
      <c r="M1552"/>
      <c r="N1552"/>
      <c r="O1552" s="32"/>
      <c r="P1552"/>
      <c r="Q1552"/>
      <c r="R1552"/>
      <c r="S1552" s="32"/>
      <c r="T1552"/>
      <c r="U1552"/>
    </row>
    <row r="1553" spans="1:21" s="539" customFormat="1" ht="13">
      <c r="A1553" s="532">
        <v>43698</v>
      </c>
      <c r="B1553" s="533">
        <v>108000</v>
      </c>
      <c r="C1553" s="533">
        <f t="shared" si="168"/>
        <v>113325.14739726027</v>
      </c>
      <c r="D1553" s="532">
        <f t="shared" si="169"/>
        <v>43728</v>
      </c>
      <c r="E1553" s="534">
        <v>30</v>
      </c>
      <c r="F1553" s="601">
        <v>0.6</v>
      </c>
      <c r="G1553" s="536" t="s">
        <v>678</v>
      </c>
      <c r="H1553" s="863"/>
      <c r="I1553" s="581"/>
      <c r="K1553"/>
      <c r="L1553"/>
      <c r="M1553"/>
      <c r="N1553"/>
      <c r="O1553" s="32"/>
      <c r="P1553"/>
      <c r="Q1553"/>
      <c r="R1553"/>
      <c r="S1553" s="32"/>
      <c r="T1553"/>
      <c r="U1553">
        <v>49314</v>
      </c>
    </row>
    <row r="1554" spans="1:21" s="539" customFormat="1" ht="13">
      <c r="A1554" s="532">
        <v>43703</v>
      </c>
      <c r="B1554" s="533">
        <v>250000</v>
      </c>
      <c r="C1554" s="533">
        <f t="shared" si="168"/>
        <v>262327.88712328766</v>
      </c>
      <c r="D1554" s="532">
        <f t="shared" si="169"/>
        <v>43733</v>
      </c>
      <c r="E1554" s="534">
        <v>30</v>
      </c>
      <c r="F1554" s="601">
        <v>0.6</v>
      </c>
      <c r="G1554" s="536" t="s">
        <v>673</v>
      </c>
      <c r="H1554" s="863"/>
      <c r="I1554" s="581"/>
      <c r="K1554"/>
      <c r="L1554"/>
      <c r="M1554"/>
      <c r="N1554"/>
      <c r="O1554" s="32"/>
      <c r="P1554"/>
      <c r="Q1554"/>
      <c r="R1554"/>
      <c r="S1554" s="32"/>
      <c r="T1554"/>
      <c r="U1554">
        <v>49314</v>
      </c>
    </row>
    <row r="1555" spans="1:21" s="539" customFormat="1" ht="13">
      <c r="A1555" s="532">
        <v>43710</v>
      </c>
      <c r="B1555" s="533">
        <v>600000</v>
      </c>
      <c r="C1555" s="533">
        <f t="shared" si="168"/>
        <v>630574.46246575343</v>
      </c>
      <c r="D1555" s="532">
        <f t="shared" si="169"/>
        <v>43740</v>
      </c>
      <c r="E1555" s="534">
        <v>30</v>
      </c>
      <c r="F1555" s="601">
        <v>0.62</v>
      </c>
      <c r="G1555" s="536" t="s">
        <v>673</v>
      </c>
      <c r="H1555" s="863"/>
      <c r="I1555" s="581"/>
      <c r="K1555"/>
      <c r="L1555"/>
      <c r="M1555"/>
      <c r="N1555"/>
      <c r="O1555" s="32"/>
      <c r="P1555"/>
      <c r="Q1555"/>
      <c r="R1555"/>
      <c r="S1555" s="32"/>
      <c r="T1555"/>
      <c r="U1555">
        <v>49314</v>
      </c>
    </row>
    <row r="1556" spans="1:21" s="539" customFormat="1" ht="13">
      <c r="A1556" s="532">
        <v>43733</v>
      </c>
      <c r="B1556" s="533">
        <v>140000</v>
      </c>
      <c r="C1556" s="533">
        <f t="shared" si="168"/>
        <v>147363.50356164383</v>
      </c>
      <c r="D1556" s="532">
        <f t="shared" si="169"/>
        <v>43763</v>
      </c>
      <c r="E1556" s="534">
        <v>30</v>
      </c>
      <c r="F1556" s="601">
        <v>0.64</v>
      </c>
      <c r="G1556" s="536" t="s">
        <v>673</v>
      </c>
      <c r="H1556" s="863"/>
      <c r="I1556" s="581"/>
      <c r="K1556"/>
      <c r="L1556"/>
      <c r="M1556"/>
      <c r="N1556"/>
      <c r="O1556" s="32"/>
      <c r="P1556"/>
      <c r="Q1556"/>
      <c r="R1556"/>
      <c r="S1556" s="32"/>
      <c r="T1556"/>
      <c r="U1556">
        <v>49314</v>
      </c>
    </row>
    <row r="1557" spans="1:21" s="539" customFormat="1" ht="13">
      <c r="A1557" s="532">
        <v>43740</v>
      </c>
      <c r="B1557" s="533">
        <v>300000</v>
      </c>
      <c r="C1557" s="533">
        <f t="shared" si="168"/>
        <v>315779.9419178082</v>
      </c>
      <c r="D1557" s="532">
        <f t="shared" si="169"/>
        <v>43770</v>
      </c>
      <c r="E1557" s="534">
        <v>30</v>
      </c>
      <c r="F1557" s="601">
        <v>0.64</v>
      </c>
      <c r="G1557" s="536" t="s">
        <v>673</v>
      </c>
      <c r="H1557" s="863"/>
      <c r="I1557" s="581"/>
      <c r="K1557"/>
      <c r="L1557"/>
      <c r="M1557"/>
      <c r="N1557"/>
      <c r="O1557" s="32"/>
      <c r="P1557"/>
      <c r="Q1557"/>
      <c r="R1557"/>
      <c r="S1557" s="32"/>
      <c r="T1557"/>
      <c r="U1557">
        <v>49314</v>
      </c>
    </row>
    <row r="1558" spans="1:21" s="539" customFormat="1" ht="13">
      <c r="A1558" s="532">
        <v>43776</v>
      </c>
      <c r="B1558" s="533">
        <v>150000</v>
      </c>
      <c r="C1558" s="533">
        <f t="shared" si="168"/>
        <v>156837.47616438355</v>
      </c>
      <c r="D1558" s="532">
        <f t="shared" si="169"/>
        <v>43808</v>
      </c>
      <c r="E1558" s="534">
        <v>32</v>
      </c>
      <c r="F1558" s="601">
        <v>0.52</v>
      </c>
      <c r="G1558" s="536" t="s">
        <v>673</v>
      </c>
      <c r="H1558" s="863"/>
      <c r="I1558" s="581"/>
      <c r="K1558"/>
      <c r="L1558"/>
      <c r="M1558"/>
      <c r="N1558"/>
      <c r="O1558" s="32"/>
      <c r="P1558"/>
      <c r="Q1558"/>
      <c r="R1558"/>
      <c r="S1558" s="32"/>
      <c r="T1558"/>
      <c r="U1558">
        <v>49314</v>
      </c>
    </row>
    <row r="1559" spans="1:21" s="539" customFormat="1" ht="13">
      <c r="A1559" s="532">
        <v>43780</v>
      </c>
      <c r="B1559" s="533">
        <v>80000</v>
      </c>
      <c r="C1559" s="533">
        <f t="shared" si="168"/>
        <v>83418.298082191774</v>
      </c>
      <c r="D1559" s="532">
        <f t="shared" si="169"/>
        <v>43810</v>
      </c>
      <c r="E1559" s="534">
        <v>30</v>
      </c>
      <c r="F1559" s="601">
        <v>0.52</v>
      </c>
      <c r="G1559" s="536" t="s">
        <v>673</v>
      </c>
      <c r="H1559" s="863"/>
      <c r="I1559" s="581"/>
      <c r="K1559"/>
      <c r="L1559"/>
      <c r="M1559"/>
      <c r="N1559"/>
      <c r="O1559" s="32"/>
      <c r="P1559"/>
      <c r="Q1559"/>
      <c r="R1559"/>
      <c r="S1559" s="32"/>
      <c r="T1559"/>
      <c r="U1559">
        <v>49314</v>
      </c>
    </row>
    <row r="1560" spans="1:21" s="539" customFormat="1" ht="13">
      <c r="A1560" s="532">
        <v>43791</v>
      </c>
      <c r="B1560" s="533">
        <v>50000</v>
      </c>
      <c r="C1560" s="533">
        <f t="shared" si="168"/>
        <v>52079.941917808224</v>
      </c>
      <c r="D1560" s="532">
        <f t="shared" si="169"/>
        <v>43822</v>
      </c>
      <c r="E1560" s="534">
        <v>31</v>
      </c>
      <c r="F1560" s="601">
        <v>0.49</v>
      </c>
      <c r="G1560" s="536" t="s">
        <v>673</v>
      </c>
      <c r="H1560" s="863"/>
      <c r="I1560" s="581"/>
      <c r="K1560"/>
      <c r="L1560"/>
      <c r="M1560"/>
      <c r="N1560"/>
      <c r="O1560" s="32"/>
      <c r="P1560"/>
      <c r="Q1560"/>
      <c r="R1560"/>
      <c r="S1560" s="32"/>
      <c r="T1560"/>
      <c r="U1560">
        <v>49314</v>
      </c>
    </row>
    <row r="1561" spans="1:21" s="539" customFormat="1" ht="13">
      <c r="A1561" s="532">
        <v>43791</v>
      </c>
      <c r="B1561" s="533">
        <v>40000</v>
      </c>
      <c r="C1561" s="533">
        <f t="shared" si="168"/>
        <v>41663.777534246576</v>
      </c>
      <c r="D1561" s="532">
        <f t="shared" si="169"/>
        <v>43822</v>
      </c>
      <c r="E1561" s="534">
        <v>31</v>
      </c>
      <c r="F1561" s="601">
        <v>0.49</v>
      </c>
      <c r="G1561" s="536" t="s">
        <v>672</v>
      </c>
      <c r="H1561" s="863"/>
      <c r="I1561" s="581"/>
      <c r="K1561"/>
      <c r="L1561"/>
      <c r="M1561"/>
      <c r="N1561"/>
      <c r="O1561" s="32"/>
      <c r="P1561"/>
      <c r="Q1561"/>
      <c r="R1561"/>
      <c r="S1561" s="32"/>
      <c r="T1561"/>
      <c r="U1561">
        <v>49314</v>
      </c>
    </row>
    <row r="1562" spans="1:21" s="539" customFormat="1" ht="13">
      <c r="A1562" s="532">
        <v>43798</v>
      </c>
      <c r="B1562" s="533">
        <v>80000</v>
      </c>
      <c r="C1562" s="533">
        <f t="shared" si="168"/>
        <v>83124.599452054797</v>
      </c>
      <c r="D1562" s="532">
        <f t="shared" si="169"/>
        <v>43829</v>
      </c>
      <c r="E1562" s="534">
        <v>31</v>
      </c>
      <c r="F1562" s="601">
        <v>0.46</v>
      </c>
      <c r="G1562" s="536" t="s">
        <v>673</v>
      </c>
      <c r="H1562" s="863"/>
      <c r="I1562" s="581"/>
      <c r="K1562"/>
      <c r="L1562"/>
      <c r="M1562"/>
      <c r="N1562"/>
      <c r="O1562" s="32"/>
      <c r="P1562"/>
      <c r="Q1562"/>
      <c r="R1562"/>
      <c r="S1562" s="32"/>
      <c r="T1562"/>
      <c r="U1562">
        <v>49314</v>
      </c>
    </row>
    <row r="1563" spans="1:21" s="539" customFormat="1" ht="13">
      <c r="A1563" s="532">
        <v>43808</v>
      </c>
      <c r="B1563" s="533">
        <v>155000</v>
      </c>
      <c r="C1563" s="533">
        <f t="shared" si="168"/>
        <v>160859.39397260273</v>
      </c>
      <c r="D1563" s="532">
        <f t="shared" si="169"/>
        <v>43838</v>
      </c>
      <c r="E1563" s="534">
        <v>30</v>
      </c>
      <c r="F1563" s="601">
        <v>0.46</v>
      </c>
      <c r="G1563" s="536" t="s">
        <v>673</v>
      </c>
      <c r="H1563" s="863"/>
      <c r="I1563" s="581"/>
      <c r="K1563"/>
      <c r="L1563"/>
      <c r="M1563"/>
      <c r="N1563"/>
      <c r="O1563" s="32"/>
      <c r="P1563"/>
      <c r="Q1563"/>
      <c r="R1563"/>
      <c r="S1563" s="32"/>
      <c r="T1563"/>
      <c r="U1563">
        <v>49314</v>
      </c>
    </row>
    <row r="1564" spans="1:21" s="539" customFormat="1" ht="13">
      <c r="A1564" s="532">
        <v>43809</v>
      </c>
      <c r="B1564" s="533">
        <v>50000</v>
      </c>
      <c r="C1564" s="533">
        <f t="shared" si="168"/>
        <v>52267.613150684934</v>
      </c>
      <c r="D1564" s="532">
        <f t="shared" si="169"/>
        <v>43845</v>
      </c>
      <c r="E1564" s="534">
        <v>36</v>
      </c>
      <c r="F1564" s="601">
        <v>0.46</v>
      </c>
      <c r="G1564" s="536" t="s">
        <v>672</v>
      </c>
      <c r="H1564" s="863"/>
      <c r="I1564" s="581"/>
      <c r="K1564"/>
      <c r="L1564"/>
      <c r="M1564"/>
      <c r="N1564"/>
      <c r="O1564" s="32"/>
      <c r="P1564"/>
      <c r="Q1564"/>
      <c r="R1564"/>
      <c r="S1564" s="32"/>
      <c r="T1564"/>
      <c r="U1564">
        <v>49314</v>
      </c>
    </row>
    <row r="1565" spans="1:21" s="539" customFormat="1" ht="13">
      <c r="A1565" s="532">
        <v>43815</v>
      </c>
      <c r="B1565" s="533">
        <v>70000</v>
      </c>
      <c r="C1565" s="533">
        <f t="shared" si="168"/>
        <v>73121.31178082191</v>
      </c>
      <c r="D1565" s="532">
        <f t="shared" si="169"/>
        <v>43852</v>
      </c>
      <c r="E1565" s="534">
        <v>37</v>
      </c>
      <c r="F1565" s="601">
        <v>0.44</v>
      </c>
      <c r="G1565" s="536" t="s">
        <v>673</v>
      </c>
      <c r="H1565" s="863"/>
      <c r="I1565" s="581"/>
      <c r="K1565"/>
      <c r="L1565"/>
      <c r="M1565"/>
      <c r="N1565"/>
      <c r="O1565" s="32"/>
      <c r="P1565"/>
      <c r="Q1565"/>
      <c r="R1565"/>
      <c r="S1565" s="32"/>
      <c r="T1565"/>
      <c r="U1565">
        <v>49314</v>
      </c>
    </row>
    <row r="1566" spans="1:21" s="539" customFormat="1" ht="13">
      <c r="A1566" s="532">
        <v>43822</v>
      </c>
      <c r="B1566" s="533">
        <v>50000</v>
      </c>
      <c r="C1566" s="533">
        <f t="shared" si="168"/>
        <v>52185.421369863019</v>
      </c>
      <c r="D1566" s="532">
        <f t="shared" si="169"/>
        <v>43860</v>
      </c>
      <c r="E1566" s="534">
        <v>38</v>
      </c>
      <c r="F1566" s="601">
        <v>0.42</v>
      </c>
      <c r="G1566" s="536" t="s">
        <v>673</v>
      </c>
      <c r="H1566" s="863"/>
      <c r="I1566" s="581"/>
      <c r="K1566"/>
      <c r="L1566"/>
      <c r="M1566"/>
      <c r="N1566"/>
      <c r="O1566" s="32"/>
      <c r="P1566"/>
      <c r="Q1566"/>
      <c r="R1566"/>
      <c r="S1566" s="32"/>
      <c r="T1566"/>
      <c r="U1566">
        <v>49314</v>
      </c>
    </row>
    <row r="1567" spans="1:21" s="539" customFormat="1" ht="13">
      <c r="A1567" s="532">
        <v>43822</v>
      </c>
      <c r="B1567" s="533">
        <v>50000</v>
      </c>
      <c r="C1567" s="533">
        <f t="shared" si="168"/>
        <v>52185.421369863019</v>
      </c>
      <c r="D1567" s="532">
        <f t="shared" si="169"/>
        <v>43860</v>
      </c>
      <c r="E1567" s="534">
        <v>38</v>
      </c>
      <c r="F1567" s="601">
        <v>0.42</v>
      </c>
      <c r="G1567" s="536" t="s">
        <v>672</v>
      </c>
      <c r="H1567" s="863"/>
      <c r="I1567" s="581"/>
      <c r="K1567"/>
      <c r="L1567"/>
      <c r="M1567"/>
      <c r="N1567"/>
      <c r="O1567" s="32"/>
      <c r="P1567"/>
      <c r="Q1567"/>
      <c r="R1567"/>
      <c r="S1567" s="32"/>
      <c r="T1567"/>
      <c r="U1567">
        <v>49314</v>
      </c>
    </row>
    <row r="1570" spans="1:21">
      <c r="B1570" s="596">
        <f>SUM(B1535:B1569)</f>
        <v>7505856.0099999998</v>
      </c>
      <c r="C1570" s="596">
        <f>SUM(C1535:C1569)</f>
        <v>7867447.4358287659</v>
      </c>
    </row>
    <row r="1571" spans="1:21">
      <c r="C1571" s="591">
        <f>+C1570-B1570</f>
        <v>361591.42582876608</v>
      </c>
    </row>
    <row r="1573" spans="1:21" ht="13" thickBot="1"/>
    <row r="1574" spans="1:21" s="539" customFormat="1" ht="14" thickTop="1" thickBot="1">
      <c r="A1574" s="2" t="s">
        <v>521</v>
      </c>
      <c r="B1574" s="3" t="s">
        <v>522</v>
      </c>
      <c r="C1574" s="3" t="s">
        <v>523</v>
      </c>
      <c r="D1574" s="5" t="s">
        <v>525</v>
      </c>
      <c r="E1574" s="4" t="s">
        <v>524</v>
      </c>
      <c r="F1574" s="4" t="s">
        <v>526</v>
      </c>
      <c r="G1574" s="6" t="s">
        <v>679</v>
      </c>
      <c r="H1574"/>
      <c r="I1574"/>
      <c r="K1574"/>
      <c r="L1574"/>
      <c r="M1574"/>
      <c r="N1574"/>
      <c r="O1574" s="32"/>
      <c r="P1574"/>
      <c r="Q1574"/>
      <c r="R1574"/>
      <c r="S1574" s="32"/>
      <c r="T1574"/>
      <c r="U1574">
        <v>49314</v>
      </c>
    </row>
    <row r="1575" spans="1:21" s="539" customFormat="1" ht="13.5" thickTop="1">
      <c r="A1575" s="532">
        <v>44265</v>
      </c>
      <c r="B1575" s="615">
        <v>26000</v>
      </c>
      <c r="C1575" s="615">
        <f>B1575+(B1575*F1575/365*D1575)*1</f>
        <v>26869.753424657534</v>
      </c>
      <c r="D1575" s="532">
        <v>33</v>
      </c>
      <c r="E1575" s="534">
        <f>+A1575+D1575</f>
        <v>44298</v>
      </c>
      <c r="F1575" s="601">
        <v>0.37</v>
      </c>
      <c r="G1575" s="536" t="s">
        <v>680</v>
      </c>
      <c r="H1575" s="863"/>
      <c r="I1575" s="581"/>
      <c r="K1575"/>
      <c r="L1575"/>
      <c r="M1575"/>
      <c r="N1575"/>
      <c r="O1575" s="32"/>
      <c r="P1575"/>
      <c r="Q1575"/>
      <c r="R1575"/>
      <c r="S1575" s="32"/>
      <c r="T1575"/>
      <c r="U1575">
        <v>49314</v>
      </c>
    </row>
    <row r="1576" spans="1:21" s="539" customFormat="1" ht="13">
      <c r="A1576" s="532">
        <v>44209</v>
      </c>
      <c r="B1576" s="615">
        <v>21230</v>
      </c>
      <c r="C1576" s="615">
        <f>B1576+(B1576*F1576/365*D1576)*1</f>
        <v>23838.880000000001</v>
      </c>
      <c r="D1576" s="532">
        <v>90</v>
      </c>
      <c r="E1576" s="534">
        <f>+A1576+D1576</f>
        <v>44299</v>
      </c>
      <c r="F1576" s="601">
        <v>0.49837295232113937</v>
      </c>
      <c r="G1576" s="536" t="s">
        <v>681</v>
      </c>
      <c r="H1576" s="863"/>
      <c r="I1576" s="581"/>
      <c r="K1576"/>
      <c r="L1576"/>
      <c r="M1576"/>
      <c r="N1576"/>
      <c r="O1576" s="32"/>
      <c r="P1576"/>
      <c r="Q1576"/>
      <c r="R1576"/>
      <c r="S1576" s="32"/>
      <c r="T1576"/>
      <c r="U1576">
        <v>49314</v>
      </c>
    </row>
    <row r="1577" spans="1:21" s="539" customFormat="1" ht="13">
      <c r="A1577" s="532">
        <v>43832</v>
      </c>
      <c r="B1577" s="533">
        <v>80000</v>
      </c>
      <c r="C1577" s="533">
        <f t="shared" ref="A1577:C1582" si="170">B1577+(B1577*F1577/365*E1577)*1-0.88</f>
        <v>83273.640547945208</v>
      </c>
      <c r="D1577" s="532">
        <f t="shared" ref="A1577:D1588" si="171">A1577+E1577</f>
        <v>43868</v>
      </c>
      <c r="E1577" s="534">
        <v>36</v>
      </c>
      <c r="F1577" s="601">
        <v>0.41499999999999998</v>
      </c>
      <c r="G1577" s="536" t="s">
        <v>682</v>
      </c>
      <c r="H1577" s="863"/>
      <c r="I1577" s="581"/>
      <c r="K1577"/>
      <c r="L1577"/>
      <c r="M1577"/>
      <c r="N1577"/>
      <c r="O1577" s="32"/>
      <c r="P1577"/>
      <c r="Q1577"/>
      <c r="R1577"/>
      <c r="S1577" s="32"/>
      <c r="T1577"/>
      <c r="U1577">
        <v>49314</v>
      </c>
    </row>
    <row r="1578" spans="1:21" s="539" customFormat="1" ht="13">
      <c r="A1578" s="532">
        <v>43838</v>
      </c>
      <c r="B1578" s="533">
        <v>80000</v>
      </c>
      <c r="C1578" s="533">
        <f t="shared" si="170"/>
        <v>83283.503561643825</v>
      </c>
      <c r="D1578" s="532">
        <f t="shared" si="171"/>
        <v>43875</v>
      </c>
      <c r="E1578" s="534">
        <v>37</v>
      </c>
      <c r="F1578" s="601">
        <v>0.40500000000000003</v>
      </c>
      <c r="G1578" s="536" t="s">
        <v>682</v>
      </c>
      <c r="H1578" s="863"/>
      <c r="I1578" s="581"/>
      <c r="K1578"/>
      <c r="L1578"/>
      <c r="M1578"/>
      <c r="N1578"/>
      <c r="O1578" s="32"/>
      <c r="P1578"/>
      <c r="Q1578"/>
      <c r="R1578"/>
      <c r="S1578" s="32"/>
      <c r="T1578"/>
      <c r="U1578">
        <v>49314</v>
      </c>
    </row>
    <row r="1579" spans="1:21" s="539" customFormat="1" ht="13">
      <c r="A1579" s="532">
        <v>43838</v>
      </c>
      <c r="B1579" s="533">
        <v>80000</v>
      </c>
      <c r="C1579" s="533">
        <f t="shared" si="170"/>
        <v>83904.873424657533</v>
      </c>
      <c r="D1579" s="532">
        <f t="shared" si="171"/>
        <v>43882</v>
      </c>
      <c r="E1579" s="534">
        <v>44</v>
      </c>
      <c r="F1579" s="601">
        <v>0.40500000000000003</v>
      </c>
      <c r="G1579" s="536" t="s">
        <v>682</v>
      </c>
      <c r="H1579" s="863"/>
      <c r="I1579" s="581"/>
      <c r="K1579"/>
      <c r="L1579"/>
      <c r="M1579"/>
      <c r="N1579"/>
      <c r="O1579" s="32"/>
      <c r="P1579"/>
      <c r="Q1579"/>
      <c r="R1579"/>
      <c r="S1579" s="32"/>
      <c r="T1579"/>
      <c r="U1579">
        <v>49314</v>
      </c>
    </row>
    <row r="1580" spans="1:21" s="539" customFormat="1" ht="13">
      <c r="A1580" s="532">
        <v>43797</v>
      </c>
      <c r="B1580" s="533">
        <f>221667.07*(1-25%)</f>
        <v>166250.30249999999</v>
      </c>
      <c r="C1580" s="533">
        <f t="shared" si="170"/>
        <v>206389.98868827394</v>
      </c>
      <c r="D1580" s="532">
        <f t="shared" si="171"/>
        <v>43887</v>
      </c>
      <c r="E1580" s="534">
        <v>90</v>
      </c>
      <c r="F1580" s="601">
        <v>0.97919999999999996</v>
      </c>
      <c r="G1580" s="536" t="s">
        <v>683</v>
      </c>
      <c r="H1580" s="863"/>
      <c r="I1580" s="581"/>
      <c r="K1580"/>
      <c r="L1580"/>
      <c r="M1580"/>
      <c r="N1580"/>
      <c r="O1580" s="32"/>
      <c r="P1580"/>
      <c r="Q1580"/>
      <c r="R1580"/>
      <c r="S1580" s="32"/>
      <c r="T1580"/>
      <c r="U1580">
        <v>49314</v>
      </c>
    </row>
    <row r="1581" spans="1:21" ht="13">
      <c r="A1581" s="532">
        <v>43843</v>
      </c>
      <c r="B1581" s="533">
        <v>80000</v>
      </c>
      <c r="C1581" s="533">
        <f t="shared" si="170"/>
        <v>84082.407671232868</v>
      </c>
      <c r="D1581" s="532">
        <f t="shared" si="171"/>
        <v>43889</v>
      </c>
      <c r="E1581" s="534">
        <v>46</v>
      </c>
      <c r="F1581" s="601">
        <v>0.40500000000000003</v>
      </c>
      <c r="G1581" s="536" t="s">
        <v>684</v>
      </c>
      <c r="I1581">
        <f>SUM(I1584:I1584)</f>
        <v>70258.899999999994</v>
      </c>
    </row>
    <row r="1582" spans="1:21" ht="13">
      <c r="A1582" s="532">
        <v>43852</v>
      </c>
      <c r="B1582" s="533">
        <v>70000</v>
      </c>
      <c r="C1582" s="533">
        <f t="shared" si="170"/>
        <v>73604.599452054783</v>
      </c>
      <c r="D1582" s="532">
        <f t="shared" si="171"/>
        <v>43899</v>
      </c>
      <c r="E1582" s="534">
        <v>47</v>
      </c>
      <c r="F1582" s="601">
        <v>0.4</v>
      </c>
      <c r="G1582" s="536" t="s">
        <v>685</v>
      </c>
    </row>
    <row r="1583" spans="1:21" ht="13">
      <c r="A1583" s="532">
        <v>43852</v>
      </c>
      <c r="B1583" s="615">
        <v>70000</v>
      </c>
      <c r="C1583" s="615">
        <f t="shared" ref="A1583:C1646" si="172">B1583+(B1583*F1583/365*E1583)*1</f>
        <v>75903.92</v>
      </c>
      <c r="D1583" s="532">
        <f t="shared" si="171"/>
        <v>43942</v>
      </c>
      <c r="E1583" s="534">
        <v>90</v>
      </c>
      <c r="F1583" s="601">
        <v>0.3420525079365081</v>
      </c>
      <c r="G1583" s="536" t="s">
        <v>686</v>
      </c>
    </row>
    <row r="1584" spans="1:21" ht="13">
      <c r="A1584" s="532">
        <v>43860</v>
      </c>
      <c r="B1584" s="615">
        <v>70000</v>
      </c>
      <c r="C1584" s="615">
        <f t="shared" si="172"/>
        <v>75837.47</v>
      </c>
      <c r="D1584" s="532">
        <f t="shared" si="171"/>
        <v>43950</v>
      </c>
      <c r="E1584" s="534">
        <v>90</v>
      </c>
      <c r="F1584" s="601">
        <v>0.33820262698412717</v>
      </c>
      <c r="G1584" s="536" t="s">
        <v>686</v>
      </c>
      <c r="I1584">
        <v>70258.899999999994</v>
      </c>
      <c r="U1584">
        <v>49314</v>
      </c>
    </row>
    <row r="1585" spans="1:21" ht="13">
      <c r="A1585" s="532">
        <v>43860</v>
      </c>
      <c r="B1585" s="615">
        <v>54674.06</v>
      </c>
      <c r="C1585" s="615">
        <f t="shared" si="172"/>
        <v>59537.422819477331</v>
      </c>
      <c r="D1585" s="532">
        <f t="shared" si="171"/>
        <v>43956</v>
      </c>
      <c r="E1585" s="534">
        <v>96</v>
      </c>
      <c r="F1585" s="601">
        <v>0.33820262698412717</v>
      </c>
      <c r="G1585" s="536" t="s">
        <v>687</v>
      </c>
      <c r="U1585">
        <v>49314</v>
      </c>
    </row>
    <row r="1586" spans="1:21" ht="13">
      <c r="A1586" s="532">
        <v>43860</v>
      </c>
      <c r="B1586" s="615">
        <v>52000</v>
      </c>
      <c r="C1586" s="615">
        <f t="shared" si="172"/>
        <v>56959.769999999968</v>
      </c>
      <c r="D1586" s="532">
        <f t="shared" si="171"/>
        <v>43956</v>
      </c>
      <c r="E1586" s="534">
        <v>96</v>
      </c>
      <c r="F1586" s="601">
        <v>0.36264343950320299</v>
      </c>
      <c r="G1586" s="536" t="s">
        <v>687</v>
      </c>
      <c r="U1586">
        <v>49314</v>
      </c>
    </row>
    <row r="1587" spans="1:21" ht="13">
      <c r="A1587" s="532">
        <v>43868</v>
      </c>
      <c r="B1587" s="615">
        <v>140000</v>
      </c>
      <c r="C1587" s="615">
        <f t="shared" si="172"/>
        <v>151384.17999999993</v>
      </c>
      <c r="D1587" s="532">
        <f t="shared" si="171"/>
        <v>43958</v>
      </c>
      <c r="E1587" s="534">
        <v>90</v>
      </c>
      <c r="F1587" s="601">
        <v>0.32977981746031593</v>
      </c>
      <c r="G1587" s="536" t="s">
        <v>688</v>
      </c>
      <c r="U1587">
        <v>49314</v>
      </c>
    </row>
    <row r="1588" spans="1:21" ht="13">
      <c r="A1588" s="532">
        <v>43871</v>
      </c>
      <c r="B1588" s="615">
        <v>80000</v>
      </c>
      <c r="C1588" s="615">
        <f t="shared" si="172"/>
        <v>86722.69</v>
      </c>
      <c r="D1588" s="532">
        <f t="shared" si="171"/>
        <v>43962</v>
      </c>
      <c r="E1588" s="534">
        <v>91</v>
      </c>
      <c r="F1588" s="601">
        <v>0.33705794642857129</v>
      </c>
      <c r="G1588" s="536" t="s">
        <v>686</v>
      </c>
      <c r="U1588">
        <v>49314</v>
      </c>
    </row>
    <row r="1589" spans="1:21" ht="13">
      <c r="A1589" s="532">
        <v>43875</v>
      </c>
      <c r="B1589" s="615">
        <v>60000</v>
      </c>
      <c r="C1589" s="615">
        <f t="shared" si="172"/>
        <v>64853.219999999979</v>
      </c>
      <c r="D1589" s="532">
        <f t="shared" ref="A1589:D1652" si="173">+A1589+E1589</f>
        <v>43965</v>
      </c>
      <c r="E1589" s="534">
        <v>90</v>
      </c>
      <c r="F1589" s="601">
        <v>0.32804172222222089</v>
      </c>
      <c r="G1589" s="536" t="s">
        <v>688</v>
      </c>
      <c r="U1589">
        <v>49314</v>
      </c>
    </row>
    <row r="1590" spans="1:21" ht="13">
      <c r="A1590" s="532">
        <v>43882</v>
      </c>
      <c r="B1590" s="615">
        <v>75000</v>
      </c>
      <c r="C1590" s="615">
        <f t="shared" si="172"/>
        <v>80909.62000000001</v>
      </c>
      <c r="D1590" s="532">
        <f t="shared" si="173"/>
        <v>43972</v>
      </c>
      <c r="E1590" s="534">
        <v>90</v>
      </c>
      <c r="F1590" s="601">
        <v>0.3195572296296304</v>
      </c>
      <c r="G1590" s="536" t="s">
        <v>688</v>
      </c>
      <c r="U1590">
        <v>49314</v>
      </c>
    </row>
    <row r="1591" spans="1:21" ht="13">
      <c r="A1591" s="532">
        <v>43888</v>
      </c>
      <c r="B1591" s="615">
        <v>70000</v>
      </c>
      <c r="C1591" s="615">
        <f t="shared" si="172"/>
        <v>75393.129999999932</v>
      </c>
      <c r="D1591" s="532">
        <f t="shared" si="173"/>
        <v>43978</v>
      </c>
      <c r="E1591" s="534">
        <v>90</v>
      </c>
      <c r="F1591" s="601">
        <v>0.31245911904761497</v>
      </c>
      <c r="G1591" s="536" t="s">
        <v>688</v>
      </c>
      <c r="U1591">
        <v>49314</v>
      </c>
    </row>
    <row r="1592" spans="1:21" ht="13">
      <c r="A1592" s="532">
        <v>43888</v>
      </c>
      <c r="B1592" s="615">
        <v>135000</v>
      </c>
      <c r="C1592" s="615">
        <f t="shared" si="172"/>
        <v>145401.00000000009</v>
      </c>
      <c r="D1592" s="532">
        <f t="shared" si="173"/>
        <v>43978</v>
      </c>
      <c r="E1592" s="534">
        <v>90</v>
      </c>
      <c r="F1592" s="601">
        <v>0.31245802469136075</v>
      </c>
      <c r="G1592" s="536" t="s">
        <v>688</v>
      </c>
      <c r="U1592">
        <v>49314</v>
      </c>
    </row>
    <row r="1593" spans="1:21" ht="13">
      <c r="A1593" s="532">
        <v>43889</v>
      </c>
      <c r="B1593" s="615">
        <v>85000</v>
      </c>
      <c r="C1593" s="615">
        <f t="shared" si="172"/>
        <v>91527.289999999979</v>
      </c>
      <c r="D1593" s="532">
        <f t="shared" si="173"/>
        <v>43979</v>
      </c>
      <c r="E1593" s="534">
        <v>90</v>
      </c>
      <c r="F1593" s="601">
        <v>0.31143279084967201</v>
      </c>
      <c r="G1593" s="536" t="s">
        <v>689</v>
      </c>
      <c r="U1593">
        <v>49314</v>
      </c>
    </row>
    <row r="1594" spans="1:21" ht="13">
      <c r="A1594" s="532">
        <v>43900</v>
      </c>
      <c r="B1594" s="615">
        <v>65000</v>
      </c>
      <c r="C1594" s="615">
        <f t="shared" si="172"/>
        <v>69680.81</v>
      </c>
      <c r="D1594" s="532">
        <f t="shared" si="173"/>
        <v>43990</v>
      </c>
      <c r="E1594" s="534">
        <v>90</v>
      </c>
      <c r="F1594" s="601">
        <v>0.29205053846153822</v>
      </c>
      <c r="G1594" s="536" t="s">
        <v>688</v>
      </c>
      <c r="U1594">
        <v>49314</v>
      </c>
    </row>
    <row r="1595" spans="1:21" ht="13">
      <c r="A1595" s="532">
        <v>43962</v>
      </c>
      <c r="B1595" s="615">
        <v>125000</v>
      </c>
      <c r="C1595" s="615">
        <f t="shared" si="172"/>
        <v>128370.54794520549</v>
      </c>
      <c r="D1595" s="532">
        <f t="shared" si="173"/>
        <v>43999</v>
      </c>
      <c r="E1595" s="534">
        <v>37</v>
      </c>
      <c r="F1595" s="601">
        <v>0.26600000000000001</v>
      </c>
      <c r="G1595" s="536" t="s">
        <v>276</v>
      </c>
      <c r="U1595">
        <v>49314</v>
      </c>
    </row>
    <row r="1596" spans="1:21" ht="13">
      <c r="A1596" s="532">
        <v>43962</v>
      </c>
      <c r="B1596" s="615">
        <v>26000</v>
      </c>
      <c r="C1596" s="615">
        <f t="shared" si="172"/>
        <v>26701.073972602739</v>
      </c>
      <c r="D1596" s="532">
        <f t="shared" si="173"/>
        <v>43999</v>
      </c>
      <c r="E1596" s="534">
        <v>37</v>
      </c>
      <c r="F1596" s="601">
        <v>0.26600000000000001</v>
      </c>
      <c r="G1596" s="536" t="s">
        <v>120</v>
      </c>
      <c r="U1596">
        <v>49314</v>
      </c>
    </row>
    <row r="1597" spans="1:21" ht="13">
      <c r="A1597" s="532">
        <v>43942</v>
      </c>
      <c r="B1597" s="615">
        <v>76000</v>
      </c>
      <c r="C1597" s="615">
        <f t="shared" si="172"/>
        <v>79212.405479452049</v>
      </c>
      <c r="D1597" s="532">
        <f t="shared" si="173"/>
        <v>44000</v>
      </c>
      <c r="E1597" s="534">
        <v>58</v>
      </c>
      <c r="F1597" s="601">
        <v>0.26600000000000001</v>
      </c>
      <c r="G1597" s="536" t="s">
        <v>690</v>
      </c>
      <c r="U1597">
        <v>49314</v>
      </c>
    </row>
    <row r="1598" spans="1:21" ht="13">
      <c r="A1598" s="532">
        <v>43950</v>
      </c>
      <c r="B1598" s="615">
        <v>100000</v>
      </c>
      <c r="C1598" s="615">
        <f t="shared" si="172"/>
        <v>103643.83561643836</v>
      </c>
      <c r="D1598" s="532">
        <f t="shared" si="173"/>
        <v>44000</v>
      </c>
      <c r="E1598" s="534">
        <v>50</v>
      </c>
      <c r="F1598" s="601">
        <v>0.26600000000000001</v>
      </c>
      <c r="G1598" s="536" t="s">
        <v>690</v>
      </c>
      <c r="U1598">
        <v>49314</v>
      </c>
    </row>
    <row r="1599" spans="1:21" ht="13">
      <c r="A1599" s="532">
        <v>43956</v>
      </c>
      <c r="B1599" s="615">
        <v>70000</v>
      </c>
      <c r="C1599" s="615">
        <f t="shared" si="172"/>
        <v>72550.684931506854</v>
      </c>
      <c r="D1599" s="532">
        <f t="shared" si="173"/>
        <v>44006</v>
      </c>
      <c r="E1599" s="534">
        <v>50</v>
      </c>
      <c r="F1599" s="601">
        <v>0.26600000000000001</v>
      </c>
      <c r="G1599" s="536" t="s">
        <v>691</v>
      </c>
      <c r="U1599">
        <v>49314</v>
      </c>
    </row>
    <row r="1600" spans="1:21" ht="13">
      <c r="A1600" s="532">
        <v>43958</v>
      </c>
      <c r="B1600" s="615">
        <v>150000</v>
      </c>
      <c r="C1600" s="615">
        <f t="shared" si="172"/>
        <v>155247.12328767125</v>
      </c>
      <c r="D1600" s="532">
        <f t="shared" si="173"/>
        <v>44006</v>
      </c>
      <c r="E1600" s="534">
        <v>48</v>
      </c>
      <c r="F1600" s="601">
        <v>0.26600000000000001</v>
      </c>
      <c r="G1600" s="536" t="s">
        <v>692</v>
      </c>
    </row>
    <row r="1601" spans="1:21" ht="13">
      <c r="A1601" s="532">
        <v>43966</v>
      </c>
      <c r="B1601" s="615">
        <v>110000</v>
      </c>
      <c r="C1601" s="615">
        <f t="shared" si="172"/>
        <v>113206.57534246576</v>
      </c>
      <c r="D1601" s="532">
        <f t="shared" si="173"/>
        <v>44006</v>
      </c>
      <c r="E1601" s="534">
        <v>40</v>
      </c>
      <c r="F1601" s="601">
        <v>0.26600000000000001</v>
      </c>
      <c r="G1601" s="536" t="s">
        <v>120</v>
      </c>
      <c r="U1601">
        <v>49314</v>
      </c>
    </row>
    <row r="1602" spans="1:21" ht="13">
      <c r="A1602" s="532">
        <v>43937</v>
      </c>
      <c r="B1602" s="615">
        <v>100000</v>
      </c>
      <c r="C1602" s="615">
        <f t="shared" si="172"/>
        <v>105101.36986301369</v>
      </c>
      <c r="D1602" s="532">
        <f t="shared" si="173"/>
        <v>44007</v>
      </c>
      <c r="E1602" s="534">
        <v>70</v>
      </c>
      <c r="F1602" s="601">
        <v>0.26600000000000001</v>
      </c>
      <c r="G1602" s="536" t="s">
        <v>693</v>
      </c>
      <c r="U1602">
        <v>49314</v>
      </c>
    </row>
    <row r="1603" spans="1:21" ht="13">
      <c r="A1603" s="532">
        <v>43979</v>
      </c>
      <c r="B1603" s="615">
        <v>90000</v>
      </c>
      <c r="C1603" s="615">
        <f t="shared" si="172"/>
        <v>92165.319999999978</v>
      </c>
      <c r="D1603" s="532">
        <f t="shared" si="173"/>
        <v>44012</v>
      </c>
      <c r="E1603" s="534">
        <v>33</v>
      </c>
      <c r="F1603" s="601">
        <v>0.26610835016834816</v>
      </c>
      <c r="G1603" s="536" t="s">
        <v>689</v>
      </c>
      <c r="U1603">
        <v>49314</v>
      </c>
    </row>
    <row r="1604" spans="1:21" ht="13">
      <c r="A1604" s="532">
        <v>43972</v>
      </c>
      <c r="B1604" s="615">
        <v>80000</v>
      </c>
      <c r="C1604" s="615">
        <f t="shared" si="172"/>
        <v>82390.356164383556</v>
      </c>
      <c r="D1604" s="532">
        <f t="shared" si="173"/>
        <v>44013</v>
      </c>
      <c r="E1604" s="534">
        <v>41</v>
      </c>
      <c r="F1604" s="601">
        <v>0.26600000000000001</v>
      </c>
      <c r="G1604" s="536" t="s">
        <v>120</v>
      </c>
    </row>
    <row r="1605" spans="1:21" ht="13">
      <c r="A1605" s="532">
        <v>43979</v>
      </c>
      <c r="B1605" s="615">
        <v>48000</v>
      </c>
      <c r="C1605" s="615">
        <f t="shared" si="172"/>
        <v>49224.32876712329</v>
      </c>
      <c r="D1605" s="532">
        <f t="shared" si="173"/>
        <v>44014</v>
      </c>
      <c r="E1605" s="534">
        <v>35</v>
      </c>
      <c r="F1605" s="601">
        <v>0.26600000000000001</v>
      </c>
      <c r="G1605" s="536" t="s">
        <v>694</v>
      </c>
    </row>
    <row r="1606" spans="1:21" ht="13">
      <c r="A1606" s="532">
        <v>43978</v>
      </c>
      <c r="B1606" s="615">
        <v>220000</v>
      </c>
      <c r="C1606" s="615">
        <f t="shared" si="172"/>
        <v>226733.80821917808</v>
      </c>
      <c r="D1606" s="532">
        <f t="shared" si="173"/>
        <v>44020</v>
      </c>
      <c r="E1606" s="534">
        <v>42</v>
      </c>
      <c r="F1606" s="601">
        <v>0.26600000000000001</v>
      </c>
      <c r="G1606" s="536" t="s">
        <v>120</v>
      </c>
    </row>
    <row r="1607" spans="1:21" ht="13">
      <c r="A1607" s="532">
        <v>43990</v>
      </c>
      <c r="B1607" s="615">
        <v>70000</v>
      </c>
      <c r="C1607" s="615">
        <f t="shared" si="172"/>
        <v>71727.178082191778</v>
      </c>
      <c r="D1607" s="532">
        <f t="shared" si="173"/>
        <v>44020</v>
      </c>
      <c r="E1607" s="534">
        <v>30</v>
      </c>
      <c r="F1607" s="601">
        <v>0.30020000000000002</v>
      </c>
      <c r="G1607" s="536" t="s">
        <v>120</v>
      </c>
    </row>
    <row r="1608" spans="1:21" ht="13">
      <c r="A1608" s="532">
        <v>43994</v>
      </c>
      <c r="B1608" s="615">
        <v>43000</v>
      </c>
      <c r="C1608" s="615">
        <f t="shared" si="172"/>
        <v>44096.346849315072</v>
      </c>
      <c r="D1608" s="532">
        <f t="shared" si="173"/>
        <v>44025</v>
      </c>
      <c r="E1608" s="534">
        <v>31</v>
      </c>
      <c r="F1608" s="601">
        <v>0.30020000000000002</v>
      </c>
      <c r="G1608" s="536" t="s">
        <v>120</v>
      </c>
    </row>
    <row r="1609" spans="1:21" ht="13">
      <c r="A1609" s="532">
        <v>43999</v>
      </c>
      <c r="B1609" s="615">
        <v>135000</v>
      </c>
      <c r="C1609" s="615">
        <f t="shared" si="172"/>
        <v>138664.08493150686</v>
      </c>
      <c r="D1609" s="532">
        <f t="shared" si="173"/>
        <v>44032</v>
      </c>
      <c r="E1609" s="534">
        <v>33</v>
      </c>
      <c r="F1609" s="601">
        <v>0.30020000000000002</v>
      </c>
      <c r="G1609" s="536" t="s">
        <v>276</v>
      </c>
    </row>
    <row r="1610" spans="1:21" ht="13">
      <c r="A1610" s="532">
        <v>44000</v>
      </c>
      <c r="B1610" s="615">
        <v>90000</v>
      </c>
      <c r="C1610" s="615">
        <f t="shared" si="172"/>
        <v>92368.701369863018</v>
      </c>
      <c r="D1610" s="532">
        <f t="shared" si="173"/>
        <v>44032</v>
      </c>
      <c r="E1610" s="534">
        <v>32</v>
      </c>
      <c r="F1610" s="601">
        <v>0.30020000000000002</v>
      </c>
      <c r="G1610" s="536" t="s">
        <v>276</v>
      </c>
    </row>
    <row r="1611" spans="1:21" ht="13">
      <c r="A1611" s="532">
        <v>44000</v>
      </c>
      <c r="B1611" s="615">
        <v>95000</v>
      </c>
      <c r="C1611" s="615">
        <f t="shared" si="172"/>
        <v>98125.369863013693</v>
      </c>
      <c r="D1611" s="532">
        <f t="shared" si="173"/>
        <v>44040</v>
      </c>
      <c r="E1611" s="534">
        <v>40</v>
      </c>
      <c r="F1611" s="601">
        <v>0.30020000000000002</v>
      </c>
      <c r="G1611" s="536" t="s">
        <v>276</v>
      </c>
    </row>
    <row r="1612" spans="1:21" ht="13">
      <c r="A1612" s="532">
        <v>44006</v>
      </c>
      <c r="B1612" s="615">
        <v>340000</v>
      </c>
      <c r="C1612" s="615">
        <f t="shared" si="172"/>
        <v>349787.34246575343</v>
      </c>
      <c r="D1612" s="532">
        <f t="shared" si="173"/>
        <v>44041</v>
      </c>
      <c r="E1612" s="534">
        <v>35</v>
      </c>
      <c r="F1612" s="601">
        <v>0.30020000000000002</v>
      </c>
      <c r="G1612" s="536" t="s">
        <v>120</v>
      </c>
    </row>
    <row r="1613" spans="1:21" ht="13">
      <c r="A1613" s="532">
        <v>44007</v>
      </c>
      <c r="B1613" s="615">
        <v>120000</v>
      </c>
      <c r="C1613" s="615">
        <f t="shared" si="172"/>
        <v>123454.35616438356</v>
      </c>
      <c r="D1613" s="532">
        <f t="shared" si="173"/>
        <v>44042</v>
      </c>
      <c r="E1613" s="534">
        <v>35</v>
      </c>
      <c r="F1613" s="601">
        <v>0.30020000000000002</v>
      </c>
      <c r="G1613" s="536" t="s">
        <v>120</v>
      </c>
    </row>
    <row r="1614" spans="1:21" ht="13">
      <c r="A1614" s="532">
        <v>44012</v>
      </c>
      <c r="B1614" s="615">
        <v>90000</v>
      </c>
      <c r="C1614" s="615">
        <f t="shared" si="172"/>
        <v>92220.65753424658</v>
      </c>
      <c r="D1614" s="532">
        <f t="shared" si="173"/>
        <v>44042</v>
      </c>
      <c r="E1614" s="534">
        <v>30</v>
      </c>
      <c r="F1614" s="601">
        <v>0.30020000000000002</v>
      </c>
      <c r="G1614" s="536" t="s">
        <v>276</v>
      </c>
      <c r="H1614">
        <f>+C1614-B1614</f>
        <v>2220.6575342465803</v>
      </c>
    </row>
    <row r="1615" spans="1:21" ht="13">
      <c r="A1615" s="532">
        <v>44013</v>
      </c>
      <c r="B1615" s="615">
        <v>70000</v>
      </c>
      <c r="C1615" s="615">
        <f t="shared" si="172"/>
        <v>71727.178082191778</v>
      </c>
      <c r="D1615" s="532">
        <f t="shared" si="173"/>
        <v>44043</v>
      </c>
      <c r="E1615" s="534">
        <v>30</v>
      </c>
      <c r="F1615" s="601">
        <v>0.30020000000000002</v>
      </c>
      <c r="G1615" s="536" t="s">
        <v>120</v>
      </c>
    </row>
    <row r="1616" spans="1:21" ht="13">
      <c r="A1616" s="532">
        <v>44025</v>
      </c>
      <c r="B1616" s="615">
        <v>50000</v>
      </c>
      <c r="C1616" s="615">
        <f t="shared" si="172"/>
        <v>51233.698630136983</v>
      </c>
      <c r="D1616" s="532">
        <f t="shared" si="173"/>
        <v>44055</v>
      </c>
      <c r="E1616" s="534">
        <v>30</v>
      </c>
      <c r="F1616" s="601">
        <v>0.30020000000000002</v>
      </c>
      <c r="G1616" s="536" t="s">
        <v>276</v>
      </c>
    </row>
    <row r="1617" spans="1:7" ht="13">
      <c r="A1617" s="532">
        <v>44026</v>
      </c>
      <c r="B1617" s="615">
        <v>25000</v>
      </c>
      <c r="C1617" s="615">
        <f t="shared" si="172"/>
        <v>25616.849315068492</v>
      </c>
      <c r="D1617" s="532">
        <f t="shared" si="173"/>
        <v>44056</v>
      </c>
      <c r="E1617" s="534">
        <v>30</v>
      </c>
      <c r="F1617" s="601">
        <v>0.30020000000000002</v>
      </c>
      <c r="G1617" s="536" t="s">
        <v>276</v>
      </c>
    </row>
    <row r="1618" spans="1:7" ht="13">
      <c r="A1618" s="532">
        <v>44020</v>
      </c>
      <c r="B1618" s="615">
        <v>150000</v>
      </c>
      <c r="C1618" s="615">
        <f t="shared" si="172"/>
        <v>154564.68493150684</v>
      </c>
      <c r="D1618" s="532">
        <f t="shared" si="173"/>
        <v>44057</v>
      </c>
      <c r="E1618" s="534">
        <v>37</v>
      </c>
      <c r="F1618" s="601">
        <v>0.30020000000000002</v>
      </c>
      <c r="G1618" s="536" t="s">
        <v>120</v>
      </c>
    </row>
    <row r="1619" spans="1:7" ht="13">
      <c r="A1619" s="532">
        <v>44032</v>
      </c>
      <c r="B1619" s="615">
        <v>115000</v>
      </c>
      <c r="C1619" s="615">
        <f t="shared" si="172"/>
        <v>117837.50684931508</v>
      </c>
      <c r="D1619" s="532">
        <f t="shared" si="173"/>
        <v>44062</v>
      </c>
      <c r="E1619" s="534">
        <v>30</v>
      </c>
      <c r="F1619" s="601">
        <v>0.30020000000000002</v>
      </c>
      <c r="G1619" s="536" t="s">
        <v>276</v>
      </c>
    </row>
    <row r="1620" spans="1:7" ht="13">
      <c r="A1620" s="532">
        <v>44032</v>
      </c>
      <c r="B1620" s="615">
        <v>115000</v>
      </c>
      <c r="C1620" s="615">
        <f t="shared" si="172"/>
        <v>118499.59178082192</v>
      </c>
      <c r="D1620" s="532">
        <f t="shared" si="173"/>
        <v>44069</v>
      </c>
      <c r="E1620" s="534">
        <v>37</v>
      </c>
      <c r="F1620" s="601">
        <v>0.30020000000000002</v>
      </c>
      <c r="G1620" s="536" t="s">
        <v>276</v>
      </c>
    </row>
    <row r="1621" spans="1:7" ht="13">
      <c r="A1621" s="532">
        <v>44043</v>
      </c>
      <c r="B1621" s="615">
        <v>75000</v>
      </c>
      <c r="C1621" s="615">
        <f t="shared" si="172"/>
        <v>76850.547945205486</v>
      </c>
      <c r="D1621" s="532">
        <f t="shared" si="173"/>
        <v>44073</v>
      </c>
      <c r="E1621" s="534">
        <v>30</v>
      </c>
      <c r="F1621" s="601">
        <v>0.30020000000000002</v>
      </c>
      <c r="G1621" s="536" t="s">
        <v>120</v>
      </c>
    </row>
    <row r="1622" spans="1:7" ht="13">
      <c r="A1622" s="532">
        <v>44040</v>
      </c>
      <c r="B1622" s="615">
        <v>120000</v>
      </c>
      <c r="C1622" s="615">
        <f t="shared" si="172"/>
        <v>123553.05205479452</v>
      </c>
      <c r="D1622" s="532">
        <f t="shared" si="173"/>
        <v>44076</v>
      </c>
      <c r="E1622" s="534">
        <v>36</v>
      </c>
      <c r="F1622" s="601">
        <v>0.30020000000000002</v>
      </c>
      <c r="G1622" s="536" t="s">
        <v>276</v>
      </c>
    </row>
    <row r="1623" spans="1:7" ht="13">
      <c r="A1623" s="532">
        <v>44042</v>
      </c>
      <c r="B1623" s="615">
        <v>90000</v>
      </c>
      <c r="C1623" s="615">
        <f t="shared" si="172"/>
        <v>92516.745205479456</v>
      </c>
      <c r="D1623" s="532">
        <f t="shared" si="173"/>
        <v>44076</v>
      </c>
      <c r="E1623" s="534">
        <v>34</v>
      </c>
      <c r="F1623" s="601">
        <v>0.30020000000000002</v>
      </c>
      <c r="G1623" s="536" t="s">
        <v>276</v>
      </c>
    </row>
    <row r="1624" spans="1:7" ht="13">
      <c r="A1624" s="532">
        <v>44042</v>
      </c>
      <c r="B1624" s="615">
        <v>122000</v>
      </c>
      <c r="C1624" s="615">
        <f t="shared" si="172"/>
        <v>125411.58794520548</v>
      </c>
      <c r="D1624" s="532">
        <f t="shared" si="173"/>
        <v>44076</v>
      </c>
      <c r="E1624" s="534">
        <v>34</v>
      </c>
      <c r="F1624" s="601">
        <v>0.30020000000000002</v>
      </c>
      <c r="G1624" s="536" t="s">
        <v>120</v>
      </c>
    </row>
    <row r="1625" spans="1:7" ht="13">
      <c r="A1625" s="532">
        <v>44050</v>
      </c>
      <c r="B1625" s="615">
        <v>150000</v>
      </c>
      <c r="C1625" s="615">
        <f t="shared" si="172"/>
        <v>154211.75342465754</v>
      </c>
      <c r="D1625" s="532">
        <f t="shared" si="173"/>
        <v>44081</v>
      </c>
      <c r="E1625" s="534">
        <v>31</v>
      </c>
      <c r="F1625" s="601">
        <v>0.3306</v>
      </c>
      <c r="G1625" s="536" t="s">
        <v>120</v>
      </c>
    </row>
    <row r="1626" spans="1:7" ht="13">
      <c r="A1626" s="532">
        <v>44041</v>
      </c>
      <c r="B1626" s="615">
        <v>350000</v>
      </c>
      <c r="C1626" s="615">
        <f t="shared" si="172"/>
        <v>362090.24657534249</v>
      </c>
      <c r="D1626" s="532">
        <f t="shared" si="173"/>
        <v>44083</v>
      </c>
      <c r="E1626" s="534">
        <v>42</v>
      </c>
      <c r="F1626" s="601">
        <v>0.30020000000000002</v>
      </c>
      <c r="G1626" s="536" t="s">
        <v>120</v>
      </c>
    </row>
    <row r="1627" spans="1:7" ht="13">
      <c r="A1627" s="532">
        <v>44055</v>
      </c>
      <c r="B1627" s="615">
        <v>45000</v>
      </c>
      <c r="C1627" s="615">
        <f t="shared" si="172"/>
        <v>46222.767123287675</v>
      </c>
      <c r="D1627" s="532">
        <f t="shared" si="173"/>
        <v>44085</v>
      </c>
      <c r="E1627" s="534">
        <v>30</v>
      </c>
      <c r="F1627" s="601">
        <v>0.3306</v>
      </c>
      <c r="G1627" s="536" t="s">
        <v>540</v>
      </c>
    </row>
    <row r="1628" spans="1:7" ht="13">
      <c r="A1628" s="532">
        <v>44056</v>
      </c>
      <c r="B1628" s="615">
        <v>160000</v>
      </c>
      <c r="C1628" s="615">
        <f t="shared" si="172"/>
        <v>164637.45753424658</v>
      </c>
      <c r="D1628" s="532">
        <f t="shared" si="173"/>
        <v>44088</v>
      </c>
      <c r="E1628" s="534">
        <v>32</v>
      </c>
      <c r="F1628" s="601">
        <v>0.3306</v>
      </c>
      <c r="G1628" s="536" t="s">
        <v>540</v>
      </c>
    </row>
    <row r="1629" spans="1:7" ht="13">
      <c r="A1629" s="532">
        <v>44057</v>
      </c>
      <c r="B1629" s="615">
        <v>50000</v>
      </c>
      <c r="C1629" s="615">
        <f t="shared" si="172"/>
        <v>51403.917808219179</v>
      </c>
      <c r="D1629" s="532">
        <f t="shared" si="173"/>
        <v>44088</v>
      </c>
      <c r="E1629" s="534">
        <v>31</v>
      </c>
      <c r="F1629" s="601">
        <v>0.3306</v>
      </c>
      <c r="G1629" s="536" t="s">
        <v>695</v>
      </c>
    </row>
    <row r="1630" spans="1:7" ht="13">
      <c r="A1630" s="532">
        <v>44057</v>
      </c>
      <c r="B1630" s="615">
        <v>155000</v>
      </c>
      <c r="C1630" s="615">
        <f t="shared" si="172"/>
        <v>159352.14520547946</v>
      </c>
      <c r="D1630" s="532">
        <f t="shared" si="173"/>
        <v>44088</v>
      </c>
      <c r="E1630" s="534">
        <v>31</v>
      </c>
      <c r="F1630" s="601">
        <v>0.3306</v>
      </c>
      <c r="G1630" s="536" t="s">
        <v>120</v>
      </c>
    </row>
    <row r="1631" spans="1:7" ht="13">
      <c r="A1631" s="532">
        <v>44061</v>
      </c>
      <c r="B1631" s="615">
        <v>38000</v>
      </c>
      <c r="C1631" s="615">
        <f t="shared" si="172"/>
        <v>39032.558904109588</v>
      </c>
      <c r="D1631" s="532">
        <f t="shared" si="173"/>
        <v>44091</v>
      </c>
      <c r="E1631" s="534">
        <v>30</v>
      </c>
      <c r="F1631" s="601">
        <v>0.3306</v>
      </c>
      <c r="G1631" s="536" t="s">
        <v>276</v>
      </c>
    </row>
    <row r="1632" spans="1:7" ht="13">
      <c r="A1632" s="532">
        <v>44062</v>
      </c>
      <c r="B1632" s="615">
        <v>117000</v>
      </c>
      <c r="C1632" s="615">
        <f t="shared" si="172"/>
        <v>120179.19452054794</v>
      </c>
      <c r="D1632" s="532">
        <f t="shared" si="173"/>
        <v>44092</v>
      </c>
      <c r="E1632" s="534">
        <v>30</v>
      </c>
      <c r="F1632" s="601">
        <v>0.3306</v>
      </c>
      <c r="G1632" s="536" t="s">
        <v>276</v>
      </c>
    </row>
    <row r="1633" spans="1:21" ht="13">
      <c r="A1633" s="532">
        <v>44063</v>
      </c>
      <c r="B1633" s="615">
        <v>20000</v>
      </c>
      <c r="C1633" s="615">
        <f t="shared" si="172"/>
        <v>20579.682191780823</v>
      </c>
      <c r="D1633" s="532">
        <f t="shared" si="173"/>
        <v>44095</v>
      </c>
      <c r="E1633" s="534">
        <v>32</v>
      </c>
      <c r="F1633" s="601">
        <v>0.3306</v>
      </c>
      <c r="G1633" s="536" t="s">
        <v>696</v>
      </c>
    </row>
    <row r="1634" spans="1:21" ht="13">
      <c r="A1634" s="532">
        <v>44069</v>
      </c>
      <c r="B1634" s="615">
        <v>9000</v>
      </c>
      <c r="C1634" s="615">
        <f t="shared" si="172"/>
        <v>9244.5534246575335</v>
      </c>
      <c r="D1634" s="532">
        <f t="shared" si="173"/>
        <v>44099</v>
      </c>
      <c r="E1634" s="534">
        <v>30</v>
      </c>
      <c r="F1634" s="601">
        <v>0.3306</v>
      </c>
      <c r="G1634" s="536" t="s">
        <v>696</v>
      </c>
    </row>
    <row r="1635" spans="1:21" ht="13">
      <c r="A1635" s="532">
        <v>44070</v>
      </c>
      <c r="B1635" s="615">
        <v>25000</v>
      </c>
      <c r="C1635" s="615">
        <f t="shared" si="172"/>
        <v>25724.602739726026</v>
      </c>
      <c r="D1635" s="532">
        <f t="shared" si="173"/>
        <v>44102</v>
      </c>
      <c r="E1635" s="534">
        <v>32</v>
      </c>
      <c r="F1635" s="601">
        <v>0.3306</v>
      </c>
      <c r="G1635" s="536" t="s">
        <v>276</v>
      </c>
    </row>
    <row r="1636" spans="1:21" ht="13">
      <c r="A1636" s="532">
        <v>44074</v>
      </c>
      <c r="B1636" s="615">
        <v>77000</v>
      </c>
      <c r="C1636" s="615">
        <f t="shared" si="172"/>
        <v>79092.2904109589</v>
      </c>
      <c r="D1636" s="532">
        <f t="shared" si="173"/>
        <v>44104</v>
      </c>
      <c r="E1636" s="534">
        <v>30</v>
      </c>
      <c r="F1636" s="601">
        <v>0.3306</v>
      </c>
      <c r="G1636" s="536" t="s">
        <v>120</v>
      </c>
      <c r="U1636">
        <v>49314</v>
      </c>
    </row>
    <row r="1637" spans="1:21" ht="13">
      <c r="A1637" s="532">
        <v>44076</v>
      </c>
      <c r="B1637" s="615">
        <v>210000</v>
      </c>
      <c r="C1637" s="615">
        <f t="shared" si="172"/>
        <v>217037.70410958905</v>
      </c>
      <c r="D1637" s="532">
        <f t="shared" si="173"/>
        <v>44113</v>
      </c>
      <c r="E1637" s="534">
        <v>37</v>
      </c>
      <c r="F1637" s="601">
        <v>0.3306</v>
      </c>
      <c r="G1637" s="536" t="s">
        <v>276</v>
      </c>
    </row>
    <row r="1638" spans="1:21" ht="13">
      <c r="A1638" s="532">
        <v>44076</v>
      </c>
      <c r="B1638" s="615">
        <v>100000</v>
      </c>
      <c r="C1638" s="615">
        <f t="shared" si="172"/>
        <v>103351.28767123287</v>
      </c>
      <c r="D1638" s="532">
        <f t="shared" si="173"/>
        <v>44113</v>
      </c>
      <c r="E1638" s="534">
        <v>37</v>
      </c>
      <c r="F1638" s="601">
        <v>0.3306</v>
      </c>
      <c r="G1638" s="536" t="s">
        <v>120</v>
      </c>
      <c r="U1638">
        <v>49314</v>
      </c>
    </row>
    <row r="1639" spans="1:21" ht="13">
      <c r="A1639" s="532">
        <v>44081</v>
      </c>
      <c r="B1639" s="615">
        <v>140000</v>
      </c>
      <c r="C1639" s="615">
        <f t="shared" si="172"/>
        <v>144564.99726027396</v>
      </c>
      <c r="D1639" s="532">
        <f t="shared" si="173"/>
        <v>44117</v>
      </c>
      <c r="E1639" s="534">
        <v>36</v>
      </c>
      <c r="F1639" s="601">
        <v>0.3306</v>
      </c>
      <c r="G1639" s="536" t="s">
        <v>120</v>
      </c>
      <c r="U1639">
        <v>49314</v>
      </c>
    </row>
    <row r="1640" spans="1:21" ht="13">
      <c r="A1640" s="532">
        <v>44083</v>
      </c>
      <c r="B1640" s="615">
        <v>12600</v>
      </c>
      <c r="C1640" s="615">
        <f t="shared" si="172"/>
        <v>12988.024767123288</v>
      </c>
      <c r="D1640" s="532">
        <f t="shared" si="173"/>
        <v>44117</v>
      </c>
      <c r="E1640" s="534">
        <v>34</v>
      </c>
      <c r="F1640" s="601">
        <v>0.3306</v>
      </c>
      <c r="G1640" s="536" t="s">
        <v>695</v>
      </c>
      <c r="U1640">
        <v>49314</v>
      </c>
    </row>
    <row r="1641" spans="1:21" ht="13">
      <c r="A1641" s="532">
        <v>44085</v>
      </c>
      <c r="B1641" s="615">
        <v>25000</v>
      </c>
      <c r="C1641" s="615">
        <f t="shared" si="172"/>
        <v>25724.602739726026</v>
      </c>
      <c r="D1641" s="532">
        <f t="shared" si="173"/>
        <v>44117</v>
      </c>
      <c r="E1641" s="534">
        <v>32</v>
      </c>
      <c r="F1641" s="601">
        <v>0.3306</v>
      </c>
      <c r="G1641" s="536" t="s">
        <v>276</v>
      </c>
      <c r="U1641">
        <v>49314</v>
      </c>
    </row>
    <row r="1642" spans="1:21" ht="13">
      <c r="A1642" s="532">
        <v>44085</v>
      </c>
      <c r="B1642" s="615">
        <v>30900</v>
      </c>
      <c r="C1642" s="615">
        <f t="shared" si="172"/>
        <v>31795.608986301369</v>
      </c>
      <c r="D1642" s="532">
        <f t="shared" si="173"/>
        <v>44117</v>
      </c>
      <c r="E1642" s="534">
        <v>32</v>
      </c>
      <c r="F1642" s="601">
        <v>0.3306</v>
      </c>
      <c r="G1642" s="536" t="s">
        <v>695</v>
      </c>
      <c r="U1642">
        <v>49314</v>
      </c>
    </row>
    <row r="1643" spans="1:21" ht="13">
      <c r="A1643" s="532">
        <v>44085</v>
      </c>
      <c r="B1643" s="615">
        <v>16000</v>
      </c>
      <c r="C1643" s="615">
        <f t="shared" si="172"/>
        <v>16463.745753424657</v>
      </c>
      <c r="D1643" s="532">
        <f t="shared" si="173"/>
        <v>44117</v>
      </c>
      <c r="E1643" s="534">
        <v>32</v>
      </c>
      <c r="F1643" s="601">
        <v>0.3306</v>
      </c>
      <c r="G1643" s="536" t="s">
        <v>696</v>
      </c>
      <c r="U1643">
        <v>49314</v>
      </c>
    </row>
    <row r="1644" spans="1:21" ht="13">
      <c r="A1644" s="532">
        <v>44085</v>
      </c>
      <c r="B1644" s="615">
        <v>50000</v>
      </c>
      <c r="C1644" s="615">
        <f t="shared" si="172"/>
        <v>51449.205479452052</v>
      </c>
      <c r="D1644" s="532">
        <f t="shared" si="173"/>
        <v>44117</v>
      </c>
      <c r="E1644" s="534">
        <v>32</v>
      </c>
      <c r="F1644" s="601">
        <v>0.3306</v>
      </c>
      <c r="G1644" s="536" t="s">
        <v>540</v>
      </c>
    </row>
    <row r="1645" spans="1:21" ht="13">
      <c r="A1645" s="532">
        <v>44088</v>
      </c>
      <c r="B1645" s="615">
        <v>51400</v>
      </c>
      <c r="C1645" s="615">
        <f t="shared" si="172"/>
        <v>52796.671780821918</v>
      </c>
      <c r="D1645" s="532">
        <f t="shared" si="173"/>
        <v>44118</v>
      </c>
      <c r="E1645" s="534">
        <v>30</v>
      </c>
      <c r="F1645" s="601">
        <v>0.3306</v>
      </c>
      <c r="G1645" s="536" t="s">
        <v>695</v>
      </c>
      <c r="U1645">
        <v>49314</v>
      </c>
    </row>
    <row r="1646" spans="1:21" ht="13">
      <c r="A1646" s="532">
        <v>44083</v>
      </c>
      <c r="B1646" s="615">
        <v>364000</v>
      </c>
      <c r="C1646" s="615">
        <f t="shared" si="172"/>
        <v>376198.6871232877</v>
      </c>
      <c r="D1646" s="532">
        <f t="shared" si="173"/>
        <v>44120</v>
      </c>
      <c r="E1646" s="534">
        <v>37</v>
      </c>
      <c r="F1646" s="601">
        <v>0.3306</v>
      </c>
      <c r="G1646" s="536" t="s">
        <v>120</v>
      </c>
    </row>
    <row r="1647" spans="1:21" ht="13">
      <c r="A1647" s="532">
        <v>44090</v>
      </c>
      <c r="B1647" s="615">
        <v>70000</v>
      </c>
      <c r="C1647" s="615">
        <f t="shared" ref="A1647:C1710" si="174">B1647+(B1647*F1647/365*E1647)*1</f>
        <v>71902.082191780821</v>
      </c>
      <c r="D1647" s="532">
        <f t="shared" si="173"/>
        <v>44120</v>
      </c>
      <c r="E1647" s="534">
        <v>30</v>
      </c>
      <c r="F1647" s="601">
        <v>0.3306</v>
      </c>
      <c r="G1647" s="536" t="s">
        <v>276</v>
      </c>
    </row>
    <row r="1648" spans="1:21" ht="13">
      <c r="A1648" s="532">
        <v>44092</v>
      </c>
      <c r="B1648" s="615">
        <v>200000</v>
      </c>
      <c r="C1648" s="615">
        <f t="shared" si="174"/>
        <v>205615.67123287672</v>
      </c>
      <c r="D1648" s="532">
        <f t="shared" si="173"/>
        <v>44123</v>
      </c>
      <c r="E1648" s="534">
        <v>31</v>
      </c>
      <c r="F1648" s="601">
        <v>0.3306</v>
      </c>
      <c r="G1648" s="536" t="s">
        <v>276</v>
      </c>
      <c r="U1648">
        <v>49314</v>
      </c>
    </row>
    <row r="1649" spans="1:21" ht="13">
      <c r="A1649" s="532">
        <v>44096</v>
      </c>
      <c r="B1649" s="615">
        <v>20000</v>
      </c>
      <c r="C1649" s="615">
        <f t="shared" si="174"/>
        <v>20543.452054794521</v>
      </c>
      <c r="D1649" s="532">
        <f t="shared" si="173"/>
        <v>44126</v>
      </c>
      <c r="E1649" s="534">
        <v>30</v>
      </c>
      <c r="F1649" s="601">
        <v>0.3306</v>
      </c>
      <c r="G1649" s="536" t="s">
        <v>276</v>
      </c>
      <c r="U1649">
        <v>49314</v>
      </c>
    </row>
    <row r="1650" spans="1:21" ht="13">
      <c r="A1650" s="532">
        <v>44096</v>
      </c>
      <c r="B1650" s="615">
        <v>20579</v>
      </c>
      <c r="C1650" s="615">
        <f t="shared" si="174"/>
        <v>21138.184991780821</v>
      </c>
      <c r="D1650" s="532">
        <f t="shared" si="173"/>
        <v>44126</v>
      </c>
      <c r="E1650" s="534">
        <v>30</v>
      </c>
      <c r="F1650" s="601">
        <v>0.3306</v>
      </c>
      <c r="G1650" s="536" t="s">
        <v>696</v>
      </c>
      <c r="U1650">
        <v>49314</v>
      </c>
    </row>
    <row r="1651" spans="1:21" ht="13">
      <c r="A1651" s="532">
        <v>44097</v>
      </c>
      <c r="B1651" s="615">
        <v>20000</v>
      </c>
      <c r="C1651" s="615">
        <f t="shared" si="174"/>
        <v>20543.452054794521</v>
      </c>
      <c r="D1651" s="532">
        <f t="shared" si="173"/>
        <v>44127</v>
      </c>
      <c r="E1651" s="534">
        <v>30</v>
      </c>
      <c r="F1651" s="601">
        <v>0.3306</v>
      </c>
      <c r="G1651" s="536" t="s">
        <v>276</v>
      </c>
      <c r="U1651">
        <v>49314</v>
      </c>
    </row>
    <row r="1652" spans="1:21" ht="13">
      <c r="A1652" s="532">
        <v>44098</v>
      </c>
      <c r="B1652" s="615">
        <v>8000</v>
      </c>
      <c r="C1652" s="615">
        <f t="shared" si="174"/>
        <v>8231.8728767123284</v>
      </c>
      <c r="D1652" s="532">
        <f t="shared" si="173"/>
        <v>44130</v>
      </c>
      <c r="E1652" s="534">
        <v>32</v>
      </c>
      <c r="F1652" s="601">
        <v>0.3306</v>
      </c>
      <c r="G1652" s="536" t="s">
        <v>696</v>
      </c>
      <c r="U1652">
        <v>49314</v>
      </c>
    </row>
    <row r="1653" spans="1:21" ht="13">
      <c r="A1653" s="532">
        <v>44099</v>
      </c>
      <c r="B1653" s="615">
        <v>120000</v>
      </c>
      <c r="C1653" s="615">
        <f t="shared" si="174"/>
        <v>123369.40273972602</v>
      </c>
      <c r="D1653" s="532">
        <f t="shared" ref="A1653:D1716" si="175">+A1653+E1653</f>
        <v>44130</v>
      </c>
      <c r="E1653" s="534">
        <v>31</v>
      </c>
      <c r="F1653" s="601">
        <v>0.3306</v>
      </c>
      <c r="G1653" s="536" t="s">
        <v>276</v>
      </c>
      <c r="U1653">
        <v>49314</v>
      </c>
    </row>
    <row r="1654" spans="1:21" ht="13">
      <c r="A1654" s="532">
        <v>44099</v>
      </c>
      <c r="B1654" s="615">
        <v>9244.5499999999993</v>
      </c>
      <c r="C1654" s="615">
        <f t="shared" si="174"/>
        <v>9504.1217674794516</v>
      </c>
      <c r="D1654" s="532">
        <f t="shared" si="175"/>
        <v>44130</v>
      </c>
      <c r="E1654" s="534">
        <v>31</v>
      </c>
      <c r="F1654" s="601">
        <v>0.3306</v>
      </c>
      <c r="G1654" s="536" t="s">
        <v>696</v>
      </c>
      <c r="U1654">
        <v>49314</v>
      </c>
    </row>
    <row r="1655" spans="1:21" ht="13">
      <c r="A1655" s="532">
        <v>44103</v>
      </c>
      <c r="B1655" s="615">
        <v>42500</v>
      </c>
      <c r="C1655" s="615">
        <f t="shared" si="174"/>
        <v>43654.835616438359</v>
      </c>
      <c r="D1655" s="532">
        <f t="shared" si="175"/>
        <v>44133</v>
      </c>
      <c r="E1655" s="534">
        <v>30</v>
      </c>
      <c r="F1655" s="601">
        <v>0.3306</v>
      </c>
      <c r="G1655" s="536" t="s">
        <v>276</v>
      </c>
      <c r="U1655">
        <v>49314</v>
      </c>
    </row>
    <row r="1656" spans="1:21" ht="13">
      <c r="A1656" s="532">
        <v>44103</v>
      </c>
      <c r="B1656" s="615">
        <v>39000</v>
      </c>
      <c r="C1656" s="615">
        <f t="shared" si="174"/>
        <v>40059.731506849312</v>
      </c>
      <c r="D1656" s="532">
        <f t="shared" si="175"/>
        <v>44133</v>
      </c>
      <c r="E1656" s="534">
        <v>30</v>
      </c>
      <c r="F1656" s="601">
        <v>0.3306</v>
      </c>
      <c r="G1656" s="536" t="s">
        <v>695</v>
      </c>
      <c r="U1656">
        <v>49314</v>
      </c>
    </row>
    <row r="1657" spans="1:21" ht="13">
      <c r="A1657" s="532">
        <v>44104</v>
      </c>
      <c r="B1657" s="615">
        <v>77000</v>
      </c>
      <c r="C1657" s="615">
        <f t="shared" si="174"/>
        <v>79092.2904109589</v>
      </c>
      <c r="D1657" s="532">
        <f t="shared" si="175"/>
        <v>44134</v>
      </c>
      <c r="E1657" s="534">
        <v>30</v>
      </c>
      <c r="F1657" s="601">
        <v>0.3306</v>
      </c>
      <c r="G1657" s="536" t="s">
        <v>120</v>
      </c>
      <c r="U1657">
        <v>49314</v>
      </c>
    </row>
    <row r="1658" spans="1:21" ht="13">
      <c r="A1658" s="532">
        <v>44111</v>
      </c>
      <c r="B1658" s="615">
        <v>58000</v>
      </c>
      <c r="C1658" s="615">
        <f t="shared" si="174"/>
        <v>59733.612054794517</v>
      </c>
      <c r="D1658" s="532">
        <f t="shared" si="175"/>
        <v>44144</v>
      </c>
      <c r="E1658" s="534">
        <v>33</v>
      </c>
      <c r="F1658" s="601">
        <v>0.3306</v>
      </c>
      <c r="G1658" s="536" t="s">
        <v>695</v>
      </c>
      <c r="U1658">
        <v>49314</v>
      </c>
    </row>
    <row r="1659" spans="1:21" ht="13">
      <c r="A1659" s="532">
        <v>44112</v>
      </c>
      <c r="B1659" s="615">
        <v>30000</v>
      </c>
      <c r="C1659" s="615">
        <f t="shared" si="174"/>
        <v>30869.523287671233</v>
      </c>
      <c r="D1659" s="532">
        <f t="shared" si="175"/>
        <v>44144</v>
      </c>
      <c r="E1659" s="534">
        <v>32</v>
      </c>
      <c r="F1659" s="601">
        <v>0.3306</v>
      </c>
      <c r="G1659" s="536" t="s">
        <v>696</v>
      </c>
      <c r="U1659">
        <v>49314</v>
      </c>
    </row>
    <row r="1660" spans="1:21" ht="13">
      <c r="A1660" s="532">
        <v>44113</v>
      </c>
      <c r="B1660" s="615">
        <v>225000</v>
      </c>
      <c r="C1660" s="615">
        <f t="shared" si="174"/>
        <v>231317.63013698629</v>
      </c>
      <c r="D1660" s="532">
        <f t="shared" si="175"/>
        <v>44144</v>
      </c>
      <c r="E1660" s="534">
        <v>31</v>
      </c>
      <c r="F1660" s="601">
        <v>0.3306</v>
      </c>
      <c r="G1660" s="536" t="s">
        <v>276</v>
      </c>
      <c r="U1660">
        <v>49314</v>
      </c>
    </row>
    <row r="1661" spans="1:21" ht="13">
      <c r="A1661" s="532">
        <v>44113</v>
      </c>
      <c r="B1661" s="615">
        <v>100000</v>
      </c>
      <c r="C1661" s="615">
        <f t="shared" si="174"/>
        <v>102807.83561643836</v>
      </c>
      <c r="D1661" s="532">
        <f t="shared" si="175"/>
        <v>44144</v>
      </c>
      <c r="E1661" s="534">
        <v>31</v>
      </c>
      <c r="F1661" s="601">
        <v>0.3306</v>
      </c>
      <c r="G1661" s="536" t="s">
        <v>120</v>
      </c>
      <c r="U1661">
        <v>49314</v>
      </c>
    </row>
    <row r="1662" spans="1:21" ht="13">
      <c r="A1662" s="532">
        <v>44117</v>
      </c>
      <c r="B1662" s="615">
        <v>10000</v>
      </c>
      <c r="C1662" s="615">
        <f t="shared" si="174"/>
        <v>10307.956164383562</v>
      </c>
      <c r="D1662" s="532">
        <f t="shared" si="175"/>
        <v>44151</v>
      </c>
      <c r="E1662" s="534">
        <v>34</v>
      </c>
      <c r="F1662" s="601">
        <v>0.3306</v>
      </c>
      <c r="G1662" s="536" t="s">
        <v>276</v>
      </c>
      <c r="U1662">
        <v>49314</v>
      </c>
    </row>
    <row r="1663" spans="1:21" ht="13">
      <c r="A1663" s="532">
        <v>44117</v>
      </c>
      <c r="B1663" s="615">
        <v>86000</v>
      </c>
      <c r="C1663" s="615">
        <f t="shared" si="174"/>
        <v>88648.42301369863</v>
      </c>
      <c r="D1663" s="532">
        <f t="shared" si="175"/>
        <v>44151</v>
      </c>
      <c r="E1663" s="534">
        <v>34</v>
      </c>
      <c r="F1663" s="601">
        <v>0.3306</v>
      </c>
      <c r="G1663" s="536" t="s">
        <v>695</v>
      </c>
      <c r="U1663">
        <v>49314</v>
      </c>
    </row>
    <row r="1664" spans="1:21" ht="13">
      <c r="A1664" s="532">
        <v>44117</v>
      </c>
      <c r="B1664" s="615">
        <v>16463</v>
      </c>
      <c r="C1664" s="615">
        <f t="shared" si="174"/>
        <v>16969.988233424658</v>
      </c>
      <c r="D1664" s="532">
        <f t="shared" si="175"/>
        <v>44151</v>
      </c>
      <c r="E1664" s="534">
        <v>34</v>
      </c>
      <c r="F1664" s="601">
        <v>0.3306</v>
      </c>
      <c r="G1664" s="536" t="s">
        <v>696</v>
      </c>
      <c r="U1664">
        <v>49314</v>
      </c>
    </row>
    <row r="1665" spans="1:21" ht="13">
      <c r="A1665" s="532">
        <v>44117</v>
      </c>
      <c r="B1665" s="615">
        <v>51450</v>
      </c>
      <c r="C1665" s="615">
        <f t="shared" si="174"/>
        <v>53034.434465753424</v>
      </c>
      <c r="D1665" s="532">
        <f t="shared" si="175"/>
        <v>44151</v>
      </c>
      <c r="E1665" s="534">
        <v>34</v>
      </c>
      <c r="F1665" s="601">
        <v>0.3306</v>
      </c>
      <c r="G1665" s="536" t="s">
        <v>540</v>
      </c>
      <c r="U1665">
        <v>49314</v>
      </c>
    </row>
    <row r="1666" spans="1:21" ht="13">
      <c r="A1666" s="532">
        <v>44117</v>
      </c>
      <c r="B1666" s="615">
        <v>145000</v>
      </c>
      <c r="C1666" s="615">
        <f t="shared" si="174"/>
        <v>149465.36438356165</v>
      </c>
      <c r="D1666" s="532">
        <f t="shared" si="175"/>
        <v>44151</v>
      </c>
      <c r="E1666" s="534">
        <v>34</v>
      </c>
      <c r="F1666" s="601">
        <v>0.3306</v>
      </c>
      <c r="G1666" s="536" t="s">
        <v>540</v>
      </c>
      <c r="U1666">
        <v>49314</v>
      </c>
    </row>
    <row r="1667" spans="1:21" ht="13">
      <c r="A1667" s="532">
        <v>44118</v>
      </c>
      <c r="B1667" s="615">
        <v>53000</v>
      </c>
      <c r="C1667" s="615">
        <f t="shared" si="174"/>
        <v>54584.162739726031</v>
      </c>
      <c r="D1667" s="532">
        <f t="shared" si="175"/>
        <v>44151</v>
      </c>
      <c r="E1667" s="534">
        <v>33</v>
      </c>
      <c r="F1667" s="601">
        <v>0.3306</v>
      </c>
      <c r="G1667" s="536" t="s">
        <v>695</v>
      </c>
      <c r="U1667">
        <v>49314</v>
      </c>
    </row>
    <row r="1668" spans="1:21" ht="13">
      <c r="A1668" s="532">
        <v>44120</v>
      </c>
      <c r="B1668" s="615">
        <v>70000</v>
      </c>
      <c r="C1668" s="615">
        <f t="shared" si="174"/>
        <v>72021.369863013693</v>
      </c>
      <c r="D1668" s="532">
        <f t="shared" si="175"/>
        <v>44151</v>
      </c>
      <c r="E1668" s="534">
        <v>31</v>
      </c>
      <c r="F1668" s="601">
        <v>0.34</v>
      </c>
      <c r="G1668" s="536" t="s">
        <v>120</v>
      </c>
      <c r="U1668">
        <v>49314</v>
      </c>
    </row>
    <row r="1669" spans="1:21" ht="13">
      <c r="A1669" s="532">
        <v>44123</v>
      </c>
      <c r="B1669" s="615">
        <v>240000</v>
      </c>
      <c r="C1669" s="615">
        <f t="shared" si="174"/>
        <v>246706.84931506848</v>
      </c>
      <c r="D1669" s="532">
        <f t="shared" si="175"/>
        <v>44153</v>
      </c>
      <c r="E1669" s="534">
        <v>30</v>
      </c>
      <c r="F1669" s="601">
        <v>0.34</v>
      </c>
      <c r="G1669" s="536" t="s">
        <v>276</v>
      </c>
      <c r="U1669">
        <v>49314</v>
      </c>
    </row>
    <row r="1670" spans="1:21" ht="13">
      <c r="A1670" s="532">
        <v>44124</v>
      </c>
      <c r="B1670" s="615">
        <v>17000</v>
      </c>
      <c r="C1670" s="615">
        <f t="shared" si="174"/>
        <v>17475.068493150684</v>
      </c>
      <c r="D1670" s="532">
        <f t="shared" si="175"/>
        <v>44154</v>
      </c>
      <c r="E1670" s="534">
        <v>30</v>
      </c>
      <c r="F1670" s="601">
        <v>0.34</v>
      </c>
      <c r="G1670" s="536" t="s">
        <v>276</v>
      </c>
      <c r="U1670">
        <v>49314</v>
      </c>
    </row>
    <row r="1671" spans="1:21" ht="13">
      <c r="A1671" s="532">
        <v>44125</v>
      </c>
      <c r="B1671" s="615">
        <v>10000</v>
      </c>
      <c r="C1671" s="615">
        <f t="shared" si="174"/>
        <v>10279.452054794521</v>
      </c>
      <c r="D1671" s="532">
        <f t="shared" si="175"/>
        <v>44155</v>
      </c>
      <c r="E1671" s="534">
        <v>30</v>
      </c>
      <c r="F1671" s="601">
        <v>0.34</v>
      </c>
      <c r="G1671" s="536" t="s">
        <v>120</v>
      </c>
      <c r="U1671">
        <v>49314</v>
      </c>
    </row>
    <row r="1672" spans="1:21" ht="13">
      <c r="A1672" s="532">
        <v>44126</v>
      </c>
      <c r="B1672" s="615">
        <v>25000</v>
      </c>
      <c r="C1672" s="615">
        <f t="shared" si="174"/>
        <v>25768.493150684932</v>
      </c>
      <c r="D1672" s="532">
        <f t="shared" si="175"/>
        <v>44159</v>
      </c>
      <c r="E1672" s="534">
        <v>33</v>
      </c>
      <c r="F1672" s="601">
        <v>0.34</v>
      </c>
      <c r="G1672" s="536" t="s">
        <v>696</v>
      </c>
      <c r="U1672">
        <v>49314</v>
      </c>
    </row>
    <row r="1673" spans="1:21" ht="13">
      <c r="A1673" s="532">
        <v>44130</v>
      </c>
      <c r="B1673" s="615">
        <v>123000</v>
      </c>
      <c r="C1673" s="615">
        <f t="shared" si="174"/>
        <v>126437.2602739726</v>
      </c>
      <c r="D1673" s="532">
        <f t="shared" si="175"/>
        <v>44160</v>
      </c>
      <c r="E1673" s="534">
        <v>30</v>
      </c>
      <c r="F1673" s="601">
        <v>0.34</v>
      </c>
      <c r="G1673" s="536" t="s">
        <v>276</v>
      </c>
      <c r="U1673">
        <v>49314</v>
      </c>
    </row>
    <row r="1674" spans="1:21" ht="13">
      <c r="A1674" s="532">
        <v>44130</v>
      </c>
      <c r="B1674" s="615">
        <v>18000</v>
      </c>
      <c r="C1674" s="615">
        <f t="shared" si="174"/>
        <v>18503.013698630137</v>
      </c>
      <c r="D1674" s="532">
        <f t="shared" si="175"/>
        <v>44160</v>
      </c>
      <c r="E1674" s="534">
        <v>30</v>
      </c>
      <c r="F1674" s="601">
        <v>0.34</v>
      </c>
      <c r="G1674" s="536" t="s">
        <v>696</v>
      </c>
      <c r="U1674">
        <v>49314</v>
      </c>
    </row>
    <row r="1675" spans="1:21" ht="13">
      <c r="A1675" s="532">
        <v>44133</v>
      </c>
      <c r="B1675" s="615">
        <v>45000</v>
      </c>
      <c r="C1675" s="615">
        <f t="shared" si="174"/>
        <v>46341.369863013701</v>
      </c>
      <c r="D1675" s="532">
        <f t="shared" si="175"/>
        <v>44165</v>
      </c>
      <c r="E1675" s="534">
        <v>32</v>
      </c>
      <c r="F1675" s="601">
        <v>0.34</v>
      </c>
      <c r="G1675" s="536" t="s">
        <v>276</v>
      </c>
      <c r="U1675">
        <v>49314</v>
      </c>
    </row>
    <row r="1676" spans="1:21" ht="13">
      <c r="A1676" s="532">
        <v>44133</v>
      </c>
      <c r="B1676" s="615">
        <v>40000</v>
      </c>
      <c r="C1676" s="615">
        <f t="shared" si="174"/>
        <v>41192.32876712329</v>
      </c>
      <c r="D1676" s="532">
        <f t="shared" si="175"/>
        <v>44165</v>
      </c>
      <c r="E1676" s="534">
        <v>32</v>
      </c>
      <c r="F1676" s="601">
        <v>0.34</v>
      </c>
      <c r="G1676" s="536" t="s">
        <v>695</v>
      </c>
      <c r="U1676">
        <v>49314</v>
      </c>
    </row>
    <row r="1677" spans="1:21" ht="13">
      <c r="A1677" s="532">
        <v>44134</v>
      </c>
      <c r="B1677" s="615">
        <v>80000</v>
      </c>
      <c r="C1677" s="615">
        <f t="shared" si="174"/>
        <v>82310.136986301368</v>
      </c>
      <c r="D1677" s="532">
        <f t="shared" si="175"/>
        <v>44165</v>
      </c>
      <c r="E1677" s="534">
        <v>31</v>
      </c>
      <c r="F1677" s="601">
        <v>0.34</v>
      </c>
      <c r="G1677" s="536" t="s">
        <v>120</v>
      </c>
      <c r="U1677">
        <v>49314</v>
      </c>
    </row>
    <row r="1678" spans="1:21" ht="13">
      <c r="A1678" s="532">
        <v>44137</v>
      </c>
      <c r="B1678" s="615">
        <v>25000</v>
      </c>
      <c r="C1678" s="615">
        <f t="shared" si="174"/>
        <v>25698.630136986299</v>
      </c>
      <c r="D1678" s="532">
        <f t="shared" si="175"/>
        <v>44167</v>
      </c>
      <c r="E1678" s="534">
        <v>30</v>
      </c>
      <c r="F1678" s="601">
        <v>0.34</v>
      </c>
      <c r="G1678" s="536" t="s">
        <v>276</v>
      </c>
      <c r="U1678">
        <v>49314</v>
      </c>
    </row>
    <row r="1679" spans="1:21" ht="13">
      <c r="A1679" s="532">
        <v>44138</v>
      </c>
      <c r="B1679" s="615">
        <v>30000</v>
      </c>
      <c r="C1679" s="615">
        <f t="shared" si="174"/>
        <v>30838.35616438356</v>
      </c>
      <c r="D1679" s="532">
        <f t="shared" si="175"/>
        <v>44168</v>
      </c>
      <c r="E1679" s="534">
        <v>30</v>
      </c>
      <c r="F1679" s="601">
        <v>0.34</v>
      </c>
      <c r="G1679" s="536" t="s">
        <v>120</v>
      </c>
      <c r="U1679">
        <v>49314</v>
      </c>
    </row>
    <row r="1680" spans="1:21" ht="13">
      <c r="A1680" s="532">
        <v>44139</v>
      </c>
      <c r="B1680" s="615">
        <v>20000</v>
      </c>
      <c r="C1680" s="615">
        <f t="shared" si="174"/>
        <v>20558.904109589042</v>
      </c>
      <c r="D1680" s="532">
        <f t="shared" si="175"/>
        <v>44169</v>
      </c>
      <c r="E1680" s="534">
        <v>30</v>
      </c>
      <c r="F1680" s="601">
        <v>0.34</v>
      </c>
      <c r="G1680" s="536" t="s">
        <v>276</v>
      </c>
      <c r="U1680">
        <v>49314</v>
      </c>
    </row>
    <row r="1681" spans="1:21" ht="13">
      <c r="A1681" s="532">
        <v>44144</v>
      </c>
      <c r="B1681" s="615">
        <v>190000</v>
      </c>
      <c r="C1681" s="615">
        <f t="shared" si="174"/>
        <v>195309.5890410959</v>
      </c>
      <c r="D1681" s="532">
        <f t="shared" si="175"/>
        <v>44174</v>
      </c>
      <c r="E1681" s="534">
        <v>30</v>
      </c>
      <c r="F1681" s="601">
        <v>0.34</v>
      </c>
      <c r="G1681" s="536" t="s">
        <v>276</v>
      </c>
      <c r="U1681">
        <v>49314</v>
      </c>
    </row>
    <row r="1682" spans="1:21" ht="13">
      <c r="A1682" s="532">
        <v>44144</v>
      </c>
      <c r="B1682" s="615">
        <v>58000</v>
      </c>
      <c r="C1682" s="615">
        <f t="shared" si="174"/>
        <v>59620.821917808222</v>
      </c>
      <c r="D1682" s="532">
        <f t="shared" si="175"/>
        <v>44174</v>
      </c>
      <c r="E1682" s="534">
        <v>30</v>
      </c>
      <c r="F1682" s="601">
        <v>0.34</v>
      </c>
      <c r="G1682" s="536" t="s">
        <v>695</v>
      </c>
      <c r="U1682">
        <v>49314</v>
      </c>
    </row>
    <row r="1683" spans="1:21" ht="13">
      <c r="A1683" s="532">
        <v>44144</v>
      </c>
      <c r="B1683" s="615">
        <v>31000</v>
      </c>
      <c r="C1683" s="615">
        <f t="shared" si="174"/>
        <v>31866.301369863013</v>
      </c>
      <c r="D1683" s="532">
        <f t="shared" si="175"/>
        <v>44174</v>
      </c>
      <c r="E1683" s="534">
        <v>30</v>
      </c>
      <c r="F1683" s="601">
        <v>0.34</v>
      </c>
      <c r="G1683" s="536" t="s">
        <v>696</v>
      </c>
      <c r="U1683">
        <v>49314</v>
      </c>
    </row>
    <row r="1684" spans="1:21" ht="13">
      <c r="A1684" s="532">
        <v>44144</v>
      </c>
      <c r="B1684" s="615">
        <v>100000</v>
      </c>
      <c r="C1684" s="615">
        <f t="shared" si="174"/>
        <v>102794.5205479452</v>
      </c>
      <c r="D1684" s="532">
        <f t="shared" si="175"/>
        <v>44174</v>
      </c>
      <c r="E1684" s="534">
        <v>30</v>
      </c>
      <c r="F1684" s="601">
        <v>0.34</v>
      </c>
      <c r="G1684" s="536" t="s">
        <v>120</v>
      </c>
      <c r="U1684">
        <v>49314</v>
      </c>
    </row>
    <row r="1685" spans="1:21" ht="13">
      <c r="A1685" s="532">
        <v>44145</v>
      </c>
      <c r="B1685" s="615">
        <v>7900</v>
      </c>
      <c r="C1685" s="615">
        <f t="shared" si="174"/>
        <v>8120.767123287671</v>
      </c>
      <c r="D1685" s="532">
        <f t="shared" si="175"/>
        <v>44175</v>
      </c>
      <c r="E1685" s="534">
        <v>30</v>
      </c>
      <c r="F1685" s="601">
        <v>0.34</v>
      </c>
      <c r="G1685" s="536" t="s">
        <v>695</v>
      </c>
      <c r="U1685">
        <v>49314</v>
      </c>
    </row>
    <row r="1686" spans="1:21" ht="13">
      <c r="A1686" s="532">
        <v>44146</v>
      </c>
      <c r="B1686" s="615">
        <v>12500</v>
      </c>
      <c r="C1686" s="615">
        <f t="shared" si="174"/>
        <v>12849.31506849315</v>
      </c>
      <c r="D1686" s="532">
        <f t="shared" si="175"/>
        <v>44176</v>
      </c>
      <c r="E1686" s="534">
        <v>30</v>
      </c>
      <c r="F1686" s="601">
        <v>0.34</v>
      </c>
      <c r="G1686" s="536" t="s">
        <v>695</v>
      </c>
      <c r="U1686">
        <v>49314</v>
      </c>
    </row>
    <row r="1687" spans="1:21" ht="13">
      <c r="A1687" s="532">
        <v>44147</v>
      </c>
      <c r="B1687" s="615">
        <v>20000</v>
      </c>
      <c r="C1687" s="615">
        <f t="shared" si="174"/>
        <v>20596.164383561645</v>
      </c>
      <c r="D1687" s="532">
        <f t="shared" si="175"/>
        <v>44179</v>
      </c>
      <c r="E1687" s="534">
        <v>32</v>
      </c>
      <c r="F1687" s="601">
        <v>0.34</v>
      </c>
      <c r="G1687" s="536" t="s">
        <v>697</v>
      </c>
      <c r="U1687">
        <v>49314</v>
      </c>
    </row>
    <row r="1688" spans="1:21" ht="13">
      <c r="A1688" s="532">
        <v>44147</v>
      </c>
      <c r="B1688" s="615">
        <v>10000</v>
      </c>
      <c r="C1688" s="615">
        <f t="shared" si="174"/>
        <v>10298.082191780823</v>
      </c>
      <c r="D1688" s="532">
        <f t="shared" si="175"/>
        <v>44179</v>
      </c>
      <c r="E1688" s="534">
        <v>32</v>
      </c>
      <c r="F1688" s="601">
        <v>0.34</v>
      </c>
      <c r="G1688" s="536" t="s">
        <v>120</v>
      </c>
    </row>
    <row r="1689" spans="1:21" ht="13">
      <c r="A1689" s="532">
        <v>44148</v>
      </c>
      <c r="B1689" s="615">
        <v>30900</v>
      </c>
      <c r="C1689" s="615">
        <f t="shared" si="174"/>
        <v>31792.290410958904</v>
      </c>
      <c r="D1689" s="532">
        <f t="shared" si="175"/>
        <v>44179</v>
      </c>
      <c r="E1689" s="534">
        <v>31</v>
      </c>
      <c r="F1689" s="601">
        <v>0.34</v>
      </c>
      <c r="G1689" s="536" t="s">
        <v>695</v>
      </c>
      <c r="U1689">
        <v>49314</v>
      </c>
    </row>
    <row r="1690" spans="1:21" ht="11.25" customHeight="1">
      <c r="A1690" s="532">
        <v>44151</v>
      </c>
      <c r="B1690" s="615">
        <v>20000</v>
      </c>
      <c r="C1690" s="615">
        <f t="shared" si="174"/>
        <v>20608.219178082192</v>
      </c>
      <c r="D1690" s="532">
        <f t="shared" si="175"/>
        <v>44181</v>
      </c>
      <c r="E1690" s="534">
        <v>30</v>
      </c>
      <c r="F1690" s="601">
        <v>0.37</v>
      </c>
      <c r="G1690" s="536" t="s">
        <v>276</v>
      </c>
      <c r="U1690">
        <v>49314</v>
      </c>
    </row>
    <row r="1691" spans="1:21" ht="12" customHeight="1">
      <c r="A1691" s="532">
        <v>44151</v>
      </c>
      <c r="B1691" s="615">
        <v>63000</v>
      </c>
      <c r="C1691" s="615">
        <f t="shared" si="174"/>
        <v>64915.890410958906</v>
      </c>
      <c r="D1691" s="532">
        <f t="shared" si="175"/>
        <v>44181</v>
      </c>
      <c r="E1691" s="534">
        <v>30</v>
      </c>
      <c r="F1691" s="601">
        <v>0.37</v>
      </c>
      <c r="G1691" s="536" t="s">
        <v>695</v>
      </c>
      <c r="U1691">
        <v>49314</v>
      </c>
    </row>
    <row r="1692" spans="1:21" ht="12" customHeight="1">
      <c r="A1692" s="532">
        <v>44153</v>
      </c>
      <c r="B1692" s="615">
        <v>245000</v>
      </c>
      <c r="C1692" s="615">
        <f t="shared" si="174"/>
        <v>252450.68493150684</v>
      </c>
      <c r="D1692" s="532">
        <f t="shared" si="175"/>
        <v>44183</v>
      </c>
      <c r="E1692" s="534">
        <v>30</v>
      </c>
      <c r="F1692" s="601">
        <v>0.37</v>
      </c>
      <c r="G1692" s="536" t="s">
        <v>276</v>
      </c>
      <c r="U1692">
        <v>49314</v>
      </c>
    </row>
    <row r="1693" spans="1:21" ht="12" customHeight="1">
      <c r="A1693" s="532">
        <v>44154</v>
      </c>
      <c r="B1693" s="615">
        <v>30000</v>
      </c>
      <c r="C1693" s="615">
        <f t="shared" si="174"/>
        <v>30973.150684931508</v>
      </c>
      <c r="D1693" s="532">
        <f t="shared" si="175"/>
        <v>44186</v>
      </c>
      <c r="E1693" s="534">
        <v>32</v>
      </c>
      <c r="F1693" s="601">
        <v>0.37</v>
      </c>
      <c r="G1693" s="536" t="s">
        <v>276</v>
      </c>
    </row>
    <row r="1694" spans="1:21" ht="12" customHeight="1">
      <c r="A1694" s="532">
        <v>44154</v>
      </c>
      <c r="B1694" s="615">
        <v>24000</v>
      </c>
      <c r="C1694" s="615">
        <f t="shared" si="174"/>
        <v>24778.520547945205</v>
      </c>
      <c r="D1694" s="532">
        <f t="shared" si="175"/>
        <v>44186</v>
      </c>
      <c r="E1694" s="534">
        <v>32</v>
      </c>
      <c r="F1694" s="601">
        <v>0.37</v>
      </c>
      <c r="G1694" s="536" t="s">
        <v>696</v>
      </c>
      <c r="U1694">
        <v>49314</v>
      </c>
    </row>
    <row r="1695" spans="1:21" ht="12" customHeight="1">
      <c r="A1695" s="532">
        <v>44159</v>
      </c>
      <c r="B1695" s="615">
        <v>26000</v>
      </c>
      <c r="C1695" s="615">
        <f t="shared" si="174"/>
        <v>26896.109589041094</v>
      </c>
      <c r="D1695" s="532">
        <f t="shared" si="175"/>
        <v>44193</v>
      </c>
      <c r="E1695" s="534">
        <v>34</v>
      </c>
      <c r="F1695" s="601">
        <v>0.37</v>
      </c>
      <c r="G1695" s="536" t="s">
        <v>696</v>
      </c>
      <c r="U1695">
        <v>49314</v>
      </c>
    </row>
    <row r="1696" spans="1:21" ht="12" customHeight="1">
      <c r="A1696" s="532">
        <v>44160</v>
      </c>
      <c r="B1696" s="615">
        <v>130000</v>
      </c>
      <c r="C1696" s="615">
        <f t="shared" si="174"/>
        <v>134348.76712328766</v>
      </c>
      <c r="D1696" s="532">
        <f t="shared" si="175"/>
        <v>44193</v>
      </c>
      <c r="E1696" s="534">
        <v>33</v>
      </c>
      <c r="F1696" s="601">
        <v>0.37</v>
      </c>
      <c r="G1696" s="536" t="s">
        <v>276</v>
      </c>
    </row>
    <row r="1697" spans="1:21" ht="12" customHeight="1">
      <c r="A1697" s="532">
        <v>44160</v>
      </c>
      <c r="B1697" s="615">
        <v>18500</v>
      </c>
      <c r="C1697" s="615">
        <f t="shared" si="174"/>
        <v>19118.863013698628</v>
      </c>
      <c r="D1697" s="532">
        <f t="shared" si="175"/>
        <v>44193</v>
      </c>
      <c r="E1697" s="534">
        <v>33</v>
      </c>
      <c r="F1697" s="601">
        <v>0.37</v>
      </c>
      <c r="G1697" s="536" t="s">
        <v>696</v>
      </c>
      <c r="U1697">
        <v>49314</v>
      </c>
    </row>
    <row r="1698" spans="1:21" ht="12" customHeight="1">
      <c r="A1698" s="532">
        <v>44162</v>
      </c>
      <c r="B1698" s="615">
        <v>21500</v>
      </c>
      <c r="C1698" s="615">
        <f t="shared" si="174"/>
        <v>22175.630136986299</v>
      </c>
      <c r="D1698" s="532">
        <f t="shared" si="175"/>
        <v>44193</v>
      </c>
      <c r="E1698" s="534">
        <v>31</v>
      </c>
      <c r="F1698" s="601">
        <v>0.37</v>
      </c>
      <c r="G1698" s="536" t="s">
        <v>695</v>
      </c>
      <c r="U1698">
        <v>49314</v>
      </c>
    </row>
    <row r="1699" spans="1:21" ht="12" customHeight="1">
      <c r="A1699" s="532">
        <v>44162</v>
      </c>
      <c r="B1699" s="615">
        <v>20000</v>
      </c>
      <c r="C1699" s="615">
        <f t="shared" si="174"/>
        <v>20628.493150684932</v>
      </c>
      <c r="D1699" s="532">
        <f t="shared" si="175"/>
        <v>44193</v>
      </c>
      <c r="E1699" s="534">
        <v>31</v>
      </c>
      <c r="F1699" s="601">
        <v>0.37</v>
      </c>
      <c r="G1699" s="536" t="s">
        <v>697</v>
      </c>
      <c r="U1699">
        <v>49314</v>
      </c>
    </row>
    <row r="1700" spans="1:21" ht="12" customHeight="1">
      <c r="A1700" s="532">
        <v>44165</v>
      </c>
      <c r="B1700" s="615">
        <v>46500</v>
      </c>
      <c r="C1700" s="615">
        <f t="shared" si="174"/>
        <v>47914.109589041094</v>
      </c>
      <c r="D1700" s="532">
        <f t="shared" si="175"/>
        <v>44195</v>
      </c>
      <c r="E1700" s="534">
        <v>30</v>
      </c>
      <c r="F1700" s="601">
        <v>0.37</v>
      </c>
      <c r="G1700" s="536" t="s">
        <v>276</v>
      </c>
    </row>
    <row r="1701" spans="1:21" ht="12" customHeight="1">
      <c r="A1701" s="532">
        <v>44165</v>
      </c>
      <c r="B1701" s="615">
        <v>41200</v>
      </c>
      <c r="C1701" s="615">
        <f t="shared" si="174"/>
        <v>42452.931506849316</v>
      </c>
      <c r="D1701" s="532">
        <f t="shared" si="175"/>
        <v>44195</v>
      </c>
      <c r="E1701" s="534">
        <v>30</v>
      </c>
      <c r="F1701" s="601">
        <v>0.37</v>
      </c>
      <c r="G1701" s="536" t="s">
        <v>695</v>
      </c>
      <c r="U1701">
        <v>49314</v>
      </c>
    </row>
    <row r="1702" spans="1:21" ht="12" customHeight="1">
      <c r="A1702" s="532">
        <v>44165</v>
      </c>
      <c r="B1702" s="615">
        <v>90000</v>
      </c>
      <c r="C1702" s="615">
        <f t="shared" si="174"/>
        <v>92736.986301369863</v>
      </c>
      <c r="D1702" s="532">
        <f t="shared" si="175"/>
        <v>44195</v>
      </c>
      <c r="E1702" s="534">
        <v>30</v>
      </c>
      <c r="F1702" s="601">
        <v>0.37</v>
      </c>
      <c r="G1702" s="536" t="s">
        <v>120</v>
      </c>
    </row>
    <row r="1703" spans="1:21" ht="12" customHeight="1">
      <c r="A1703" s="532">
        <v>44167</v>
      </c>
      <c r="B1703" s="615">
        <v>50000</v>
      </c>
      <c r="C1703" s="615">
        <f t="shared" si="174"/>
        <v>51672.602739726026</v>
      </c>
      <c r="D1703" s="532">
        <f t="shared" si="175"/>
        <v>44200</v>
      </c>
      <c r="E1703" s="534">
        <v>33</v>
      </c>
      <c r="F1703" s="601">
        <v>0.37</v>
      </c>
      <c r="G1703" s="536" t="s">
        <v>276</v>
      </c>
      <c r="U1703">
        <v>49314</v>
      </c>
    </row>
    <row r="1704" spans="1:21" ht="13.5" customHeight="1">
      <c r="A1704" s="532">
        <v>44168</v>
      </c>
      <c r="B1704" s="615">
        <v>15000</v>
      </c>
      <c r="C1704" s="615">
        <f t="shared" si="174"/>
        <v>15486.575342465754</v>
      </c>
      <c r="D1704" s="532">
        <f t="shared" si="175"/>
        <v>44200</v>
      </c>
      <c r="E1704" s="534">
        <v>32</v>
      </c>
      <c r="F1704" s="601">
        <v>0.37</v>
      </c>
      <c r="G1704" s="536" t="s">
        <v>695</v>
      </c>
      <c r="U1704">
        <v>49314</v>
      </c>
    </row>
    <row r="1705" spans="1:21" ht="13.5" customHeight="1">
      <c r="A1705" s="532">
        <v>44169</v>
      </c>
      <c r="B1705" s="615">
        <v>40000</v>
      </c>
      <c r="C1705" s="615">
        <f t="shared" si="174"/>
        <v>41256.986301369863</v>
      </c>
      <c r="D1705" s="532">
        <f t="shared" si="175"/>
        <v>44200</v>
      </c>
      <c r="E1705" s="534">
        <v>31</v>
      </c>
      <c r="F1705" s="601">
        <v>0.37</v>
      </c>
      <c r="G1705" s="536" t="s">
        <v>276</v>
      </c>
      <c r="U1705">
        <v>49314</v>
      </c>
    </row>
    <row r="1706" spans="1:21" ht="13.5" customHeight="1">
      <c r="A1706" s="532">
        <v>44169</v>
      </c>
      <c r="B1706" s="615">
        <v>30000</v>
      </c>
      <c r="C1706" s="615">
        <f t="shared" si="174"/>
        <v>30942.739726027397</v>
      </c>
      <c r="D1706" s="532">
        <f t="shared" si="175"/>
        <v>44200</v>
      </c>
      <c r="E1706" s="534">
        <v>31</v>
      </c>
      <c r="F1706" s="601">
        <v>0.37</v>
      </c>
      <c r="G1706" s="536" t="s">
        <v>695</v>
      </c>
      <c r="U1706">
        <v>49314</v>
      </c>
    </row>
    <row r="1707" spans="1:21" ht="13.5" customHeight="1">
      <c r="A1707" s="532">
        <v>44174</v>
      </c>
      <c r="B1707" s="615">
        <v>32000</v>
      </c>
      <c r="C1707" s="615">
        <f t="shared" si="174"/>
        <v>32973.150684931505</v>
      </c>
      <c r="D1707" s="532">
        <f t="shared" si="175"/>
        <v>44204</v>
      </c>
      <c r="E1707" s="534">
        <v>30</v>
      </c>
      <c r="F1707" s="601">
        <v>0.37</v>
      </c>
      <c r="G1707" s="536" t="s">
        <v>696</v>
      </c>
      <c r="U1707">
        <v>49314</v>
      </c>
    </row>
    <row r="1708" spans="1:21" ht="13.5" customHeight="1">
      <c r="A1708" s="532">
        <v>44174</v>
      </c>
      <c r="B1708" s="615">
        <v>160000</v>
      </c>
      <c r="C1708" s="615">
        <f t="shared" si="174"/>
        <v>164865.75342465754</v>
      </c>
      <c r="D1708" s="532">
        <f t="shared" si="175"/>
        <v>44204</v>
      </c>
      <c r="E1708" s="534">
        <v>30</v>
      </c>
      <c r="F1708" s="601">
        <v>0.37</v>
      </c>
      <c r="G1708" s="536" t="s">
        <v>120</v>
      </c>
      <c r="U1708">
        <v>49314</v>
      </c>
    </row>
    <row r="1709" spans="1:21" ht="13.5" customHeight="1">
      <c r="A1709" s="532">
        <v>44174</v>
      </c>
      <c r="B1709" s="615">
        <v>180000</v>
      </c>
      <c r="C1709" s="615">
        <f t="shared" si="174"/>
        <v>186021.36986301371</v>
      </c>
      <c r="D1709" s="532">
        <f t="shared" si="175"/>
        <v>44207</v>
      </c>
      <c r="E1709" s="534">
        <v>33</v>
      </c>
      <c r="F1709" s="601">
        <v>0.37</v>
      </c>
      <c r="G1709" s="536" t="s">
        <v>276</v>
      </c>
      <c r="U1709">
        <v>49314</v>
      </c>
    </row>
    <row r="1710" spans="1:21" ht="13.5" customHeight="1">
      <c r="A1710" s="532">
        <v>44174</v>
      </c>
      <c r="B1710" s="615">
        <v>57800</v>
      </c>
      <c r="C1710" s="615">
        <f t="shared" si="174"/>
        <v>59733.528767123287</v>
      </c>
      <c r="D1710" s="532">
        <f t="shared" si="175"/>
        <v>44207</v>
      </c>
      <c r="E1710" s="534">
        <v>33</v>
      </c>
      <c r="F1710" s="601">
        <v>0.37</v>
      </c>
      <c r="G1710" s="536" t="s">
        <v>695</v>
      </c>
      <c r="U1710">
        <v>49314</v>
      </c>
    </row>
    <row r="1711" spans="1:21" ht="13.5" customHeight="1">
      <c r="A1711" s="532">
        <v>44176</v>
      </c>
      <c r="B1711" s="615">
        <v>52800</v>
      </c>
      <c r="C1711" s="615">
        <f t="shared" ref="A1711:C1775" si="176">B1711+(B1711*F1711/365*E1711)*1</f>
        <v>54459.221917808216</v>
      </c>
      <c r="D1711" s="532">
        <f t="shared" si="175"/>
        <v>44207</v>
      </c>
      <c r="E1711" s="534">
        <v>31</v>
      </c>
      <c r="F1711" s="601">
        <v>0.37</v>
      </c>
      <c r="G1711" s="536" t="s">
        <v>695</v>
      </c>
      <c r="U1711">
        <v>49314</v>
      </c>
    </row>
    <row r="1712" spans="1:21" ht="13.5" customHeight="1">
      <c r="A1712" s="532">
        <v>44179</v>
      </c>
      <c r="B1712" s="615">
        <v>20600</v>
      </c>
      <c r="C1712" s="615">
        <f t="shared" si="176"/>
        <v>21226.465753424658</v>
      </c>
      <c r="D1712" s="532">
        <f t="shared" si="175"/>
        <v>44209</v>
      </c>
      <c r="E1712" s="534">
        <v>30</v>
      </c>
      <c r="F1712" s="601">
        <v>0.37</v>
      </c>
      <c r="G1712" s="536" t="s">
        <v>697</v>
      </c>
      <c r="U1712">
        <v>49314</v>
      </c>
    </row>
    <row r="1713" spans="1:21" ht="13.5" customHeight="1">
      <c r="A1713" s="532">
        <v>44180</v>
      </c>
      <c r="B1713" s="615">
        <v>20000</v>
      </c>
      <c r="C1713" s="615">
        <f t="shared" si="176"/>
        <v>20608.219178082192</v>
      </c>
      <c r="D1713" s="532">
        <f t="shared" si="175"/>
        <v>44210</v>
      </c>
      <c r="E1713" s="534">
        <v>30</v>
      </c>
      <c r="F1713" s="601">
        <v>0.37</v>
      </c>
      <c r="G1713" s="536" t="s">
        <v>276</v>
      </c>
      <c r="U1713">
        <v>49314</v>
      </c>
    </row>
    <row r="1714" spans="1:21" ht="13.5" customHeight="1">
      <c r="A1714" s="532">
        <v>44181</v>
      </c>
      <c r="B1714" s="615">
        <v>33000</v>
      </c>
      <c r="C1714" s="615">
        <f t="shared" si="176"/>
        <v>34003.561643835616</v>
      </c>
      <c r="D1714" s="532">
        <f t="shared" si="175"/>
        <v>44211</v>
      </c>
      <c r="E1714" s="534">
        <v>30</v>
      </c>
      <c r="F1714" s="601">
        <v>0.37</v>
      </c>
      <c r="G1714" s="536" t="s">
        <v>276</v>
      </c>
      <c r="U1714">
        <v>49314</v>
      </c>
    </row>
    <row r="1715" spans="1:21" ht="13.5" customHeight="1">
      <c r="A1715" s="532">
        <v>44181</v>
      </c>
      <c r="B1715" s="615">
        <v>27000</v>
      </c>
      <c r="C1715" s="615">
        <f t="shared" si="176"/>
        <v>27821.095890410958</v>
      </c>
      <c r="D1715" s="532">
        <f t="shared" si="175"/>
        <v>44211</v>
      </c>
      <c r="E1715" s="534">
        <v>30</v>
      </c>
      <c r="F1715" s="601">
        <v>0.37</v>
      </c>
      <c r="G1715" s="536" t="s">
        <v>696</v>
      </c>
      <c r="U1715">
        <v>49314</v>
      </c>
    </row>
    <row r="1716" spans="1:21" ht="13.5" customHeight="1">
      <c r="A1716" s="532">
        <v>44183</v>
      </c>
      <c r="B1716" s="615">
        <v>255000</v>
      </c>
      <c r="C1716" s="615">
        <f t="shared" si="176"/>
        <v>263013.28767123289</v>
      </c>
      <c r="D1716" s="532">
        <f t="shared" si="175"/>
        <v>44214</v>
      </c>
      <c r="E1716" s="534">
        <v>31</v>
      </c>
      <c r="F1716" s="601">
        <v>0.37</v>
      </c>
      <c r="G1716" s="536" t="s">
        <v>276</v>
      </c>
    </row>
    <row r="1717" spans="1:21" ht="13.5" customHeight="1">
      <c r="A1717" s="532">
        <v>44183</v>
      </c>
      <c r="B1717" s="615">
        <v>7000</v>
      </c>
      <c r="C1717" s="615">
        <f t="shared" si="176"/>
        <v>7219.9726027397264</v>
      </c>
      <c r="D1717" s="532">
        <f t="shared" ref="A1717:D1781" si="177">+A1717+E1717</f>
        <v>44214</v>
      </c>
      <c r="E1717" s="534">
        <v>31</v>
      </c>
      <c r="F1717" s="601">
        <v>0.37</v>
      </c>
      <c r="G1717" s="536" t="s">
        <v>696</v>
      </c>
    </row>
    <row r="1718" spans="1:21" ht="13.5" customHeight="1">
      <c r="A1718" s="532">
        <v>44186</v>
      </c>
      <c r="B1718" s="615">
        <v>28000</v>
      </c>
      <c r="C1718" s="615">
        <f t="shared" si="176"/>
        <v>28851.506849315068</v>
      </c>
      <c r="D1718" s="532">
        <f t="shared" si="177"/>
        <v>44216</v>
      </c>
      <c r="E1718" s="534">
        <v>30</v>
      </c>
      <c r="F1718" s="601">
        <v>0.37</v>
      </c>
      <c r="G1718" s="536" t="s">
        <v>695</v>
      </c>
    </row>
    <row r="1719" spans="1:21" ht="13.5" customHeight="1">
      <c r="A1719" s="532">
        <v>44194</v>
      </c>
      <c r="B1719" s="615">
        <v>19000</v>
      </c>
      <c r="C1719" s="615">
        <f t="shared" si="176"/>
        <v>19577.808219178081</v>
      </c>
      <c r="D1719" s="532">
        <f t="shared" si="177"/>
        <v>44224</v>
      </c>
      <c r="E1719" s="534">
        <v>30</v>
      </c>
      <c r="F1719" s="601">
        <v>0.37</v>
      </c>
      <c r="G1719" s="536" t="s">
        <v>276</v>
      </c>
    </row>
    <row r="1720" spans="1:21" ht="13.5" customHeight="1">
      <c r="A1720" s="532">
        <v>44195</v>
      </c>
      <c r="B1720" s="615">
        <v>55000</v>
      </c>
      <c r="C1720" s="615">
        <f t="shared" si="176"/>
        <v>56672.602739726026</v>
      </c>
      <c r="D1720" s="532">
        <f t="shared" si="177"/>
        <v>44225</v>
      </c>
      <c r="E1720" s="534">
        <v>30</v>
      </c>
      <c r="F1720" s="601">
        <v>0.37</v>
      </c>
      <c r="G1720" s="536" t="s">
        <v>276</v>
      </c>
    </row>
    <row r="1721" spans="1:21" ht="13.5" customHeight="1">
      <c r="A1721" s="532">
        <v>44195</v>
      </c>
      <c r="B1721" s="615">
        <v>52000</v>
      </c>
      <c r="C1721" s="615">
        <f t="shared" si="176"/>
        <v>53581.369863013701</v>
      </c>
      <c r="D1721" s="532">
        <f t="shared" si="177"/>
        <v>44225</v>
      </c>
      <c r="E1721" s="534">
        <v>30</v>
      </c>
      <c r="F1721" s="601">
        <v>0.37</v>
      </c>
      <c r="G1721" s="536" t="s">
        <v>695</v>
      </c>
      <c r="U1721">
        <v>49314</v>
      </c>
    </row>
    <row r="1722" spans="1:21" ht="13.5" customHeight="1">
      <c r="A1722" s="532">
        <v>44195</v>
      </c>
      <c r="B1722" s="615">
        <v>25500</v>
      </c>
      <c r="C1722" s="615">
        <f t="shared" si="176"/>
        <v>26275.479452054795</v>
      </c>
      <c r="D1722" s="532">
        <f t="shared" si="177"/>
        <v>44225</v>
      </c>
      <c r="E1722" s="534">
        <v>30</v>
      </c>
      <c r="F1722" s="601">
        <v>0.37</v>
      </c>
      <c r="G1722" s="536" t="s">
        <v>695</v>
      </c>
      <c r="U1722">
        <v>49314</v>
      </c>
    </row>
    <row r="1723" spans="1:21" ht="13.5" customHeight="1">
      <c r="A1723" s="532">
        <v>44195</v>
      </c>
      <c r="B1723" s="615">
        <v>3000</v>
      </c>
      <c r="C1723" s="615">
        <f t="shared" si="176"/>
        <v>3091.2328767123286</v>
      </c>
      <c r="D1723" s="532">
        <f t="shared" si="177"/>
        <v>44225</v>
      </c>
      <c r="E1723" s="534">
        <v>30</v>
      </c>
      <c r="F1723" s="601">
        <v>0.37</v>
      </c>
      <c r="G1723" s="536" t="s">
        <v>696</v>
      </c>
      <c r="U1723">
        <v>49314</v>
      </c>
    </row>
    <row r="1724" spans="1:21" ht="13.5" customHeight="1">
      <c r="A1724" s="532">
        <v>44195</v>
      </c>
      <c r="B1724" s="615">
        <v>90000</v>
      </c>
      <c r="C1724" s="615">
        <f t="shared" si="176"/>
        <v>92736.986301369863</v>
      </c>
      <c r="D1724" s="532">
        <f t="shared" si="177"/>
        <v>44225</v>
      </c>
      <c r="E1724" s="534">
        <v>30</v>
      </c>
      <c r="F1724" s="601">
        <v>0.37</v>
      </c>
      <c r="G1724" s="536" t="s">
        <v>120</v>
      </c>
    </row>
    <row r="1725" spans="1:21" ht="13.5" customHeight="1">
      <c r="A1725" s="532">
        <v>44195</v>
      </c>
      <c r="B1725" s="615">
        <v>10000</v>
      </c>
      <c r="C1725" s="615">
        <f t="shared" si="176"/>
        <v>10304.109589041096</v>
      </c>
      <c r="D1725" s="532">
        <f t="shared" si="177"/>
        <v>44225</v>
      </c>
      <c r="E1725" s="534">
        <v>30</v>
      </c>
      <c r="F1725" s="601">
        <v>0.37</v>
      </c>
      <c r="G1725" s="536" t="s">
        <v>120</v>
      </c>
    </row>
    <row r="1726" spans="1:21" ht="13.5" customHeight="1">
      <c r="A1726" s="625"/>
      <c r="B1726" s="626"/>
      <c r="C1726" s="626"/>
      <c r="D1726" s="625"/>
      <c r="E1726" s="627"/>
      <c r="F1726" s="628"/>
      <c r="G1726" s="629"/>
    </row>
    <row r="1727" spans="1:21" ht="13.5" customHeight="1">
      <c r="A1727" s="532">
        <v>44200</v>
      </c>
      <c r="B1727" s="615">
        <v>115000</v>
      </c>
      <c r="C1727" s="615">
        <f t="shared" si="176"/>
        <v>118497.2602739726</v>
      </c>
      <c r="D1727" s="532">
        <f t="shared" si="177"/>
        <v>44230</v>
      </c>
      <c r="E1727" s="534">
        <v>30</v>
      </c>
      <c r="F1727" s="601">
        <v>0.37</v>
      </c>
      <c r="G1727" s="536" t="s">
        <v>276</v>
      </c>
    </row>
    <row r="1728" spans="1:21" ht="13.5" customHeight="1">
      <c r="A1728" s="532">
        <v>44200</v>
      </c>
      <c r="B1728" s="615">
        <v>56500</v>
      </c>
      <c r="C1728" s="615">
        <f t="shared" si="176"/>
        <v>58218.219178082189</v>
      </c>
      <c r="D1728" s="532">
        <f t="shared" si="177"/>
        <v>44230</v>
      </c>
      <c r="E1728" s="534">
        <v>30</v>
      </c>
      <c r="F1728" s="601">
        <v>0.37</v>
      </c>
      <c r="G1728" s="536" t="s">
        <v>695</v>
      </c>
    </row>
    <row r="1729" spans="1:21" ht="13.5" customHeight="1">
      <c r="A1729" s="532">
        <v>44201</v>
      </c>
      <c r="B1729" s="615">
        <v>15000</v>
      </c>
      <c r="C1729" s="615">
        <f t="shared" si="176"/>
        <v>15516.986301369863</v>
      </c>
      <c r="D1729" s="532">
        <f t="shared" si="177"/>
        <v>44235</v>
      </c>
      <c r="E1729" s="534">
        <v>34</v>
      </c>
      <c r="F1729" s="601">
        <v>0.37</v>
      </c>
      <c r="G1729" s="536" t="s">
        <v>276</v>
      </c>
      <c r="U1729">
        <v>49314</v>
      </c>
    </row>
    <row r="1730" spans="1:21" ht="13.5" customHeight="1">
      <c r="A1730" s="532">
        <v>44202</v>
      </c>
      <c r="B1730" s="615">
        <v>25000</v>
      </c>
      <c r="C1730" s="615">
        <f t="shared" si="176"/>
        <v>25836.301369863013</v>
      </c>
      <c r="D1730" s="532">
        <f t="shared" si="177"/>
        <v>44235</v>
      </c>
      <c r="E1730" s="534">
        <v>33</v>
      </c>
      <c r="F1730" s="601">
        <v>0.37</v>
      </c>
      <c r="G1730" s="536" t="s">
        <v>276</v>
      </c>
      <c r="U1730">
        <v>49314</v>
      </c>
    </row>
    <row r="1731" spans="1:21" ht="13.5" customHeight="1">
      <c r="A1731" s="532">
        <v>44204</v>
      </c>
      <c r="B1731" s="615">
        <v>30000</v>
      </c>
      <c r="C1731" s="615">
        <f t="shared" si="176"/>
        <v>30942.739726027397</v>
      </c>
      <c r="D1731" s="532">
        <f t="shared" si="177"/>
        <v>44235</v>
      </c>
      <c r="E1731" s="534">
        <v>31</v>
      </c>
      <c r="F1731" s="601">
        <v>0.37</v>
      </c>
      <c r="G1731" s="536" t="s">
        <v>276</v>
      </c>
      <c r="U1731">
        <v>49314</v>
      </c>
    </row>
    <row r="1732" spans="1:21" ht="13.5" customHeight="1">
      <c r="A1732" s="532">
        <v>44204</v>
      </c>
      <c r="B1732" s="615">
        <v>32980</v>
      </c>
      <c r="C1732" s="615">
        <f t="shared" si="176"/>
        <v>34016.385205479455</v>
      </c>
      <c r="D1732" s="532">
        <f t="shared" si="177"/>
        <v>44235</v>
      </c>
      <c r="E1732" s="534">
        <v>31</v>
      </c>
      <c r="F1732" s="601">
        <v>0.37</v>
      </c>
      <c r="G1732" s="536" t="s">
        <v>696</v>
      </c>
      <c r="U1732">
        <v>49314</v>
      </c>
    </row>
    <row r="1733" spans="1:21" ht="13.5" customHeight="1">
      <c r="A1733" s="532">
        <v>44204</v>
      </c>
      <c r="B1733" s="615">
        <v>139000</v>
      </c>
      <c r="C1733" s="615">
        <f t="shared" si="176"/>
        <v>143368.02739726027</v>
      </c>
      <c r="D1733" s="532">
        <f t="shared" si="177"/>
        <v>44235</v>
      </c>
      <c r="E1733" s="534">
        <v>31</v>
      </c>
      <c r="F1733" s="601">
        <v>0.37</v>
      </c>
      <c r="G1733" s="536" t="s">
        <v>120</v>
      </c>
      <c r="U1733">
        <v>49314</v>
      </c>
    </row>
    <row r="1734" spans="1:21" ht="13.5" customHeight="1">
      <c r="A1734" s="532">
        <v>44207</v>
      </c>
      <c r="B1734" s="615">
        <v>135000</v>
      </c>
      <c r="C1734" s="615">
        <f t="shared" si="176"/>
        <v>139105.4794520548</v>
      </c>
      <c r="D1734" s="532">
        <f t="shared" si="177"/>
        <v>44237</v>
      </c>
      <c r="E1734" s="534">
        <v>30</v>
      </c>
      <c r="F1734" s="601">
        <v>0.37</v>
      </c>
      <c r="G1734" s="536" t="s">
        <v>276</v>
      </c>
      <c r="U1734">
        <v>49314</v>
      </c>
    </row>
    <row r="1735" spans="1:21" ht="13.5" customHeight="1">
      <c r="A1735" s="532">
        <v>44207</v>
      </c>
      <c r="B1735" s="615">
        <v>109600</v>
      </c>
      <c r="C1735" s="615">
        <f t="shared" si="176"/>
        <v>112933.04109589041</v>
      </c>
      <c r="D1735" s="532">
        <f t="shared" si="177"/>
        <v>44237</v>
      </c>
      <c r="E1735" s="534">
        <v>30</v>
      </c>
      <c r="F1735" s="601">
        <v>0.37</v>
      </c>
      <c r="G1735" s="536" t="s">
        <v>695</v>
      </c>
      <c r="U1735">
        <v>49314</v>
      </c>
    </row>
    <row r="1736" spans="1:21" ht="13.5" customHeight="1">
      <c r="A1736" s="532">
        <v>44210</v>
      </c>
      <c r="B1736" s="615">
        <v>20000</v>
      </c>
      <c r="C1736" s="615">
        <f t="shared" si="176"/>
        <v>20689.31506849315</v>
      </c>
      <c r="D1736" s="532">
        <f t="shared" si="177"/>
        <v>44244</v>
      </c>
      <c r="E1736" s="534">
        <v>34</v>
      </c>
      <c r="F1736" s="601">
        <v>0.37</v>
      </c>
      <c r="G1736" s="536" t="s">
        <v>276</v>
      </c>
      <c r="U1736">
        <v>49314</v>
      </c>
    </row>
    <row r="1737" spans="1:21" ht="13.5" customHeight="1">
      <c r="A1737" s="532">
        <v>44210</v>
      </c>
      <c r="B1737" s="615">
        <v>15000</v>
      </c>
      <c r="C1737" s="615">
        <f t="shared" si="176"/>
        <v>15516.986301369863</v>
      </c>
      <c r="D1737" s="532">
        <f t="shared" si="177"/>
        <v>44244</v>
      </c>
      <c r="E1737" s="534">
        <v>34</v>
      </c>
      <c r="F1737" s="601">
        <v>0.37</v>
      </c>
      <c r="G1737" s="536" t="s">
        <v>276</v>
      </c>
      <c r="U1737">
        <v>49314</v>
      </c>
    </row>
    <row r="1738" spans="1:21" ht="13.5" customHeight="1">
      <c r="A1738" s="532">
        <v>44214</v>
      </c>
      <c r="B1738" s="615">
        <v>18000</v>
      </c>
      <c r="C1738" s="615">
        <f t="shared" si="176"/>
        <v>18547.397260273974</v>
      </c>
      <c r="D1738" s="532">
        <f t="shared" si="177"/>
        <v>44244</v>
      </c>
      <c r="E1738" s="534">
        <v>30</v>
      </c>
      <c r="F1738" s="601">
        <v>0.37</v>
      </c>
      <c r="G1738" s="536" t="s">
        <v>276</v>
      </c>
    </row>
    <row r="1739" spans="1:21" ht="13.5" customHeight="1">
      <c r="A1739" s="532">
        <v>44214</v>
      </c>
      <c r="B1739" s="615">
        <v>100000</v>
      </c>
      <c r="C1739" s="615">
        <f t="shared" si="176"/>
        <v>103041.09589041096</v>
      </c>
      <c r="D1739" s="532">
        <f t="shared" si="177"/>
        <v>44244</v>
      </c>
      <c r="E1739" s="534">
        <v>30</v>
      </c>
      <c r="F1739" s="601">
        <v>0.37</v>
      </c>
      <c r="G1739" s="536" t="s">
        <v>276</v>
      </c>
      <c r="U1739">
        <v>49314</v>
      </c>
    </row>
    <row r="1740" spans="1:21" ht="13.5" customHeight="1">
      <c r="A1740" s="532">
        <v>44214</v>
      </c>
      <c r="B1740" s="615">
        <v>7200</v>
      </c>
      <c r="C1740" s="615">
        <f t="shared" si="176"/>
        <v>7418.9589041095887</v>
      </c>
      <c r="D1740" s="532">
        <f t="shared" si="177"/>
        <v>44244</v>
      </c>
      <c r="E1740" s="534">
        <v>30</v>
      </c>
      <c r="F1740" s="601">
        <v>0.37</v>
      </c>
      <c r="G1740" s="536" t="s">
        <v>696</v>
      </c>
      <c r="U1740">
        <v>49314</v>
      </c>
    </row>
    <row r="1741" spans="1:21" ht="13.5" customHeight="1">
      <c r="A1741" s="532">
        <v>44215</v>
      </c>
      <c r="B1741" s="615">
        <v>7000</v>
      </c>
      <c r="C1741" s="615">
        <f t="shared" si="176"/>
        <v>7212.8767123287671</v>
      </c>
      <c r="D1741" s="532">
        <f t="shared" si="177"/>
        <v>44245</v>
      </c>
      <c r="E1741" s="534">
        <v>30</v>
      </c>
      <c r="F1741" s="601">
        <v>0.37</v>
      </c>
      <c r="G1741" s="536" t="s">
        <v>276</v>
      </c>
    </row>
    <row r="1742" spans="1:21" ht="13.5" customHeight="1">
      <c r="A1742" s="532">
        <v>44216</v>
      </c>
      <c r="B1742" s="615">
        <v>20000</v>
      </c>
      <c r="C1742" s="615">
        <f t="shared" si="176"/>
        <v>20608.219178082192</v>
      </c>
      <c r="D1742" s="532">
        <f t="shared" si="177"/>
        <v>44246</v>
      </c>
      <c r="E1742" s="534">
        <v>30</v>
      </c>
      <c r="F1742" s="601">
        <v>0.37</v>
      </c>
      <c r="G1742" s="536" t="s">
        <v>276</v>
      </c>
    </row>
    <row r="1743" spans="1:21" ht="13.5" customHeight="1">
      <c r="A1743" s="532">
        <v>44223</v>
      </c>
      <c r="B1743" s="615">
        <v>20000</v>
      </c>
      <c r="C1743" s="615">
        <f t="shared" si="176"/>
        <v>20608.219178082192</v>
      </c>
      <c r="D1743" s="532">
        <f t="shared" si="177"/>
        <v>44253</v>
      </c>
      <c r="E1743" s="534">
        <v>30</v>
      </c>
      <c r="F1743" s="601">
        <v>0.37</v>
      </c>
      <c r="G1743" s="536" t="s">
        <v>276</v>
      </c>
      <c r="U1743">
        <v>49314</v>
      </c>
    </row>
    <row r="1744" spans="1:21" ht="13.5" customHeight="1">
      <c r="A1744" s="532">
        <v>44224</v>
      </c>
      <c r="B1744" s="615">
        <v>20000</v>
      </c>
      <c r="C1744" s="615">
        <f t="shared" si="176"/>
        <v>20648.767123287671</v>
      </c>
      <c r="D1744" s="532">
        <f t="shared" si="177"/>
        <v>44256</v>
      </c>
      <c r="E1744" s="534">
        <v>32</v>
      </c>
      <c r="F1744" s="601">
        <v>0.37</v>
      </c>
      <c r="G1744" s="536" t="s">
        <v>276</v>
      </c>
      <c r="U1744">
        <v>49314</v>
      </c>
    </row>
    <row r="1745" spans="1:21" ht="13.5" customHeight="1">
      <c r="A1745" s="532">
        <v>44225</v>
      </c>
      <c r="B1745" s="615">
        <v>3200</v>
      </c>
      <c r="C1745" s="615">
        <f t="shared" si="176"/>
        <v>3300.5589041095891</v>
      </c>
      <c r="D1745" s="532">
        <f t="shared" si="177"/>
        <v>44256</v>
      </c>
      <c r="E1745" s="534">
        <v>31</v>
      </c>
      <c r="F1745" s="601">
        <v>0.37</v>
      </c>
      <c r="G1745" s="536" t="s">
        <v>696</v>
      </c>
      <c r="H1745">
        <f>32029.66+3750.26</f>
        <v>35779.919999999998</v>
      </c>
      <c r="U1745">
        <v>49314</v>
      </c>
    </row>
    <row r="1746" spans="1:21" ht="13.5" customHeight="1">
      <c r="A1746" s="532">
        <v>44179</v>
      </c>
      <c r="B1746" s="615">
        <v>31950</v>
      </c>
      <c r="C1746" s="615">
        <f t="shared" si="176"/>
        <v>35779.919999999998</v>
      </c>
      <c r="D1746" s="532">
        <f t="shared" si="177"/>
        <v>44270</v>
      </c>
      <c r="E1746" s="534">
        <v>91</v>
      </c>
      <c r="F1746" s="601">
        <v>0.48080647990507119</v>
      </c>
      <c r="G1746" s="536" t="s">
        <v>698</v>
      </c>
      <c r="U1746">
        <v>49314</v>
      </c>
    </row>
    <row r="1747" spans="1:21" ht="13.5" customHeight="1">
      <c r="A1747" s="532">
        <v>44179</v>
      </c>
      <c r="B1747" s="615">
        <v>15000</v>
      </c>
      <c r="C1747" s="615">
        <f t="shared" si="176"/>
        <v>16383.698630136987</v>
      </c>
      <c r="D1747" s="532">
        <f t="shared" si="177"/>
        <v>44270</v>
      </c>
      <c r="E1747" s="534">
        <v>91</v>
      </c>
      <c r="F1747" s="601">
        <v>0.37</v>
      </c>
      <c r="G1747" s="536" t="s">
        <v>687</v>
      </c>
      <c r="U1747">
        <v>49314</v>
      </c>
    </row>
    <row r="1748" spans="1:21" ht="13.5" customHeight="1">
      <c r="A1748" s="532">
        <v>44238</v>
      </c>
      <c r="B1748" s="615">
        <v>24000</v>
      </c>
      <c r="C1748" s="615">
        <f t="shared" si="176"/>
        <v>24778.520547945205</v>
      </c>
      <c r="D1748" s="532">
        <f t="shared" si="177"/>
        <v>44270</v>
      </c>
      <c r="E1748" s="534">
        <v>32</v>
      </c>
      <c r="F1748" s="601">
        <v>0.37</v>
      </c>
      <c r="G1748" s="536" t="s">
        <v>276</v>
      </c>
      <c r="H1748">
        <f>82001.7+9528.46</f>
        <v>91530.16</v>
      </c>
      <c r="U1748">
        <v>49314</v>
      </c>
    </row>
    <row r="1749" spans="1:21" ht="13.5" customHeight="1">
      <c r="A1749" s="532">
        <v>44239</v>
      </c>
      <c r="B1749" s="615">
        <v>10000</v>
      </c>
      <c r="C1749" s="615">
        <f t="shared" si="176"/>
        <v>10314.246575342466</v>
      </c>
      <c r="D1749" s="532">
        <f t="shared" si="177"/>
        <v>44270</v>
      </c>
      <c r="E1749" s="534">
        <v>31</v>
      </c>
      <c r="F1749" s="601">
        <v>0.37</v>
      </c>
      <c r="G1749" s="536" t="s">
        <v>120</v>
      </c>
      <c r="H1749">
        <f>10024.93+1181.72</f>
        <v>11206.65</v>
      </c>
      <c r="U1749">
        <v>49314</v>
      </c>
    </row>
    <row r="1750" spans="1:21" ht="13.5" customHeight="1">
      <c r="A1750" s="532">
        <v>44181</v>
      </c>
      <c r="B1750" s="615">
        <v>81800</v>
      </c>
      <c r="C1750" s="615">
        <f t="shared" si="176"/>
        <v>91530.160000000018</v>
      </c>
      <c r="D1750" s="532">
        <f t="shared" si="177"/>
        <v>44271</v>
      </c>
      <c r="E1750" s="534">
        <v>90</v>
      </c>
      <c r="F1750" s="601">
        <v>0.48241081227927268</v>
      </c>
      <c r="G1750" s="536" t="s">
        <v>698</v>
      </c>
      <c r="U1750">
        <v>49314</v>
      </c>
    </row>
    <row r="1751" spans="1:21" ht="13.5" customHeight="1">
      <c r="A1751" s="532">
        <v>44186</v>
      </c>
      <c r="B1751" s="615">
        <v>10000</v>
      </c>
      <c r="C1751" s="615">
        <f t="shared" si="176"/>
        <v>11206.650000000003</v>
      </c>
      <c r="D1751" s="532">
        <f t="shared" si="177"/>
        <v>44277</v>
      </c>
      <c r="E1751" s="534">
        <v>91</v>
      </c>
      <c r="F1751" s="601">
        <v>0.48398598901099055</v>
      </c>
      <c r="G1751" s="536" t="s">
        <v>686</v>
      </c>
      <c r="H1751">
        <f>5012.47+590.86</f>
        <v>5603.33</v>
      </c>
      <c r="U1751">
        <v>49314</v>
      </c>
    </row>
    <row r="1752" spans="1:21" ht="13.5" customHeight="1">
      <c r="A1752" s="532">
        <v>44186</v>
      </c>
      <c r="B1752" s="615">
        <v>5000</v>
      </c>
      <c r="C1752" s="615">
        <f t="shared" si="176"/>
        <v>5603.3300000000017</v>
      </c>
      <c r="D1752" s="532">
        <f t="shared" si="177"/>
        <v>44277</v>
      </c>
      <c r="E1752" s="534">
        <v>91</v>
      </c>
      <c r="F1752" s="601">
        <v>0.48399000000000159</v>
      </c>
      <c r="G1752" s="536" t="s">
        <v>698</v>
      </c>
      <c r="H1752">
        <f>48118.36+5633.92</f>
        <v>53752.28</v>
      </c>
      <c r="U1752">
        <v>49314</v>
      </c>
    </row>
    <row r="1753" spans="1:21" ht="13.5" customHeight="1">
      <c r="A1753" s="532">
        <v>44245</v>
      </c>
      <c r="B1753" s="615">
        <v>8000</v>
      </c>
      <c r="C1753" s="615">
        <f t="shared" si="176"/>
        <v>8259.5068493150684</v>
      </c>
      <c r="D1753" s="532">
        <f t="shared" si="177"/>
        <v>44277</v>
      </c>
      <c r="E1753" s="534">
        <v>32</v>
      </c>
      <c r="F1753" s="601">
        <v>0.37</v>
      </c>
      <c r="G1753" s="536" t="s">
        <v>276</v>
      </c>
      <c r="U1753">
        <v>49314</v>
      </c>
    </row>
    <row r="1754" spans="1:21" ht="13.5" customHeight="1">
      <c r="A1754" s="532">
        <v>44188</v>
      </c>
      <c r="B1754" s="615">
        <v>48000</v>
      </c>
      <c r="C1754" s="615">
        <f t="shared" si="176"/>
        <v>53752.28</v>
      </c>
      <c r="D1754" s="532">
        <f t="shared" si="177"/>
        <v>44278</v>
      </c>
      <c r="E1754" s="534">
        <v>90</v>
      </c>
      <c r="F1754" s="601">
        <v>0.48601439814814829</v>
      </c>
      <c r="G1754" s="536" t="s">
        <v>698</v>
      </c>
      <c r="U1754">
        <v>49314</v>
      </c>
    </row>
    <row r="1755" spans="1:21" ht="13.5" customHeight="1">
      <c r="A1755" s="532">
        <v>44249</v>
      </c>
      <c r="B1755" s="615">
        <v>20000</v>
      </c>
      <c r="C1755" s="615">
        <f t="shared" si="176"/>
        <v>20628.493150684932</v>
      </c>
      <c r="D1755" s="532">
        <f t="shared" si="177"/>
        <v>44280</v>
      </c>
      <c r="E1755" s="534">
        <v>31</v>
      </c>
      <c r="F1755" s="601">
        <v>0.37</v>
      </c>
      <c r="G1755" s="536" t="s">
        <v>276</v>
      </c>
      <c r="U1755">
        <v>49314</v>
      </c>
    </row>
    <row r="1756" spans="1:21" ht="13.5" customHeight="1">
      <c r="A1756" s="532">
        <v>44249</v>
      </c>
      <c r="B1756" s="615">
        <v>12600</v>
      </c>
      <c r="C1756" s="615">
        <f t="shared" si="176"/>
        <v>12995.950684931508</v>
      </c>
      <c r="D1756" s="532">
        <f t="shared" si="177"/>
        <v>44280</v>
      </c>
      <c r="E1756" s="534">
        <v>31</v>
      </c>
      <c r="F1756" s="601">
        <v>0.37</v>
      </c>
      <c r="G1756" s="536" t="s">
        <v>680</v>
      </c>
      <c r="H1756">
        <v>76572.72</v>
      </c>
      <c r="U1756">
        <v>49314</v>
      </c>
    </row>
    <row r="1757" spans="1:21" ht="13.5" customHeight="1">
      <c r="A1757" s="532">
        <v>44250</v>
      </c>
      <c r="B1757" s="615">
        <v>5000</v>
      </c>
      <c r="C1757" s="615">
        <f t="shared" si="176"/>
        <v>5152.0547945205481</v>
      </c>
      <c r="D1757" s="532">
        <f t="shared" si="177"/>
        <v>44280</v>
      </c>
      <c r="E1757" s="534">
        <v>30</v>
      </c>
      <c r="F1757" s="601">
        <v>0.37</v>
      </c>
      <c r="G1757" s="536" t="s">
        <v>120</v>
      </c>
      <c r="H1757">
        <f>135336.58+16237</f>
        <v>151573.57999999999</v>
      </c>
      <c r="U1757">
        <v>49314</v>
      </c>
    </row>
    <row r="1758" spans="1:21" ht="13.5" customHeight="1">
      <c r="A1758" s="532">
        <v>44193</v>
      </c>
      <c r="B1758" s="615">
        <v>135000</v>
      </c>
      <c r="C1758" s="615">
        <f t="shared" si="176"/>
        <v>151573.57999999999</v>
      </c>
      <c r="D1758" s="532">
        <f t="shared" si="177"/>
        <v>44284</v>
      </c>
      <c r="E1758" s="534">
        <v>91</v>
      </c>
      <c r="F1758" s="601">
        <v>0.49241812779812755</v>
      </c>
      <c r="G1758" s="536" t="s">
        <v>686</v>
      </c>
      <c r="H1758">
        <f>22255.35+2670.08</f>
        <v>24925.43</v>
      </c>
      <c r="U1758">
        <v>49314</v>
      </c>
    </row>
    <row r="1759" spans="1:21" ht="13.5" customHeight="1">
      <c r="A1759" s="532">
        <v>44193</v>
      </c>
      <c r="B1759" s="615">
        <v>22200</v>
      </c>
      <c r="C1759" s="615">
        <f t="shared" si="176"/>
        <v>24925.43</v>
      </c>
      <c r="D1759" s="532">
        <f t="shared" si="177"/>
        <v>44284</v>
      </c>
      <c r="E1759" s="534">
        <v>91</v>
      </c>
      <c r="F1759" s="601">
        <v>0.49241755766755801</v>
      </c>
      <c r="G1759" s="536" t="s">
        <v>698</v>
      </c>
      <c r="H1759">
        <f>23183.36+58</f>
        <v>23241.360000000001</v>
      </c>
    </row>
    <row r="1760" spans="1:21" ht="13.5" customHeight="1">
      <c r="A1760" s="532">
        <v>44193</v>
      </c>
      <c r="B1760" s="615">
        <v>68200</v>
      </c>
      <c r="C1760" s="615">
        <f t="shared" si="176"/>
        <v>76572.72</v>
      </c>
      <c r="D1760" s="532">
        <f t="shared" si="177"/>
        <v>44284</v>
      </c>
      <c r="E1760" s="534">
        <v>91</v>
      </c>
      <c r="F1760" s="601">
        <v>0.49241771132093703</v>
      </c>
      <c r="G1760" s="536" t="s">
        <v>699</v>
      </c>
      <c r="H1760">
        <v>26869.75</v>
      </c>
      <c r="U1760">
        <v>49314</v>
      </c>
    </row>
    <row r="1761" spans="1:28" ht="13.5" customHeight="1">
      <c r="A1761" s="532">
        <v>44193</v>
      </c>
      <c r="B1761" s="615">
        <v>20700</v>
      </c>
      <c r="C1761" s="615">
        <f t="shared" si="176"/>
        <v>23241.360000000001</v>
      </c>
      <c r="D1761" s="532">
        <f t="shared" si="177"/>
        <v>44284</v>
      </c>
      <c r="E1761" s="534">
        <v>91</v>
      </c>
      <c r="F1761" s="601">
        <v>0.49243318999840774</v>
      </c>
      <c r="G1761" s="536" t="s">
        <v>681</v>
      </c>
      <c r="H1761">
        <f>23780.48+58.4</f>
        <v>23838.880000000001</v>
      </c>
      <c r="U1761">
        <v>49314</v>
      </c>
    </row>
    <row r="1762" spans="1:28" ht="13.5" customHeight="1">
      <c r="A1762" s="532">
        <v>44210</v>
      </c>
      <c r="B1762" s="615">
        <v>13500</v>
      </c>
      <c r="C1762" s="615">
        <f t="shared" si="176"/>
        <v>15159.599999999999</v>
      </c>
      <c r="D1762" s="532">
        <f t="shared" si="177"/>
        <v>44300</v>
      </c>
      <c r="E1762" s="534">
        <v>90</v>
      </c>
      <c r="F1762" s="601">
        <v>0.49856296296296282</v>
      </c>
      <c r="G1762" s="536" t="s">
        <v>698</v>
      </c>
      <c r="H1762">
        <f>13533.29+1626.31</f>
        <v>15159.6</v>
      </c>
      <c r="U1762">
        <v>49314</v>
      </c>
    </row>
    <row r="1763" spans="1:28" ht="13.5" customHeight="1">
      <c r="A1763" s="532">
        <v>44211</v>
      </c>
      <c r="B1763" s="615">
        <v>32000</v>
      </c>
      <c r="C1763" s="615">
        <f t="shared" si="176"/>
        <v>35945.07</v>
      </c>
      <c r="D1763" s="532">
        <f t="shared" si="177"/>
        <v>44301</v>
      </c>
      <c r="E1763" s="534">
        <v>90</v>
      </c>
      <c r="F1763" s="601">
        <v>0.49998282986111092</v>
      </c>
      <c r="G1763" s="536" t="s">
        <v>686</v>
      </c>
      <c r="H1763">
        <f>32078.9+3866.17</f>
        <v>35945.07</v>
      </c>
      <c r="U1763">
        <v>49314</v>
      </c>
    </row>
    <row r="1764" spans="1:28" ht="13.5" customHeight="1">
      <c r="A1764" s="532">
        <v>44211</v>
      </c>
      <c r="B1764" s="615">
        <v>27800</v>
      </c>
      <c r="C1764" s="615">
        <f t="shared" si="176"/>
        <v>31227.279999999999</v>
      </c>
      <c r="D1764" s="532">
        <f t="shared" si="177"/>
        <v>44301</v>
      </c>
      <c r="E1764" s="534">
        <v>90</v>
      </c>
      <c r="F1764" s="601">
        <v>0.499982893685052</v>
      </c>
      <c r="G1764" s="536" t="s">
        <v>699</v>
      </c>
      <c r="H1764">
        <v>31227.279999999999</v>
      </c>
      <c r="U1764">
        <v>49314</v>
      </c>
    </row>
    <row r="1765" spans="1:28" ht="13.5" customHeight="1">
      <c r="A1765" s="532">
        <v>44215</v>
      </c>
      <c r="B1765" s="615">
        <v>10000</v>
      </c>
      <c r="C1765" s="615">
        <f t="shared" si="176"/>
        <v>11207.08</v>
      </c>
      <c r="D1765" s="532">
        <f t="shared" si="177"/>
        <v>44305</v>
      </c>
      <c r="E1765" s="534">
        <v>90</v>
      </c>
      <c r="F1765" s="601">
        <v>0.48953800000000008</v>
      </c>
      <c r="G1765" s="536" t="s">
        <v>698</v>
      </c>
      <c r="H1765">
        <f>10024.66+1182.42</f>
        <v>11207.08</v>
      </c>
      <c r="U1765">
        <v>49314</v>
      </c>
    </row>
    <row r="1766" spans="1:28" ht="13.5" customHeight="1">
      <c r="A1766" s="532">
        <v>44214</v>
      </c>
      <c r="B1766" s="615">
        <v>163000</v>
      </c>
      <c r="C1766" s="615">
        <f t="shared" si="176"/>
        <v>183379.1</v>
      </c>
      <c r="D1766" s="532">
        <f t="shared" si="177"/>
        <v>44305</v>
      </c>
      <c r="E1766" s="534">
        <v>91</v>
      </c>
      <c r="F1766" s="601">
        <v>0.50147451628126505</v>
      </c>
      <c r="G1766" s="536" t="s">
        <v>686</v>
      </c>
      <c r="H1766">
        <f>163406.38+19972.72</f>
        <v>183379.1</v>
      </c>
      <c r="U1766">
        <v>49314</v>
      </c>
    </row>
    <row r="1767" spans="1:28" ht="13.5" customHeight="1">
      <c r="A1767" s="532">
        <v>44215</v>
      </c>
      <c r="B1767" s="615">
        <v>33300</v>
      </c>
      <c r="C1767" s="615">
        <f t="shared" si="176"/>
        <v>37319.589999999997</v>
      </c>
      <c r="D1767" s="532">
        <f t="shared" si="177"/>
        <v>44305</v>
      </c>
      <c r="E1767" s="534">
        <v>90</v>
      </c>
      <c r="F1767" s="601">
        <v>0.48953965632298913</v>
      </c>
      <c r="G1767" s="536" t="s">
        <v>699</v>
      </c>
      <c r="H1767">
        <v>37319.589999999997</v>
      </c>
      <c r="U1767">
        <v>49314</v>
      </c>
    </row>
    <row r="1768" spans="1:28" ht="13.5" customHeight="1">
      <c r="A1768" s="532">
        <v>44216</v>
      </c>
      <c r="B1768" s="615">
        <v>28850</v>
      </c>
      <c r="C1768" s="615">
        <f t="shared" si="176"/>
        <v>32447.13</v>
      </c>
      <c r="D1768" s="532">
        <f t="shared" si="177"/>
        <v>44306</v>
      </c>
      <c r="E1768" s="534">
        <v>90</v>
      </c>
      <c r="F1768" s="601">
        <v>0.50566241093780084</v>
      </c>
      <c r="G1768" s="536" t="s">
        <v>698</v>
      </c>
      <c r="H1768">
        <f>28921.14+3525.99</f>
        <v>32447.129999999997</v>
      </c>
      <c r="U1768">
        <v>49314</v>
      </c>
    </row>
    <row r="1769" spans="1:28" ht="13.5" customHeight="1">
      <c r="A1769" s="532">
        <v>44224</v>
      </c>
      <c r="B1769" s="615">
        <v>19000</v>
      </c>
      <c r="C1769" s="615">
        <f t="shared" si="176"/>
        <v>21420.17</v>
      </c>
      <c r="D1769" s="532">
        <f t="shared" si="177"/>
        <v>44314</v>
      </c>
      <c r="E1769" s="534">
        <v>90</v>
      </c>
      <c r="F1769" s="601">
        <v>0.51658599415204642</v>
      </c>
      <c r="G1769" s="536" t="s">
        <v>699</v>
      </c>
      <c r="H1769">
        <v>21420.17</v>
      </c>
    </row>
    <row r="1770" spans="1:28" ht="13.5" customHeight="1">
      <c r="A1770" s="532">
        <v>44224</v>
      </c>
      <c r="B1770" s="615">
        <v>33000</v>
      </c>
      <c r="C1770" s="615">
        <f t="shared" si="176"/>
        <v>37203.449999999997</v>
      </c>
      <c r="D1770" s="532">
        <f t="shared" si="177"/>
        <v>44314</v>
      </c>
      <c r="E1770" s="534">
        <v>90</v>
      </c>
      <c r="F1770" s="601">
        <v>0.51658560606060577</v>
      </c>
      <c r="G1770" s="536" t="s">
        <v>698</v>
      </c>
      <c r="H1770">
        <f>33081.37+4122.08</f>
        <v>37203.450000000004</v>
      </c>
      <c r="U1770">
        <v>49314</v>
      </c>
    </row>
    <row r="1771" spans="1:28" ht="13.5" customHeight="1">
      <c r="A1771" s="532">
        <v>44225</v>
      </c>
      <c r="B1771" s="615">
        <v>55000</v>
      </c>
      <c r="C1771" s="615">
        <f t="shared" si="176"/>
        <v>62022.380000000005</v>
      </c>
      <c r="D1771" s="532">
        <f t="shared" si="177"/>
        <v>44315</v>
      </c>
      <c r="E1771" s="534">
        <v>90</v>
      </c>
      <c r="F1771" s="601">
        <v>0.51781185858585876</v>
      </c>
      <c r="G1771" s="536" t="s">
        <v>686</v>
      </c>
      <c r="H1771">
        <f>55135.62+6886.76</f>
        <v>62022.380000000005</v>
      </c>
      <c r="U1771">
        <v>49314</v>
      </c>
    </row>
    <row r="1772" spans="1:28" ht="13.5" customHeight="1">
      <c r="A1772" s="532">
        <v>44225</v>
      </c>
      <c r="B1772" s="615">
        <v>79800</v>
      </c>
      <c r="C1772" s="615">
        <f t="shared" si="176"/>
        <v>89988.834981818189</v>
      </c>
      <c r="D1772" s="532">
        <f t="shared" si="177"/>
        <v>44315</v>
      </c>
      <c r="E1772" s="534">
        <v>90</v>
      </c>
      <c r="F1772" s="601">
        <v>0.51781185858585876</v>
      </c>
      <c r="G1772" s="536" t="s">
        <v>698</v>
      </c>
      <c r="H1772">
        <f>79996.77+9992.07</f>
        <v>89988.84</v>
      </c>
    </row>
    <row r="1773" spans="1:28" ht="13.5" customHeight="1">
      <c r="A1773" s="532">
        <v>44225</v>
      </c>
      <c r="B1773" s="615">
        <v>105000</v>
      </c>
      <c r="C1773" s="615">
        <f t="shared" si="176"/>
        <v>118407</v>
      </c>
      <c r="D1773" s="532">
        <f t="shared" si="177"/>
        <v>44315</v>
      </c>
      <c r="E1773" s="534">
        <v>90</v>
      </c>
      <c r="F1773" s="601">
        <v>0.51783650793650793</v>
      </c>
      <c r="G1773" s="536" t="s">
        <v>120</v>
      </c>
      <c r="H1773">
        <v>118407</v>
      </c>
    </row>
    <row r="1774" spans="1:28" ht="13.5" customHeight="1">
      <c r="A1774" s="532">
        <v>44228</v>
      </c>
      <c r="B1774" s="615">
        <v>25000</v>
      </c>
      <c r="C1774" s="615">
        <f t="shared" si="176"/>
        <v>28245.03</v>
      </c>
      <c r="D1774" s="532">
        <f t="shared" si="177"/>
        <v>44319</v>
      </c>
      <c r="E1774" s="534">
        <v>91</v>
      </c>
      <c r="F1774" s="601">
        <v>0.52063118681318676</v>
      </c>
      <c r="G1774" s="536" t="s">
        <v>686</v>
      </c>
      <c r="H1774">
        <f>25062.33+3182.7</f>
        <v>28245.030000000002</v>
      </c>
      <c r="I1774">
        <v>163000</v>
      </c>
      <c r="K1774" t="e">
        <f>+#REF!+L1774</f>
        <v>#REF!</v>
      </c>
      <c r="L1774">
        <v>91</v>
      </c>
      <c r="M1774">
        <v>0.37</v>
      </c>
      <c r="N1774" t="s">
        <v>686</v>
      </c>
      <c r="AB1774">
        <v>49314</v>
      </c>
    </row>
    <row r="1775" spans="1:28" ht="13.5" customHeight="1">
      <c r="A1775" s="532">
        <v>44228</v>
      </c>
      <c r="B1775" s="615">
        <v>7500</v>
      </c>
      <c r="C1775" s="615">
        <f t="shared" si="176"/>
        <v>8473.509</v>
      </c>
      <c r="D1775" s="532">
        <f t="shared" si="177"/>
        <v>44319</v>
      </c>
      <c r="E1775" s="534">
        <v>91</v>
      </c>
      <c r="F1775" s="601">
        <v>0.52063118681318676</v>
      </c>
      <c r="G1775" s="536" t="s">
        <v>698</v>
      </c>
      <c r="H1775">
        <f>7518.7+954.8</f>
        <v>8473.5</v>
      </c>
      <c r="I1775">
        <v>163000</v>
      </c>
      <c r="K1775" t="e">
        <f>+#REF!+L1775</f>
        <v>#REF!</v>
      </c>
      <c r="L1775">
        <v>91</v>
      </c>
      <c r="M1775">
        <v>0.37</v>
      </c>
      <c r="N1775" t="s">
        <v>686</v>
      </c>
      <c r="AB1775">
        <v>49314</v>
      </c>
    </row>
    <row r="1776" spans="1:28" ht="13.5" customHeight="1">
      <c r="A1776" s="532">
        <v>44230</v>
      </c>
      <c r="B1776" s="615">
        <v>90000</v>
      </c>
      <c r="C1776" s="615">
        <f t="shared" ref="A1776:C1817" si="178">B1776+(B1776*F1776/365*E1776)*1</f>
        <v>101634.54545454546</v>
      </c>
      <c r="D1776" s="532">
        <f t="shared" si="177"/>
        <v>44320</v>
      </c>
      <c r="E1776" s="534">
        <v>90</v>
      </c>
      <c r="F1776" s="601">
        <v>0.52427272727272733</v>
      </c>
      <c r="G1776" s="536" t="s">
        <v>686</v>
      </c>
      <c r="H1776">
        <f>90221.92+11412.63</f>
        <v>101634.55</v>
      </c>
      <c r="U1776">
        <v>49314</v>
      </c>
    </row>
    <row r="1777" spans="1:21" ht="13.5" customHeight="1">
      <c r="A1777" s="532">
        <v>44230</v>
      </c>
      <c r="B1777" s="615">
        <v>58300</v>
      </c>
      <c r="C1777" s="615">
        <f t="shared" si="178"/>
        <v>65836.600000000006</v>
      </c>
      <c r="D1777" s="532">
        <f t="shared" si="177"/>
        <v>44320</v>
      </c>
      <c r="E1777" s="534">
        <v>90</v>
      </c>
      <c r="F1777" s="601">
        <v>0.52427272727272733</v>
      </c>
      <c r="G1777" s="536" t="s">
        <v>698</v>
      </c>
      <c r="H1777">
        <f>58443.75+7392.85</f>
        <v>65836.600000000006</v>
      </c>
      <c r="U1777">
        <v>49314</v>
      </c>
    </row>
    <row r="1778" spans="1:21" ht="13.5" customHeight="1">
      <c r="A1778" s="532">
        <v>44235</v>
      </c>
      <c r="B1778" s="615">
        <v>34000</v>
      </c>
      <c r="C1778" s="615">
        <f t="shared" si="178"/>
        <v>38491.979999999996</v>
      </c>
      <c r="D1778" s="532">
        <f t="shared" si="177"/>
        <v>44326</v>
      </c>
      <c r="E1778" s="534">
        <v>91</v>
      </c>
      <c r="F1778" s="601">
        <v>0.5299200711053651</v>
      </c>
      <c r="G1778" s="536" t="s">
        <v>699</v>
      </c>
      <c r="H1778">
        <v>38491.980000000003</v>
      </c>
      <c r="U1778">
        <v>49314</v>
      </c>
    </row>
    <row r="1779" spans="1:21" ht="13.5" customHeight="1">
      <c r="A1779" s="532">
        <v>44235</v>
      </c>
      <c r="B1779" s="615">
        <v>140000</v>
      </c>
      <c r="C1779" s="615">
        <f t="shared" si="178"/>
        <v>158496.74</v>
      </c>
      <c r="D1779" s="532">
        <f t="shared" si="177"/>
        <v>44326</v>
      </c>
      <c r="E1779" s="534">
        <v>91</v>
      </c>
      <c r="F1779" s="601">
        <v>0.52993014913657743</v>
      </c>
      <c r="G1779" s="536" t="s">
        <v>687</v>
      </c>
      <c r="H1779">
        <f>164723.67-6226.93</f>
        <v>158496.74000000002</v>
      </c>
      <c r="U1779">
        <v>49314</v>
      </c>
    </row>
    <row r="1780" spans="1:21" ht="13.5" customHeight="1">
      <c r="A1780" s="532">
        <v>44237</v>
      </c>
      <c r="B1780" s="615">
        <v>147800</v>
      </c>
      <c r="C1780" s="615">
        <f t="shared" si="178"/>
        <v>167269.67000000004</v>
      </c>
      <c r="D1780" s="532">
        <f t="shared" si="177"/>
        <v>44327</v>
      </c>
      <c r="E1780" s="534">
        <v>90</v>
      </c>
      <c r="F1780" s="601">
        <v>0.53423767478574746</v>
      </c>
      <c r="G1780" s="536" t="s">
        <v>695</v>
      </c>
      <c r="H1780">
        <f>19105.23+148164.44</f>
        <v>167269.67000000001</v>
      </c>
    </row>
    <row r="1781" spans="1:21" ht="14.25" customHeight="1">
      <c r="A1781" s="532">
        <v>44237</v>
      </c>
      <c r="B1781" s="615">
        <v>165000</v>
      </c>
      <c r="C1781" s="615">
        <f t="shared" si="178"/>
        <v>186735.42320703657</v>
      </c>
      <c r="D1781" s="532">
        <f t="shared" si="177"/>
        <v>44327</v>
      </c>
      <c r="E1781" s="534">
        <v>90</v>
      </c>
      <c r="F1781" s="601">
        <v>0.53423767478574746</v>
      </c>
      <c r="G1781" s="536" t="s">
        <v>686</v>
      </c>
      <c r="H1781">
        <f>165406.85+21328.58</f>
        <v>186735.43</v>
      </c>
      <c r="U1781">
        <v>49314</v>
      </c>
    </row>
    <row r="1782" spans="1:21" ht="13.5" customHeight="1">
      <c r="A1782" s="532">
        <v>44244</v>
      </c>
      <c r="B1782" s="615">
        <v>25900</v>
      </c>
      <c r="C1782" s="615">
        <f t="shared" si="178"/>
        <v>29505.959999999995</v>
      </c>
      <c r="D1782" s="532">
        <f t="shared" ref="A1782:D1817" si="179">+A1782+E1782</f>
        <v>44334</v>
      </c>
      <c r="E1782" s="534">
        <v>90</v>
      </c>
      <c r="F1782" s="601">
        <v>0.56463981123981066</v>
      </c>
      <c r="G1782" s="536" t="s">
        <v>699</v>
      </c>
      <c r="H1782">
        <v>29505.96</v>
      </c>
    </row>
    <row r="1783" spans="1:21" ht="13.5" customHeight="1">
      <c r="A1783" s="532">
        <v>44244</v>
      </c>
      <c r="B1783" s="615">
        <v>178000</v>
      </c>
      <c r="C1783" s="615">
        <f t="shared" si="178"/>
        <v>202782.25</v>
      </c>
      <c r="D1783" s="532">
        <f t="shared" si="179"/>
        <v>44334</v>
      </c>
      <c r="E1783" s="534">
        <v>90</v>
      </c>
      <c r="F1783" s="601">
        <v>0.56463927902621702</v>
      </c>
      <c r="G1783" s="536" t="s">
        <v>686</v>
      </c>
      <c r="H1783">
        <f>178438.9+24343.35</f>
        <v>202782.25</v>
      </c>
    </row>
    <row r="1784" spans="1:21" ht="13.5" customHeight="1">
      <c r="A1784" s="532">
        <v>44245</v>
      </c>
      <c r="B1784" s="615">
        <v>13000</v>
      </c>
      <c r="C1784" s="615">
        <f t="shared" si="178"/>
        <v>14729.380000000001</v>
      </c>
      <c r="D1784" s="532">
        <f t="shared" si="179"/>
        <v>44335</v>
      </c>
      <c r="E1784" s="534">
        <v>90</v>
      </c>
      <c r="F1784" s="601">
        <v>0.53950743589743622</v>
      </c>
      <c r="G1784" s="536" t="s">
        <v>698</v>
      </c>
      <c r="H1784">
        <f>13032.05+1697.33</f>
        <v>14729.38</v>
      </c>
    </row>
    <row r="1785" spans="1:21" ht="13.5" customHeight="1">
      <c r="A1785" s="532">
        <v>44246</v>
      </c>
      <c r="B1785" s="615">
        <v>33900</v>
      </c>
      <c r="C1785" s="615">
        <f t="shared" si="178"/>
        <v>38408.870000000003</v>
      </c>
      <c r="D1785" s="532">
        <f t="shared" si="179"/>
        <v>44336</v>
      </c>
      <c r="E1785" s="534">
        <v>90</v>
      </c>
      <c r="F1785" s="601">
        <v>0.5394092264831204</v>
      </c>
      <c r="G1785" s="536" t="s">
        <v>699</v>
      </c>
      <c r="H1785">
        <v>38408.870000000003</v>
      </c>
    </row>
    <row r="1786" spans="1:21" ht="13.5" customHeight="1">
      <c r="A1786" s="532">
        <v>44250</v>
      </c>
      <c r="B1786" s="615">
        <v>26000</v>
      </c>
      <c r="C1786" s="615">
        <f t="shared" si="178"/>
        <v>29376.19</v>
      </c>
      <c r="D1786" s="532">
        <f t="shared" si="179"/>
        <v>44342</v>
      </c>
      <c r="E1786" s="534">
        <v>92</v>
      </c>
      <c r="F1786" s="601">
        <v>0.51517949414715702</v>
      </c>
      <c r="G1786" s="536" t="s">
        <v>698</v>
      </c>
      <c r="H1786">
        <f>26065.33+3310.86</f>
        <v>29376.190000000002</v>
      </c>
    </row>
    <row r="1787" spans="1:21" ht="13.5" customHeight="1">
      <c r="A1787" s="532">
        <v>44251</v>
      </c>
      <c r="B1787" s="615">
        <v>240000</v>
      </c>
      <c r="C1787" s="615">
        <f t="shared" si="178"/>
        <v>271814.75000000006</v>
      </c>
      <c r="D1787" s="532">
        <f t="shared" si="179"/>
        <v>44342</v>
      </c>
      <c r="E1787" s="534">
        <v>91</v>
      </c>
      <c r="F1787" s="601">
        <v>0.53170255265567878</v>
      </c>
      <c r="G1787" s="536" t="s">
        <v>700</v>
      </c>
      <c r="H1787">
        <v>271814.75</v>
      </c>
    </row>
    <row r="1788" spans="1:21" ht="13.5" customHeight="1">
      <c r="A1788" s="532">
        <v>44253</v>
      </c>
      <c r="B1788" s="615">
        <v>33000</v>
      </c>
      <c r="C1788" s="615">
        <f t="shared" si="178"/>
        <v>37366.49</v>
      </c>
      <c r="D1788" s="532">
        <f t="shared" si="179"/>
        <v>44343</v>
      </c>
      <c r="E1788" s="534">
        <v>90</v>
      </c>
      <c r="F1788" s="601">
        <v>0.53662250841750825</v>
      </c>
      <c r="G1788" s="536" t="s">
        <v>701</v>
      </c>
      <c r="H1788">
        <f>33081.37+4285.12</f>
        <v>37366.490000000005</v>
      </c>
    </row>
    <row r="1789" spans="1:21" ht="13.5" customHeight="1">
      <c r="A1789" s="532">
        <v>44256</v>
      </c>
      <c r="B1789" s="615">
        <v>3200</v>
      </c>
      <c r="C1789" s="615">
        <f t="shared" si="178"/>
        <v>3627.56</v>
      </c>
      <c r="D1789" s="532">
        <f t="shared" si="179"/>
        <v>44347</v>
      </c>
      <c r="E1789" s="534">
        <v>91</v>
      </c>
      <c r="F1789" s="601">
        <v>0.53591826923076902</v>
      </c>
      <c r="G1789" s="536" t="s">
        <v>699</v>
      </c>
      <c r="H1789">
        <v>3627.56</v>
      </c>
    </row>
    <row r="1790" spans="1:21" ht="13.5" customHeight="1">
      <c r="A1790" s="532">
        <v>44257</v>
      </c>
      <c r="B1790" s="615">
        <v>15000</v>
      </c>
      <c r="C1790" s="615">
        <f t="shared" si="178"/>
        <v>16932.599999999999</v>
      </c>
      <c r="D1790" s="532">
        <f t="shared" si="179"/>
        <v>44347</v>
      </c>
      <c r="E1790" s="534">
        <v>90</v>
      </c>
      <c r="F1790" s="601">
        <v>0.52251777777777719</v>
      </c>
      <c r="G1790" s="536" t="s">
        <v>698</v>
      </c>
      <c r="H1790">
        <f>15036.99+1895.61</f>
        <v>16932.599999999999</v>
      </c>
    </row>
    <row r="1791" spans="1:21" ht="13.5" customHeight="1">
      <c r="A1791" s="532">
        <v>44257</v>
      </c>
      <c r="B1791" s="615">
        <v>53000</v>
      </c>
      <c r="C1791" s="615">
        <f t="shared" si="178"/>
        <v>59828.51999999999</v>
      </c>
      <c r="D1791" s="532">
        <f t="shared" si="179"/>
        <v>44347</v>
      </c>
      <c r="E1791" s="534">
        <v>90</v>
      </c>
      <c r="F1791" s="601">
        <v>0.52251777777777708</v>
      </c>
      <c r="G1791" s="536" t="s">
        <v>686</v>
      </c>
      <c r="H1791">
        <f>53130.68+6697.84</f>
        <v>59828.520000000004</v>
      </c>
    </row>
    <row r="1792" spans="1:21" ht="13.5" customHeight="1">
      <c r="A1792" s="532">
        <v>44264</v>
      </c>
      <c r="B1792" s="615">
        <v>30000</v>
      </c>
      <c r="C1792" s="615">
        <f t="shared" si="178"/>
        <v>33841.269999999997</v>
      </c>
      <c r="D1792" s="532">
        <f t="shared" si="179"/>
        <v>44354</v>
      </c>
      <c r="E1792" s="534">
        <v>90</v>
      </c>
      <c r="F1792" s="601">
        <v>0.51928279629629559</v>
      </c>
      <c r="G1792" s="536" t="s">
        <v>686</v>
      </c>
      <c r="H1792">
        <f>30073.97+3767.3</f>
        <v>33841.270000000004</v>
      </c>
    </row>
    <row r="1793" spans="1:8" ht="13.5" customHeight="1">
      <c r="A1793" s="532">
        <v>44264</v>
      </c>
      <c r="B1793" s="615">
        <v>10000</v>
      </c>
      <c r="C1793" s="615">
        <f t="shared" si="178"/>
        <v>11280.423333333332</v>
      </c>
      <c r="D1793" s="532">
        <f t="shared" si="179"/>
        <v>44354</v>
      </c>
      <c r="E1793" s="534">
        <v>90</v>
      </c>
      <c r="F1793" s="601">
        <v>0.51928279629629559</v>
      </c>
      <c r="G1793" s="536" t="s">
        <v>701</v>
      </c>
      <c r="H1793">
        <f>10024.66+1255.76</f>
        <v>11280.42</v>
      </c>
    </row>
    <row r="1794" spans="1:8" ht="13.5" customHeight="1">
      <c r="A1794" s="532">
        <v>44267</v>
      </c>
      <c r="B1794" s="615">
        <v>35000</v>
      </c>
      <c r="C1794" s="615">
        <f t="shared" si="178"/>
        <v>39567.519999999997</v>
      </c>
      <c r="D1794" s="532">
        <f t="shared" si="179"/>
        <v>44357</v>
      </c>
      <c r="E1794" s="534">
        <v>90</v>
      </c>
      <c r="F1794" s="601">
        <v>0.5292523174603172</v>
      </c>
      <c r="G1794" s="536" t="s">
        <v>701</v>
      </c>
      <c r="H1794">
        <f>35086.3+4481.22</f>
        <v>39567.520000000004</v>
      </c>
    </row>
    <row r="1795" spans="1:8" ht="13.5" customHeight="1">
      <c r="A1795" s="532">
        <v>44271</v>
      </c>
      <c r="B1795" s="615">
        <v>100000</v>
      </c>
      <c r="C1795" s="615">
        <f t="shared" si="178"/>
        <v>112724.21999999999</v>
      </c>
      <c r="D1795" s="532">
        <f t="shared" si="179"/>
        <v>44361</v>
      </c>
      <c r="E1795" s="534">
        <v>90</v>
      </c>
      <c r="F1795" s="601">
        <v>0.5160378111111108</v>
      </c>
      <c r="G1795" s="536" t="s">
        <v>698</v>
      </c>
      <c r="H1795">
        <f>100246.58+12477.64</f>
        <v>112724.22</v>
      </c>
    </row>
    <row r="1796" spans="1:8" ht="13.5" customHeight="1">
      <c r="A1796" s="532">
        <v>44274</v>
      </c>
      <c r="B1796" s="615">
        <v>10000</v>
      </c>
      <c r="C1796" s="615">
        <f t="shared" si="178"/>
        <v>11276.51</v>
      </c>
      <c r="D1796" s="532">
        <f t="shared" si="179"/>
        <v>44364</v>
      </c>
      <c r="E1796" s="534">
        <v>90</v>
      </c>
      <c r="F1796" s="601">
        <v>0.51769572222222238</v>
      </c>
      <c r="G1796" s="536" t="s">
        <v>699</v>
      </c>
      <c r="H1796">
        <v>11276.51</v>
      </c>
    </row>
    <row r="1797" spans="1:8" ht="13.5" customHeight="1">
      <c r="A1797" s="532">
        <v>44274</v>
      </c>
      <c r="B1797" s="615">
        <v>10800</v>
      </c>
      <c r="C1797" s="615">
        <f t="shared" si="178"/>
        <v>12178.62</v>
      </c>
      <c r="D1797" s="532">
        <f t="shared" si="179"/>
        <v>44364</v>
      </c>
      <c r="E1797" s="534">
        <v>90</v>
      </c>
      <c r="F1797" s="601">
        <v>0.51769166666666677</v>
      </c>
      <c r="G1797" s="536" t="s">
        <v>701</v>
      </c>
      <c r="H1797">
        <f>10826.63+1351.99</f>
        <v>12178.619999999999</v>
      </c>
    </row>
    <row r="1798" spans="1:8" ht="13.5" customHeight="1">
      <c r="A1798" s="532">
        <v>44278</v>
      </c>
      <c r="B1798" s="615">
        <v>53800</v>
      </c>
      <c r="C1798" s="615">
        <f t="shared" si="178"/>
        <v>60669.27</v>
      </c>
      <c r="D1798" s="532">
        <f t="shared" si="179"/>
        <v>44369</v>
      </c>
      <c r="E1798" s="534">
        <v>91</v>
      </c>
      <c r="F1798" s="601">
        <v>0.51212948854119822</v>
      </c>
      <c r="G1798" s="536" t="s">
        <v>698</v>
      </c>
      <c r="H1798">
        <f>53934.13+6735.14</f>
        <v>60669.27</v>
      </c>
    </row>
    <row r="1799" spans="1:8" ht="13.5" customHeight="1">
      <c r="A1799" s="532">
        <v>44277</v>
      </c>
      <c r="B1799" s="615">
        <v>9000</v>
      </c>
      <c r="C1799" s="615">
        <f t="shared" si="178"/>
        <v>10183.700000000001</v>
      </c>
      <c r="D1799" s="532">
        <f t="shared" si="179"/>
        <v>44369</v>
      </c>
      <c r="E1799" s="534">
        <v>92</v>
      </c>
      <c r="F1799" s="601">
        <v>0.52180012077294691</v>
      </c>
      <c r="G1799" s="536" t="s">
        <v>698</v>
      </c>
      <c r="H1799">
        <f>9022.68+1161.02</f>
        <v>10183.700000000001</v>
      </c>
    </row>
    <row r="1800" spans="1:8" ht="13.5" customHeight="1">
      <c r="A1800" s="532">
        <v>44277</v>
      </c>
      <c r="B1800" s="615">
        <v>20000</v>
      </c>
      <c r="C1800" s="615">
        <f t="shared" si="178"/>
        <v>22630.459999999995</v>
      </c>
      <c r="D1800" s="532">
        <f t="shared" si="179"/>
        <v>44369</v>
      </c>
      <c r="E1800" s="534">
        <v>92</v>
      </c>
      <c r="F1800" s="601">
        <v>0.52180320652173839</v>
      </c>
      <c r="G1800" s="536" t="s">
        <v>686</v>
      </c>
      <c r="H1800">
        <f>20050.41+2580.05</f>
        <v>22630.46</v>
      </c>
    </row>
    <row r="1801" spans="1:8" ht="13.5" customHeight="1">
      <c r="A1801" s="532">
        <v>44277</v>
      </c>
      <c r="B1801" s="615">
        <v>24000</v>
      </c>
      <c r="C1801" s="615">
        <f t="shared" si="178"/>
        <v>27156.55</v>
      </c>
      <c r="D1801" s="532">
        <f t="shared" si="179"/>
        <v>44369</v>
      </c>
      <c r="E1801" s="534">
        <v>92</v>
      </c>
      <c r="F1801" s="601">
        <v>0.52180287590579688</v>
      </c>
      <c r="G1801" s="536" t="s">
        <v>699</v>
      </c>
      <c r="H1801">
        <v>27156.55</v>
      </c>
    </row>
    <row r="1802" spans="1:8" ht="13.5" customHeight="1">
      <c r="A1802" s="532">
        <v>44280</v>
      </c>
      <c r="B1802" s="615">
        <v>22000</v>
      </c>
      <c r="C1802" s="615">
        <f t="shared" si="178"/>
        <v>24888.690000000002</v>
      </c>
      <c r="D1802" s="532">
        <f t="shared" si="179"/>
        <v>44370</v>
      </c>
      <c r="E1802" s="534">
        <v>90</v>
      </c>
      <c r="F1802" s="601">
        <v>0.53251103535353561</v>
      </c>
      <c r="G1802" s="536" t="s">
        <v>686</v>
      </c>
      <c r="H1802">
        <f>22054.25+2834.44</f>
        <v>24888.69</v>
      </c>
    </row>
    <row r="1803" spans="1:8" ht="13.5" customHeight="1">
      <c r="A1803" s="532">
        <v>44280</v>
      </c>
      <c r="B1803" s="615">
        <v>18600</v>
      </c>
      <c r="C1803" s="615">
        <f t="shared" si="178"/>
        <v>21042.239999999998</v>
      </c>
      <c r="D1803" s="532">
        <f t="shared" si="179"/>
        <v>44370</v>
      </c>
      <c r="E1803" s="534">
        <v>90</v>
      </c>
      <c r="F1803" s="601">
        <v>0.53250752688172032</v>
      </c>
      <c r="G1803" s="536" t="s">
        <v>698</v>
      </c>
      <c r="H1803">
        <f>18645.86+2396.38</f>
        <v>21042.240000000002</v>
      </c>
    </row>
    <row r="1804" spans="1:8" ht="13.5" customHeight="1">
      <c r="A1804" s="532">
        <v>44280</v>
      </c>
      <c r="B1804" s="615">
        <v>13000</v>
      </c>
      <c r="C1804" s="615">
        <f t="shared" si="178"/>
        <v>14707.240000000002</v>
      </c>
      <c r="D1804" s="532">
        <f t="shared" si="179"/>
        <v>44370</v>
      </c>
      <c r="E1804" s="534">
        <v>90</v>
      </c>
      <c r="F1804" s="601">
        <v>0.53260051282051324</v>
      </c>
      <c r="G1804" s="536" t="s">
        <v>701</v>
      </c>
      <c r="H1804">
        <f>13032.35+1674.89</f>
        <v>14707.24</v>
      </c>
    </row>
    <row r="1805" spans="1:8" ht="13.5" customHeight="1">
      <c r="A1805" s="532">
        <v>44284</v>
      </c>
      <c r="B1805" s="615">
        <v>23240</v>
      </c>
      <c r="C1805" s="615">
        <f t="shared" si="178"/>
        <v>26284.999999999996</v>
      </c>
      <c r="D1805" s="532">
        <f t="shared" si="179"/>
        <v>44375</v>
      </c>
      <c r="E1805" s="534">
        <v>91</v>
      </c>
      <c r="F1805" s="601">
        <v>0.52553621077717394</v>
      </c>
      <c r="G1805" s="536" t="s">
        <v>681</v>
      </c>
      <c r="H1805">
        <f>26219.57+65.43</f>
        <v>26285</v>
      </c>
    </row>
    <row r="1806" spans="1:8" ht="13.5" customHeight="1">
      <c r="A1806" s="532">
        <v>44284</v>
      </c>
      <c r="B1806" s="615">
        <v>24900</v>
      </c>
      <c r="C1806" s="615">
        <f t="shared" si="178"/>
        <v>28162.52</v>
      </c>
      <c r="D1806" s="532">
        <f t="shared" si="179"/>
        <v>44375</v>
      </c>
      <c r="E1806" s="534">
        <v>91</v>
      </c>
      <c r="F1806" s="601">
        <v>0.52553943245509505</v>
      </c>
      <c r="G1806" s="536" t="s">
        <v>698</v>
      </c>
      <c r="H1806">
        <f>24962.08+3200.44</f>
        <v>28162.52</v>
      </c>
    </row>
    <row r="1807" spans="1:8" ht="13.5" customHeight="1">
      <c r="A1807" s="532">
        <v>44286</v>
      </c>
      <c r="B1807" s="615">
        <v>4700</v>
      </c>
      <c r="C1807" s="615">
        <f t="shared" si="178"/>
        <v>5309.7</v>
      </c>
      <c r="D1807" s="532">
        <f t="shared" si="179"/>
        <v>44376</v>
      </c>
      <c r="E1807" s="534">
        <v>90</v>
      </c>
      <c r="F1807" s="601">
        <v>0.52610047281323857</v>
      </c>
      <c r="G1807" s="536" t="s">
        <v>698</v>
      </c>
      <c r="H1807">
        <f>4711.59+598.11</f>
        <v>5309.7</v>
      </c>
    </row>
    <row r="1808" spans="1:8" ht="13.5" customHeight="1">
      <c r="A1808" s="532">
        <v>44286</v>
      </c>
      <c r="B1808" s="615">
        <v>76450</v>
      </c>
      <c r="C1808" s="615">
        <f t="shared" si="178"/>
        <v>86367.50999999998</v>
      </c>
      <c r="D1808" s="532">
        <f t="shared" si="179"/>
        <v>44376</v>
      </c>
      <c r="E1808" s="534">
        <v>90</v>
      </c>
      <c r="F1808" s="601">
        <v>0.52610873483031695</v>
      </c>
      <c r="G1808" s="536" t="s">
        <v>699</v>
      </c>
      <c r="H1808">
        <v>86367.51</v>
      </c>
    </row>
    <row r="1809" spans="1:21" ht="13.5" customHeight="1">
      <c r="A1809" s="532">
        <v>44286</v>
      </c>
      <c r="B1809" s="615">
        <v>15000</v>
      </c>
      <c r="C1809" s="615">
        <f t="shared" si="178"/>
        <v>16945.88</v>
      </c>
      <c r="D1809" s="532">
        <f t="shared" si="179"/>
        <v>44376</v>
      </c>
      <c r="E1809" s="534">
        <v>90</v>
      </c>
      <c r="F1809" s="601">
        <v>0.5261082962962963</v>
      </c>
      <c r="G1809" s="536" t="s">
        <v>686</v>
      </c>
      <c r="H1809">
        <f>15036.99+1908.89</f>
        <v>16945.88</v>
      </c>
    </row>
    <row r="1810" spans="1:21" ht="13.5" customHeight="1">
      <c r="A1810" s="532">
        <v>44291</v>
      </c>
      <c r="B1810" s="615">
        <v>50000</v>
      </c>
      <c r="C1810" s="615">
        <f t="shared" si="178"/>
        <v>56660.84</v>
      </c>
      <c r="D1810" s="532">
        <f t="shared" si="179"/>
        <v>44382</v>
      </c>
      <c r="E1810" s="534">
        <v>91</v>
      </c>
      <c r="F1810" s="601">
        <v>0.53433112087912071</v>
      </c>
      <c r="G1810" s="536" t="s">
        <v>686</v>
      </c>
      <c r="H1810">
        <f>50124.66+6536.18</f>
        <v>56660.840000000004</v>
      </c>
      <c r="U1810">
        <v>49314</v>
      </c>
    </row>
    <row r="1811" spans="1:21" ht="13.5" customHeight="1">
      <c r="A1811" s="532">
        <v>44299</v>
      </c>
      <c r="B1811" s="615">
        <v>23840</v>
      </c>
      <c r="C1811" s="615">
        <f t="shared" si="178"/>
        <v>26823.06</v>
      </c>
      <c r="D1811" s="532">
        <f t="shared" si="179"/>
        <v>44389</v>
      </c>
      <c r="E1811" s="534">
        <v>90</v>
      </c>
      <c r="F1811" s="601">
        <v>0.50746499813571966</v>
      </c>
      <c r="G1811" s="536" t="s">
        <v>681</v>
      </c>
      <c r="H1811">
        <f>26756.7+66.36</f>
        <v>26823.06</v>
      </c>
    </row>
    <row r="1812" spans="1:21" ht="13.5" customHeight="1">
      <c r="A1812" s="532">
        <v>44299</v>
      </c>
      <c r="B1812" s="615">
        <v>10000</v>
      </c>
      <c r="C1812" s="615">
        <f t="shared" si="178"/>
        <v>11250.96</v>
      </c>
      <c r="D1812" s="532">
        <f t="shared" si="179"/>
        <v>44389</v>
      </c>
      <c r="E1812" s="534">
        <v>90</v>
      </c>
      <c r="F1812" s="601">
        <v>0.50733377777777755</v>
      </c>
      <c r="G1812" s="536" t="s">
        <v>699</v>
      </c>
      <c r="H1812">
        <v>11250.96</v>
      </c>
    </row>
    <row r="1813" spans="1:21" ht="13.5" customHeight="1">
      <c r="A1813" s="532">
        <v>44298</v>
      </c>
      <c r="B1813" s="615">
        <v>23840</v>
      </c>
      <c r="C1813" s="615">
        <f t="shared" si="178"/>
        <v>26915.200000000001</v>
      </c>
      <c r="D1813" s="532">
        <f t="shared" si="179"/>
        <v>44389</v>
      </c>
      <c r="E1813" s="534">
        <v>91</v>
      </c>
      <c r="F1813" s="601">
        <v>0.51739066302824699</v>
      </c>
      <c r="G1813" s="536" t="s">
        <v>699</v>
      </c>
      <c r="H1813">
        <v>26915.200000000001</v>
      </c>
    </row>
    <row r="1814" spans="1:21" ht="13.5" customHeight="1">
      <c r="A1814" s="532">
        <v>44299</v>
      </c>
      <c r="B1814" s="615">
        <v>10000</v>
      </c>
      <c r="C1814" s="615">
        <f t="shared" si="178"/>
        <v>11250.96</v>
      </c>
      <c r="D1814" s="532">
        <f t="shared" si="179"/>
        <v>44389</v>
      </c>
      <c r="E1814" s="534">
        <v>90</v>
      </c>
      <c r="F1814" s="601">
        <v>0.50733377777777744</v>
      </c>
      <c r="G1814" s="536" t="s">
        <v>698</v>
      </c>
      <c r="H1814">
        <f>10024.66+1226.3</f>
        <v>11250.96</v>
      </c>
    </row>
    <row r="1815" spans="1:21" ht="13.5" customHeight="1">
      <c r="A1815" s="532">
        <v>44300</v>
      </c>
      <c r="B1815" s="615">
        <v>15100</v>
      </c>
      <c r="C1815" s="615">
        <f t="shared" si="178"/>
        <v>17042.850000000002</v>
      </c>
      <c r="D1815" s="532">
        <f t="shared" si="179"/>
        <v>44390</v>
      </c>
      <c r="E1815" s="534">
        <v>90</v>
      </c>
      <c r="F1815" s="601">
        <v>0.52181033848417968</v>
      </c>
      <c r="G1815" s="536" t="s">
        <v>698</v>
      </c>
      <c r="H1815">
        <f>15137.23+1905.62</f>
        <v>17042.849999999999</v>
      </c>
    </row>
    <row r="1816" spans="1:21" ht="13.5" customHeight="1">
      <c r="A1816" s="532">
        <v>44300</v>
      </c>
      <c r="B1816" s="615">
        <v>35700</v>
      </c>
      <c r="C1816" s="615">
        <f t="shared" si="178"/>
        <v>40293.360000000001</v>
      </c>
      <c r="D1816" s="532">
        <f t="shared" si="179"/>
        <v>44390</v>
      </c>
      <c r="E1816" s="534">
        <v>90</v>
      </c>
      <c r="F1816" s="601">
        <v>0.52181027077497677</v>
      </c>
      <c r="G1816" s="536" t="s">
        <v>701</v>
      </c>
      <c r="H1816">
        <f>35788.03+4505.33</f>
        <v>40293.360000000001</v>
      </c>
    </row>
    <row r="1817" spans="1:21" ht="13.5" customHeight="1">
      <c r="A1817" s="532">
        <v>44301</v>
      </c>
      <c r="B1817" s="615">
        <v>31230</v>
      </c>
      <c r="C1817" s="615">
        <f t="shared" si="178"/>
        <v>35243.380000000005</v>
      </c>
      <c r="D1817" s="532">
        <f t="shared" si="179"/>
        <v>44391</v>
      </c>
      <c r="E1817" s="534">
        <v>90</v>
      </c>
      <c r="F1817" s="601">
        <v>0.52118109367773169</v>
      </c>
      <c r="G1817" s="536" t="s">
        <v>699</v>
      </c>
      <c r="H1817">
        <v>35243.379999999997</v>
      </c>
    </row>
    <row r="1818" spans="1:21" ht="13.5" customHeight="1">
      <c r="A1818" s="532">
        <v>44301</v>
      </c>
      <c r="B1818" s="615">
        <v>60000</v>
      </c>
      <c r="C1818" s="615">
        <f t="shared" ref="A1818:C1818" si="180">B1818+(B1818*F1818/365*E1818)*1</f>
        <v>67710.62</v>
      </c>
      <c r="D1818" s="532">
        <f t="shared" ref="A1818:D1818" si="181">+A1818+E1818</f>
        <v>44391</v>
      </c>
      <c r="E1818" s="534">
        <v>90</v>
      </c>
      <c r="F1818" s="601">
        <v>0.52118079629629577</v>
      </c>
      <c r="G1818" s="536" t="s">
        <v>686</v>
      </c>
      <c r="H1818">
        <f>60147.95+7562.67</f>
        <v>67710.62</v>
      </c>
    </row>
    <row r="1819" spans="1:21" ht="13.5" customHeight="1">
      <c r="A1819" s="532">
        <v>44305</v>
      </c>
      <c r="B1819" s="615">
        <v>33000</v>
      </c>
      <c r="C1819" s="615">
        <f t="shared" ref="A1819:C1824" si="182">B1819+(B1819*F1819/365*E1819)*1</f>
        <v>37262.650000000009</v>
      </c>
      <c r="D1819" s="532">
        <f t="shared" ref="A1819:D1824" si="183">+A1819+E1819</f>
        <v>44396</v>
      </c>
      <c r="E1819" s="534">
        <v>91</v>
      </c>
      <c r="F1819" s="601">
        <v>0.5181043123543132</v>
      </c>
      <c r="G1819" s="536" t="s">
        <v>686</v>
      </c>
      <c r="H1819">
        <f>33082.27+4180.38</f>
        <v>37262.649999999994</v>
      </c>
      <c r="I1819">
        <f>+C1819-H1819</f>
        <v>0</v>
      </c>
    </row>
    <row r="1820" spans="1:21" ht="13.5" customHeight="1">
      <c r="A1820" s="532">
        <v>44305</v>
      </c>
      <c r="B1820" s="615">
        <v>150000</v>
      </c>
      <c r="C1820" s="615">
        <f t="shared" si="182"/>
        <v>169375.7</v>
      </c>
      <c r="D1820" s="532">
        <f t="shared" si="183"/>
        <v>44396</v>
      </c>
      <c r="E1820" s="534">
        <v>91</v>
      </c>
      <c r="F1820" s="601">
        <v>0.51810479853479874</v>
      </c>
      <c r="G1820" s="536" t="s">
        <v>686</v>
      </c>
      <c r="H1820">
        <f>150373.97+19001.73</f>
        <v>169375.7</v>
      </c>
      <c r="I1820">
        <f t="shared" ref="A1820:I1824" si="184">+C1820-H1820</f>
        <v>0</v>
      </c>
    </row>
    <row r="1821" spans="1:21" ht="13.5" customHeight="1">
      <c r="A1821" s="532">
        <v>44305</v>
      </c>
      <c r="B1821" s="615">
        <v>21250</v>
      </c>
      <c r="C1821" s="615">
        <f t="shared" si="182"/>
        <v>23994.880000000001</v>
      </c>
      <c r="D1821" s="532">
        <f t="shared" si="183"/>
        <v>44396</v>
      </c>
      <c r="E1821" s="534">
        <v>91</v>
      </c>
      <c r="F1821" s="601">
        <v>0.51810275371687131</v>
      </c>
      <c r="G1821" s="536" t="s">
        <v>698</v>
      </c>
      <c r="H1821">
        <f>21302.98+2691.9</f>
        <v>23994.880000000001</v>
      </c>
      <c r="I1821">
        <f t="shared" si="184"/>
        <v>0</v>
      </c>
    </row>
    <row r="1822" spans="1:21" ht="13.5" customHeight="1">
      <c r="A1822" s="532">
        <v>44306</v>
      </c>
      <c r="B1822" s="615">
        <v>32460</v>
      </c>
      <c r="C1822" s="615">
        <f t="shared" si="182"/>
        <v>36477.87000000001</v>
      </c>
      <c r="D1822" s="532">
        <f t="shared" si="183"/>
        <v>44396</v>
      </c>
      <c r="E1822" s="534">
        <v>90</v>
      </c>
      <c r="F1822" s="601">
        <v>0.50199306839186819</v>
      </c>
      <c r="G1822" s="536" t="s">
        <v>698</v>
      </c>
      <c r="H1822">
        <f>32540.04+3937.83</f>
        <v>36477.870000000003</v>
      </c>
      <c r="I1822">
        <f t="shared" si="184"/>
        <v>0</v>
      </c>
    </row>
    <row r="1823" spans="1:21" ht="13.5" customHeight="1">
      <c r="A1823" s="532">
        <v>44305</v>
      </c>
      <c r="B1823" s="615">
        <v>37320</v>
      </c>
      <c r="C1823" s="615">
        <f t="shared" si="182"/>
        <v>42140.669636363644</v>
      </c>
      <c r="D1823" s="532">
        <f t="shared" si="183"/>
        <v>44396</v>
      </c>
      <c r="E1823" s="534">
        <v>91</v>
      </c>
      <c r="F1823" s="601">
        <v>0.5181043123543132</v>
      </c>
      <c r="G1823" s="536" t="s">
        <v>699</v>
      </c>
      <c r="H1823">
        <v>42140.67</v>
      </c>
      <c r="I1823">
        <f t="shared" si="184"/>
        <v>-3.6363635445013642E-4</v>
      </c>
    </row>
    <row r="1824" spans="1:21" ht="13.5" customHeight="1">
      <c r="A1824" s="532">
        <v>44306</v>
      </c>
      <c r="B1824" s="615">
        <v>21450</v>
      </c>
      <c r="C1824" s="615">
        <f t="shared" si="182"/>
        <v>24105.060000000005</v>
      </c>
      <c r="D1824" s="532">
        <f t="shared" si="183"/>
        <v>44396</v>
      </c>
      <c r="E1824" s="534">
        <v>90</v>
      </c>
      <c r="F1824" s="601">
        <v>0.50199269619269682</v>
      </c>
      <c r="G1824" s="536" t="s">
        <v>699</v>
      </c>
      <c r="H1824">
        <v>24105.06</v>
      </c>
      <c r="I1824">
        <f t="shared" si="184"/>
        <v>0</v>
      </c>
    </row>
    <row r="1825" spans="1:21" ht="13.5" customHeight="1">
      <c r="A1825" s="532">
        <v>44308</v>
      </c>
      <c r="B1825" s="615">
        <v>36200</v>
      </c>
      <c r="C1825" s="615">
        <f t="shared" ref="A1825:C1831" si="185">B1825+(B1825*F1825/365*E1825)*1</f>
        <v>40721.120000000003</v>
      </c>
      <c r="D1825" s="532">
        <f t="shared" ref="A1825:D1831" si="186">+A1825+E1825</f>
        <v>44398</v>
      </c>
      <c r="E1825" s="534">
        <v>90</v>
      </c>
      <c r="F1825" s="601">
        <v>0.50650976058931863</v>
      </c>
      <c r="G1825" s="536" t="s">
        <v>698</v>
      </c>
      <c r="H1825">
        <f>36289.26+4431.86</f>
        <v>40721.120000000003</v>
      </c>
    </row>
    <row r="1826" spans="1:21" ht="13.5" customHeight="1">
      <c r="A1826" s="532">
        <v>44313</v>
      </c>
      <c r="B1826" s="615">
        <v>47000</v>
      </c>
      <c r="C1826" s="615">
        <f t="shared" si="185"/>
        <v>52616.670000000006</v>
      </c>
      <c r="D1826" s="532">
        <f t="shared" si="186"/>
        <v>44403</v>
      </c>
      <c r="E1826" s="534">
        <v>90</v>
      </c>
      <c r="F1826" s="601">
        <v>0.48465355791962239</v>
      </c>
      <c r="G1826" s="536" t="s">
        <v>687</v>
      </c>
      <c r="H1826">
        <v>52616.67</v>
      </c>
    </row>
    <row r="1827" spans="1:21" ht="13.5" customHeight="1">
      <c r="A1827" s="532">
        <v>44314</v>
      </c>
      <c r="B1827" s="615">
        <v>37200</v>
      </c>
      <c r="C1827" s="615">
        <f t="shared" si="185"/>
        <v>41708.370000000003</v>
      </c>
      <c r="D1827" s="532">
        <f t="shared" si="186"/>
        <v>44404</v>
      </c>
      <c r="E1827" s="534">
        <v>90</v>
      </c>
      <c r="F1827" s="601">
        <v>0.49150389784946236</v>
      </c>
      <c r="G1827" s="536" t="s">
        <v>698</v>
      </c>
      <c r="H1827">
        <f>37291.73+4416.64</f>
        <v>41708.370000000003</v>
      </c>
    </row>
    <row r="1828" spans="1:21" ht="13.5" customHeight="1">
      <c r="A1828" s="532">
        <v>44314</v>
      </c>
      <c r="B1828" s="615">
        <v>21420</v>
      </c>
      <c r="C1828" s="615">
        <f t="shared" si="185"/>
        <v>24015.95</v>
      </c>
      <c r="D1828" s="532">
        <f t="shared" si="186"/>
        <v>44404</v>
      </c>
      <c r="E1828" s="534">
        <v>90</v>
      </c>
      <c r="F1828" s="601">
        <v>0.49150417574437189</v>
      </c>
      <c r="G1828" s="536" t="s">
        <v>699</v>
      </c>
      <c r="H1828">
        <v>24015.95</v>
      </c>
    </row>
    <row r="1829" spans="1:21" ht="13.5" customHeight="1">
      <c r="A1829" s="532">
        <v>44314</v>
      </c>
      <c r="B1829" s="615">
        <v>58000</v>
      </c>
      <c r="C1829" s="615">
        <f t="shared" si="185"/>
        <v>65029.25</v>
      </c>
      <c r="D1829" s="532">
        <f t="shared" si="186"/>
        <v>44404</v>
      </c>
      <c r="E1829" s="534">
        <v>90</v>
      </c>
      <c r="F1829" s="601">
        <v>0.49150886015325651</v>
      </c>
      <c r="G1829" s="536" t="s">
        <v>700</v>
      </c>
      <c r="H1829">
        <v>65029.25</v>
      </c>
    </row>
    <row r="1830" spans="1:21" ht="13.5" customHeight="1">
      <c r="A1830" s="532">
        <v>44315</v>
      </c>
      <c r="B1830" s="615">
        <v>60000</v>
      </c>
      <c r="C1830" s="615">
        <f t="shared" si="185"/>
        <v>67236.960000000006</v>
      </c>
      <c r="D1830" s="532">
        <f t="shared" si="186"/>
        <v>44405</v>
      </c>
      <c r="E1830" s="534">
        <v>90</v>
      </c>
      <c r="F1830" s="601">
        <v>0.4891648888888892</v>
      </c>
      <c r="G1830" s="536" t="s">
        <v>686</v>
      </c>
      <c r="H1830">
        <f>60147.95+7089.01</f>
        <v>67236.959999999992</v>
      </c>
      <c r="U1830">
        <v>49314</v>
      </c>
    </row>
    <row r="1831" spans="1:21" ht="13.5" customHeight="1">
      <c r="A1831" s="532">
        <v>44315</v>
      </c>
      <c r="B1831" s="615">
        <v>89990</v>
      </c>
      <c r="C1831" s="615">
        <f t="shared" si="185"/>
        <v>100844.21</v>
      </c>
      <c r="D1831" s="532">
        <f t="shared" si="186"/>
        <v>44405</v>
      </c>
      <c r="E1831" s="534">
        <v>90</v>
      </c>
      <c r="F1831" s="601">
        <v>0.48916381449790752</v>
      </c>
      <c r="G1831" s="536" t="s">
        <v>698</v>
      </c>
      <c r="H1831">
        <f>90211.89+10632.32</f>
        <v>100844.20999999999</v>
      </c>
      <c r="U1831">
        <v>49314</v>
      </c>
    </row>
    <row r="1832" spans="1:21" ht="13.5" customHeight="1">
      <c r="A1832" s="532">
        <v>44315</v>
      </c>
      <c r="B1832" s="615">
        <v>116000</v>
      </c>
      <c r="C1832" s="615">
        <f t="shared" ref="A1832:C1832" si="187">B1832+(B1832*F1832/365*E1832)*1</f>
        <v>129991.79</v>
      </c>
      <c r="D1832" s="532">
        <f t="shared" ref="A1832:D1832" si="188">+A1832+E1832</f>
        <v>44405</v>
      </c>
      <c r="E1832" s="534">
        <v>90</v>
      </c>
      <c r="F1832" s="601">
        <v>0.4891765660919537</v>
      </c>
      <c r="G1832" s="536" t="s">
        <v>120</v>
      </c>
      <c r="H1832">
        <v>129991.79</v>
      </c>
    </row>
    <row r="1833" spans="1:21" ht="13.5" customHeight="1">
      <c r="A1833" s="532">
        <v>44319</v>
      </c>
      <c r="B1833" s="615">
        <v>30000</v>
      </c>
      <c r="C1833" s="615">
        <f t="shared" ref="A1833:C1839" si="189">B1833+(B1833*F1833/365*E1833)*1</f>
        <v>33616.069999999992</v>
      </c>
      <c r="D1833" s="532">
        <f t="shared" ref="A1833:D1839" si="190">+A1833+E1833</f>
        <v>44410</v>
      </c>
      <c r="E1833" s="534">
        <v>91</v>
      </c>
      <c r="F1833" s="601">
        <v>0.48346723443223294</v>
      </c>
      <c r="G1833" s="536" t="s">
        <v>686</v>
      </c>
      <c r="H1833">
        <f>30074.79+3541.28</f>
        <v>33616.07</v>
      </c>
    </row>
    <row r="1834" spans="1:21" ht="13.5" customHeight="1">
      <c r="A1834" s="532">
        <v>44319</v>
      </c>
      <c r="B1834" s="615">
        <v>8400</v>
      </c>
      <c r="C1834" s="615">
        <f t="shared" si="189"/>
        <v>9412.4999999999982</v>
      </c>
      <c r="D1834" s="532">
        <f t="shared" si="190"/>
        <v>44410</v>
      </c>
      <c r="E1834" s="534">
        <v>91</v>
      </c>
      <c r="F1834" s="601">
        <v>0.48346742543171006</v>
      </c>
      <c r="G1834" s="536" t="s">
        <v>698</v>
      </c>
      <c r="H1834">
        <f>8420.94+991.56</f>
        <v>9412.5</v>
      </c>
    </row>
    <row r="1835" spans="1:21" ht="13.5" customHeight="1">
      <c r="A1835" s="532">
        <v>44320</v>
      </c>
      <c r="B1835" s="615">
        <v>100000</v>
      </c>
      <c r="C1835" s="615">
        <f t="shared" si="189"/>
        <v>111529.96999999999</v>
      </c>
      <c r="D1835" s="532">
        <f t="shared" si="190"/>
        <v>44410</v>
      </c>
      <c r="E1835" s="534">
        <v>90</v>
      </c>
      <c r="F1835" s="601">
        <v>0.46760433888888814</v>
      </c>
      <c r="G1835" s="536" t="s">
        <v>686</v>
      </c>
      <c r="H1835">
        <f>100246.58+11283.39</f>
        <v>111529.97</v>
      </c>
    </row>
    <row r="1836" spans="1:21" ht="13.5" customHeight="1">
      <c r="A1836" s="532">
        <v>44320</v>
      </c>
      <c r="B1836" s="615">
        <v>65900</v>
      </c>
      <c r="C1836" s="615">
        <f t="shared" si="189"/>
        <v>73498.240000000005</v>
      </c>
      <c r="D1836" s="532">
        <f t="shared" si="190"/>
        <v>44410</v>
      </c>
      <c r="E1836" s="534">
        <v>90</v>
      </c>
      <c r="F1836" s="601">
        <v>0.46760370932389189</v>
      </c>
      <c r="G1836" s="536" t="s">
        <v>698</v>
      </c>
      <c r="H1836">
        <f>66062.49+7435.75</f>
        <v>73498.240000000005</v>
      </c>
    </row>
    <row r="1837" spans="1:21" ht="13.5" customHeight="1">
      <c r="A1837" s="532">
        <v>44320</v>
      </c>
      <c r="B1837" s="615">
        <v>9000</v>
      </c>
      <c r="C1837" s="615">
        <f t="shared" si="189"/>
        <v>10037.69</v>
      </c>
      <c r="D1837" s="532">
        <f t="shared" si="190"/>
        <v>44410</v>
      </c>
      <c r="E1837" s="534">
        <v>90</v>
      </c>
      <c r="F1837" s="601">
        <v>0.46760104938271629</v>
      </c>
      <c r="G1837" s="536" t="s">
        <v>701</v>
      </c>
      <c r="H1837">
        <f>9022.19+1015.5</f>
        <v>10037.69</v>
      </c>
    </row>
    <row r="1838" spans="1:21" ht="13.5" customHeight="1">
      <c r="A1838" s="532">
        <v>44319</v>
      </c>
      <c r="B1838" s="615">
        <v>100000</v>
      </c>
      <c r="C1838" s="615">
        <f t="shared" si="189"/>
        <v>112053.10000000002</v>
      </c>
      <c r="D1838" s="532">
        <f t="shared" si="190"/>
        <v>44410</v>
      </c>
      <c r="E1838" s="534">
        <v>91</v>
      </c>
      <c r="F1838" s="601">
        <v>0.48344851648351739</v>
      </c>
      <c r="G1838" s="536" t="s">
        <v>700</v>
      </c>
      <c r="H1838">
        <v>112053.1</v>
      </c>
    </row>
    <row r="1839" spans="1:21" ht="13.5" customHeight="1">
      <c r="A1839" s="532">
        <v>44321</v>
      </c>
      <c r="B1839" s="615">
        <v>35000</v>
      </c>
      <c r="C1839" s="615">
        <f t="shared" si="189"/>
        <v>39089.649999999994</v>
      </c>
      <c r="D1839" s="532">
        <f t="shared" si="190"/>
        <v>44411</v>
      </c>
      <c r="E1839" s="534">
        <v>90</v>
      </c>
      <c r="F1839" s="601">
        <v>0.47388007936507875</v>
      </c>
      <c r="G1839" s="536" t="s">
        <v>686</v>
      </c>
      <c r="H1839">
        <f>35086.3+4003.35</f>
        <v>39089.65</v>
      </c>
    </row>
    <row r="1840" spans="1:21" ht="13.5" customHeight="1">
      <c r="A1840" s="532">
        <v>44322</v>
      </c>
      <c r="B1840" s="615">
        <v>70000</v>
      </c>
      <c r="C1840" s="615">
        <f t="shared" ref="A1840:C1846" si="191">B1840+(B1840*F1840/365*E1840)*1</f>
        <v>78138.729999999981</v>
      </c>
      <c r="D1840" s="532">
        <f t="shared" ref="A1840:D1846" si="192">+A1840+E1840</f>
        <v>44412</v>
      </c>
      <c r="E1840" s="534">
        <v>90</v>
      </c>
      <c r="F1840" s="601">
        <v>0.47152959523809423</v>
      </c>
      <c r="G1840" s="536" t="s">
        <v>686</v>
      </c>
      <c r="H1840">
        <f>70172.6+7966.13</f>
        <v>78138.73000000001</v>
      </c>
    </row>
    <row r="1841" spans="1:8" ht="13.5" customHeight="1">
      <c r="A1841" s="532">
        <v>44327</v>
      </c>
      <c r="B1841" s="615">
        <v>215000</v>
      </c>
      <c r="C1841" s="615">
        <f t="shared" si="191"/>
        <v>238874.27999999997</v>
      </c>
      <c r="D1841" s="532">
        <f t="shared" si="192"/>
        <v>44417</v>
      </c>
      <c r="E1841" s="534">
        <v>90</v>
      </c>
      <c r="F1841" s="601">
        <v>0.45034171576227361</v>
      </c>
      <c r="G1841" s="536" t="s">
        <v>686</v>
      </c>
      <c r="H1841">
        <f>215530.14+23344.14</f>
        <v>238874.28000000003</v>
      </c>
    </row>
    <row r="1842" spans="1:8" ht="13.5" customHeight="1">
      <c r="A1842" s="532">
        <v>44326</v>
      </c>
      <c r="B1842" s="615">
        <v>38490</v>
      </c>
      <c r="C1842" s="615">
        <f t="shared" si="191"/>
        <v>42968.3</v>
      </c>
      <c r="D1842" s="532">
        <f t="shared" si="192"/>
        <v>44417</v>
      </c>
      <c r="E1842" s="534">
        <v>91</v>
      </c>
      <c r="F1842" s="601">
        <v>0.46667737302967227</v>
      </c>
      <c r="G1842" s="536" t="s">
        <v>699</v>
      </c>
      <c r="H1842">
        <v>42968.3</v>
      </c>
    </row>
    <row r="1843" spans="1:8" ht="13.5" customHeight="1">
      <c r="A1843" s="532">
        <v>44327</v>
      </c>
      <c r="B1843" s="615">
        <v>175700</v>
      </c>
      <c r="C1843" s="615">
        <f t="shared" si="191"/>
        <v>195210.27</v>
      </c>
      <c r="D1843" s="532">
        <f t="shared" si="192"/>
        <v>44417</v>
      </c>
      <c r="E1843" s="534">
        <v>90</v>
      </c>
      <c r="F1843" s="601">
        <v>0.45034139948143892</v>
      </c>
      <c r="G1843" s="536" t="s">
        <v>695</v>
      </c>
      <c r="H1843">
        <f>176133.23+19077.04</f>
        <v>195210.27000000002</v>
      </c>
    </row>
    <row r="1844" spans="1:8" ht="13.5" customHeight="1">
      <c r="A1844" s="532">
        <v>44327</v>
      </c>
      <c r="B1844" s="615">
        <v>20400</v>
      </c>
      <c r="C1844" s="615">
        <f t="shared" si="191"/>
        <v>22665.279999999995</v>
      </c>
      <c r="D1844" s="532">
        <f t="shared" si="192"/>
        <v>44417</v>
      </c>
      <c r="E1844" s="534">
        <v>90</v>
      </c>
      <c r="F1844" s="601">
        <v>0.45034161220043478</v>
      </c>
      <c r="G1844" s="536" t="s">
        <v>701</v>
      </c>
      <c r="H1844">
        <f>20450.3+2214.98</f>
        <v>22665.279999999999</v>
      </c>
    </row>
    <row r="1845" spans="1:8" ht="13.5" customHeight="1">
      <c r="A1845" s="532">
        <v>44326</v>
      </c>
      <c r="B1845" s="615">
        <v>120000</v>
      </c>
      <c r="C1845" s="615">
        <f t="shared" si="191"/>
        <v>133961.87999999998</v>
      </c>
      <c r="D1845" s="532">
        <f t="shared" si="192"/>
        <v>44417</v>
      </c>
      <c r="E1845" s="534">
        <v>91</v>
      </c>
      <c r="F1845" s="601">
        <v>0.46667456043955935</v>
      </c>
      <c r="G1845" s="536" t="s">
        <v>687</v>
      </c>
      <c r="H1845">
        <v>133961.88</v>
      </c>
    </row>
    <row r="1846" spans="1:8" ht="13.5" customHeight="1">
      <c r="A1846" s="532">
        <v>44326</v>
      </c>
      <c r="B1846" s="615">
        <v>20000</v>
      </c>
      <c r="C1846" s="615">
        <f t="shared" si="191"/>
        <v>22327.89</v>
      </c>
      <c r="D1846" s="532">
        <f t="shared" si="192"/>
        <v>44417</v>
      </c>
      <c r="E1846" s="534">
        <v>91</v>
      </c>
      <c r="F1846" s="601">
        <v>0.46685706043956005</v>
      </c>
      <c r="G1846" s="536" t="s">
        <v>687</v>
      </c>
      <c r="H1846">
        <v>22327.89</v>
      </c>
    </row>
    <row r="1847" spans="1:8" ht="13.5" customHeight="1">
      <c r="A1847" s="532">
        <v>44330</v>
      </c>
      <c r="B1847" s="615">
        <v>6000</v>
      </c>
      <c r="C1847" s="615">
        <f t="shared" ref="A1847:C1852" si="193">B1847+(B1847*F1847/365*E1847)*1</f>
        <v>6668.6899999999987</v>
      </c>
      <c r="D1847" s="532">
        <f t="shared" ref="A1847:D1852" si="194">+A1847+E1847</f>
        <v>44420</v>
      </c>
      <c r="E1847" s="534">
        <v>90</v>
      </c>
      <c r="F1847" s="601">
        <v>0.45198490740740682</v>
      </c>
      <c r="G1847" s="536" t="s">
        <v>686</v>
      </c>
      <c r="H1847">
        <f>6014.79+653.9</f>
        <v>6668.69</v>
      </c>
    </row>
    <row r="1848" spans="1:8" ht="13.5" customHeight="1">
      <c r="A1848" s="532">
        <v>44330</v>
      </c>
      <c r="B1848" s="615">
        <v>46200</v>
      </c>
      <c r="C1848" s="615">
        <f t="shared" si="193"/>
        <v>51348.95</v>
      </c>
      <c r="D1848" s="532">
        <f t="shared" si="194"/>
        <v>44420</v>
      </c>
      <c r="E1848" s="534">
        <v>90</v>
      </c>
      <c r="F1848" s="601">
        <v>0.45198815536315506</v>
      </c>
      <c r="G1848" s="536" t="s">
        <v>695</v>
      </c>
      <c r="H1848">
        <f>46313.92+5035.03</f>
        <v>51348.95</v>
      </c>
    </row>
    <row r="1849" spans="1:8" ht="13.5" customHeight="1">
      <c r="A1849" s="532">
        <v>44330</v>
      </c>
      <c r="B1849" s="615">
        <v>35000</v>
      </c>
      <c r="C1849" s="615">
        <f t="shared" si="193"/>
        <v>38900.719999999994</v>
      </c>
      <c r="D1849" s="532">
        <f t="shared" si="194"/>
        <v>44420</v>
      </c>
      <c r="E1849" s="534">
        <v>90</v>
      </c>
      <c r="F1849" s="601">
        <v>0.45198819047618999</v>
      </c>
      <c r="G1849" s="536" t="s">
        <v>701</v>
      </c>
      <c r="H1849">
        <f>35086.3+3814.42</f>
        <v>38900.720000000001</v>
      </c>
    </row>
    <row r="1850" spans="1:8" ht="13.5" customHeight="1">
      <c r="A1850" s="532">
        <v>44334</v>
      </c>
      <c r="B1850" s="615">
        <v>50950</v>
      </c>
      <c r="C1850" s="615">
        <f t="shared" si="193"/>
        <v>56418.98</v>
      </c>
      <c r="D1850" s="532">
        <f t="shared" si="194"/>
        <v>44425</v>
      </c>
      <c r="E1850" s="534">
        <v>91</v>
      </c>
      <c r="F1850" s="601">
        <v>0.43054011150772697</v>
      </c>
      <c r="G1850" s="536" t="s">
        <v>699</v>
      </c>
      <c r="H1850">
        <v>56418.98</v>
      </c>
    </row>
    <row r="1851" spans="1:8" ht="13.5" customHeight="1">
      <c r="A1851" s="532">
        <v>44334</v>
      </c>
      <c r="B1851" s="615">
        <v>240000</v>
      </c>
      <c r="C1851" s="615">
        <f t="shared" si="193"/>
        <v>265761.61999999994</v>
      </c>
      <c r="D1851" s="532">
        <f t="shared" si="194"/>
        <v>44425</v>
      </c>
      <c r="E1851" s="534">
        <v>91</v>
      </c>
      <c r="F1851" s="601">
        <v>0.4305398946886439</v>
      </c>
      <c r="G1851" s="536" t="s">
        <v>686</v>
      </c>
      <c r="H1851">
        <f>240598.36+25163.26</f>
        <v>265761.62</v>
      </c>
    </row>
    <row r="1852" spans="1:8" ht="13.5" customHeight="1">
      <c r="A1852" s="532">
        <v>44333</v>
      </c>
      <c r="B1852" s="615">
        <v>10000</v>
      </c>
      <c r="C1852" s="615">
        <f t="shared" si="193"/>
        <v>11119.93</v>
      </c>
      <c r="D1852" s="532">
        <f t="shared" si="194"/>
        <v>44425</v>
      </c>
      <c r="E1852" s="534">
        <v>92</v>
      </c>
      <c r="F1852" s="601">
        <v>0.44432005434782657</v>
      </c>
      <c r="G1852" s="536" t="s">
        <v>701</v>
      </c>
      <c r="H1852">
        <f>10025.21+1094.72</f>
        <v>11119.929999999998</v>
      </c>
    </row>
    <row r="1853" spans="1:8" ht="13.5" customHeight="1">
      <c r="A1853" s="532">
        <v>44335</v>
      </c>
      <c r="B1853" s="615">
        <v>14750</v>
      </c>
      <c r="C1853" s="615">
        <f t="shared" ref="A1853:C1859" si="195">B1853+(B1853*F1853/365*E1853)*1</f>
        <v>16313.739999999998</v>
      </c>
      <c r="D1853" s="532">
        <f t="shared" ref="A1853:D1859" si="196">+A1853+E1853</f>
        <v>44425</v>
      </c>
      <c r="E1853" s="534">
        <v>90</v>
      </c>
      <c r="F1853" s="601">
        <v>0.42995487758945344</v>
      </c>
      <c r="G1853" s="536" t="s">
        <v>698</v>
      </c>
      <c r="H1853">
        <f>14786.37+1527.37</f>
        <v>16313.740000000002</v>
      </c>
    </row>
    <row r="1854" spans="1:8" ht="13.5" customHeight="1">
      <c r="A1854" s="532">
        <v>44336</v>
      </c>
      <c r="B1854" s="615">
        <v>38400</v>
      </c>
      <c r="C1854" s="615">
        <f t="shared" si="195"/>
        <v>42580.63</v>
      </c>
      <c r="D1854" s="532">
        <f t="shared" si="196"/>
        <v>44426</v>
      </c>
      <c r="E1854" s="534">
        <v>90</v>
      </c>
      <c r="F1854" s="601">
        <v>0.44153065682870318</v>
      </c>
      <c r="G1854" s="536" t="s">
        <v>699</v>
      </c>
      <c r="H1854">
        <v>42580.63</v>
      </c>
    </row>
    <row r="1855" spans="1:8" ht="13.5" customHeight="1">
      <c r="A1855" s="532">
        <v>44337</v>
      </c>
      <c r="B1855" s="615">
        <v>698000</v>
      </c>
      <c r="C1855" s="615">
        <f t="shared" si="195"/>
        <v>773805.31</v>
      </c>
      <c r="D1855" s="532">
        <f t="shared" si="196"/>
        <v>44427</v>
      </c>
      <c r="E1855" s="534">
        <v>90</v>
      </c>
      <c r="F1855" s="601">
        <v>0.44044791706462905</v>
      </c>
      <c r="G1855" s="536" t="s">
        <v>702</v>
      </c>
      <c r="H1855">
        <f>-2088.57+775893.88</f>
        <v>773805.31</v>
      </c>
    </row>
    <row r="1856" spans="1:8" ht="13.5" customHeight="1">
      <c r="A1856" s="532">
        <v>44337</v>
      </c>
      <c r="B1856" s="615">
        <v>7000</v>
      </c>
      <c r="C1856" s="615">
        <f t="shared" si="195"/>
        <v>7760.22</v>
      </c>
      <c r="D1856" s="532">
        <f t="shared" si="196"/>
        <v>44427</v>
      </c>
      <c r="E1856" s="534">
        <v>90</v>
      </c>
      <c r="F1856" s="601">
        <v>0.44044492063492069</v>
      </c>
      <c r="G1856" s="536" t="s">
        <v>686</v>
      </c>
      <c r="H1856">
        <f>7017.26+742.96</f>
        <v>7760.22</v>
      </c>
    </row>
    <row r="1857" spans="1:21" ht="13.5" customHeight="1">
      <c r="A1857" s="532">
        <v>44337</v>
      </c>
      <c r="B1857" s="615">
        <v>40000</v>
      </c>
      <c r="C1857" s="615">
        <f t="shared" si="195"/>
        <v>44344.114285714284</v>
      </c>
      <c r="D1857" s="532">
        <f t="shared" si="196"/>
        <v>44427</v>
      </c>
      <c r="E1857" s="534">
        <v>90</v>
      </c>
      <c r="F1857" s="601">
        <v>0.44044492063492069</v>
      </c>
      <c r="G1857" s="536" t="s">
        <v>699</v>
      </c>
      <c r="H1857">
        <v>44344.12</v>
      </c>
    </row>
    <row r="1858" spans="1:21" ht="13.5" customHeight="1">
      <c r="A1858" s="532">
        <v>44342</v>
      </c>
      <c r="B1858" s="615">
        <v>20000</v>
      </c>
      <c r="C1858" s="615">
        <f t="shared" si="195"/>
        <v>22244.190000000002</v>
      </c>
      <c r="D1858" s="532">
        <f t="shared" si="196"/>
        <v>44432</v>
      </c>
      <c r="E1858" s="534">
        <v>90</v>
      </c>
      <c r="F1858" s="601">
        <v>0.45507186111111186</v>
      </c>
      <c r="G1858" s="536" t="s">
        <v>686</v>
      </c>
      <c r="H1858">
        <f>20049.32+2194.87</f>
        <v>22244.19</v>
      </c>
    </row>
    <row r="1859" spans="1:21" ht="13.5" customHeight="1">
      <c r="A1859" s="532">
        <v>44342</v>
      </c>
      <c r="B1859" s="615">
        <v>29350</v>
      </c>
      <c r="C1859" s="615">
        <f t="shared" si="195"/>
        <v>32643.350000000006</v>
      </c>
      <c r="D1859" s="532">
        <f t="shared" si="196"/>
        <v>44432</v>
      </c>
      <c r="E1859" s="534">
        <v>90</v>
      </c>
      <c r="F1859" s="601">
        <v>0.45507202347151315</v>
      </c>
      <c r="G1859" s="536" t="s">
        <v>698</v>
      </c>
      <c r="H1859">
        <f>29422.37+3220.98</f>
        <v>32643.35</v>
      </c>
    </row>
    <row r="1860" spans="1:21" ht="13.5" customHeight="1">
      <c r="A1860" s="532">
        <v>44342</v>
      </c>
      <c r="B1860" s="615">
        <v>275000</v>
      </c>
      <c r="C1860" s="615">
        <f t="shared" ref="A1860:C1867" si="197">B1860+(B1860*F1860/365*E1860)*1</f>
        <v>304676.2</v>
      </c>
      <c r="D1860" s="532">
        <f t="shared" ref="A1860:D1867" si="198">+A1860+E1860</f>
        <v>44432</v>
      </c>
      <c r="E1860" s="534">
        <v>90</v>
      </c>
      <c r="F1860" s="601">
        <v>0.43764901010100998</v>
      </c>
      <c r="G1860" s="536" t="s">
        <v>700</v>
      </c>
      <c r="H1860">
        <v>304676.2</v>
      </c>
    </row>
    <row r="1861" spans="1:21" ht="13.5" customHeight="1">
      <c r="A1861" s="532">
        <v>44342</v>
      </c>
      <c r="B1861" s="615">
        <v>10000</v>
      </c>
      <c r="C1861" s="615">
        <f t="shared" ref="A1861:C1862" si="199">B1861+(B1861*F1861/365*E1861)*1</f>
        <v>11122.090000000004</v>
      </c>
      <c r="D1861" s="532">
        <f t="shared" ref="A1861:D1862" si="200">+A1861+E1861</f>
        <v>44432</v>
      </c>
      <c r="E1861" s="534">
        <v>90</v>
      </c>
      <c r="F1861" s="601">
        <v>0.45506983333333445</v>
      </c>
      <c r="G1861" s="536" t="s">
        <v>701</v>
      </c>
      <c r="H1861">
        <f>10024.66+1097.43</f>
        <v>11122.09</v>
      </c>
    </row>
    <row r="1862" spans="1:21" ht="13.5" customHeight="1">
      <c r="A1862" s="532">
        <v>44343</v>
      </c>
      <c r="B1862" s="615">
        <v>37400</v>
      </c>
      <c r="C1862" s="615">
        <f t="shared" si="199"/>
        <v>41372.880000000005</v>
      </c>
      <c r="D1862" s="532">
        <f t="shared" si="200"/>
        <v>44433</v>
      </c>
      <c r="E1862" s="534">
        <v>90</v>
      </c>
      <c r="F1862" s="601">
        <v>0.43080843731431989</v>
      </c>
      <c r="G1862" s="536" t="s">
        <v>701</v>
      </c>
      <c r="H1862">
        <f>37492.22+3880.66</f>
        <v>41372.880000000005</v>
      </c>
    </row>
    <row r="1863" spans="1:21" ht="13.5" customHeight="1">
      <c r="A1863" s="532">
        <v>44344</v>
      </c>
      <c r="B1863" s="615">
        <v>30000</v>
      </c>
      <c r="C1863" s="615">
        <f t="shared" si="197"/>
        <v>33175.089999999997</v>
      </c>
      <c r="D1863" s="532">
        <f t="shared" si="198"/>
        <v>44434</v>
      </c>
      <c r="E1863" s="534">
        <v>90</v>
      </c>
      <c r="F1863" s="601">
        <v>0.42922512962962917</v>
      </c>
      <c r="G1863" s="536" t="s">
        <v>686</v>
      </c>
      <c r="H1863">
        <f>30073.97+3101.12</f>
        <v>33175.090000000004</v>
      </c>
      <c r="U1863">
        <v>49314</v>
      </c>
    </row>
    <row r="1864" spans="1:21" ht="13.5" customHeight="1">
      <c r="A1864" s="532">
        <v>44347</v>
      </c>
      <c r="B1864" s="615">
        <v>3650</v>
      </c>
      <c r="C1864" s="615">
        <f t="shared" si="197"/>
        <v>4038.74</v>
      </c>
      <c r="D1864" s="532">
        <f t="shared" si="198"/>
        <v>44438</v>
      </c>
      <c r="E1864" s="534">
        <v>91</v>
      </c>
      <c r="F1864" s="601">
        <v>0.42718681318681279</v>
      </c>
      <c r="G1864" s="536" t="s">
        <v>699</v>
      </c>
      <c r="H1864">
        <v>4038.74</v>
      </c>
    </row>
    <row r="1865" spans="1:21" ht="13.5" customHeight="1">
      <c r="A1865" s="532">
        <v>44347</v>
      </c>
      <c r="B1865" s="615">
        <v>55000</v>
      </c>
      <c r="C1865" s="615">
        <f t="shared" si="197"/>
        <v>60857.726027397257</v>
      </c>
      <c r="D1865" s="532">
        <f t="shared" si="198"/>
        <v>44438</v>
      </c>
      <c r="E1865" s="534">
        <v>91</v>
      </c>
      <c r="F1865" s="601">
        <v>0.42718681318681279</v>
      </c>
      <c r="G1865" s="536" t="s">
        <v>686</v>
      </c>
      <c r="H1865">
        <f>55137.12+5720.64</f>
        <v>60857.760000000002</v>
      </c>
    </row>
    <row r="1866" spans="1:21" ht="13.5" customHeight="1">
      <c r="A1866" s="532">
        <v>44347</v>
      </c>
      <c r="B1866" s="615">
        <v>16950</v>
      </c>
      <c r="C1866" s="615">
        <f t="shared" si="197"/>
        <v>18755.244657534244</v>
      </c>
      <c r="D1866" s="532">
        <f t="shared" si="198"/>
        <v>44438</v>
      </c>
      <c r="E1866" s="534">
        <v>91</v>
      </c>
      <c r="F1866" s="601">
        <v>0.42718681318681279</v>
      </c>
      <c r="G1866" s="536" t="s">
        <v>698</v>
      </c>
      <c r="H1866">
        <f>16992.26+1762.99</f>
        <v>18755.25</v>
      </c>
    </row>
    <row r="1867" spans="1:21" ht="13.5" customHeight="1">
      <c r="A1867" s="532">
        <v>44350</v>
      </c>
      <c r="B1867" s="615">
        <v>45000</v>
      </c>
      <c r="C1867" s="615">
        <f t="shared" si="197"/>
        <v>49657.06</v>
      </c>
      <c r="D1867" s="532">
        <f t="shared" si="198"/>
        <v>44440</v>
      </c>
      <c r="E1867" s="534">
        <v>90</v>
      </c>
      <c r="F1867" s="601">
        <v>0.41971034567901222</v>
      </c>
      <c r="G1867" s="536" t="s">
        <v>700</v>
      </c>
      <c r="H1867">
        <v>49657.06</v>
      </c>
    </row>
    <row r="1868" spans="1:21" ht="13.5" customHeight="1">
      <c r="A1868" s="532">
        <v>44354</v>
      </c>
      <c r="B1868" s="615">
        <v>9000</v>
      </c>
      <c r="C1868" s="615">
        <f t="shared" ref="A1868:C1873" si="201">B1868+(B1868*F1868/365*E1868)*1</f>
        <v>9935.2199999999993</v>
      </c>
      <c r="D1868" s="532">
        <f t="shared" ref="A1868:D1873" si="202">+A1868+E1868</f>
        <v>44445</v>
      </c>
      <c r="E1868" s="534">
        <v>91</v>
      </c>
      <c r="F1868" s="601">
        <v>0.41679523809523772</v>
      </c>
      <c r="G1868" s="536" t="s">
        <v>701</v>
      </c>
      <c r="H1868">
        <f>9022.44+912.78</f>
        <v>9935.2200000000012</v>
      </c>
    </row>
    <row r="1869" spans="1:21" ht="13.5" customHeight="1">
      <c r="A1869" s="532">
        <v>44354</v>
      </c>
      <c r="B1869" s="615">
        <v>9100</v>
      </c>
      <c r="C1869" s="615">
        <f t="shared" si="201"/>
        <v>10045.611333333332</v>
      </c>
      <c r="D1869" s="532">
        <f t="shared" si="202"/>
        <v>44445</v>
      </c>
      <c r="E1869" s="534">
        <v>91</v>
      </c>
      <c r="F1869" s="601">
        <v>0.41679523809523772</v>
      </c>
      <c r="G1869" s="536" t="s">
        <v>698</v>
      </c>
      <c r="H1869">
        <f>9122.69+922.92</f>
        <v>10045.61</v>
      </c>
    </row>
    <row r="1870" spans="1:21" ht="13.5" customHeight="1">
      <c r="A1870" s="532">
        <v>44355</v>
      </c>
      <c r="B1870" s="615">
        <v>20000</v>
      </c>
      <c r="C1870" s="615">
        <f t="shared" si="201"/>
        <v>21991.120000000003</v>
      </c>
      <c r="D1870" s="532">
        <f t="shared" si="202"/>
        <v>44445</v>
      </c>
      <c r="E1870" s="534">
        <v>90</v>
      </c>
      <c r="F1870" s="601">
        <v>0.40375488888888933</v>
      </c>
      <c r="G1870" s="536" t="s">
        <v>699</v>
      </c>
      <c r="H1870">
        <v>21991.119999999999</v>
      </c>
    </row>
    <row r="1871" spans="1:21" ht="13.5" customHeight="1">
      <c r="A1871" s="532">
        <v>44354</v>
      </c>
      <c r="B1871" s="615">
        <v>10000</v>
      </c>
      <c r="C1871" s="615">
        <f t="shared" si="201"/>
        <v>11039.82</v>
      </c>
      <c r="D1871" s="532">
        <f t="shared" si="202"/>
        <v>44445</v>
      </c>
      <c r="E1871" s="534">
        <v>91</v>
      </c>
      <c r="F1871" s="601">
        <v>0.41707065934065957</v>
      </c>
      <c r="G1871" s="536" t="s">
        <v>687</v>
      </c>
      <c r="H1871">
        <v>11039.82</v>
      </c>
    </row>
    <row r="1872" spans="1:21" ht="13.5" customHeight="1">
      <c r="A1872" s="532">
        <v>44356</v>
      </c>
      <c r="B1872" s="615">
        <v>7000</v>
      </c>
      <c r="C1872" s="615">
        <f t="shared" si="201"/>
        <v>7709.32</v>
      </c>
      <c r="D1872" s="532">
        <f t="shared" si="202"/>
        <v>44446</v>
      </c>
      <c r="E1872" s="534">
        <v>90</v>
      </c>
      <c r="F1872" s="601">
        <v>0.41095523809523793</v>
      </c>
      <c r="G1872" s="536" t="s">
        <v>686</v>
      </c>
      <c r="H1872">
        <f>7017.26+692.06</f>
        <v>7709.32</v>
      </c>
    </row>
    <row r="1873" spans="1:8" ht="13.5" customHeight="1">
      <c r="A1873" s="532">
        <v>44357</v>
      </c>
      <c r="B1873" s="615">
        <v>39300</v>
      </c>
      <c r="C1873" s="615">
        <f t="shared" si="201"/>
        <v>43267.51999999999</v>
      </c>
      <c r="D1873" s="532">
        <f t="shared" si="202"/>
        <v>44447</v>
      </c>
      <c r="E1873" s="534">
        <v>90</v>
      </c>
      <c r="F1873" s="601">
        <v>0.40942742437093449</v>
      </c>
      <c r="G1873" s="536" t="s">
        <v>701</v>
      </c>
      <c r="H1873">
        <f>39396.9+3870.62</f>
        <v>43267.520000000004</v>
      </c>
    </row>
    <row r="1874" spans="1:8" ht="13.5" customHeight="1">
      <c r="A1874" s="532">
        <v>44357</v>
      </c>
      <c r="B1874" s="615">
        <v>30000</v>
      </c>
      <c r="C1874" s="615">
        <f t="shared" ref="A1874:C1880" si="203">B1874+(B1874*F1874/365*E1874)*1</f>
        <v>33028.640000000014</v>
      </c>
      <c r="D1874" s="532">
        <f t="shared" ref="A1874:D1880" si="204">+A1874+E1874</f>
        <v>44447</v>
      </c>
      <c r="E1874" s="534">
        <v>90</v>
      </c>
      <c r="F1874" s="601">
        <v>0.40942725925926149</v>
      </c>
      <c r="G1874" s="536" t="s">
        <v>686</v>
      </c>
      <c r="H1874">
        <f>30073.97+2954.67</f>
        <v>33028.639999999999</v>
      </c>
    </row>
    <row r="1875" spans="1:8" ht="13.5" customHeight="1">
      <c r="A1875" s="532">
        <v>44418</v>
      </c>
      <c r="B1875" s="615">
        <v>97480</v>
      </c>
      <c r="C1875" s="615">
        <f t="shared" si="203"/>
        <v>100444.4602739726</v>
      </c>
      <c r="D1875" s="532">
        <f t="shared" si="204"/>
        <v>44448</v>
      </c>
      <c r="E1875" s="534">
        <v>30</v>
      </c>
      <c r="F1875" s="601">
        <v>0.37</v>
      </c>
      <c r="G1875" s="536" t="s">
        <v>695</v>
      </c>
      <c r="H1875">
        <v>100444.46</v>
      </c>
    </row>
    <row r="1876" spans="1:8" ht="13.5" customHeight="1">
      <c r="A1876" s="532">
        <v>44361</v>
      </c>
      <c r="B1876" s="615">
        <v>45000</v>
      </c>
      <c r="C1876" s="615">
        <f t="shared" si="203"/>
        <v>49555.31</v>
      </c>
      <c r="D1876" s="532">
        <f t="shared" si="204"/>
        <v>44452</v>
      </c>
      <c r="E1876" s="534">
        <v>91</v>
      </c>
      <c r="F1876" s="601">
        <v>0.4060288522588521</v>
      </c>
      <c r="G1876" s="536" t="s">
        <v>701</v>
      </c>
      <c r="H1876">
        <f>45112.19+4443.12</f>
        <v>49555.310000000005</v>
      </c>
    </row>
    <row r="1877" spans="1:8" ht="13.5" customHeight="1">
      <c r="A1877" s="532">
        <v>44358</v>
      </c>
      <c r="B1877" s="615">
        <v>38000</v>
      </c>
      <c r="C1877" s="615">
        <f t="shared" si="203"/>
        <v>41816.750000000022</v>
      </c>
      <c r="D1877" s="532">
        <f t="shared" si="204"/>
        <v>44448</v>
      </c>
      <c r="E1877" s="534">
        <v>90</v>
      </c>
      <c r="F1877" s="601">
        <v>0.40734320175438821</v>
      </c>
      <c r="G1877" s="536" t="s">
        <v>687</v>
      </c>
      <c r="H1877">
        <v>41816.75</v>
      </c>
    </row>
    <row r="1878" spans="1:8" ht="13.5" customHeight="1">
      <c r="A1878" s="532">
        <v>44420</v>
      </c>
      <c r="B1878" s="615">
        <v>38900</v>
      </c>
      <c r="C1878" s="615">
        <f t="shared" si="203"/>
        <v>40161.852054794523</v>
      </c>
      <c r="D1878" s="532">
        <f t="shared" si="204"/>
        <v>44452</v>
      </c>
      <c r="E1878" s="534">
        <v>32</v>
      </c>
      <c r="F1878" s="601">
        <v>0.37</v>
      </c>
      <c r="G1878" s="536" t="s">
        <v>680</v>
      </c>
    </row>
    <row r="1879" spans="1:8" ht="13.5" customHeight="1">
      <c r="A1879" s="532">
        <v>44420</v>
      </c>
      <c r="B1879" s="615">
        <v>106840</v>
      </c>
      <c r="C1879" s="615">
        <f t="shared" si="203"/>
        <v>110305.71397260274</v>
      </c>
      <c r="D1879" s="532">
        <f t="shared" si="204"/>
        <v>44452</v>
      </c>
      <c r="E1879" s="534">
        <v>32</v>
      </c>
      <c r="F1879" s="601">
        <v>0.37</v>
      </c>
      <c r="G1879" s="536" t="s">
        <v>695</v>
      </c>
    </row>
    <row r="1880" spans="1:8" ht="13.5" customHeight="1">
      <c r="A1880" s="532">
        <v>44361</v>
      </c>
      <c r="B1880" s="615">
        <v>148950</v>
      </c>
      <c r="C1880" s="615">
        <f t="shared" si="203"/>
        <v>164028.08000000013</v>
      </c>
      <c r="D1880" s="532">
        <f t="shared" si="204"/>
        <v>44452</v>
      </c>
      <c r="E1880" s="534">
        <v>91</v>
      </c>
      <c r="F1880" s="601">
        <v>0.40602895727971583</v>
      </c>
      <c r="G1880" s="536" t="s">
        <v>698</v>
      </c>
      <c r="H1880">
        <f>149321.35+14706.73</f>
        <v>164028.08000000002</v>
      </c>
    </row>
    <row r="1881" spans="1:8" ht="13.5" customHeight="1">
      <c r="A1881" s="532">
        <v>44363</v>
      </c>
      <c r="B1881" s="615">
        <v>33500</v>
      </c>
      <c r="C1881" s="615">
        <f t="shared" ref="A1881:C1890" si="205">B1881+(B1881*F1881/365*E1881)*1</f>
        <v>36852.070000000007</v>
      </c>
      <c r="D1881" s="532">
        <f t="shared" ref="A1881:D1890" si="206">+A1881+E1881</f>
        <v>44453</v>
      </c>
      <c r="E1881" s="534">
        <v>90</v>
      </c>
      <c r="F1881" s="601">
        <v>0.40580615257048142</v>
      </c>
      <c r="G1881" s="536" t="s">
        <v>699</v>
      </c>
      <c r="H1881">
        <v>36852.07</v>
      </c>
    </row>
    <row r="1882" spans="1:8" ht="13.5" customHeight="1">
      <c r="A1882" s="532">
        <v>44363</v>
      </c>
      <c r="B1882" s="615">
        <v>25000</v>
      </c>
      <c r="C1882" s="615">
        <f t="shared" si="205"/>
        <v>27501.540000000008</v>
      </c>
      <c r="D1882" s="532">
        <f t="shared" si="206"/>
        <v>44453</v>
      </c>
      <c r="E1882" s="534">
        <v>90</v>
      </c>
      <c r="F1882" s="601">
        <v>0.40580537777777925</v>
      </c>
      <c r="G1882" s="536" t="s">
        <v>698</v>
      </c>
      <c r="H1882">
        <f>25061.64+2439.9</f>
        <v>27501.54</v>
      </c>
    </row>
    <row r="1883" spans="1:8" ht="13.5" customHeight="1">
      <c r="A1883" s="532">
        <v>44363</v>
      </c>
      <c r="B1883" s="615">
        <v>9000</v>
      </c>
      <c r="C1883" s="615">
        <f t="shared" si="205"/>
        <v>9900.5500000000102</v>
      </c>
      <c r="D1883" s="532">
        <f t="shared" si="206"/>
        <v>44453</v>
      </c>
      <c r="E1883" s="534">
        <v>90</v>
      </c>
      <c r="F1883" s="601">
        <v>0.40580339506173313</v>
      </c>
      <c r="G1883" s="536" t="s">
        <v>686</v>
      </c>
      <c r="H1883">
        <f>9022.19+878.36</f>
        <v>9900.5500000000011</v>
      </c>
    </row>
    <row r="1884" spans="1:8" ht="13.5" customHeight="1">
      <c r="A1884" s="532">
        <v>44425</v>
      </c>
      <c r="B1884" s="615">
        <v>11100</v>
      </c>
      <c r="C1884" s="615">
        <f t="shared" si="205"/>
        <v>11437.561643835616</v>
      </c>
      <c r="D1884" s="532">
        <f t="shared" si="206"/>
        <v>44455</v>
      </c>
      <c r="E1884" s="534">
        <v>30</v>
      </c>
      <c r="F1884" s="601">
        <v>0.37</v>
      </c>
      <c r="G1884" s="536" t="s">
        <v>680</v>
      </c>
    </row>
    <row r="1885" spans="1:8" ht="13.5" customHeight="1">
      <c r="A1885" s="532">
        <v>44365</v>
      </c>
      <c r="B1885" s="615">
        <v>12200</v>
      </c>
      <c r="C1885" s="615">
        <f t="shared" si="205"/>
        <v>13401.790000000005</v>
      </c>
      <c r="D1885" s="532">
        <f t="shared" si="206"/>
        <v>44455</v>
      </c>
      <c r="E1885" s="534">
        <v>90</v>
      </c>
      <c r="F1885" s="601">
        <v>0.39950214025501063</v>
      </c>
      <c r="G1885" s="536" t="s">
        <v>701</v>
      </c>
      <c r="H1885">
        <f>12232.08+1169.71</f>
        <v>13401.79</v>
      </c>
    </row>
    <row r="1886" spans="1:8" ht="13.5" customHeight="1">
      <c r="A1886" s="532">
        <v>44421</v>
      </c>
      <c r="B1886" s="615">
        <v>475000</v>
      </c>
      <c r="C1886" s="615">
        <f t="shared" si="205"/>
        <v>491371.23287671234</v>
      </c>
      <c r="D1886" s="532">
        <f t="shared" si="206"/>
        <v>44455</v>
      </c>
      <c r="E1886" s="534">
        <v>34</v>
      </c>
      <c r="F1886" s="601">
        <v>0.37</v>
      </c>
      <c r="G1886" s="536" t="s">
        <v>276</v>
      </c>
    </row>
    <row r="1887" spans="1:8" ht="13.5" customHeight="1">
      <c r="A1887" s="532">
        <v>44425</v>
      </c>
      <c r="B1887" s="615">
        <v>123000</v>
      </c>
      <c r="C1887" s="615">
        <f t="shared" si="205"/>
        <v>126740.54794520549</v>
      </c>
      <c r="D1887" s="532">
        <f t="shared" si="206"/>
        <v>44455</v>
      </c>
      <c r="E1887" s="534">
        <v>30</v>
      </c>
      <c r="F1887" s="601">
        <v>0.37</v>
      </c>
      <c r="G1887" s="536" t="s">
        <v>276</v>
      </c>
    </row>
    <row r="1888" spans="1:8" ht="13.5" customHeight="1">
      <c r="A1888" s="532">
        <v>44365</v>
      </c>
      <c r="B1888" s="615">
        <v>20000</v>
      </c>
      <c r="C1888" s="615">
        <f t="shared" si="205"/>
        <v>21966.879999999997</v>
      </c>
      <c r="D1888" s="532">
        <f t="shared" si="206"/>
        <v>44455</v>
      </c>
      <c r="E1888" s="534">
        <v>90</v>
      </c>
      <c r="F1888" s="601">
        <v>0.39883955555555528</v>
      </c>
      <c r="G1888" s="536" t="s">
        <v>686</v>
      </c>
      <c r="H1888">
        <f>20049.32+1917.56</f>
        <v>21966.880000000001</v>
      </c>
    </row>
    <row r="1889" spans="1:8" ht="13.5" customHeight="1">
      <c r="A1889" s="532">
        <v>44425</v>
      </c>
      <c r="B1889" s="615">
        <v>71400</v>
      </c>
      <c r="C1889" s="615">
        <f t="shared" si="205"/>
        <v>73571.34246575342</v>
      </c>
      <c r="D1889" s="532">
        <f t="shared" si="206"/>
        <v>44455</v>
      </c>
      <c r="E1889" s="534">
        <v>30</v>
      </c>
      <c r="F1889" s="601">
        <v>0.37</v>
      </c>
      <c r="G1889" s="536" t="s">
        <v>696</v>
      </c>
    </row>
    <row r="1890" spans="1:8" ht="13.5" customHeight="1">
      <c r="A1890" s="532">
        <v>44365</v>
      </c>
      <c r="B1890" s="615">
        <v>11140</v>
      </c>
      <c r="C1890" s="615">
        <f t="shared" si="205"/>
        <v>12235.560000000009</v>
      </c>
      <c r="D1890" s="532">
        <f t="shared" si="206"/>
        <v>44455</v>
      </c>
      <c r="E1890" s="534">
        <v>90</v>
      </c>
      <c r="F1890" s="601">
        <v>0.39884240973469309</v>
      </c>
      <c r="G1890" s="536" t="s">
        <v>699</v>
      </c>
      <c r="H1890">
        <v>12235.56</v>
      </c>
    </row>
    <row r="1891" spans="1:8" ht="13.5" customHeight="1">
      <c r="A1891" s="532">
        <v>44426</v>
      </c>
      <c r="B1891" s="615">
        <v>108000</v>
      </c>
      <c r="C1891" s="615">
        <f t="shared" ref="A1891:C1898" si="207">B1891+(B1891*F1891/365*E1891)*1</f>
        <v>111284.38356164383</v>
      </c>
      <c r="D1891" s="532">
        <f t="shared" ref="A1891:D1898" si="208">+A1891+E1891</f>
        <v>44456</v>
      </c>
      <c r="E1891" s="534">
        <v>30</v>
      </c>
      <c r="F1891" s="601">
        <v>0.37</v>
      </c>
      <c r="G1891" s="536" t="s">
        <v>540</v>
      </c>
    </row>
    <row r="1892" spans="1:8" ht="13.5" customHeight="1">
      <c r="A1892" s="532">
        <v>44426</v>
      </c>
      <c r="B1892" s="615">
        <v>69900</v>
      </c>
      <c r="C1892" s="615">
        <f t="shared" si="207"/>
        <v>72025.726027397264</v>
      </c>
      <c r="D1892" s="532">
        <f t="shared" si="208"/>
        <v>44456</v>
      </c>
      <c r="E1892" s="534">
        <v>30</v>
      </c>
      <c r="F1892" s="601">
        <v>0.37</v>
      </c>
      <c r="G1892" s="536" t="s">
        <v>696</v>
      </c>
    </row>
    <row r="1893" spans="1:8" ht="13.5" customHeight="1">
      <c r="A1893" s="532">
        <v>44427</v>
      </c>
      <c r="B1893" s="615">
        <v>670000</v>
      </c>
      <c r="C1893" s="615">
        <f t="shared" si="207"/>
        <v>691733.69863013702</v>
      </c>
      <c r="D1893" s="532">
        <f t="shared" si="208"/>
        <v>44459</v>
      </c>
      <c r="E1893" s="534">
        <v>32</v>
      </c>
      <c r="F1893" s="601">
        <v>0.37</v>
      </c>
      <c r="G1893" s="536" t="s">
        <v>700</v>
      </c>
    </row>
    <row r="1894" spans="1:8" ht="13.5" customHeight="1">
      <c r="A1894" s="532">
        <v>44427</v>
      </c>
      <c r="B1894" s="615">
        <v>44400</v>
      </c>
      <c r="C1894" s="615">
        <f t="shared" si="207"/>
        <v>45840.263013698634</v>
      </c>
      <c r="D1894" s="532">
        <f t="shared" si="208"/>
        <v>44459</v>
      </c>
      <c r="E1894" s="534">
        <v>32</v>
      </c>
      <c r="F1894" s="601">
        <v>0.37</v>
      </c>
      <c r="G1894" s="536" t="s">
        <v>699</v>
      </c>
    </row>
    <row r="1895" spans="1:8" ht="13.5" customHeight="1">
      <c r="A1895" s="532">
        <v>44369</v>
      </c>
      <c r="B1895" s="615">
        <v>27150</v>
      </c>
      <c r="C1895" s="615">
        <f t="shared" si="207"/>
        <v>29837.810000000009</v>
      </c>
      <c r="D1895" s="532">
        <f t="shared" si="208"/>
        <v>44459</v>
      </c>
      <c r="E1895" s="534">
        <v>90</v>
      </c>
      <c r="F1895" s="601">
        <v>0.40149402496419195</v>
      </c>
      <c r="G1895" s="536" t="s">
        <v>699</v>
      </c>
      <c r="H1895">
        <v>29837.81</v>
      </c>
    </row>
    <row r="1896" spans="1:8" ht="13.5" customHeight="1">
      <c r="A1896" s="532">
        <v>44369</v>
      </c>
      <c r="B1896" s="615">
        <v>55000</v>
      </c>
      <c r="C1896" s="615">
        <f t="shared" si="207"/>
        <v>60444.920000000013</v>
      </c>
      <c r="D1896" s="532">
        <f t="shared" si="208"/>
        <v>44459</v>
      </c>
      <c r="E1896" s="534">
        <v>90</v>
      </c>
      <c r="F1896" s="601">
        <v>0.40149410101010213</v>
      </c>
      <c r="G1896" s="536" t="s">
        <v>686</v>
      </c>
      <c r="H1896">
        <f>55135.62+5309.3</f>
        <v>60444.920000000006</v>
      </c>
    </row>
    <row r="1897" spans="1:8" ht="13.5" customHeight="1">
      <c r="A1897" s="532">
        <v>44369</v>
      </c>
      <c r="B1897" s="615">
        <v>11000</v>
      </c>
      <c r="C1897" s="615">
        <f t="shared" si="207"/>
        <v>12088.969999999988</v>
      </c>
      <c r="D1897" s="532">
        <f t="shared" si="208"/>
        <v>44459</v>
      </c>
      <c r="E1897" s="534">
        <v>90</v>
      </c>
      <c r="F1897" s="601">
        <v>0.40148893939393526</v>
      </c>
      <c r="G1897" s="536" t="s">
        <v>701</v>
      </c>
      <c r="H1897">
        <f>11027.12+1061.85</f>
        <v>12088.970000000001</v>
      </c>
    </row>
    <row r="1898" spans="1:8" ht="13.5" customHeight="1">
      <c r="A1898" s="532">
        <v>44369</v>
      </c>
      <c r="B1898" s="615">
        <v>70850</v>
      </c>
      <c r="C1898" s="615">
        <f t="shared" si="207"/>
        <v>77864.040000000066</v>
      </c>
      <c r="D1898" s="532">
        <f t="shared" si="208"/>
        <v>44459</v>
      </c>
      <c r="E1898" s="534">
        <v>90</v>
      </c>
      <c r="F1898" s="601">
        <v>0.40149370344233082</v>
      </c>
      <c r="G1898" s="536" t="s">
        <v>698</v>
      </c>
      <c r="H1898">
        <f>71024.7+6839.34</f>
        <v>77864.039999999994</v>
      </c>
    </row>
    <row r="1899" spans="1:8" ht="13.5" customHeight="1">
      <c r="A1899" s="532">
        <v>44370</v>
      </c>
      <c r="B1899" s="615">
        <v>21000</v>
      </c>
      <c r="C1899" s="615">
        <f t="shared" ref="A1899:C1905" si="209">B1899+(B1899*F1899/365*E1899)*1</f>
        <v>23036.160000000011</v>
      </c>
      <c r="D1899" s="532">
        <f t="shared" ref="A1899:D1905" si="210">+A1899+E1899</f>
        <v>44460</v>
      </c>
      <c r="E1899" s="534">
        <v>90</v>
      </c>
      <c r="F1899" s="601">
        <v>0.393226666666669</v>
      </c>
      <c r="G1899" s="536" t="s">
        <v>698</v>
      </c>
      <c r="H1899">
        <f>21051.78+1984.38</f>
        <v>23036.16</v>
      </c>
    </row>
    <row r="1900" spans="1:8" ht="13.5" customHeight="1">
      <c r="A1900" s="532">
        <v>44370</v>
      </c>
      <c r="B1900" s="615">
        <v>25000</v>
      </c>
      <c r="C1900" s="615">
        <f t="shared" si="209"/>
        <v>27424.000000000007</v>
      </c>
      <c r="D1900" s="532">
        <f t="shared" si="210"/>
        <v>44460</v>
      </c>
      <c r="E1900" s="534">
        <v>90</v>
      </c>
      <c r="F1900" s="601">
        <v>0.39322666666666756</v>
      </c>
      <c r="G1900" s="536" t="s">
        <v>686</v>
      </c>
      <c r="H1900">
        <f>25061.64+2362.36</f>
        <v>27424</v>
      </c>
    </row>
    <row r="1901" spans="1:8" ht="13.5" customHeight="1">
      <c r="A1901" s="532">
        <v>44370</v>
      </c>
      <c r="B1901" s="615">
        <v>14700</v>
      </c>
      <c r="C1901" s="615">
        <f t="shared" si="209"/>
        <v>16125.320000000005</v>
      </c>
      <c r="D1901" s="532">
        <f t="shared" si="210"/>
        <v>44460</v>
      </c>
      <c r="E1901" s="534">
        <v>90</v>
      </c>
      <c r="F1901" s="601">
        <v>0.39322887377173227</v>
      </c>
      <c r="G1901" s="536" t="s">
        <v>701</v>
      </c>
      <c r="H1901">
        <f>14736.25+1389.07</f>
        <v>16125.32</v>
      </c>
    </row>
    <row r="1902" spans="1:8" ht="13.5" customHeight="1">
      <c r="A1902" s="532">
        <v>44371</v>
      </c>
      <c r="B1902" s="615">
        <v>48000</v>
      </c>
      <c r="C1902" s="615">
        <f t="shared" si="209"/>
        <v>52637.099999999984</v>
      </c>
      <c r="D1902" s="532">
        <f t="shared" si="210"/>
        <v>44461</v>
      </c>
      <c r="E1902" s="534">
        <v>90</v>
      </c>
      <c r="F1902" s="601">
        <v>0.39179201388888735</v>
      </c>
      <c r="G1902" s="536" t="s">
        <v>686</v>
      </c>
      <c r="H1902">
        <f>48118.36+4518.74</f>
        <v>52637.1</v>
      </c>
    </row>
    <row r="1903" spans="1:8" ht="13.5" customHeight="1">
      <c r="A1903" s="532">
        <v>44372</v>
      </c>
      <c r="B1903" s="615">
        <v>7000</v>
      </c>
      <c r="C1903" s="615">
        <f t="shared" si="209"/>
        <v>7673.7700000000013</v>
      </c>
      <c r="D1903" s="532">
        <f t="shared" si="210"/>
        <v>44462</v>
      </c>
      <c r="E1903" s="534">
        <v>90</v>
      </c>
      <c r="F1903" s="601">
        <v>0.39035880952381025</v>
      </c>
      <c r="G1903" s="536" t="s">
        <v>699</v>
      </c>
      <c r="H1903">
        <v>7673.77</v>
      </c>
    </row>
    <row r="1904" spans="1:8" ht="13.5" customHeight="1">
      <c r="A1904" s="532">
        <v>44372</v>
      </c>
      <c r="B1904" s="615">
        <v>40000</v>
      </c>
      <c r="C1904" s="615">
        <f t="shared" si="209"/>
        <v>43850.109999999993</v>
      </c>
      <c r="D1904" s="532">
        <f t="shared" si="210"/>
        <v>44462</v>
      </c>
      <c r="E1904" s="534">
        <v>90</v>
      </c>
      <c r="F1904" s="601">
        <v>0.39035837499999965</v>
      </c>
      <c r="G1904" s="536" t="s">
        <v>698</v>
      </c>
      <c r="H1904">
        <f>40098.63+3751.48</f>
        <v>43850.11</v>
      </c>
    </row>
    <row r="1905" spans="1:8" ht="13.5" customHeight="1">
      <c r="A1905" s="532">
        <v>44372</v>
      </c>
      <c r="B1905" s="615">
        <v>8000</v>
      </c>
      <c r="C1905" s="615">
        <f t="shared" si="209"/>
        <v>8770.0300000000043</v>
      </c>
      <c r="D1905" s="532">
        <f t="shared" si="210"/>
        <v>44462</v>
      </c>
      <c r="E1905" s="534">
        <v>90</v>
      </c>
      <c r="F1905" s="601">
        <v>0.39036243055555764</v>
      </c>
      <c r="G1905" s="536" t="s">
        <v>698</v>
      </c>
      <c r="H1905">
        <f>8019.73+750.3</f>
        <v>8770.0299999999988</v>
      </c>
    </row>
    <row r="1906" spans="1:8" ht="13.5" customHeight="1">
      <c r="A1906" s="532">
        <v>44435</v>
      </c>
      <c r="B1906" s="615">
        <v>17000</v>
      </c>
      <c r="C1906" s="615">
        <f t="shared" ref="A1906:C1912" si="211">B1906+(B1906*F1906/365*E1906)*1</f>
        <v>17534.219178082192</v>
      </c>
      <c r="D1906" s="532">
        <f t="shared" ref="A1906:D1912" si="212">+A1906+E1906</f>
        <v>44466</v>
      </c>
      <c r="E1906" s="534">
        <v>31</v>
      </c>
      <c r="F1906" s="601">
        <v>0.37</v>
      </c>
      <c r="G1906" s="536" t="s">
        <v>697</v>
      </c>
    </row>
    <row r="1907" spans="1:8" ht="13.5" customHeight="1">
      <c r="A1907" s="532">
        <v>44375</v>
      </c>
      <c r="B1907" s="615">
        <v>26285</v>
      </c>
      <c r="C1907" s="615">
        <f t="shared" si="211"/>
        <v>28836.079999999998</v>
      </c>
      <c r="D1907" s="532">
        <f t="shared" si="212"/>
        <v>44466</v>
      </c>
      <c r="E1907" s="534">
        <v>91</v>
      </c>
      <c r="F1907" s="601">
        <v>0.38928490949795858</v>
      </c>
      <c r="G1907" s="536" t="s">
        <v>681</v>
      </c>
      <c r="H1907">
        <f>28764.48+71.6</f>
        <v>28836.079999999998</v>
      </c>
    </row>
    <row r="1908" spans="1:8" ht="13.5" customHeight="1">
      <c r="A1908" s="532">
        <v>44376</v>
      </c>
      <c r="B1908" s="615">
        <v>5300</v>
      </c>
      <c r="C1908" s="615">
        <f t="shared" si="211"/>
        <v>5794.8799999999992</v>
      </c>
      <c r="D1908" s="532">
        <f t="shared" si="212"/>
        <v>44466</v>
      </c>
      <c r="E1908" s="534">
        <v>90</v>
      </c>
      <c r="F1908" s="601">
        <v>0.37868176100628897</v>
      </c>
      <c r="G1908" s="536" t="s">
        <v>698</v>
      </c>
      <c r="H1908">
        <f>5313.07+481.81</f>
        <v>5794.88</v>
      </c>
    </row>
    <row r="1909" spans="1:8" ht="13.5" customHeight="1">
      <c r="A1909" s="532">
        <v>44375</v>
      </c>
      <c r="B1909" s="615">
        <v>28200</v>
      </c>
      <c r="C1909" s="615">
        <f t="shared" si="211"/>
        <v>30937.049999999996</v>
      </c>
      <c r="D1909" s="532">
        <f t="shared" si="212"/>
        <v>44466</v>
      </c>
      <c r="E1909" s="534">
        <v>91</v>
      </c>
      <c r="F1909" s="601">
        <v>0.38930061959317197</v>
      </c>
      <c r="G1909" s="536" t="s">
        <v>698</v>
      </c>
      <c r="H1909">
        <f>28270.31+2666.74</f>
        <v>30937.050000000003</v>
      </c>
    </row>
    <row r="1910" spans="1:8" ht="13.5" customHeight="1">
      <c r="A1910" s="532">
        <v>44376</v>
      </c>
      <c r="B1910" s="615">
        <v>5000</v>
      </c>
      <c r="C1910" s="615">
        <f t="shared" si="211"/>
        <v>5466.87</v>
      </c>
      <c r="D1910" s="532">
        <f t="shared" si="212"/>
        <v>44466</v>
      </c>
      <c r="E1910" s="534">
        <v>90</v>
      </c>
      <c r="F1910" s="601">
        <v>0.37868344444444402</v>
      </c>
      <c r="G1910" s="536" t="s">
        <v>701</v>
      </c>
      <c r="H1910">
        <f>5012.33+454.54</f>
        <v>5466.87</v>
      </c>
    </row>
    <row r="1911" spans="1:8" ht="13.5" customHeight="1">
      <c r="A1911" s="532">
        <v>44376</v>
      </c>
      <c r="B1911" s="615">
        <v>18000</v>
      </c>
      <c r="C1911" s="615">
        <f t="shared" si="211"/>
        <v>19680.720000000005</v>
      </c>
      <c r="D1911" s="532">
        <f t="shared" si="212"/>
        <v>44466</v>
      </c>
      <c r="E1911" s="534">
        <v>90</v>
      </c>
      <c r="F1911" s="601">
        <v>0.37868074074074209</v>
      </c>
      <c r="G1911" s="536" t="s">
        <v>686</v>
      </c>
      <c r="H1911">
        <f>18044.38+1636.34</f>
        <v>19680.72</v>
      </c>
    </row>
    <row r="1912" spans="1:8" ht="13.5" customHeight="1">
      <c r="A1912" s="532">
        <v>44376</v>
      </c>
      <c r="B1912" s="615">
        <v>96350</v>
      </c>
      <c r="C1912" s="615">
        <f t="shared" si="211"/>
        <v>105350.41999999998</v>
      </c>
      <c r="D1912" s="532">
        <f t="shared" si="212"/>
        <v>44466</v>
      </c>
      <c r="E1912" s="534">
        <v>90</v>
      </c>
      <c r="F1912" s="601">
        <v>0.37884487112956144</v>
      </c>
      <c r="G1912" s="536" t="s">
        <v>699</v>
      </c>
      <c r="H1912">
        <v>105346.6</v>
      </c>
    </row>
    <row r="1913" spans="1:8" ht="13.5" customHeight="1">
      <c r="A1913" s="532">
        <v>44375</v>
      </c>
      <c r="B1913" s="615">
        <v>350000</v>
      </c>
      <c r="C1913" s="615">
        <f t="shared" ref="A1913:C1919" si="213">B1913+(B1913*F1913/365*E1913)*1</f>
        <v>383970.75000000012</v>
      </c>
      <c r="D1913" s="532">
        <f t="shared" ref="A1913:D1919" si="214">+A1913+E1913</f>
        <v>44466</v>
      </c>
      <c r="E1913" s="534">
        <v>91</v>
      </c>
      <c r="F1913" s="601">
        <v>0.38930372841444394</v>
      </c>
      <c r="G1913" s="536" t="s">
        <v>700</v>
      </c>
      <c r="H1913">
        <v>383970.75</v>
      </c>
    </row>
    <row r="1914" spans="1:8" ht="13.5" customHeight="1">
      <c r="A1914" s="532">
        <v>44377</v>
      </c>
      <c r="B1914" s="615">
        <v>70000</v>
      </c>
      <c r="C1914" s="615">
        <f t="shared" si="213"/>
        <v>76650.990000000005</v>
      </c>
      <c r="D1914" s="532">
        <f t="shared" si="214"/>
        <v>44467</v>
      </c>
      <c r="E1914" s="534">
        <v>90</v>
      </c>
      <c r="F1914" s="601">
        <v>0.38533513492063548</v>
      </c>
      <c r="G1914" s="536" t="s">
        <v>686</v>
      </c>
      <c r="H1914">
        <f>6478.39+70172.6</f>
        <v>76650.990000000005</v>
      </c>
    </row>
    <row r="1915" spans="1:8" ht="13.5" customHeight="1">
      <c r="A1915" s="532">
        <v>44377</v>
      </c>
      <c r="B1915" s="615">
        <v>40000</v>
      </c>
      <c r="C1915" s="615">
        <f t="shared" si="213"/>
        <v>43801.30999999999</v>
      </c>
      <c r="D1915" s="532">
        <f t="shared" si="214"/>
        <v>44467</v>
      </c>
      <c r="E1915" s="534">
        <v>90</v>
      </c>
      <c r="F1915" s="601">
        <v>0.3854105972222216</v>
      </c>
      <c r="G1915" s="536" t="s">
        <v>687</v>
      </c>
      <c r="H1915">
        <v>43801.31</v>
      </c>
    </row>
    <row r="1916" spans="1:8" ht="13.5" customHeight="1">
      <c r="A1916" s="532">
        <v>44438</v>
      </c>
      <c r="B1916" s="615">
        <v>60000</v>
      </c>
      <c r="C1916" s="615">
        <f t="shared" si="213"/>
        <v>61824.657534246573</v>
      </c>
      <c r="D1916" s="532">
        <f t="shared" si="214"/>
        <v>44468</v>
      </c>
      <c r="E1916" s="534">
        <v>30</v>
      </c>
      <c r="F1916" s="601">
        <v>0.37</v>
      </c>
      <c r="G1916" s="536" t="s">
        <v>276</v>
      </c>
    </row>
    <row r="1917" spans="1:8" ht="13.5" customHeight="1">
      <c r="A1917" s="532">
        <v>44438</v>
      </c>
      <c r="B1917" s="615">
        <v>19400</v>
      </c>
      <c r="C1917" s="615">
        <f t="shared" si="213"/>
        <v>19989.972602739726</v>
      </c>
      <c r="D1917" s="532">
        <f t="shared" si="214"/>
        <v>44468</v>
      </c>
      <c r="E1917" s="534">
        <v>30</v>
      </c>
      <c r="F1917" s="601">
        <v>0.37</v>
      </c>
      <c r="G1917" s="536" t="s">
        <v>695</v>
      </c>
    </row>
    <row r="1918" spans="1:8" ht="13.5" customHeight="1">
      <c r="A1918" s="532">
        <v>44378</v>
      </c>
      <c r="B1918" s="615">
        <v>100000</v>
      </c>
      <c r="C1918" s="615">
        <f t="shared" si="213"/>
        <v>109466.52000000002</v>
      </c>
      <c r="D1918" s="532">
        <f t="shared" si="214"/>
        <v>44468</v>
      </c>
      <c r="E1918" s="534">
        <v>90</v>
      </c>
      <c r="F1918" s="601">
        <v>0.38391997777777853</v>
      </c>
      <c r="G1918" s="536" t="s">
        <v>700</v>
      </c>
      <c r="H1918">
        <v>109466.52</v>
      </c>
    </row>
    <row r="1919" spans="1:8" ht="13.5" customHeight="1">
      <c r="A1919" s="532">
        <v>44439</v>
      </c>
      <c r="B1919" s="615">
        <v>12350</v>
      </c>
      <c r="C1919" s="615">
        <f t="shared" si="213"/>
        <v>12725.575342465754</v>
      </c>
      <c r="D1919" s="532">
        <f t="shared" si="214"/>
        <v>44469</v>
      </c>
      <c r="E1919" s="534">
        <v>30</v>
      </c>
      <c r="F1919" s="601">
        <v>0.37</v>
      </c>
      <c r="G1919" s="536" t="s">
        <v>696</v>
      </c>
    </row>
    <row r="1920" spans="1:8" ht="13.5" customHeight="1">
      <c r="A1920" s="532">
        <v>44441</v>
      </c>
      <c r="B1920" s="615">
        <v>16000</v>
      </c>
      <c r="C1920" s="615">
        <f t="shared" ref="A1920:C1927" si="215">B1920+(B1920*F1920/365*E1920)*1</f>
        <v>16519.013698630137</v>
      </c>
      <c r="D1920" s="532">
        <f t="shared" ref="A1920:D1927" si="216">+A1920+E1920</f>
        <v>44473</v>
      </c>
      <c r="E1920" s="534">
        <v>32</v>
      </c>
      <c r="F1920" s="601">
        <v>0.37</v>
      </c>
      <c r="G1920" s="536" t="s">
        <v>120</v>
      </c>
    </row>
    <row r="1921" spans="1:8" ht="13.5" customHeight="1">
      <c r="A1921" s="532">
        <v>44442</v>
      </c>
      <c r="B1921" s="615">
        <v>10000</v>
      </c>
      <c r="C1921" s="615">
        <f t="shared" si="215"/>
        <v>10314.246575342466</v>
      </c>
      <c r="D1921" s="532">
        <f t="shared" si="216"/>
        <v>44473</v>
      </c>
      <c r="E1921" s="534">
        <v>31</v>
      </c>
      <c r="F1921" s="601">
        <v>0.37</v>
      </c>
      <c r="G1921" s="536" t="s">
        <v>120</v>
      </c>
    </row>
    <row r="1922" spans="1:8" ht="13.5" customHeight="1">
      <c r="A1922" s="532">
        <v>44382</v>
      </c>
      <c r="B1922" s="615">
        <v>100000</v>
      </c>
      <c r="C1922" s="615">
        <f t="shared" si="215"/>
        <v>109498.36</v>
      </c>
      <c r="D1922" s="532">
        <f t="shared" si="216"/>
        <v>44473</v>
      </c>
      <c r="E1922" s="534">
        <v>91</v>
      </c>
      <c r="F1922" s="601">
        <v>0.38097817582417604</v>
      </c>
      <c r="G1922" s="536" t="s">
        <v>686</v>
      </c>
      <c r="H1922">
        <f>100249.32+9249.04</f>
        <v>109498.36000000002</v>
      </c>
    </row>
    <row r="1923" spans="1:8" ht="13.5" customHeight="1">
      <c r="A1923" s="532">
        <v>44441</v>
      </c>
      <c r="B1923" s="615">
        <v>50750</v>
      </c>
      <c r="C1923" s="615">
        <f t="shared" si="215"/>
        <v>52396.246575342462</v>
      </c>
      <c r="D1923" s="532">
        <f t="shared" si="216"/>
        <v>44473</v>
      </c>
      <c r="E1923" s="534">
        <v>32</v>
      </c>
      <c r="F1923" s="601">
        <v>0.37</v>
      </c>
      <c r="G1923" s="536" t="s">
        <v>680</v>
      </c>
    </row>
    <row r="1924" spans="1:8" ht="13.5" customHeight="1">
      <c r="A1924" s="532">
        <v>44384</v>
      </c>
      <c r="B1924" s="615">
        <v>20000</v>
      </c>
      <c r="C1924" s="615">
        <f>B1924+(B1924*F1924/365*E1924)*1</f>
        <v>21859.13</v>
      </c>
      <c r="D1924" s="532">
        <f>+A1924+E1924</f>
        <v>44474</v>
      </c>
      <c r="E1924" s="534">
        <v>90</v>
      </c>
      <c r="F1924" s="601">
        <v>0.37699024999999986</v>
      </c>
      <c r="G1924" s="536" t="s">
        <v>687</v>
      </c>
      <c r="H1924">
        <v>21859.13</v>
      </c>
    </row>
    <row r="1925" spans="1:8" ht="13.5" customHeight="1">
      <c r="A1925" s="532">
        <v>44445</v>
      </c>
      <c r="B1925" s="615">
        <v>50000</v>
      </c>
      <c r="C1925" s="615">
        <f t="shared" si="215"/>
        <v>51520.547945205479</v>
      </c>
      <c r="D1925" s="532">
        <f t="shared" si="216"/>
        <v>44475</v>
      </c>
      <c r="E1925" s="534">
        <v>30</v>
      </c>
      <c r="F1925" s="601">
        <v>0.37</v>
      </c>
      <c r="G1925" s="536" t="s">
        <v>276</v>
      </c>
    </row>
    <row r="1926" spans="1:8" ht="13.5" customHeight="1">
      <c r="A1926" s="532">
        <v>44385</v>
      </c>
      <c r="B1926" s="615">
        <v>30000</v>
      </c>
      <c r="C1926" s="615">
        <f t="shared" si="215"/>
        <v>32778.559999999998</v>
      </c>
      <c r="D1926" s="532">
        <f t="shared" si="216"/>
        <v>44475</v>
      </c>
      <c r="E1926" s="534">
        <v>90</v>
      </c>
      <c r="F1926" s="601">
        <v>0.37562014814814815</v>
      </c>
      <c r="G1926" s="536" t="s">
        <v>686</v>
      </c>
      <c r="H1926">
        <f>30073.97+2704.59</f>
        <v>32778.559999999998</v>
      </c>
    </row>
    <row r="1927" spans="1:8" ht="13.5" customHeight="1">
      <c r="A1927" s="532">
        <v>44445</v>
      </c>
      <c r="B1927" s="615">
        <v>10000</v>
      </c>
      <c r="C1927" s="615">
        <f t="shared" si="215"/>
        <v>10304.109589041096</v>
      </c>
      <c r="D1927" s="532">
        <f t="shared" si="216"/>
        <v>44475</v>
      </c>
      <c r="E1927" s="534">
        <v>30</v>
      </c>
      <c r="F1927" s="601">
        <v>0.37</v>
      </c>
      <c r="G1927" s="536" t="s">
        <v>120</v>
      </c>
    </row>
    <row r="1928" spans="1:8" ht="13.5" customHeight="1">
      <c r="A1928" s="532">
        <v>44445</v>
      </c>
      <c r="B1928" s="615">
        <v>10000</v>
      </c>
      <c r="C1928" s="615">
        <f t="shared" ref="A1928:C1945" si="217">B1928+(B1928*F1928/365*E1928)*1</f>
        <v>10304.109589041096</v>
      </c>
      <c r="D1928" s="532">
        <f t="shared" ref="A1928:D1945" si="218">+A1928+E1928</f>
        <v>44475</v>
      </c>
      <c r="E1928" s="534">
        <v>30</v>
      </c>
      <c r="F1928" s="601">
        <v>0.37</v>
      </c>
      <c r="G1928" s="536" t="s">
        <v>695</v>
      </c>
    </row>
    <row r="1929" spans="1:8" ht="13.5" customHeight="1">
      <c r="A1929" s="532">
        <v>44445</v>
      </c>
      <c r="B1929" s="615">
        <v>23000</v>
      </c>
      <c r="C1929" s="615">
        <f t="shared" si="217"/>
        <v>23699.452054794521</v>
      </c>
      <c r="D1929" s="532">
        <f t="shared" si="218"/>
        <v>44475</v>
      </c>
      <c r="E1929" s="534">
        <v>30</v>
      </c>
      <c r="F1929" s="601">
        <v>0.37</v>
      </c>
      <c r="G1929" s="536" t="s">
        <v>697</v>
      </c>
    </row>
    <row r="1930" spans="1:8" ht="13.5" customHeight="1">
      <c r="A1930" s="532">
        <v>44445</v>
      </c>
      <c r="B1930" s="615">
        <v>22000</v>
      </c>
      <c r="C1930" s="615">
        <f t="shared" si="217"/>
        <v>22669.04109589041</v>
      </c>
      <c r="D1930" s="532">
        <f t="shared" si="218"/>
        <v>44475</v>
      </c>
      <c r="E1930" s="534">
        <v>30</v>
      </c>
      <c r="F1930" s="601">
        <v>0.37</v>
      </c>
      <c r="G1930" s="536" t="s">
        <v>696</v>
      </c>
    </row>
    <row r="1931" spans="1:8" ht="13.5" customHeight="1">
      <c r="A1931" s="532">
        <v>44447</v>
      </c>
      <c r="B1931" s="615">
        <v>600000</v>
      </c>
      <c r="C1931" s="615">
        <f t="shared" si="217"/>
        <v>620679.45205479453</v>
      </c>
      <c r="D1931" s="532">
        <f t="shared" si="218"/>
        <v>44481</v>
      </c>
      <c r="E1931" s="534">
        <v>34</v>
      </c>
      <c r="F1931" s="601">
        <v>0.37</v>
      </c>
      <c r="G1931" s="536" t="s">
        <v>120</v>
      </c>
    </row>
    <row r="1932" spans="1:8" ht="13.5" customHeight="1">
      <c r="A1932" s="532">
        <v>44448</v>
      </c>
      <c r="B1932" s="615">
        <v>50000</v>
      </c>
      <c r="C1932" s="615">
        <f t="shared" si="217"/>
        <v>51672.602739726026</v>
      </c>
      <c r="D1932" s="532">
        <f t="shared" si="218"/>
        <v>44481</v>
      </c>
      <c r="E1932" s="534">
        <v>33</v>
      </c>
      <c r="F1932" s="601">
        <v>0.37</v>
      </c>
      <c r="G1932" s="536" t="s">
        <v>120</v>
      </c>
    </row>
    <row r="1933" spans="1:8" ht="13.5" customHeight="1">
      <c r="A1933" s="532">
        <v>44449</v>
      </c>
      <c r="B1933" s="615">
        <v>18000</v>
      </c>
      <c r="C1933" s="615">
        <f t="shared" si="217"/>
        <v>18583.890410958906</v>
      </c>
      <c r="D1933" s="532">
        <f t="shared" si="218"/>
        <v>44481</v>
      </c>
      <c r="E1933" s="534">
        <v>32</v>
      </c>
      <c r="F1933" s="601">
        <v>0.37</v>
      </c>
      <c r="G1933" s="536" t="s">
        <v>120</v>
      </c>
    </row>
    <row r="1934" spans="1:8" ht="13.5" customHeight="1">
      <c r="A1934" s="532">
        <v>44391</v>
      </c>
      <c r="B1934" s="615">
        <v>69000</v>
      </c>
      <c r="C1934" s="615">
        <f t="shared" si="217"/>
        <v>75031.59</v>
      </c>
      <c r="D1934" s="532">
        <f t="shared" si="218"/>
        <v>44481</v>
      </c>
      <c r="E1934" s="534">
        <v>90</v>
      </c>
      <c r="F1934" s="601">
        <v>0.35451374396135277</v>
      </c>
      <c r="G1934" s="536" t="s">
        <v>686</v>
      </c>
      <c r="H1934">
        <f>69170.14+5861.45</f>
        <v>75031.59</v>
      </c>
    </row>
    <row r="1935" spans="1:8" ht="13.5" customHeight="1">
      <c r="A1935" s="532">
        <v>44447</v>
      </c>
      <c r="B1935" s="615">
        <v>100000</v>
      </c>
      <c r="C1935" s="615">
        <f t="shared" si="217"/>
        <v>103446.57534246576</v>
      </c>
      <c r="D1935" s="532">
        <f t="shared" si="218"/>
        <v>44481</v>
      </c>
      <c r="E1935" s="534">
        <v>34</v>
      </c>
      <c r="F1935" s="601">
        <v>0.37</v>
      </c>
      <c r="G1935" s="536" t="s">
        <v>276</v>
      </c>
    </row>
    <row r="1936" spans="1:8" ht="13.5" customHeight="1">
      <c r="A1936" s="532">
        <v>44449</v>
      </c>
      <c r="B1936" s="615">
        <v>34000</v>
      </c>
      <c r="C1936" s="615">
        <f t="shared" si="217"/>
        <v>35102.904109589042</v>
      </c>
      <c r="D1936" s="532">
        <f t="shared" si="218"/>
        <v>44481</v>
      </c>
      <c r="E1936" s="534">
        <v>32</v>
      </c>
      <c r="F1936" s="601">
        <v>0.37</v>
      </c>
      <c r="G1936" s="536" t="s">
        <v>276</v>
      </c>
    </row>
    <row r="1937" spans="1:8 16384:16384" ht="13.5" customHeight="1">
      <c r="A1937" s="532">
        <v>44447</v>
      </c>
      <c r="B1937" s="615">
        <v>43300</v>
      </c>
      <c r="C1937" s="615">
        <f t="shared" si="217"/>
        <v>44792.367123287673</v>
      </c>
      <c r="D1937" s="532">
        <f t="shared" si="218"/>
        <v>44481</v>
      </c>
      <c r="E1937" s="534">
        <v>34</v>
      </c>
      <c r="F1937" s="601">
        <v>0.37</v>
      </c>
      <c r="G1937" s="536" t="s">
        <v>680</v>
      </c>
    </row>
    <row r="1938" spans="1:8 16384:16384" ht="13.5" customHeight="1">
      <c r="A1938" s="532">
        <v>44391</v>
      </c>
      <c r="B1938" s="615">
        <v>40000</v>
      </c>
      <c r="C1938" s="615">
        <f t="shared" si="217"/>
        <v>43607.13</v>
      </c>
      <c r="D1938" s="532">
        <f t="shared" si="218"/>
        <v>44481</v>
      </c>
      <c r="E1938" s="534">
        <v>90</v>
      </c>
      <c r="F1938" s="601">
        <v>0.36572290277777725</v>
      </c>
      <c r="G1938" s="536" t="s">
        <v>701</v>
      </c>
      <c r="H1938">
        <f>40098.63+3508.5</f>
        <v>43607.13</v>
      </c>
    </row>
    <row r="1939" spans="1:8 16384:16384" ht="13.5" customHeight="1">
      <c r="A1939" s="532">
        <v>44390</v>
      </c>
      <c r="B1939" s="615">
        <v>40730</v>
      </c>
      <c r="C1939" s="615">
        <f t="shared" si="217"/>
        <v>44229.490000000005</v>
      </c>
      <c r="D1939" s="532">
        <f t="shared" si="218"/>
        <v>44481</v>
      </c>
      <c r="E1939" s="534">
        <v>91</v>
      </c>
      <c r="F1939" s="601">
        <v>0.34462106393483843</v>
      </c>
      <c r="G1939" s="536" t="s">
        <v>701</v>
      </c>
      <c r="H1939">
        <f>40831.55+3397.94</f>
        <v>44229.490000000005</v>
      </c>
    </row>
    <row r="1940" spans="1:8 16384:16384" ht="13.5" customHeight="1">
      <c r="A1940" s="532">
        <v>44448</v>
      </c>
      <c r="B1940" s="615">
        <v>97000</v>
      </c>
      <c r="C1940" s="615">
        <f t="shared" si="217"/>
        <v>100244.8493150685</v>
      </c>
      <c r="D1940" s="532">
        <f t="shared" si="218"/>
        <v>44481</v>
      </c>
      <c r="E1940" s="534">
        <v>33</v>
      </c>
      <c r="F1940" s="601">
        <v>0.37</v>
      </c>
      <c r="G1940" s="536" t="s">
        <v>695</v>
      </c>
    </row>
    <row r="1941" spans="1:8 16384:16384" ht="13.5" customHeight="1">
      <c r="A1941" s="532">
        <v>44389</v>
      </c>
      <c r="B1941" s="615">
        <v>4500</v>
      </c>
      <c r="C1941" s="615">
        <f t="shared" si="217"/>
        <v>4919.91</v>
      </c>
      <c r="D1941" s="532">
        <f t="shared" si="218"/>
        <v>44481</v>
      </c>
      <c r="E1941" s="534">
        <v>92</v>
      </c>
      <c r="F1941" s="601">
        <v>0.3702105072463765</v>
      </c>
      <c r="G1941" s="536" t="s">
        <v>698</v>
      </c>
      <c r="H1941">
        <f>4511.34+408.57</f>
        <v>4919.91</v>
      </c>
    </row>
    <row r="1942" spans="1:8 16384:16384" ht="13.5" customHeight="1">
      <c r="A1942" s="532">
        <v>44390</v>
      </c>
      <c r="B1942" s="615">
        <v>17050</v>
      </c>
      <c r="C1942" s="615">
        <f t="shared" si="217"/>
        <v>18561.239999999994</v>
      </c>
      <c r="D1942" s="532">
        <f t="shared" si="218"/>
        <v>44481</v>
      </c>
      <c r="E1942" s="534">
        <v>91</v>
      </c>
      <c r="F1942" s="601">
        <v>0.3555171280332558</v>
      </c>
      <c r="G1942" s="536" t="s">
        <v>698</v>
      </c>
      <c r="H1942">
        <f>17092.55+1468.69</f>
        <v>18561.239999999998</v>
      </c>
    </row>
    <row r="1943" spans="1:8 16384:16384" ht="13.5" customHeight="1">
      <c r="A1943" s="532">
        <v>44389</v>
      </c>
      <c r="B1943" s="615">
        <v>26820</v>
      </c>
      <c r="C1943" s="615">
        <f t="shared" si="217"/>
        <v>29322.880000000001</v>
      </c>
      <c r="D1943" s="532">
        <f t="shared" si="218"/>
        <v>44481</v>
      </c>
      <c r="E1943" s="534">
        <v>92</v>
      </c>
      <c r="F1943" s="601">
        <v>0.37024251856174822</v>
      </c>
      <c r="G1943" s="536" t="s">
        <v>681</v>
      </c>
      <c r="H1943">
        <f>29248.72+74.16</f>
        <v>29322.880000000001</v>
      </c>
      <c r="XFD1943">
        <f>SUM(B1943:XFC1943)</f>
        <v>130039.13024251857</v>
      </c>
    </row>
    <row r="1944" spans="1:8 16384:16384" ht="13.5" customHeight="1">
      <c r="A1944" s="532">
        <v>44391</v>
      </c>
      <c r="B1944" s="615">
        <v>35250</v>
      </c>
      <c r="C1944" s="615">
        <f t="shared" si="217"/>
        <v>38331.350000000006</v>
      </c>
      <c r="D1944" s="532">
        <f t="shared" si="218"/>
        <v>44481</v>
      </c>
      <c r="E1944" s="534">
        <v>90</v>
      </c>
      <c r="F1944" s="601">
        <v>0.35451308116627311</v>
      </c>
      <c r="G1944" s="536" t="s">
        <v>699</v>
      </c>
      <c r="H1944">
        <v>38331.35</v>
      </c>
    </row>
    <row r="1945" spans="1:8 16384:16384" ht="13.5" customHeight="1">
      <c r="A1945" s="532">
        <v>44389</v>
      </c>
      <c r="B1945" s="615">
        <v>38190</v>
      </c>
      <c r="C1945" s="615">
        <f t="shared" si="217"/>
        <v>41753.660000000003</v>
      </c>
      <c r="D1945" s="532">
        <f t="shared" si="218"/>
        <v>44481</v>
      </c>
      <c r="E1945" s="534">
        <v>92</v>
      </c>
      <c r="F1945" s="601">
        <v>0.37021297972380696</v>
      </c>
      <c r="G1945" s="536" t="s">
        <v>699</v>
      </c>
      <c r="H1945">
        <v>41753.660000000003</v>
      </c>
    </row>
    <row r="1946" spans="1:8 16384:16384" ht="13.5" customHeight="1">
      <c r="A1946" s="532">
        <v>44392</v>
      </c>
      <c r="B1946" s="615">
        <v>45000</v>
      </c>
      <c r="C1946" s="615">
        <f t="shared" ref="A1946:C1952" si="219">B1946+(B1946*F1946/365*E1946)*1</f>
        <v>49082.65</v>
      </c>
      <c r="D1946" s="532">
        <f t="shared" ref="A1946:D1952" si="220">+A1946+E1946</f>
        <v>44482</v>
      </c>
      <c r="E1946" s="534">
        <v>90</v>
      </c>
      <c r="F1946" s="601">
        <v>0.36794253086419759</v>
      </c>
      <c r="G1946" s="536" t="s">
        <v>686</v>
      </c>
      <c r="H1946">
        <f>45110.96+3971.69</f>
        <v>49082.65</v>
      </c>
    </row>
    <row r="1947" spans="1:8 16384:16384" ht="13.5" customHeight="1">
      <c r="A1947" s="532">
        <v>44452</v>
      </c>
      <c r="B1947" s="615">
        <v>80000</v>
      </c>
      <c r="C1947" s="615">
        <f t="shared" si="219"/>
        <v>82432.876712328769</v>
      </c>
      <c r="D1947" s="532">
        <f t="shared" si="220"/>
        <v>44482</v>
      </c>
      <c r="E1947" s="534">
        <v>30</v>
      </c>
      <c r="F1947" s="601">
        <v>0.37</v>
      </c>
      <c r="G1947" s="536" t="s">
        <v>680</v>
      </c>
    </row>
    <row r="1948" spans="1:8 16384:16384" ht="13.5" customHeight="1">
      <c r="A1948" s="532">
        <v>44452</v>
      </c>
      <c r="B1948" s="615">
        <v>250000</v>
      </c>
      <c r="C1948" s="615">
        <f t="shared" si="219"/>
        <v>257602.73972602739</v>
      </c>
      <c r="D1948" s="532">
        <f t="shared" si="220"/>
        <v>44482</v>
      </c>
      <c r="E1948" s="534">
        <v>30</v>
      </c>
      <c r="F1948" s="601">
        <v>0.37</v>
      </c>
      <c r="G1948" s="536" t="s">
        <v>695</v>
      </c>
    </row>
    <row r="1949" spans="1:8 16384:16384" ht="13.5" customHeight="1">
      <c r="A1949" s="532">
        <v>44392</v>
      </c>
      <c r="B1949" s="615">
        <v>25000</v>
      </c>
      <c r="C1949" s="615">
        <f t="shared" si="219"/>
        <v>27268.13</v>
      </c>
      <c r="D1949" s="532">
        <f t="shared" si="220"/>
        <v>44482</v>
      </c>
      <c r="E1949" s="534">
        <v>90</v>
      </c>
      <c r="F1949" s="601">
        <v>0.36794108888888916</v>
      </c>
      <c r="G1949" s="536" t="s">
        <v>698</v>
      </c>
      <c r="H1949">
        <f>25061.64+2206.49</f>
        <v>27268.129999999997</v>
      </c>
    </row>
    <row r="1950" spans="1:8 16384:16384" ht="13.5" customHeight="1">
      <c r="A1950" s="532">
        <v>44453</v>
      </c>
      <c r="B1950" s="615">
        <v>17000</v>
      </c>
      <c r="C1950" s="615">
        <f t="shared" si="219"/>
        <v>17516.986301369863</v>
      </c>
      <c r="D1950" s="532">
        <f t="shared" si="220"/>
        <v>44483</v>
      </c>
      <c r="E1950" s="534">
        <v>30</v>
      </c>
      <c r="F1950" s="601">
        <v>0.37</v>
      </c>
      <c r="G1950" s="536" t="s">
        <v>695</v>
      </c>
    </row>
    <row r="1951" spans="1:8 16384:16384" ht="13.5" customHeight="1">
      <c r="A1951" s="532">
        <v>44453</v>
      </c>
      <c r="B1951" s="615">
        <v>10000</v>
      </c>
      <c r="C1951" s="615">
        <f t="shared" si="219"/>
        <v>10304.109589041096</v>
      </c>
      <c r="D1951" s="532">
        <f t="shared" si="220"/>
        <v>44483</v>
      </c>
      <c r="E1951" s="534">
        <v>30</v>
      </c>
      <c r="F1951" s="601">
        <v>0.37</v>
      </c>
      <c r="G1951" s="536" t="s">
        <v>276</v>
      </c>
    </row>
    <row r="1952" spans="1:8 16384:16384" ht="13.5" customHeight="1">
      <c r="A1952" s="532">
        <v>44393</v>
      </c>
      <c r="B1952" s="615">
        <v>7000</v>
      </c>
      <c r="C1952" s="615">
        <f t="shared" si="219"/>
        <v>7632.7</v>
      </c>
      <c r="D1952" s="532">
        <f t="shared" si="220"/>
        <v>44483</v>
      </c>
      <c r="E1952" s="534">
        <v>90</v>
      </c>
      <c r="F1952" s="601">
        <v>0.36656428571428556</v>
      </c>
      <c r="G1952" s="536" t="s">
        <v>686</v>
      </c>
      <c r="H1952">
        <f>7017.26+615.44</f>
        <v>7632.7000000000007</v>
      </c>
    </row>
    <row r="1953" spans="1:8" ht="13.5" customHeight="1">
      <c r="A1953" s="532">
        <v>44455</v>
      </c>
      <c r="B1953" s="615">
        <v>55000</v>
      </c>
      <c r="C1953" s="615">
        <f t="shared" ref="A1953:C1960" si="221">B1953+(B1953*F1953/365*E1953)*1</f>
        <v>56784.109589041094</v>
      </c>
      <c r="D1953" s="532">
        <f t="shared" ref="A1953:D1960" si="222">+A1953+E1953</f>
        <v>44487</v>
      </c>
      <c r="E1953" s="534">
        <v>32</v>
      </c>
      <c r="F1953" s="601">
        <v>0.37</v>
      </c>
      <c r="G1953" s="536" t="s">
        <v>695</v>
      </c>
    </row>
    <row r="1954" spans="1:8" ht="13.5" customHeight="1">
      <c r="A1954" s="532">
        <v>44456</v>
      </c>
      <c r="B1954" s="615">
        <v>24800</v>
      </c>
      <c r="C1954" s="615">
        <f t="shared" si="221"/>
        <v>25579.331506849314</v>
      </c>
      <c r="D1954" s="532">
        <f t="shared" si="222"/>
        <v>44487</v>
      </c>
      <c r="E1954" s="534">
        <v>31</v>
      </c>
      <c r="F1954" s="601">
        <v>0.37</v>
      </c>
      <c r="G1954" s="536" t="s">
        <v>680</v>
      </c>
    </row>
    <row r="1955" spans="1:8" ht="13.5" customHeight="1">
      <c r="A1955" s="532">
        <v>44456</v>
      </c>
      <c r="B1955" s="615">
        <v>17900</v>
      </c>
      <c r="C1955" s="615">
        <f t="shared" si="221"/>
        <v>18462.501369863014</v>
      </c>
      <c r="D1955" s="532">
        <f t="shared" si="222"/>
        <v>44487</v>
      </c>
      <c r="E1955" s="534">
        <v>31</v>
      </c>
      <c r="F1955" s="601">
        <v>0.37</v>
      </c>
      <c r="G1955" s="536" t="s">
        <v>697</v>
      </c>
    </row>
    <row r="1956" spans="1:8" ht="13.5" customHeight="1">
      <c r="A1956" s="532">
        <v>44456</v>
      </c>
      <c r="B1956" s="615">
        <v>72000</v>
      </c>
      <c r="C1956" s="615">
        <f t="shared" si="221"/>
        <v>74262.57534246576</v>
      </c>
      <c r="D1956" s="532">
        <f t="shared" si="222"/>
        <v>44487</v>
      </c>
      <c r="E1956" s="534">
        <v>31</v>
      </c>
      <c r="F1956" s="601">
        <v>0.37</v>
      </c>
      <c r="G1956" s="536" t="s">
        <v>696</v>
      </c>
    </row>
    <row r="1957" spans="1:8" ht="13.5" customHeight="1">
      <c r="A1957" s="532">
        <v>44456</v>
      </c>
      <c r="B1957" s="615">
        <v>20000</v>
      </c>
      <c r="C1957" s="615">
        <f t="shared" si="221"/>
        <v>20628.493150684932</v>
      </c>
      <c r="D1957" s="532">
        <f t="shared" si="222"/>
        <v>44487</v>
      </c>
      <c r="E1957" s="534">
        <v>31</v>
      </c>
      <c r="F1957" s="601">
        <v>0.37</v>
      </c>
      <c r="G1957" s="536" t="s">
        <v>120</v>
      </c>
    </row>
    <row r="1958" spans="1:8" ht="13.5" customHeight="1">
      <c r="A1958" s="532">
        <v>44459</v>
      </c>
      <c r="B1958" s="615">
        <v>80000</v>
      </c>
      <c r="C1958" s="615">
        <f t="shared" si="221"/>
        <v>82432.876712328769</v>
      </c>
      <c r="D1958" s="532">
        <f t="shared" si="222"/>
        <v>44489</v>
      </c>
      <c r="E1958" s="534">
        <v>30</v>
      </c>
      <c r="F1958" s="601">
        <v>0.37</v>
      </c>
      <c r="G1958" s="536" t="s">
        <v>276</v>
      </c>
    </row>
    <row r="1959" spans="1:8" ht="13.5" customHeight="1">
      <c r="A1959" s="532">
        <v>44459</v>
      </c>
      <c r="B1959" s="615">
        <v>92500</v>
      </c>
      <c r="C1959" s="615">
        <f t="shared" si="221"/>
        <v>95313.013698630137</v>
      </c>
      <c r="D1959" s="532">
        <f t="shared" si="222"/>
        <v>44489</v>
      </c>
      <c r="E1959" s="534">
        <v>30</v>
      </c>
      <c r="F1959" s="601">
        <v>0.37</v>
      </c>
      <c r="G1959" s="536" t="s">
        <v>696</v>
      </c>
    </row>
    <row r="1960" spans="1:8" ht="13.5" customHeight="1">
      <c r="A1960" s="532">
        <v>44459</v>
      </c>
      <c r="B1960" s="615">
        <v>78500</v>
      </c>
      <c r="C1960" s="615">
        <f t="shared" si="221"/>
        <v>80887.260273972599</v>
      </c>
      <c r="D1960" s="532">
        <f t="shared" si="222"/>
        <v>44489</v>
      </c>
      <c r="E1960" s="534">
        <v>30</v>
      </c>
      <c r="F1960" s="601">
        <v>0.37</v>
      </c>
      <c r="G1960" s="536" t="s">
        <v>695</v>
      </c>
    </row>
    <row r="1961" spans="1:8" ht="13.5" customHeight="1">
      <c r="A1961" s="532">
        <v>44459</v>
      </c>
      <c r="B1961" s="615">
        <v>670000</v>
      </c>
      <c r="C1961" s="615">
        <f t="shared" ref="A1961:C1968" si="223">B1961+(B1961*F1961/365*E1961)*1</f>
        <v>690375.34246575343</v>
      </c>
      <c r="D1961" s="532">
        <f t="shared" ref="A1961:D1968" si="224">+A1961+E1961</f>
        <v>44489</v>
      </c>
      <c r="E1961" s="534">
        <v>30</v>
      </c>
      <c r="F1961" s="601">
        <v>0.37</v>
      </c>
      <c r="G1961" s="536" t="s">
        <v>540</v>
      </c>
    </row>
    <row r="1962" spans="1:8" ht="13.5" customHeight="1">
      <c r="A1962" s="532">
        <v>44459</v>
      </c>
      <c r="B1962" s="615">
        <v>35000</v>
      </c>
      <c r="C1962" s="615">
        <f>B1962+(B1962*F1962/365*E1962)*1</f>
        <v>36064.383561643837</v>
      </c>
      <c r="D1962" s="532">
        <f>+A1962+E1962</f>
        <v>44489</v>
      </c>
      <c r="E1962" s="534">
        <v>30</v>
      </c>
      <c r="F1962" s="601">
        <v>0.37</v>
      </c>
      <c r="G1962" s="536" t="s">
        <v>540</v>
      </c>
    </row>
    <row r="1963" spans="1:8" ht="13.5" customHeight="1">
      <c r="A1963" s="532">
        <v>44460</v>
      </c>
      <c r="B1963" s="615">
        <v>17900</v>
      </c>
      <c r="C1963" s="615">
        <f t="shared" si="223"/>
        <v>18444.35616438356</v>
      </c>
      <c r="D1963" s="532">
        <f t="shared" si="224"/>
        <v>44490</v>
      </c>
      <c r="E1963" s="534">
        <v>30</v>
      </c>
      <c r="F1963" s="601">
        <v>0.37</v>
      </c>
      <c r="G1963" s="536" t="s">
        <v>680</v>
      </c>
    </row>
    <row r="1964" spans="1:8" ht="13.5" customHeight="1">
      <c r="A1964" s="532">
        <v>44460</v>
      </c>
      <c r="B1964" s="615">
        <v>23400</v>
      </c>
      <c r="C1964" s="615">
        <f t="shared" si="223"/>
        <v>24111.616438356163</v>
      </c>
      <c r="D1964" s="532">
        <f t="shared" si="224"/>
        <v>44490</v>
      </c>
      <c r="E1964" s="534">
        <v>30</v>
      </c>
      <c r="F1964" s="601">
        <v>0.37</v>
      </c>
      <c r="G1964" s="536" t="s">
        <v>695</v>
      </c>
    </row>
    <row r="1965" spans="1:8" ht="13.5" customHeight="1">
      <c r="A1965" s="532">
        <v>44400</v>
      </c>
      <c r="B1965" s="615">
        <v>41700</v>
      </c>
      <c r="C1965" s="615">
        <f t="shared" si="223"/>
        <v>45473.26</v>
      </c>
      <c r="D1965" s="532">
        <f t="shared" si="224"/>
        <v>44490</v>
      </c>
      <c r="E1965" s="534">
        <v>90</v>
      </c>
      <c r="F1965" s="601">
        <v>0.36697039701572093</v>
      </c>
      <c r="G1965" s="536" t="s">
        <v>698</v>
      </c>
      <c r="H1965">
        <f>41802.82+3670.44</f>
        <v>45473.26</v>
      </c>
    </row>
    <row r="1966" spans="1:8" ht="13.5" customHeight="1">
      <c r="A1966" s="532">
        <v>44460</v>
      </c>
      <c r="B1966" s="615">
        <v>25000</v>
      </c>
      <c r="C1966" s="615">
        <f t="shared" si="223"/>
        <v>25760.273972602739</v>
      </c>
      <c r="D1966" s="532">
        <f t="shared" si="224"/>
        <v>44490</v>
      </c>
      <c r="E1966" s="534">
        <v>30</v>
      </c>
      <c r="F1966" s="601">
        <v>0.37</v>
      </c>
      <c r="G1966" s="536" t="s">
        <v>276</v>
      </c>
    </row>
    <row r="1967" spans="1:8" ht="13.5" customHeight="1">
      <c r="A1967" s="532">
        <v>44461</v>
      </c>
      <c r="B1967" s="615">
        <v>21300</v>
      </c>
      <c r="C1967" s="615">
        <f t="shared" si="223"/>
        <v>21947.753424657534</v>
      </c>
      <c r="D1967" s="532">
        <f t="shared" si="224"/>
        <v>44491</v>
      </c>
      <c r="E1967" s="534">
        <v>30</v>
      </c>
      <c r="F1967" s="601">
        <v>0.37</v>
      </c>
      <c r="G1967" s="536" t="s">
        <v>697</v>
      </c>
      <c r="H1967">
        <f>21300+647.75</f>
        <v>21947.75</v>
      </c>
    </row>
    <row r="1968" spans="1:8" ht="13.5" customHeight="1">
      <c r="A1968" s="532">
        <v>44461</v>
      </c>
      <c r="B1968" s="615">
        <v>52000</v>
      </c>
      <c r="C1968" s="615">
        <f t="shared" si="223"/>
        <v>53581.369863013701</v>
      </c>
      <c r="D1968" s="532">
        <f t="shared" si="224"/>
        <v>44491</v>
      </c>
      <c r="E1968" s="534">
        <v>30</v>
      </c>
      <c r="F1968" s="601">
        <v>0.37</v>
      </c>
      <c r="G1968" s="536" t="s">
        <v>276</v>
      </c>
    </row>
    <row r="1969" spans="1:8" ht="13.5" customHeight="1">
      <c r="A1969" s="532">
        <v>44404</v>
      </c>
      <c r="B1969" s="615">
        <v>50180</v>
      </c>
      <c r="C1969" s="615">
        <f t="shared" ref="A1969:C1975" si="225">B1969+(B1969*F1969/365*E1969)*1</f>
        <v>54618.23000000001</v>
      </c>
      <c r="D1969" s="532">
        <f t="shared" ref="A1969:D1975" si="226">+A1969+E1969</f>
        <v>44494</v>
      </c>
      <c r="E1969" s="534">
        <v>90</v>
      </c>
      <c r="F1969" s="601">
        <v>0.3586984522386083</v>
      </c>
      <c r="G1969" s="536" t="s">
        <v>698</v>
      </c>
      <c r="H1969">
        <f>50303.73+4314.5</f>
        <v>54618.23</v>
      </c>
    </row>
    <row r="1970" spans="1:8" ht="13.5" customHeight="1">
      <c r="A1970" s="532">
        <v>44462</v>
      </c>
      <c r="B1970" s="615">
        <v>50000</v>
      </c>
      <c r="C1970" s="615">
        <f t="shared" si="225"/>
        <v>51621.917808219179</v>
      </c>
      <c r="D1970" s="532">
        <f t="shared" si="226"/>
        <v>44494</v>
      </c>
      <c r="E1970" s="534">
        <v>32</v>
      </c>
      <c r="F1970" s="601">
        <v>0.37</v>
      </c>
      <c r="G1970" s="536" t="s">
        <v>695</v>
      </c>
    </row>
    <row r="1971" spans="1:8" ht="13.5" customHeight="1">
      <c r="A1971" s="532">
        <v>44462</v>
      </c>
      <c r="B1971" s="615">
        <v>30700</v>
      </c>
      <c r="C1971" s="615">
        <f t="shared" si="225"/>
        <v>31695.857534246574</v>
      </c>
      <c r="D1971" s="532">
        <f t="shared" si="226"/>
        <v>44494</v>
      </c>
      <c r="E1971" s="534">
        <v>32</v>
      </c>
      <c r="F1971" s="601">
        <v>0.37</v>
      </c>
      <c r="G1971" s="536" t="s">
        <v>696</v>
      </c>
    </row>
    <row r="1972" spans="1:8" ht="13.5" customHeight="1">
      <c r="A1972" s="532">
        <v>44404</v>
      </c>
      <c r="B1972" s="615">
        <v>24000</v>
      </c>
      <c r="C1972" s="615">
        <f t="shared" si="225"/>
        <v>26122.709999999995</v>
      </c>
      <c r="D1972" s="532">
        <f t="shared" si="226"/>
        <v>44494</v>
      </c>
      <c r="E1972" s="534">
        <v>90</v>
      </c>
      <c r="F1972" s="601">
        <v>0.35869868055555459</v>
      </c>
      <c r="G1972" s="536" t="s">
        <v>699</v>
      </c>
      <c r="H1972">
        <v>26122.71</v>
      </c>
    </row>
    <row r="1973" spans="1:8" ht="13.5" customHeight="1">
      <c r="A1973" s="532">
        <v>44403</v>
      </c>
      <c r="B1973" s="615">
        <v>14000</v>
      </c>
      <c r="C1973" s="615">
        <f t="shared" si="225"/>
        <v>15286.28</v>
      </c>
      <c r="D1973" s="532">
        <f t="shared" si="226"/>
        <v>44494</v>
      </c>
      <c r="E1973" s="534">
        <v>91</v>
      </c>
      <c r="F1973" s="601">
        <v>0.36851821036106752</v>
      </c>
      <c r="G1973" s="536" t="s">
        <v>699</v>
      </c>
      <c r="H1973">
        <v>15286.28</v>
      </c>
    </row>
    <row r="1974" spans="1:8" ht="13.5" customHeight="1">
      <c r="A1974" s="532">
        <v>44403</v>
      </c>
      <c r="B1974" s="615">
        <v>50000</v>
      </c>
      <c r="C1974" s="615">
        <f t="shared" si="225"/>
        <v>54594.29</v>
      </c>
      <c r="D1974" s="532">
        <f t="shared" si="226"/>
        <v>44494</v>
      </c>
      <c r="E1974" s="534">
        <v>91</v>
      </c>
      <c r="F1974" s="601">
        <v>0.36855293406593409</v>
      </c>
      <c r="G1974" s="536" t="s">
        <v>687</v>
      </c>
      <c r="H1974">
        <v>54594.29</v>
      </c>
    </row>
    <row r="1975" spans="1:8" ht="13.5" customHeight="1">
      <c r="A1975" s="532">
        <v>44404</v>
      </c>
      <c r="B1975" s="615">
        <v>65000</v>
      </c>
      <c r="C1975" s="615">
        <f t="shared" si="225"/>
        <v>70749.069999999992</v>
      </c>
      <c r="D1975" s="532">
        <f t="shared" si="226"/>
        <v>44494</v>
      </c>
      <c r="E1975" s="534">
        <v>90</v>
      </c>
      <c r="F1975" s="601">
        <v>0.3587026581196579</v>
      </c>
      <c r="G1975" s="536" t="s">
        <v>700</v>
      </c>
      <c r="H1975">
        <v>70749.070000000007</v>
      </c>
    </row>
    <row r="1976" spans="1:8" ht="13.5" customHeight="1">
      <c r="A1976" s="532">
        <v>44405</v>
      </c>
      <c r="B1976" s="615">
        <v>65000</v>
      </c>
      <c r="C1976" s="615">
        <f t="shared" ref="A1976:C1984" si="227">B1976+(B1976*F1976/365*E1976)*1</f>
        <v>70923</v>
      </c>
      <c r="D1976" s="532">
        <f t="shared" ref="A1976:D1984" si="228">+A1976+E1976</f>
        <v>44495</v>
      </c>
      <c r="E1976" s="534">
        <v>90</v>
      </c>
      <c r="F1976" s="601">
        <v>0.36955470085470093</v>
      </c>
      <c r="G1976" s="536" t="s">
        <v>686</v>
      </c>
      <c r="H1976">
        <f>65160.27+5762.73</f>
        <v>70923</v>
      </c>
    </row>
    <row r="1977" spans="1:8" ht="13.5" customHeight="1">
      <c r="A1977" s="532">
        <v>44405</v>
      </c>
      <c r="B1977" s="615">
        <v>100850</v>
      </c>
      <c r="C1977" s="615">
        <f t="shared" si="227"/>
        <v>110039.77</v>
      </c>
      <c r="D1977" s="532">
        <f t="shared" si="228"/>
        <v>44495</v>
      </c>
      <c r="E1977" s="534">
        <v>90</v>
      </c>
      <c r="F1977" s="601">
        <v>0.36955501019115305</v>
      </c>
      <c r="G1977" s="536" t="s">
        <v>698</v>
      </c>
      <c r="H1977">
        <f>101098.67+8941.1</f>
        <v>110039.77</v>
      </c>
    </row>
    <row r="1978" spans="1:8" ht="13.5" customHeight="1">
      <c r="A1978" s="532">
        <v>44405</v>
      </c>
      <c r="B1978" s="615">
        <v>130000</v>
      </c>
      <c r="C1978" s="615">
        <f>B1978+(B1978*F1978/365*E1978)*1</f>
        <v>141846.53</v>
      </c>
      <c r="D1978" s="532">
        <f>+A1978+E1978</f>
        <v>44495</v>
      </c>
      <c r="E1978" s="534">
        <v>90</v>
      </c>
      <c r="F1978" s="601">
        <v>0.36957123504273509</v>
      </c>
      <c r="G1978" s="536" t="s">
        <v>700</v>
      </c>
      <c r="H1978">
        <v>141846.53</v>
      </c>
    </row>
    <row r="1979" spans="1:8" ht="13.5" customHeight="1">
      <c r="A1979" s="532">
        <v>44466</v>
      </c>
      <c r="B1979" s="615">
        <v>213000</v>
      </c>
      <c r="C1979" s="615">
        <f>B1979+(B1979*F1979/365*E1979)*1</f>
        <v>219477.53424657535</v>
      </c>
      <c r="D1979" s="532">
        <f>+A1979+E1979</f>
        <v>44496</v>
      </c>
      <c r="E1979" s="534">
        <v>30</v>
      </c>
      <c r="F1979" s="601">
        <v>0.37</v>
      </c>
      <c r="G1979" s="536" t="s">
        <v>120</v>
      </c>
    </row>
    <row r="1980" spans="1:8" ht="13.5" customHeight="1">
      <c r="A1980" s="532">
        <v>44466</v>
      </c>
      <c r="B1980" s="615">
        <v>5500</v>
      </c>
      <c r="C1980" s="615">
        <f t="shared" si="227"/>
        <v>5667.2602739726026</v>
      </c>
      <c r="D1980" s="532">
        <f t="shared" si="228"/>
        <v>44496</v>
      </c>
      <c r="E1980" s="534">
        <v>30</v>
      </c>
      <c r="F1980" s="601">
        <v>0.37</v>
      </c>
      <c r="G1980" s="536" t="s">
        <v>680</v>
      </c>
    </row>
    <row r="1981" spans="1:8" ht="13.5" customHeight="1">
      <c r="A1981" s="532">
        <v>44466</v>
      </c>
      <c r="B1981" s="615">
        <v>42000</v>
      </c>
      <c r="C1981" s="615">
        <f t="shared" si="227"/>
        <v>43277.260273972599</v>
      </c>
      <c r="D1981" s="532">
        <f t="shared" si="228"/>
        <v>44496</v>
      </c>
      <c r="E1981" s="534">
        <v>30</v>
      </c>
      <c r="F1981" s="601">
        <v>0.37</v>
      </c>
      <c r="G1981" s="536" t="s">
        <v>695</v>
      </c>
    </row>
    <row r="1982" spans="1:8" ht="13.5" customHeight="1">
      <c r="A1982" s="532">
        <v>44466</v>
      </c>
      <c r="B1982" s="615">
        <v>46400</v>
      </c>
      <c r="C1982" s="615">
        <f t="shared" si="227"/>
        <v>47811.068493150684</v>
      </c>
      <c r="D1982" s="532">
        <f t="shared" si="228"/>
        <v>44496</v>
      </c>
      <c r="E1982" s="534">
        <v>30</v>
      </c>
      <c r="F1982" s="601">
        <v>0.37</v>
      </c>
      <c r="G1982" s="536" t="s">
        <v>697</v>
      </c>
    </row>
    <row r="1983" spans="1:8" ht="13.5" customHeight="1">
      <c r="A1983" s="532">
        <v>44466</v>
      </c>
      <c r="B1983" s="615">
        <v>105300</v>
      </c>
      <c r="C1983" s="615">
        <f t="shared" si="227"/>
        <v>108502.27397260274</v>
      </c>
      <c r="D1983" s="532">
        <f t="shared" si="228"/>
        <v>44496</v>
      </c>
      <c r="E1983" s="534">
        <v>30</v>
      </c>
      <c r="F1983" s="601">
        <v>0.37</v>
      </c>
      <c r="G1983" s="536" t="s">
        <v>696</v>
      </c>
    </row>
    <row r="1984" spans="1:8" ht="13.5" customHeight="1">
      <c r="A1984" s="532">
        <v>44466</v>
      </c>
      <c r="B1984" s="615">
        <v>40000</v>
      </c>
      <c r="C1984" s="615">
        <f t="shared" si="227"/>
        <v>41216.438356164384</v>
      </c>
      <c r="D1984" s="532">
        <f t="shared" si="228"/>
        <v>44496</v>
      </c>
      <c r="E1984" s="534">
        <v>30</v>
      </c>
      <c r="F1984" s="601">
        <v>0.37</v>
      </c>
      <c r="G1984" s="536" t="s">
        <v>276</v>
      </c>
    </row>
    <row r="1985" spans="1:8" ht="13.5" customHeight="1">
      <c r="A1985" s="532">
        <v>44467</v>
      </c>
      <c r="B1985" s="615">
        <v>75000</v>
      </c>
      <c r="C1985" s="615">
        <f>B1985+(B1985*F1985/365*E1985)*1</f>
        <v>77280.821917808222</v>
      </c>
      <c r="D1985" s="532">
        <f>+A1985+E1985</f>
        <v>44497</v>
      </c>
      <c r="E1985" s="534">
        <v>30</v>
      </c>
      <c r="F1985" s="601">
        <v>0.37</v>
      </c>
      <c r="G1985" s="536" t="s">
        <v>276</v>
      </c>
    </row>
    <row r="1986" spans="1:8" ht="13.5" customHeight="1">
      <c r="A1986" s="532">
        <v>44467</v>
      </c>
      <c r="B1986" s="615">
        <v>45000</v>
      </c>
      <c r="C1986" s="615">
        <f>B1986+(B1986*F1986/365*E1986)*1</f>
        <v>46368.493150684932</v>
      </c>
      <c r="D1986" s="532">
        <f>+A1986+E1986</f>
        <v>44497</v>
      </c>
      <c r="E1986" s="534">
        <v>30</v>
      </c>
      <c r="F1986" s="601">
        <v>0.37</v>
      </c>
      <c r="G1986" s="536" t="s">
        <v>120</v>
      </c>
    </row>
    <row r="1987" spans="1:8" ht="13.5" customHeight="1">
      <c r="A1987" s="532">
        <v>44468</v>
      </c>
      <c r="B1987" s="615">
        <v>90000</v>
      </c>
      <c r="C1987" s="615">
        <f>B1987+(B1987*F1987/365*E1987)*1</f>
        <v>92736.986301369863</v>
      </c>
      <c r="D1987" s="532">
        <f>+A1987+E1987</f>
        <v>44498</v>
      </c>
      <c r="E1987" s="534">
        <v>30</v>
      </c>
      <c r="F1987" s="601">
        <v>0.37</v>
      </c>
      <c r="G1987" s="536" t="s">
        <v>276</v>
      </c>
    </row>
    <row r="1988" spans="1:8" ht="13.5" customHeight="1">
      <c r="A1988" s="532">
        <v>44468</v>
      </c>
      <c r="B1988" s="615">
        <v>20300</v>
      </c>
      <c r="C1988" s="615">
        <f>B1988+(B1988*F1988/365*E1988)*1</f>
        <v>20917.342465753423</v>
      </c>
      <c r="D1988" s="532">
        <f>+A1988+E1988</f>
        <v>44498</v>
      </c>
      <c r="E1988" s="534">
        <v>30</v>
      </c>
      <c r="F1988" s="601">
        <v>0.37</v>
      </c>
      <c r="G1988" s="536" t="s">
        <v>695</v>
      </c>
    </row>
    <row r="1989" spans="1:8" ht="13.5" customHeight="1">
      <c r="A1989" s="532">
        <v>44468</v>
      </c>
      <c r="B1989" s="615">
        <v>110000</v>
      </c>
      <c r="C1989" s="615">
        <f t="shared" ref="A1989:C1989" si="229">B1989+(B1989*F1989/365*E1989)*1</f>
        <v>113345.20547945205</v>
      </c>
      <c r="D1989" s="532">
        <f t="shared" ref="A1989:D1989" si="230">+A1989+E1989</f>
        <v>44498</v>
      </c>
      <c r="E1989" s="534">
        <v>30</v>
      </c>
      <c r="F1989" s="601">
        <v>0.37</v>
      </c>
      <c r="G1989" s="536" t="s">
        <v>540</v>
      </c>
    </row>
    <row r="1990" spans="1:8" ht="13.5" customHeight="1">
      <c r="A1990" s="532">
        <v>44410</v>
      </c>
      <c r="B1990" s="615">
        <v>10000</v>
      </c>
      <c r="C1990" s="615">
        <f t="shared" ref="A1990:C1996" si="231">B1990+(B1990*F1990/365*E1990)*1</f>
        <v>10924.93</v>
      </c>
      <c r="D1990" s="532">
        <f t="shared" ref="A1990:D1996" si="232">+A1990+E1990</f>
        <v>44501</v>
      </c>
      <c r="E1990" s="534">
        <v>91</v>
      </c>
      <c r="F1990" s="601">
        <v>0.37098840659340648</v>
      </c>
      <c r="G1990" s="536" t="s">
        <v>701</v>
      </c>
      <c r="H1990">
        <f>900+10024.93</f>
        <v>10924.93</v>
      </c>
    </row>
    <row r="1991" spans="1:8" ht="13.5" customHeight="1">
      <c r="A1991" s="532">
        <v>44473</v>
      </c>
      <c r="B1991" s="615">
        <v>105000</v>
      </c>
      <c r="C1991" s="615">
        <f t="shared" si="231"/>
        <v>108193.1506849315</v>
      </c>
      <c r="D1991" s="532">
        <f t="shared" si="232"/>
        <v>44503</v>
      </c>
      <c r="E1991" s="534">
        <v>30</v>
      </c>
      <c r="F1991" s="601">
        <v>0.37</v>
      </c>
      <c r="G1991" s="536" t="s">
        <v>276</v>
      </c>
    </row>
    <row r="1992" spans="1:8" ht="13.5" customHeight="1">
      <c r="A1992" s="532">
        <v>44473</v>
      </c>
      <c r="B1992" s="615">
        <v>52400</v>
      </c>
      <c r="C1992" s="615">
        <f t="shared" si="231"/>
        <v>53993.534246575342</v>
      </c>
      <c r="D1992" s="532">
        <f t="shared" si="232"/>
        <v>44503</v>
      </c>
      <c r="E1992" s="534">
        <v>30</v>
      </c>
      <c r="F1992" s="601">
        <v>0.37</v>
      </c>
      <c r="G1992" s="536" t="s">
        <v>680</v>
      </c>
    </row>
    <row r="1993" spans="1:8" ht="13.5" customHeight="1">
      <c r="A1993" s="532">
        <v>44473</v>
      </c>
      <c r="B1993" s="615">
        <v>25000</v>
      </c>
      <c r="C1993" s="615">
        <f t="shared" si="231"/>
        <v>25760.273972602739</v>
      </c>
      <c r="D1993" s="532">
        <f t="shared" si="232"/>
        <v>44503</v>
      </c>
      <c r="E1993" s="534">
        <v>30</v>
      </c>
      <c r="F1993" s="601">
        <v>0.37</v>
      </c>
      <c r="G1993" s="536" t="s">
        <v>120</v>
      </c>
    </row>
    <row r="1994" spans="1:8" ht="13.5" customHeight="1">
      <c r="A1994" s="532">
        <v>44474</v>
      </c>
      <c r="B1994" s="615">
        <v>10000</v>
      </c>
      <c r="C1994" s="615">
        <f t="shared" si="231"/>
        <v>10304.109589041096</v>
      </c>
      <c r="D1994" s="532">
        <f t="shared" si="232"/>
        <v>44504</v>
      </c>
      <c r="E1994" s="534">
        <v>30</v>
      </c>
      <c r="F1994" s="601">
        <v>0.37</v>
      </c>
      <c r="G1994" s="536" t="s">
        <v>697</v>
      </c>
    </row>
    <row r="1995" spans="1:8" ht="13.5" customHeight="1">
      <c r="A1995" s="532">
        <v>44475</v>
      </c>
      <c r="B1995" s="615">
        <v>22700</v>
      </c>
      <c r="C1995" s="615">
        <f t="shared" si="231"/>
        <v>23390.328767123287</v>
      </c>
      <c r="D1995" s="532">
        <f t="shared" si="232"/>
        <v>44505</v>
      </c>
      <c r="E1995" s="534">
        <v>30</v>
      </c>
      <c r="F1995" s="601">
        <v>0.37</v>
      </c>
      <c r="G1995" s="536" t="s">
        <v>696</v>
      </c>
    </row>
    <row r="1996" spans="1:8" ht="13.5" customHeight="1">
      <c r="A1996" s="532">
        <v>44475</v>
      </c>
      <c r="B1996" s="615">
        <v>45000</v>
      </c>
      <c r="C1996" s="615">
        <f t="shared" si="231"/>
        <v>46368.493150684932</v>
      </c>
      <c r="D1996" s="532">
        <f t="shared" si="232"/>
        <v>44505</v>
      </c>
      <c r="E1996" s="534">
        <v>30</v>
      </c>
      <c r="F1996" s="601">
        <v>0.37</v>
      </c>
      <c r="G1996" s="536" t="s">
        <v>276</v>
      </c>
    </row>
    <row r="1997" spans="1:8" ht="13.5" customHeight="1">
      <c r="A1997" s="532">
        <v>44475</v>
      </c>
      <c r="B1997" s="615">
        <v>23700</v>
      </c>
      <c r="C1997" s="615">
        <f t="shared" ref="A1997:C1997" si="233">B1997+(B1997*F1997/365*E1997)*1</f>
        <v>24420.739726027397</v>
      </c>
      <c r="D1997" s="532">
        <f t="shared" ref="A1997:D1997" si="234">+A1997+E1997</f>
        <v>44505</v>
      </c>
      <c r="E1997" s="534">
        <v>30</v>
      </c>
      <c r="F1997" s="601">
        <v>0.37</v>
      </c>
      <c r="G1997" s="536" t="s">
        <v>697</v>
      </c>
    </row>
    <row r="1998" spans="1:8" ht="13.5" customHeight="1">
      <c r="A1998" s="532">
        <v>44481</v>
      </c>
      <c r="B1998" s="615">
        <v>29300</v>
      </c>
      <c r="C1998" s="615">
        <f t="shared" ref="A1998:C2003" si="235">B1998+(B1998*F1998/365*E1998)*1</f>
        <v>30191.04109589041</v>
      </c>
      <c r="D1998" s="532">
        <f t="shared" ref="A1998:D2003" si="236">+A1998+E1998</f>
        <v>44511</v>
      </c>
      <c r="E1998" s="534">
        <v>30</v>
      </c>
      <c r="F1998" s="601">
        <v>0.37</v>
      </c>
      <c r="G1998" s="536" t="s">
        <v>697</v>
      </c>
      <c r="H1998">
        <f>29300+891.04</f>
        <v>30191.040000000001</v>
      </c>
    </row>
    <row r="1999" spans="1:8" ht="13.5" customHeight="1">
      <c r="A1999" s="532">
        <v>44481</v>
      </c>
      <c r="B1999" s="615">
        <v>96200</v>
      </c>
      <c r="C1999" s="615">
        <f t="shared" si="235"/>
        <v>99125.534246575349</v>
      </c>
      <c r="D1999" s="532">
        <f t="shared" si="236"/>
        <v>44511</v>
      </c>
      <c r="E1999" s="534">
        <v>30</v>
      </c>
      <c r="F1999" s="601">
        <v>0.37</v>
      </c>
      <c r="G1999" s="536" t="s">
        <v>680</v>
      </c>
    </row>
    <row r="2000" spans="1:8" ht="13.5" customHeight="1">
      <c r="A2000" s="532">
        <v>44482</v>
      </c>
      <c r="B2000" s="615">
        <v>82450</v>
      </c>
      <c r="C2000" s="615">
        <f t="shared" si="235"/>
        <v>84957.38356164383</v>
      </c>
      <c r="D2000" s="532">
        <f t="shared" si="236"/>
        <v>44512</v>
      </c>
      <c r="E2000" s="534">
        <v>30</v>
      </c>
      <c r="F2000" s="601">
        <v>0.37</v>
      </c>
      <c r="G2000" s="536" t="s">
        <v>680</v>
      </c>
    </row>
    <row r="2001" spans="1:8" ht="13.5" customHeight="1">
      <c r="A2001" s="532">
        <v>44484</v>
      </c>
      <c r="B2001" s="615">
        <v>4800</v>
      </c>
      <c r="C2001" s="615">
        <f t="shared" si="235"/>
        <v>4950.8383561643832</v>
      </c>
      <c r="D2001" s="532">
        <f t="shared" si="236"/>
        <v>44515</v>
      </c>
      <c r="E2001" s="534">
        <v>31</v>
      </c>
      <c r="F2001" s="601">
        <v>0.37</v>
      </c>
      <c r="G2001" s="536" t="s">
        <v>695</v>
      </c>
    </row>
    <row r="2002" spans="1:8" ht="13.5" customHeight="1">
      <c r="A2002" s="532">
        <v>44483</v>
      </c>
      <c r="B2002" s="615">
        <v>18000</v>
      </c>
      <c r="C2002" s="615">
        <f t="shared" si="235"/>
        <v>18583.890410958906</v>
      </c>
      <c r="D2002" s="532">
        <f t="shared" si="236"/>
        <v>44515</v>
      </c>
      <c r="E2002" s="534">
        <v>32</v>
      </c>
      <c r="F2002" s="601">
        <v>0.37</v>
      </c>
      <c r="G2002" s="536" t="s">
        <v>697</v>
      </c>
    </row>
    <row r="2003" spans="1:8" ht="13.5" customHeight="1">
      <c r="A2003" s="532">
        <v>44487</v>
      </c>
      <c r="B2003" s="615">
        <v>36000</v>
      </c>
      <c r="C2003" s="615">
        <f t="shared" si="235"/>
        <v>37094.794520547948</v>
      </c>
      <c r="D2003" s="532">
        <f t="shared" si="236"/>
        <v>44517</v>
      </c>
      <c r="E2003" s="534">
        <v>30</v>
      </c>
      <c r="F2003" s="601">
        <v>0.37</v>
      </c>
      <c r="G2003" s="536" t="s">
        <v>276</v>
      </c>
    </row>
    <row r="2004" spans="1:8" ht="13.5" customHeight="1">
      <c r="A2004" s="532">
        <v>44481</v>
      </c>
      <c r="B2004" s="615">
        <v>650000</v>
      </c>
      <c r="C2004" s="615">
        <f t="shared" ref="A2004:C2014" si="237">B2004+(B2004*F2004/365*E2004)*1</f>
        <v>673061.64383561641</v>
      </c>
      <c r="D2004" s="532">
        <f t="shared" ref="A2004:D2014" si="238">+A2004+E2004</f>
        <v>44516</v>
      </c>
      <c r="E2004" s="534">
        <v>35</v>
      </c>
      <c r="F2004" s="601">
        <v>0.37</v>
      </c>
      <c r="G2004" s="536" t="s">
        <v>120</v>
      </c>
    </row>
    <row r="2005" spans="1:8" ht="13.5" customHeight="1">
      <c r="A2005" s="532">
        <v>44487</v>
      </c>
      <c r="B2005" s="615">
        <v>19900</v>
      </c>
      <c r="C2005" s="615">
        <f t="shared" si="237"/>
        <v>20505.178082191782</v>
      </c>
      <c r="D2005" s="532">
        <f t="shared" si="238"/>
        <v>44517</v>
      </c>
      <c r="E2005" s="534">
        <v>30</v>
      </c>
      <c r="F2005" s="601">
        <v>0.37</v>
      </c>
      <c r="G2005" s="536" t="s">
        <v>697</v>
      </c>
      <c r="H2005">
        <f>19900+605.18</f>
        <v>20505.18</v>
      </c>
    </row>
    <row r="2006" spans="1:8" ht="13.5" customHeight="1">
      <c r="A2006" s="532">
        <v>44487</v>
      </c>
      <c r="B2006" s="615">
        <v>25500</v>
      </c>
      <c r="C2006" s="615">
        <f t="shared" si="237"/>
        <v>26275.479452054795</v>
      </c>
      <c r="D2006" s="532">
        <f t="shared" si="238"/>
        <v>44517</v>
      </c>
      <c r="E2006" s="534">
        <v>30</v>
      </c>
      <c r="F2006" s="601">
        <v>0.37</v>
      </c>
      <c r="G2006" s="536" t="s">
        <v>680</v>
      </c>
    </row>
    <row r="2007" spans="1:8" ht="13.5" customHeight="1">
      <c r="A2007" s="532">
        <v>44487</v>
      </c>
      <c r="B2007" s="615">
        <v>86000</v>
      </c>
      <c r="C2007" s="615">
        <f t="shared" si="237"/>
        <v>88615.34246575342</v>
      </c>
      <c r="D2007" s="532">
        <f t="shared" si="238"/>
        <v>44517</v>
      </c>
      <c r="E2007" s="534">
        <v>30</v>
      </c>
      <c r="F2007" s="601">
        <v>0.37</v>
      </c>
      <c r="G2007" s="536" t="s">
        <v>540</v>
      </c>
    </row>
    <row r="2008" spans="1:8" ht="13.5" customHeight="1">
      <c r="A2008" s="532">
        <v>44488</v>
      </c>
      <c r="B2008" s="615">
        <v>44800</v>
      </c>
      <c r="C2008" s="615">
        <f t="shared" si="237"/>
        <v>46162.410958904111</v>
      </c>
      <c r="D2008" s="532">
        <f t="shared" si="238"/>
        <v>44518</v>
      </c>
      <c r="E2008" s="534">
        <v>30</v>
      </c>
      <c r="F2008" s="601">
        <v>0.37</v>
      </c>
      <c r="G2008" s="536" t="s">
        <v>695</v>
      </c>
    </row>
    <row r="2009" spans="1:8" ht="13.5" customHeight="1">
      <c r="A2009" s="532">
        <v>44488</v>
      </c>
      <c r="B2009" s="615">
        <v>25200</v>
      </c>
      <c r="C2009" s="615">
        <f t="shared" si="237"/>
        <v>25966.35616438356</v>
      </c>
      <c r="D2009" s="532">
        <f t="shared" si="238"/>
        <v>44518</v>
      </c>
      <c r="E2009" s="534">
        <v>30</v>
      </c>
      <c r="F2009" s="601">
        <v>0.37</v>
      </c>
      <c r="G2009" s="536" t="s">
        <v>696</v>
      </c>
    </row>
    <row r="2010" spans="1:8" ht="13.5" customHeight="1">
      <c r="A2010" s="532">
        <v>44489</v>
      </c>
      <c r="B2010" s="615">
        <v>95300</v>
      </c>
      <c r="C2010" s="615">
        <f t="shared" si="237"/>
        <v>98198.164383561641</v>
      </c>
      <c r="D2010" s="532">
        <f t="shared" si="238"/>
        <v>44519</v>
      </c>
      <c r="E2010" s="534">
        <v>30</v>
      </c>
      <c r="F2010" s="601">
        <v>0.37</v>
      </c>
      <c r="G2010" s="536" t="s">
        <v>696</v>
      </c>
    </row>
    <row r="2011" spans="1:8" ht="13.5" customHeight="1">
      <c r="A2011" s="532">
        <v>44489</v>
      </c>
      <c r="B2011" s="615">
        <v>40900</v>
      </c>
      <c r="C2011" s="615">
        <f t="shared" si="237"/>
        <v>42143.808219178085</v>
      </c>
      <c r="D2011" s="532">
        <f t="shared" si="238"/>
        <v>44519</v>
      </c>
      <c r="E2011" s="534">
        <v>30</v>
      </c>
      <c r="F2011" s="601">
        <v>0.37</v>
      </c>
      <c r="G2011" s="536" t="s">
        <v>695</v>
      </c>
    </row>
    <row r="2012" spans="1:8" ht="13.5" customHeight="1">
      <c r="A2012" s="532">
        <v>44489</v>
      </c>
      <c r="B2012" s="615">
        <v>34000</v>
      </c>
      <c r="C2012" s="615">
        <f t="shared" si="237"/>
        <v>35033.972602739726</v>
      </c>
      <c r="D2012" s="532">
        <f t="shared" si="238"/>
        <v>44519</v>
      </c>
      <c r="E2012" s="534">
        <v>30</v>
      </c>
      <c r="F2012" s="601">
        <v>0.37</v>
      </c>
      <c r="G2012" s="536" t="s">
        <v>276</v>
      </c>
    </row>
    <row r="2013" spans="1:8" ht="13.5" customHeight="1">
      <c r="A2013" s="532">
        <v>44489</v>
      </c>
      <c r="B2013" s="615">
        <v>35000</v>
      </c>
      <c r="C2013" s="615">
        <f t="shared" si="237"/>
        <v>36064.383561643837</v>
      </c>
      <c r="D2013" s="532">
        <f t="shared" si="238"/>
        <v>44519</v>
      </c>
      <c r="E2013" s="534">
        <v>30</v>
      </c>
      <c r="F2013" s="601">
        <v>0.37</v>
      </c>
      <c r="G2013" s="536" t="s">
        <v>540</v>
      </c>
    </row>
    <row r="2014" spans="1:8" ht="13.5" customHeight="1">
      <c r="A2014" s="532">
        <v>44489</v>
      </c>
      <c r="B2014" s="615">
        <v>415000</v>
      </c>
      <c r="C2014" s="615">
        <f t="shared" si="237"/>
        <v>427620.54794520547</v>
      </c>
      <c r="D2014" s="532">
        <f t="shared" si="238"/>
        <v>44519</v>
      </c>
      <c r="E2014" s="534">
        <v>30</v>
      </c>
      <c r="F2014" s="601">
        <v>0.37</v>
      </c>
      <c r="G2014" s="536" t="s">
        <v>540</v>
      </c>
    </row>
    <row r="2015" spans="1:8" ht="13.5" customHeight="1">
      <c r="A2015" s="532">
        <v>44490</v>
      </c>
      <c r="B2015" s="615">
        <v>69600</v>
      </c>
      <c r="C2015" s="615">
        <f t="shared" ref="A2015:C2021" si="239">B2015+(B2015*F2015/365*E2015)*1</f>
        <v>71928.263013698626</v>
      </c>
      <c r="D2015" s="532">
        <f t="shared" ref="A2015:D2021" si="240">+A2015+E2015</f>
        <v>44523</v>
      </c>
      <c r="E2015" s="534">
        <v>33</v>
      </c>
      <c r="F2015" s="601">
        <v>0.37</v>
      </c>
      <c r="G2015" s="536" t="s">
        <v>695</v>
      </c>
    </row>
    <row r="2016" spans="1:8" ht="13.5" customHeight="1">
      <c r="A2016" s="532">
        <v>44490</v>
      </c>
      <c r="B2016" s="615">
        <v>25000</v>
      </c>
      <c r="C2016" s="615">
        <f t="shared" si="239"/>
        <v>25836.301369863013</v>
      </c>
      <c r="D2016" s="532">
        <f t="shared" si="240"/>
        <v>44523</v>
      </c>
      <c r="E2016" s="534">
        <v>33</v>
      </c>
      <c r="F2016" s="601">
        <v>0.37</v>
      </c>
      <c r="G2016" s="536" t="s">
        <v>276</v>
      </c>
    </row>
    <row r="2017" spans="1:8" ht="13.5" customHeight="1">
      <c r="A2017" s="532">
        <v>44491</v>
      </c>
      <c r="B2017" s="615">
        <v>17000</v>
      </c>
      <c r="C2017" s="615">
        <f t="shared" si="239"/>
        <v>17551.452054794521</v>
      </c>
      <c r="D2017" s="532">
        <f t="shared" si="240"/>
        <v>44523</v>
      </c>
      <c r="E2017" s="534">
        <v>32</v>
      </c>
      <c r="F2017" s="601">
        <v>0.37</v>
      </c>
      <c r="G2017" s="536" t="s">
        <v>697</v>
      </c>
    </row>
    <row r="2018" spans="1:8" ht="12.75" customHeight="1">
      <c r="A2018" s="532">
        <v>44490</v>
      </c>
      <c r="B2018" s="615">
        <v>18500</v>
      </c>
      <c r="C2018" s="615">
        <f t="shared" si="239"/>
        <v>19118.863013698628</v>
      </c>
      <c r="D2018" s="532">
        <f t="shared" si="240"/>
        <v>44523</v>
      </c>
      <c r="E2018" s="534">
        <v>33</v>
      </c>
      <c r="F2018" s="601">
        <v>0.37</v>
      </c>
      <c r="G2018" s="536" t="s">
        <v>680</v>
      </c>
    </row>
    <row r="2019" spans="1:8" ht="12.75" customHeight="1">
      <c r="A2019" s="532">
        <v>44494</v>
      </c>
      <c r="B2019" s="615">
        <v>106000</v>
      </c>
      <c r="C2019" s="615">
        <f t="shared" si="239"/>
        <v>109223.56164383562</v>
      </c>
      <c r="D2019" s="532">
        <f t="shared" si="240"/>
        <v>44524</v>
      </c>
      <c r="E2019" s="534">
        <v>30</v>
      </c>
      <c r="F2019" s="601">
        <v>0.37</v>
      </c>
      <c r="G2019" s="536" t="s">
        <v>695</v>
      </c>
    </row>
    <row r="2020" spans="1:8" ht="12.75" customHeight="1">
      <c r="A2020" s="532">
        <v>44494</v>
      </c>
      <c r="B2020" s="615">
        <v>105000</v>
      </c>
      <c r="C2020" s="615">
        <f t="shared" si="239"/>
        <v>108193.1506849315</v>
      </c>
      <c r="D2020" s="532">
        <f t="shared" si="240"/>
        <v>44524</v>
      </c>
      <c r="E2020" s="534">
        <v>30</v>
      </c>
      <c r="F2020" s="601">
        <v>0.37</v>
      </c>
      <c r="G2020" s="536" t="s">
        <v>276</v>
      </c>
    </row>
    <row r="2021" spans="1:8" ht="12.75" customHeight="1">
      <c r="A2021" s="532">
        <v>44494</v>
      </c>
      <c r="B2021" s="615">
        <v>73000</v>
      </c>
      <c r="C2021" s="615">
        <f t="shared" si="239"/>
        <v>75220</v>
      </c>
      <c r="D2021" s="532">
        <f t="shared" si="240"/>
        <v>44524</v>
      </c>
      <c r="E2021" s="534">
        <v>30</v>
      </c>
      <c r="F2021" s="601">
        <v>0.37</v>
      </c>
      <c r="G2021" s="536" t="s">
        <v>696</v>
      </c>
    </row>
    <row r="2022" spans="1:8" ht="12.75" customHeight="1">
      <c r="A2022" s="532">
        <v>44494</v>
      </c>
      <c r="B2022" s="615">
        <v>20000</v>
      </c>
      <c r="C2022" s="615">
        <f t="shared" ref="A2022:C2028" si="241">B2022+(B2022*F2022/365*E2022)*1</f>
        <v>20608.219178082192</v>
      </c>
      <c r="D2022" s="532">
        <f t="shared" ref="A2022:D2028" si="242">+A2022+E2022</f>
        <v>44524</v>
      </c>
      <c r="E2022" s="534">
        <v>30</v>
      </c>
      <c r="F2022" s="601">
        <v>0.37</v>
      </c>
      <c r="G2022" s="536" t="s">
        <v>120</v>
      </c>
    </row>
    <row r="2023" spans="1:8" ht="12.75" customHeight="1">
      <c r="A2023" s="532">
        <v>44494</v>
      </c>
      <c r="B2023" s="615">
        <v>70000</v>
      </c>
      <c r="C2023" s="615">
        <f t="shared" si="241"/>
        <v>72128.767123287675</v>
      </c>
      <c r="D2023" s="532">
        <f t="shared" si="242"/>
        <v>44524</v>
      </c>
      <c r="E2023" s="534">
        <v>30</v>
      </c>
      <c r="F2023" s="601">
        <v>0.37</v>
      </c>
      <c r="G2023" s="536" t="s">
        <v>540</v>
      </c>
    </row>
    <row r="2024" spans="1:8" ht="12.75" customHeight="1">
      <c r="A2024" s="532">
        <v>44495</v>
      </c>
      <c r="B2024" s="615">
        <v>70000</v>
      </c>
      <c r="C2024" s="615">
        <f t="shared" si="241"/>
        <v>72128.767123287675</v>
      </c>
      <c r="D2024" s="532">
        <f t="shared" si="242"/>
        <v>44525</v>
      </c>
      <c r="E2024" s="534">
        <v>30</v>
      </c>
      <c r="F2024" s="601">
        <v>0.37</v>
      </c>
      <c r="G2024" s="536" t="s">
        <v>276</v>
      </c>
    </row>
    <row r="2025" spans="1:8" ht="12.75" customHeight="1">
      <c r="A2025" s="532">
        <v>44495</v>
      </c>
      <c r="B2025" s="615">
        <v>110300</v>
      </c>
      <c r="C2025" s="615">
        <f t="shared" si="241"/>
        <v>113654.32876712328</v>
      </c>
      <c r="D2025" s="532">
        <f t="shared" si="242"/>
        <v>44525</v>
      </c>
      <c r="E2025" s="534">
        <v>30</v>
      </c>
      <c r="F2025" s="601">
        <v>0.37</v>
      </c>
      <c r="G2025" s="536" t="s">
        <v>695</v>
      </c>
    </row>
    <row r="2026" spans="1:8" ht="12.75" customHeight="1">
      <c r="A2026" s="532">
        <v>44495</v>
      </c>
      <c r="B2026" s="615">
        <v>145000</v>
      </c>
      <c r="C2026" s="615">
        <f t="shared" ref="A2026:C2026" si="243">B2026+(B2026*F2026/365*E2026)*1</f>
        <v>149409.5890410959</v>
      </c>
      <c r="D2026" s="532">
        <f>+A2026+E2026</f>
        <v>44525</v>
      </c>
      <c r="E2026" s="534">
        <v>30</v>
      </c>
      <c r="F2026" s="601">
        <v>0.37</v>
      </c>
      <c r="G2026" s="536" t="s">
        <v>120</v>
      </c>
      <c r="H2026">
        <v>149052.04999999999</v>
      </c>
    </row>
    <row r="2027" spans="1:8" ht="12.75" customHeight="1">
      <c r="A2027" s="532">
        <v>44496</v>
      </c>
      <c r="B2027" s="615">
        <v>48500</v>
      </c>
      <c r="C2027" s="615">
        <f t="shared" si="241"/>
        <v>49974.931506849316</v>
      </c>
      <c r="D2027" s="532">
        <f t="shared" si="242"/>
        <v>44526</v>
      </c>
      <c r="E2027" s="534">
        <v>30</v>
      </c>
      <c r="F2027" s="601">
        <v>0.37</v>
      </c>
      <c r="G2027" s="536" t="s">
        <v>697</v>
      </c>
    </row>
    <row r="2028" spans="1:8" ht="12.75" customHeight="1">
      <c r="A2028" s="532">
        <v>44496</v>
      </c>
      <c r="B2028" s="615">
        <v>108600</v>
      </c>
      <c r="C2028" s="615">
        <f t="shared" si="241"/>
        <v>111902.63013698631</v>
      </c>
      <c r="D2028" s="532">
        <f t="shared" si="242"/>
        <v>44526</v>
      </c>
      <c r="E2028" s="534">
        <v>30</v>
      </c>
      <c r="F2028" s="601">
        <v>0.37</v>
      </c>
      <c r="G2028" s="536" t="s">
        <v>696</v>
      </c>
    </row>
    <row r="2029" spans="1:8" ht="12.75" customHeight="1">
      <c r="A2029" s="532">
        <v>44496</v>
      </c>
      <c r="B2029" s="615">
        <v>5650</v>
      </c>
      <c r="C2029" s="615">
        <f t="shared" ref="A2029:C2034" si="244">B2029+(B2029*F2029/365*E2029)*1</f>
        <v>5821.821917808219</v>
      </c>
      <c r="D2029" s="532">
        <f t="shared" ref="A2029:D2034" si="245">+A2029+E2029</f>
        <v>44526</v>
      </c>
      <c r="E2029" s="534">
        <v>30</v>
      </c>
      <c r="F2029" s="601">
        <v>0.37</v>
      </c>
      <c r="G2029" s="536" t="s">
        <v>680</v>
      </c>
    </row>
    <row r="2030" spans="1:8" ht="12.75" customHeight="1">
      <c r="A2030" s="532">
        <v>44496</v>
      </c>
      <c r="B2030" s="615">
        <v>43250</v>
      </c>
      <c r="C2030" s="615">
        <f t="shared" si="244"/>
        <v>44565.273972602743</v>
      </c>
      <c r="D2030" s="532">
        <f t="shared" si="245"/>
        <v>44526</v>
      </c>
      <c r="E2030" s="534">
        <v>30</v>
      </c>
      <c r="F2030" s="601">
        <v>0.37</v>
      </c>
      <c r="G2030" s="536" t="s">
        <v>695</v>
      </c>
    </row>
    <row r="2031" spans="1:8" ht="12.75" customHeight="1">
      <c r="A2031" s="532">
        <v>44496</v>
      </c>
      <c r="B2031" s="615">
        <v>40000</v>
      </c>
      <c r="C2031" s="615">
        <f t="shared" si="244"/>
        <v>41216.438356164384</v>
      </c>
      <c r="D2031" s="532">
        <f t="shared" si="245"/>
        <v>44526</v>
      </c>
      <c r="E2031" s="534">
        <v>30</v>
      </c>
      <c r="F2031" s="601">
        <v>0.37</v>
      </c>
      <c r="G2031" s="536" t="s">
        <v>276</v>
      </c>
    </row>
    <row r="2032" spans="1:8" ht="12.75" customHeight="1">
      <c r="A2032" s="532">
        <v>44498</v>
      </c>
      <c r="B2032" s="615">
        <v>95000</v>
      </c>
      <c r="C2032" s="615">
        <f t="shared" si="244"/>
        <v>97985.34246575342</v>
      </c>
      <c r="D2032" s="532">
        <f t="shared" si="245"/>
        <v>44529</v>
      </c>
      <c r="E2032" s="534">
        <v>31</v>
      </c>
      <c r="F2032" s="601">
        <v>0.37</v>
      </c>
      <c r="G2032" s="536" t="s">
        <v>276</v>
      </c>
    </row>
    <row r="2033" spans="1:7" ht="12.75" customHeight="1">
      <c r="A2033" s="532">
        <v>44498</v>
      </c>
      <c r="B2033" s="615">
        <v>20900</v>
      </c>
      <c r="C2033" s="615">
        <f t="shared" si="244"/>
        <v>21556.775342465753</v>
      </c>
      <c r="D2033" s="532">
        <f t="shared" si="245"/>
        <v>44529</v>
      </c>
      <c r="E2033" s="534">
        <v>31</v>
      </c>
      <c r="F2033" s="601">
        <v>0.37</v>
      </c>
      <c r="G2033" s="536" t="s">
        <v>695</v>
      </c>
    </row>
    <row r="2034" spans="1:7" ht="12.75" customHeight="1">
      <c r="A2034" s="532">
        <v>44498</v>
      </c>
      <c r="B2034" s="615">
        <v>50000</v>
      </c>
      <c r="C2034" s="615">
        <f t="shared" si="244"/>
        <v>51571.232876712325</v>
      </c>
      <c r="D2034" s="532">
        <f t="shared" si="245"/>
        <v>44529</v>
      </c>
      <c r="E2034" s="534">
        <v>31</v>
      </c>
      <c r="F2034" s="601">
        <v>0.37</v>
      </c>
      <c r="G2034" s="536" t="s">
        <v>540</v>
      </c>
    </row>
    <row r="2035" spans="1:7" ht="12.75" customHeight="1">
      <c r="A2035" s="532">
        <v>44501</v>
      </c>
      <c r="B2035" s="615">
        <v>10900</v>
      </c>
      <c r="C2035" s="615">
        <f t="shared" ref="A2035:C2035" si="246">B2035+(B2035*F2035/365*E2035)*1</f>
        <v>11231.479452054795</v>
      </c>
      <c r="D2035" s="532">
        <f t="shared" ref="A2035:D2035" si="247">+A2035+E2035</f>
        <v>44531</v>
      </c>
      <c r="E2035" s="534">
        <v>30</v>
      </c>
      <c r="F2035" s="601">
        <v>0.37</v>
      </c>
      <c r="G2035" s="536" t="s">
        <v>680</v>
      </c>
    </row>
    <row r="2036" spans="1:7" ht="12.75" customHeight="1">
      <c r="A2036" s="532">
        <v>44503</v>
      </c>
      <c r="B2036" s="615">
        <v>18900</v>
      </c>
      <c r="C2036" s="615">
        <f>B2036+(B2036*F2036/365*E2036)*1</f>
        <v>19474.767123287671</v>
      </c>
      <c r="D2036" s="532">
        <f>+A2036+E2036</f>
        <v>44533</v>
      </c>
      <c r="E2036" s="534">
        <v>30</v>
      </c>
      <c r="F2036" s="601">
        <v>0.37</v>
      </c>
      <c r="G2036" s="536" t="s">
        <v>697</v>
      </c>
    </row>
    <row r="2037" spans="1:7" ht="12.75" customHeight="1">
      <c r="A2037" s="532">
        <v>44503</v>
      </c>
      <c r="B2037" s="615">
        <v>100000</v>
      </c>
      <c r="C2037" s="615">
        <f>B2037+(B2037*F2037/365*E2037)*1</f>
        <v>103041.09589041096</v>
      </c>
      <c r="D2037" s="532">
        <f>+A2037+E2037</f>
        <v>44533</v>
      </c>
      <c r="E2037" s="534">
        <v>30</v>
      </c>
      <c r="F2037" s="601">
        <v>0.37</v>
      </c>
      <c r="G2037" s="536" t="s">
        <v>276</v>
      </c>
    </row>
    <row r="2038" spans="1:7" ht="12.75" customHeight="1">
      <c r="A2038" s="532">
        <v>44505</v>
      </c>
      <c r="B2038" s="615">
        <v>24400</v>
      </c>
      <c r="C2038" s="615">
        <f>B2038+(B2038*F2038/365*E2038)*1</f>
        <v>25166.761643835616</v>
      </c>
      <c r="D2038" s="532">
        <f>+A2038+E2038</f>
        <v>44536</v>
      </c>
      <c r="E2038" s="534">
        <v>31</v>
      </c>
      <c r="F2038" s="601">
        <v>0.37</v>
      </c>
      <c r="G2038" s="536" t="s">
        <v>697</v>
      </c>
    </row>
    <row r="2039" spans="1:7" ht="12.75" customHeight="1">
      <c r="A2039" s="532">
        <v>44504</v>
      </c>
      <c r="B2039" s="615">
        <v>5400</v>
      </c>
      <c r="C2039" s="615">
        <f>B2039+(B2039*F2039/365*E2039)*1</f>
        <v>5575.1671232876715</v>
      </c>
      <c r="D2039" s="532">
        <f>+A2039+E2039</f>
        <v>44536</v>
      </c>
      <c r="E2039" s="534">
        <v>32</v>
      </c>
      <c r="F2039" s="601">
        <v>0.37</v>
      </c>
      <c r="G2039" s="536" t="s">
        <v>697</v>
      </c>
    </row>
    <row r="2040" spans="1:7" ht="12.75" customHeight="1">
      <c r="A2040" s="532">
        <v>44505</v>
      </c>
      <c r="B2040" s="615">
        <v>40000</v>
      </c>
      <c r="C2040" s="615">
        <f t="shared" ref="A2040:C2040" si="248">B2040+(B2040*F2040/365*E2040)*1</f>
        <v>41256.986301369863</v>
      </c>
      <c r="D2040" s="532">
        <f t="shared" ref="A2040:D2040" si="249">+A2040+E2040</f>
        <v>44536</v>
      </c>
      <c r="E2040" s="534">
        <v>31</v>
      </c>
      <c r="F2040" s="601">
        <v>0.37</v>
      </c>
      <c r="G2040" s="536" t="s">
        <v>276</v>
      </c>
    </row>
    <row r="2041" spans="1:7" ht="12.75" customHeight="1">
      <c r="A2041" s="532">
        <v>44512</v>
      </c>
      <c r="B2041" s="615">
        <v>80000</v>
      </c>
      <c r="C2041" s="615">
        <f t="shared" ref="A2041:C2048" si="250">B2041+(B2041*F2041/365*E2041)*1</f>
        <v>82513.972602739726</v>
      </c>
      <c r="D2041" s="532">
        <f t="shared" ref="A2041:D2048" si="251">+A2041+E2041</f>
        <v>44543</v>
      </c>
      <c r="E2041" s="534">
        <v>31</v>
      </c>
      <c r="F2041" s="601">
        <v>0.37</v>
      </c>
      <c r="G2041" s="536" t="s">
        <v>276</v>
      </c>
    </row>
    <row r="2042" spans="1:7" ht="12.75" customHeight="1">
      <c r="A2042" s="532">
        <v>44511</v>
      </c>
      <c r="B2042" s="615">
        <v>82000</v>
      </c>
      <c r="C2042" s="615">
        <f t="shared" si="250"/>
        <v>84659.945205479453</v>
      </c>
      <c r="D2042" s="532">
        <f t="shared" si="251"/>
        <v>44543</v>
      </c>
      <c r="E2042" s="534">
        <v>32</v>
      </c>
      <c r="F2042" s="601">
        <v>0.37</v>
      </c>
      <c r="G2042" s="536" t="s">
        <v>276</v>
      </c>
    </row>
    <row r="2043" spans="1:7" ht="12.75" customHeight="1">
      <c r="A2043" s="532">
        <v>44511</v>
      </c>
      <c r="B2043" s="615">
        <v>30200</v>
      </c>
      <c r="C2043" s="615">
        <f t="shared" si="250"/>
        <v>31179.638356164385</v>
      </c>
      <c r="D2043" s="532">
        <f t="shared" si="251"/>
        <v>44543</v>
      </c>
      <c r="E2043" s="534">
        <v>32</v>
      </c>
      <c r="F2043" s="601">
        <v>0.37</v>
      </c>
      <c r="G2043" s="536" t="s">
        <v>697</v>
      </c>
    </row>
    <row r="2044" spans="1:7" ht="12.75" customHeight="1">
      <c r="A2044" s="532">
        <v>44510</v>
      </c>
      <c r="B2044" s="615">
        <v>31200</v>
      </c>
      <c r="C2044" s="615">
        <f t="shared" si="250"/>
        <v>32243.704109589042</v>
      </c>
      <c r="D2044" s="532">
        <f t="shared" si="251"/>
        <v>44543</v>
      </c>
      <c r="E2044" s="534">
        <v>33</v>
      </c>
      <c r="F2044" s="601">
        <v>0.37</v>
      </c>
      <c r="G2044" s="536" t="s">
        <v>697</v>
      </c>
    </row>
    <row r="2045" spans="1:7" ht="12.75" customHeight="1">
      <c r="A2045" s="532">
        <v>44517</v>
      </c>
      <c r="B2045" s="615">
        <v>24000</v>
      </c>
      <c r="C2045" s="615">
        <f t="shared" si="250"/>
        <v>24729.863013698628</v>
      </c>
      <c r="D2045" s="532">
        <f t="shared" si="251"/>
        <v>44547</v>
      </c>
      <c r="E2045" s="534">
        <v>30</v>
      </c>
      <c r="F2045" s="601">
        <v>0.37</v>
      </c>
      <c r="G2045" s="536" t="s">
        <v>697</v>
      </c>
    </row>
    <row r="2046" spans="1:7" ht="12.75" customHeight="1">
      <c r="A2046" s="532">
        <v>44517</v>
      </c>
      <c r="B2046" s="615">
        <v>65000</v>
      </c>
      <c r="C2046" s="615">
        <f t="shared" si="250"/>
        <v>66976.712328767127</v>
      </c>
      <c r="D2046" s="532">
        <f t="shared" si="251"/>
        <v>44547</v>
      </c>
      <c r="E2046" s="534">
        <v>30</v>
      </c>
      <c r="F2046" s="601">
        <v>0.37</v>
      </c>
      <c r="G2046" s="536" t="s">
        <v>276</v>
      </c>
    </row>
    <row r="2047" spans="1:7" ht="12.75" customHeight="1">
      <c r="A2047" s="532">
        <v>44517</v>
      </c>
      <c r="B2047" s="615">
        <v>26400</v>
      </c>
      <c r="C2047" s="615">
        <f t="shared" si="250"/>
        <v>27202.849315068492</v>
      </c>
      <c r="D2047" s="532">
        <f t="shared" si="251"/>
        <v>44547</v>
      </c>
      <c r="E2047" s="534">
        <v>30</v>
      </c>
      <c r="F2047" s="601">
        <v>0.37</v>
      </c>
      <c r="G2047" s="536" t="s">
        <v>680</v>
      </c>
    </row>
    <row r="2048" spans="1:7" ht="12.75" customHeight="1">
      <c r="A2048" s="532">
        <v>44517</v>
      </c>
      <c r="B2048" s="615">
        <v>56000</v>
      </c>
      <c r="C2048" s="615">
        <f t="shared" si="250"/>
        <v>57703.013698630137</v>
      </c>
      <c r="D2048" s="532">
        <f t="shared" si="251"/>
        <v>44547</v>
      </c>
      <c r="E2048" s="534">
        <v>30</v>
      </c>
      <c r="F2048" s="601">
        <v>0.37</v>
      </c>
      <c r="G2048" s="536" t="s">
        <v>695</v>
      </c>
    </row>
    <row r="2049" spans="1:7" ht="12.75" customHeight="1">
      <c r="A2049" s="532">
        <v>44519</v>
      </c>
      <c r="B2049" s="615">
        <v>28000</v>
      </c>
      <c r="C2049" s="615">
        <f t="shared" ref="A2049:C2056" si="252">B2049+(B2049*F2049/365*E2049)*1</f>
        <v>28879.890410958906</v>
      </c>
      <c r="D2049" s="532">
        <f t="shared" ref="A2049:D2056" si="253">+A2049+E2049</f>
        <v>44550</v>
      </c>
      <c r="E2049" s="534">
        <v>31</v>
      </c>
      <c r="F2049" s="601">
        <v>0.37</v>
      </c>
      <c r="G2049" s="536" t="s">
        <v>276</v>
      </c>
    </row>
    <row r="2050" spans="1:7" ht="12.75" customHeight="1">
      <c r="A2050" s="532">
        <v>44519</v>
      </c>
      <c r="B2050" s="615">
        <v>57500</v>
      </c>
      <c r="C2050" s="615">
        <f t="shared" si="252"/>
        <v>59306.917808219179</v>
      </c>
      <c r="D2050" s="532">
        <f t="shared" si="253"/>
        <v>44550</v>
      </c>
      <c r="E2050" s="534">
        <v>31</v>
      </c>
      <c r="F2050" s="601">
        <v>0.37</v>
      </c>
      <c r="G2050" s="536" t="s">
        <v>695</v>
      </c>
    </row>
    <row r="2051" spans="1:7" ht="12.75" customHeight="1">
      <c r="A2051" s="532">
        <v>44519</v>
      </c>
      <c r="B2051" s="615">
        <v>124000</v>
      </c>
      <c r="C2051" s="615">
        <f t="shared" si="252"/>
        <v>127896.65753424658</v>
      </c>
      <c r="D2051" s="532">
        <f t="shared" si="253"/>
        <v>44550</v>
      </c>
      <c r="E2051" s="534">
        <v>31</v>
      </c>
      <c r="F2051" s="601">
        <v>0.37</v>
      </c>
      <c r="G2051" s="536" t="s">
        <v>696</v>
      </c>
    </row>
    <row r="2052" spans="1:7" ht="12.75" customHeight="1">
      <c r="A2052" s="532">
        <v>44519</v>
      </c>
      <c r="B2052" s="615">
        <v>36000</v>
      </c>
      <c r="C2052" s="615">
        <f t="shared" si="252"/>
        <v>37131.28767123288</v>
      </c>
      <c r="D2052" s="532">
        <f t="shared" si="253"/>
        <v>44550</v>
      </c>
      <c r="E2052" s="534">
        <v>31</v>
      </c>
      <c r="F2052" s="601">
        <v>0.37</v>
      </c>
      <c r="G2052" s="536" t="s">
        <v>540</v>
      </c>
    </row>
    <row r="2053" spans="1:7" ht="12.75" customHeight="1">
      <c r="A2053" s="532">
        <v>44519</v>
      </c>
      <c r="B2053" s="615">
        <v>427000</v>
      </c>
      <c r="C2053" s="615">
        <f t="shared" si="252"/>
        <v>440418.32876712328</v>
      </c>
      <c r="D2053" s="532">
        <f t="shared" si="253"/>
        <v>44550</v>
      </c>
      <c r="E2053" s="534">
        <v>31</v>
      </c>
      <c r="F2053" s="601">
        <v>0.37</v>
      </c>
      <c r="G2053" s="536" t="s">
        <v>540</v>
      </c>
    </row>
    <row r="2054" spans="1:7" ht="12.75" customHeight="1">
      <c r="A2054" s="532">
        <v>44523</v>
      </c>
      <c r="B2054" s="615">
        <v>17500</v>
      </c>
      <c r="C2054" s="615">
        <f t="shared" si="252"/>
        <v>18032.191780821919</v>
      </c>
      <c r="D2054" s="532">
        <f t="shared" si="253"/>
        <v>44553</v>
      </c>
      <c r="E2054" s="534">
        <v>30</v>
      </c>
      <c r="F2054" s="601">
        <v>0.37</v>
      </c>
      <c r="G2054" s="536" t="s">
        <v>697</v>
      </c>
    </row>
    <row r="2055" spans="1:7" ht="12.75" customHeight="1">
      <c r="A2055" s="532">
        <v>44523</v>
      </c>
      <c r="B2055" s="615">
        <v>60500</v>
      </c>
      <c r="C2055" s="615">
        <f t="shared" si="252"/>
        <v>62339.863013698632</v>
      </c>
      <c r="D2055" s="532">
        <f t="shared" si="253"/>
        <v>44553</v>
      </c>
      <c r="E2055" s="534">
        <v>30</v>
      </c>
      <c r="F2055" s="601">
        <v>0.37</v>
      </c>
      <c r="G2055" s="536" t="s">
        <v>695</v>
      </c>
    </row>
    <row r="2056" spans="1:7" ht="12.75" customHeight="1">
      <c r="A2056" s="532">
        <v>44523</v>
      </c>
      <c r="B2056" s="615">
        <v>19200</v>
      </c>
      <c r="C2056" s="615">
        <f t="shared" si="252"/>
        <v>19783.890410958906</v>
      </c>
      <c r="D2056" s="532">
        <f t="shared" si="253"/>
        <v>44553</v>
      </c>
      <c r="E2056" s="534">
        <v>30</v>
      </c>
      <c r="F2056" s="601">
        <v>0.37</v>
      </c>
      <c r="G2056" s="536" t="s">
        <v>680</v>
      </c>
    </row>
    <row r="2057" spans="1:7" ht="12.75" customHeight="1">
      <c r="A2057" s="532">
        <v>44526</v>
      </c>
      <c r="B2057" s="615">
        <v>30000</v>
      </c>
      <c r="C2057" s="615">
        <f t="shared" ref="A2057:C2066" si="254">B2057+(B2057*F2057/365*E2057)*1</f>
        <v>30942.739726027397</v>
      </c>
      <c r="D2057" s="532">
        <f t="shared" ref="A2057:D2066" si="255">+A2057+E2057</f>
        <v>44557</v>
      </c>
      <c r="E2057" s="534">
        <v>31</v>
      </c>
      <c r="F2057" s="601">
        <v>0.37</v>
      </c>
      <c r="G2057" s="536" t="s">
        <v>276</v>
      </c>
    </row>
    <row r="2058" spans="1:7" ht="12.75" customHeight="1">
      <c r="A2058" s="532">
        <v>44524</v>
      </c>
      <c r="B2058" s="615">
        <v>35000</v>
      </c>
      <c r="C2058" s="615">
        <f t="shared" si="254"/>
        <v>36170.821917808222</v>
      </c>
      <c r="D2058" s="532">
        <f t="shared" si="255"/>
        <v>44557</v>
      </c>
      <c r="E2058" s="534">
        <v>33</v>
      </c>
      <c r="F2058" s="601">
        <v>0.37</v>
      </c>
      <c r="G2058" s="536" t="s">
        <v>276</v>
      </c>
    </row>
    <row r="2059" spans="1:7" ht="12.75" customHeight="1">
      <c r="A2059" s="532">
        <v>44525</v>
      </c>
      <c r="B2059" s="615">
        <v>80000</v>
      </c>
      <c r="C2059" s="615">
        <f t="shared" si="254"/>
        <v>82595.068493150684</v>
      </c>
      <c r="D2059" s="532">
        <f t="shared" si="255"/>
        <v>44557</v>
      </c>
      <c r="E2059" s="534">
        <v>32</v>
      </c>
      <c r="F2059" s="601">
        <v>0.37</v>
      </c>
      <c r="G2059" s="536" t="s">
        <v>276</v>
      </c>
    </row>
    <row r="2060" spans="1:7" ht="12.75" customHeight="1">
      <c r="A2060" s="532">
        <v>44524</v>
      </c>
      <c r="B2060" s="615">
        <v>119600</v>
      </c>
      <c r="C2060" s="615">
        <f t="shared" si="254"/>
        <v>123600.86575342466</v>
      </c>
      <c r="D2060" s="532">
        <f t="shared" si="255"/>
        <v>44557</v>
      </c>
      <c r="E2060" s="534">
        <v>33</v>
      </c>
      <c r="F2060" s="601">
        <v>0.37</v>
      </c>
      <c r="G2060" s="536" t="s">
        <v>695</v>
      </c>
    </row>
    <row r="2061" spans="1:7" ht="12.75" customHeight="1">
      <c r="A2061" s="532">
        <v>44526</v>
      </c>
      <c r="B2061" s="615">
        <v>44700</v>
      </c>
      <c r="C2061" s="615">
        <f t="shared" si="254"/>
        <v>46104.682191780819</v>
      </c>
      <c r="D2061" s="532">
        <f t="shared" si="255"/>
        <v>44557</v>
      </c>
      <c r="E2061" s="534">
        <v>31</v>
      </c>
      <c r="F2061" s="601">
        <v>0.37</v>
      </c>
      <c r="G2061" s="536" t="s">
        <v>695</v>
      </c>
    </row>
    <row r="2062" spans="1:7" ht="12.75" customHeight="1">
      <c r="A2062" s="532">
        <v>44525</v>
      </c>
      <c r="B2062" s="615">
        <v>113500</v>
      </c>
      <c r="C2062" s="615">
        <f t="shared" si="254"/>
        <v>117181.75342465754</v>
      </c>
      <c r="D2062" s="532">
        <f t="shared" si="255"/>
        <v>44557</v>
      </c>
      <c r="E2062" s="534">
        <v>32</v>
      </c>
      <c r="F2062" s="601">
        <v>0.37</v>
      </c>
      <c r="G2062" s="536" t="s">
        <v>695</v>
      </c>
    </row>
    <row r="2063" spans="1:7" ht="12.75" customHeight="1">
      <c r="A2063" s="532">
        <v>44526</v>
      </c>
      <c r="B2063" s="615">
        <v>50000</v>
      </c>
      <c r="C2063" s="615">
        <f t="shared" si="254"/>
        <v>51571.232876712325</v>
      </c>
      <c r="D2063" s="532">
        <f t="shared" si="255"/>
        <v>44557</v>
      </c>
      <c r="E2063" s="534">
        <v>31</v>
      </c>
      <c r="F2063" s="601">
        <v>0.37</v>
      </c>
      <c r="G2063" s="536" t="s">
        <v>697</v>
      </c>
    </row>
    <row r="2064" spans="1:7" ht="12.75" customHeight="1">
      <c r="A2064" s="532">
        <v>44526</v>
      </c>
      <c r="B2064" s="615">
        <v>5800</v>
      </c>
      <c r="C2064" s="615">
        <f t="shared" si="254"/>
        <v>5982.2630136986299</v>
      </c>
      <c r="D2064" s="532">
        <f t="shared" si="255"/>
        <v>44557</v>
      </c>
      <c r="E2064" s="534">
        <v>31</v>
      </c>
      <c r="F2064" s="601">
        <v>0.37</v>
      </c>
      <c r="G2064" s="536" t="s">
        <v>680</v>
      </c>
    </row>
    <row r="2065" spans="1:8" ht="12" customHeight="1">
      <c r="A2065" s="532">
        <v>44524</v>
      </c>
      <c r="B2065" s="615">
        <v>68800</v>
      </c>
      <c r="C2065" s="615">
        <f t="shared" si="254"/>
        <v>71101.501369863021</v>
      </c>
      <c r="D2065" s="532">
        <f t="shared" si="255"/>
        <v>44557</v>
      </c>
      <c r="E2065" s="534">
        <v>33</v>
      </c>
      <c r="F2065" s="601">
        <v>0.37</v>
      </c>
      <c r="G2065" s="536" t="s">
        <v>696</v>
      </c>
    </row>
    <row r="2066" spans="1:8" ht="12.75" customHeight="1">
      <c r="A2066" s="532">
        <v>44526</v>
      </c>
      <c r="B2066" s="615">
        <v>111900</v>
      </c>
      <c r="C2066" s="615">
        <f t="shared" si="254"/>
        <v>115416.41917808219</v>
      </c>
      <c r="D2066" s="532">
        <f t="shared" si="255"/>
        <v>44557</v>
      </c>
      <c r="E2066" s="534">
        <v>31</v>
      </c>
      <c r="F2066" s="601">
        <v>0.37</v>
      </c>
      <c r="G2066" s="536" t="s">
        <v>696</v>
      </c>
    </row>
    <row r="2067" spans="1:8" ht="12.75" customHeight="1">
      <c r="A2067" s="532">
        <v>44525</v>
      </c>
      <c r="B2067" s="615">
        <v>150000</v>
      </c>
      <c r="C2067" s="615">
        <f t="shared" ref="A2067:C2072" si="256">B2067+(B2067*F2067/365*E2067)*1</f>
        <v>154865.75342465754</v>
      </c>
      <c r="D2067" s="532">
        <f t="shared" ref="A2067:D2072" si="257">+A2067+E2067</f>
        <v>44557</v>
      </c>
      <c r="E2067" s="534">
        <v>32</v>
      </c>
      <c r="F2067" s="601">
        <v>0.37</v>
      </c>
      <c r="G2067" s="536" t="s">
        <v>120</v>
      </c>
    </row>
    <row r="2068" spans="1:8" ht="12.75" customHeight="1">
      <c r="A2068" s="532">
        <v>44526</v>
      </c>
      <c r="B2068" s="615">
        <v>155000</v>
      </c>
      <c r="C2068" s="615">
        <f t="shared" si="256"/>
        <v>159870.82191780821</v>
      </c>
      <c r="D2068" s="532">
        <f t="shared" si="257"/>
        <v>44557</v>
      </c>
      <c r="E2068" s="534">
        <v>31</v>
      </c>
      <c r="F2068" s="601">
        <v>0.37</v>
      </c>
      <c r="G2068" s="536" t="s">
        <v>120</v>
      </c>
    </row>
    <row r="2069" spans="1:8" ht="12.75" customHeight="1">
      <c r="A2069" s="532">
        <v>44524</v>
      </c>
      <c r="B2069" s="615">
        <v>39000</v>
      </c>
      <c r="C2069" s="615">
        <f t="shared" si="256"/>
        <v>40304.630136986299</v>
      </c>
      <c r="D2069" s="532">
        <f t="shared" si="257"/>
        <v>44557</v>
      </c>
      <c r="E2069" s="534">
        <v>33</v>
      </c>
      <c r="F2069" s="601">
        <v>0.37</v>
      </c>
      <c r="G2069" s="536" t="s">
        <v>120</v>
      </c>
      <c r="H2069">
        <v>40306.6</v>
      </c>
    </row>
    <row r="2070" spans="1:8" ht="12.75" customHeight="1">
      <c r="A2070" s="532">
        <v>44524</v>
      </c>
      <c r="B2070" s="615">
        <v>70000</v>
      </c>
      <c r="C2070" s="615">
        <f t="shared" si="256"/>
        <v>72341.643835616444</v>
      </c>
      <c r="D2070" s="532">
        <f t="shared" si="257"/>
        <v>44557</v>
      </c>
      <c r="E2070" s="534">
        <v>33</v>
      </c>
      <c r="F2070" s="601">
        <v>0.37</v>
      </c>
      <c r="G2070" s="536" t="s">
        <v>540</v>
      </c>
      <c r="H2070">
        <v>72345.17</v>
      </c>
    </row>
    <row r="2071" spans="1:8" ht="12.75" customHeight="1">
      <c r="A2071" s="532">
        <v>44529</v>
      </c>
      <c r="B2071" s="615">
        <v>150000</v>
      </c>
      <c r="C2071" s="615">
        <f t="shared" si="256"/>
        <v>154561.64383561644</v>
      </c>
      <c r="D2071" s="532">
        <f t="shared" si="257"/>
        <v>44559</v>
      </c>
      <c r="E2071" s="534">
        <v>30</v>
      </c>
      <c r="F2071" s="601">
        <v>0.37</v>
      </c>
      <c r="G2071" s="536" t="s">
        <v>276</v>
      </c>
    </row>
    <row r="2072" spans="1:8" ht="12.75" customHeight="1">
      <c r="A2072" s="532">
        <v>44529</v>
      </c>
      <c r="B2072" s="615">
        <v>21500</v>
      </c>
      <c r="C2072" s="615">
        <f t="shared" si="256"/>
        <v>22153.835616438355</v>
      </c>
      <c r="D2072" s="532">
        <f t="shared" si="257"/>
        <v>44559</v>
      </c>
      <c r="E2072" s="534">
        <v>30</v>
      </c>
      <c r="F2072" s="601">
        <v>0.37</v>
      </c>
      <c r="G2072" s="536" t="s">
        <v>695</v>
      </c>
    </row>
    <row r="2073" spans="1:8" ht="12.75" customHeight="1">
      <c r="A2073" s="532">
        <v>44530</v>
      </c>
      <c r="B2073" s="615">
        <v>18000</v>
      </c>
      <c r="C2073" s="615">
        <f>B2073+(B2073*F2073/365*E2073)*1</f>
        <v>18547.397260273974</v>
      </c>
      <c r="D2073" s="532">
        <f>+A2073+E2073</f>
        <v>44560</v>
      </c>
      <c r="E2073" s="534">
        <v>30</v>
      </c>
      <c r="F2073" s="601">
        <v>0.37</v>
      </c>
      <c r="G2073" s="536" t="s">
        <v>696</v>
      </c>
    </row>
    <row r="2074" spans="1:8" ht="12.75" customHeight="1">
      <c r="A2074" s="532">
        <v>44530</v>
      </c>
      <c r="B2074" s="615">
        <v>510000</v>
      </c>
      <c r="C2074" s="615">
        <f>B2074+(B2074*F2074/365*E2074)*1</f>
        <v>525509.58904109593</v>
      </c>
      <c r="D2074" s="532">
        <f>+A2074+E2074</f>
        <v>44560</v>
      </c>
      <c r="E2074" s="534">
        <v>30</v>
      </c>
      <c r="F2074" s="601">
        <v>0.37</v>
      </c>
      <c r="G2074" s="536" t="s">
        <v>276</v>
      </c>
    </row>
    <row r="2075" spans="1:8" ht="12.75" customHeight="1">
      <c r="A2075" s="532">
        <v>44529</v>
      </c>
      <c r="B2075" s="615">
        <v>51000</v>
      </c>
      <c r="C2075" s="615">
        <f t="shared" ref="A2075:C2075" si="258">B2075+(B2075*F2075/365*E2075)*1</f>
        <v>52550.95890410959</v>
      </c>
      <c r="D2075" s="532">
        <f t="shared" ref="A2075:D2075" si="259">+A2075+E2075</f>
        <v>44559</v>
      </c>
      <c r="E2075" s="534">
        <v>30</v>
      </c>
      <c r="F2075" s="601">
        <v>0.37</v>
      </c>
      <c r="G2075" s="536" t="s">
        <v>120</v>
      </c>
    </row>
    <row r="2076" spans="1:8" ht="12.75" customHeight="1">
      <c r="A2076" s="532"/>
      <c r="B2076" s="615"/>
      <c r="C2076" s="615"/>
      <c r="D2076" s="532"/>
      <c r="E2076" s="534"/>
      <c r="F2076" s="601"/>
      <c r="G2076" s="536"/>
    </row>
    <row r="2077" spans="1:8" ht="12.75" customHeight="1">
      <c r="A2077" s="532"/>
      <c r="B2077" s="615">
        <f>SUM(B1727:B2076)</f>
        <v>22141775</v>
      </c>
      <c r="C2077" s="615">
        <f>SUM(C1727:C2076)</f>
        <v>23589671.728218462</v>
      </c>
      <c r="D2077" s="532"/>
      <c r="E2077" s="534"/>
      <c r="F2077" s="601"/>
      <c r="G2077" s="536"/>
    </row>
    <row r="2078" spans="1:8" ht="12.75" customHeight="1">
      <c r="A2078" s="532"/>
      <c r="B2078" s="615"/>
      <c r="C2078" s="615">
        <f>+C2077-B2077</f>
        <v>1447896.7282184623</v>
      </c>
      <c r="D2078" s="532"/>
      <c r="E2078" s="534"/>
      <c r="F2078" s="601"/>
      <c r="G2078" s="536"/>
    </row>
    <row r="2079" spans="1:8" ht="12.75" customHeight="1" thickBot="1">
      <c r="A2079" s="532"/>
      <c r="B2079" s="615"/>
      <c r="C2079" s="615"/>
      <c r="D2079" s="532"/>
      <c r="E2079" s="534"/>
      <c r="F2079" s="601"/>
      <c r="G2079" s="536"/>
    </row>
    <row r="2080" spans="1:8" ht="14" thickTop="1" thickBot="1">
      <c r="A2080" s="674">
        <v>44531</v>
      </c>
      <c r="B2080" s="677">
        <v>90000</v>
      </c>
      <c r="C2080" s="677">
        <f t="shared" ref="A2080:C2143" si="260">B2080+(B2080*F2080/365*E2080)*1</f>
        <v>93010.684931506854</v>
      </c>
      <c r="D2080" s="680">
        <f t="shared" ref="A2080:D2111" si="261">+A2080+E2080</f>
        <v>44564</v>
      </c>
      <c r="E2080" s="681">
        <v>33</v>
      </c>
      <c r="F2080" s="684">
        <v>0.37</v>
      </c>
      <c r="G2080" s="687" t="s">
        <v>540</v>
      </c>
    </row>
    <row r="2081" spans="1:7" ht="12.75" customHeight="1" thickTop="1">
      <c r="A2081" s="532">
        <v>44533</v>
      </c>
      <c r="B2081" s="615">
        <v>28000</v>
      </c>
      <c r="C2081" s="615">
        <f t="shared" si="260"/>
        <v>28879.890410958906</v>
      </c>
      <c r="D2081" s="532">
        <f t="shared" si="261"/>
        <v>44564</v>
      </c>
      <c r="E2081" s="534">
        <v>31</v>
      </c>
      <c r="F2081" s="601">
        <v>0.37</v>
      </c>
      <c r="G2081" s="536" t="s">
        <v>697</v>
      </c>
    </row>
    <row r="2082" spans="1:7" ht="12.75" customHeight="1">
      <c r="A2082" s="532">
        <v>44533</v>
      </c>
      <c r="B2082" s="615">
        <v>110000</v>
      </c>
      <c r="C2082" s="615">
        <f t="shared" si="260"/>
        <v>113456.71232876713</v>
      </c>
      <c r="D2082" s="532">
        <f t="shared" si="261"/>
        <v>44564</v>
      </c>
      <c r="E2082" s="534">
        <v>31</v>
      </c>
      <c r="F2082" s="601">
        <v>0.37</v>
      </c>
      <c r="G2082" s="536" t="s">
        <v>276</v>
      </c>
    </row>
    <row r="2083" spans="1:7" ht="12.75" customHeight="1">
      <c r="A2083" s="532">
        <v>44536</v>
      </c>
      <c r="B2083" s="615">
        <v>31000</v>
      </c>
      <c r="C2083" s="615">
        <f t="shared" si="260"/>
        <v>31942.739726027397</v>
      </c>
      <c r="D2083" s="532">
        <f t="shared" si="261"/>
        <v>44566</v>
      </c>
      <c r="E2083" s="534">
        <v>30</v>
      </c>
      <c r="F2083" s="601">
        <v>0.37</v>
      </c>
      <c r="G2083" s="536" t="s">
        <v>697</v>
      </c>
    </row>
    <row r="2084" spans="1:7" ht="12.75" customHeight="1">
      <c r="A2084" s="532">
        <v>44536</v>
      </c>
      <c r="B2084" s="615">
        <v>27000</v>
      </c>
      <c r="C2084" s="615">
        <f t="shared" si="260"/>
        <v>27821.095890410958</v>
      </c>
      <c r="D2084" s="532">
        <f t="shared" si="261"/>
        <v>44566</v>
      </c>
      <c r="E2084" s="534">
        <v>30</v>
      </c>
      <c r="F2084" s="601">
        <v>0.37</v>
      </c>
      <c r="G2084" s="536" t="s">
        <v>276</v>
      </c>
    </row>
    <row r="2085" spans="1:7" ht="12.75" customHeight="1">
      <c r="A2085" s="532">
        <v>44540</v>
      </c>
      <c r="B2085" s="615">
        <v>8900</v>
      </c>
      <c r="C2085" s="615">
        <f t="shared" si="260"/>
        <v>9179.6794520547937</v>
      </c>
      <c r="D2085" s="532">
        <f t="shared" si="261"/>
        <v>44571</v>
      </c>
      <c r="E2085" s="534">
        <v>31</v>
      </c>
      <c r="F2085" s="601">
        <v>0.37</v>
      </c>
      <c r="G2085" s="536" t="s">
        <v>697</v>
      </c>
    </row>
    <row r="2086" spans="1:7" ht="12.75" customHeight="1">
      <c r="A2086" s="532">
        <v>44540</v>
      </c>
      <c r="B2086" s="615">
        <v>27000</v>
      </c>
      <c r="C2086" s="615">
        <f t="shared" si="260"/>
        <v>27848.465753424658</v>
      </c>
      <c r="D2086" s="532">
        <f t="shared" si="261"/>
        <v>44571</v>
      </c>
      <c r="E2086" s="534">
        <v>31</v>
      </c>
      <c r="F2086" s="601">
        <v>0.37</v>
      </c>
      <c r="G2086" s="536" t="s">
        <v>276</v>
      </c>
    </row>
    <row r="2087" spans="1:7" ht="12.75" customHeight="1">
      <c r="A2087" s="532">
        <v>44543</v>
      </c>
      <c r="B2087" s="615">
        <v>160000</v>
      </c>
      <c r="C2087" s="615">
        <f t="shared" si="260"/>
        <v>164865.75342465754</v>
      </c>
      <c r="D2087" s="532">
        <f t="shared" si="261"/>
        <v>44573</v>
      </c>
      <c r="E2087" s="534">
        <v>30</v>
      </c>
      <c r="F2087" s="601">
        <v>0.37</v>
      </c>
      <c r="G2087" s="536" t="s">
        <v>276</v>
      </c>
    </row>
    <row r="2088" spans="1:7" ht="12.75" customHeight="1">
      <c r="A2088" s="532">
        <v>44543</v>
      </c>
      <c r="B2088" s="615">
        <v>51600</v>
      </c>
      <c r="C2088" s="615">
        <f t="shared" si="260"/>
        <v>53169.205479452052</v>
      </c>
      <c r="D2088" s="532">
        <f t="shared" si="261"/>
        <v>44573</v>
      </c>
      <c r="E2088" s="534">
        <v>30</v>
      </c>
      <c r="F2088" s="601">
        <v>0.37</v>
      </c>
      <c r="G2088" s="536" t="s">
        <v>697</v>
      </c>
    </row>
    <row r="2089" spans="1:7" ht="12.75" customHeight="1">
      <c r="A2089" s="532">
        <v>44545</v>
      </c>
      <c r="B2089" s="615">
        <v>47300</v>
      </c>
      <c r="C2089" s="615">
        <f t="shared" si="260"/>
        <v>48738.438356164384</v>
      </c>
      <c r="D2089" s="532">
        <f t="shared" si="261"/>
        <v>44575</v>
      </c>
      <c r="E2089" s="534">
        <v>30</v>
      </c>
      <c r="F2089" s="601">
        <v>0.37</v>
      </c>
      <c r="G2089" s="536" t="s">
        <v>696</v>
      </c>
    </row>
    <row r="2090" spans="1:7" ht="12.75" customHeight="1">
      <c r="A2090" s="532">
        <v>44545</v>
      </c>
      <c r="B2090" s="615">
        <v>14000</v>
      </c>
      <c r="C2090" s="615">
        <f t="shared" si="260"/>
        <v>14425.753424657534</v>
      </c>
      <c r="D2090" s="532">
        <f t="shared" si="261"/>
        <v>44575</v>
      </c>
      <c r="E2090" s="534">
        <v>30</v>
      </c>
      <c r="F2090" s="601">
        <v>0.37</v>
      </c>
      <c r="G2090" s="536" t="s">
        <v>276</v>
      </c>
    </row>
    <row r="2091" spans="1:7" ht="12.75" customHeight="1">
      <c r="A2091" s="532">
        <v>44546</v>
      </c>
      <c r="B2091" s="615">
        <v>100000</v>
      </c>
      <c r="C2091" s="615">
        <f t="shared" si="260"/>
        <v>103243.83561643836</v>
      </c>
      <c r="D2091" s="532">
        <f t="shared" si="261"/>
        <v>44578</v>
      </c>
      <c r="E2091" s="534">
        <v>32</v>
      </c>
      <c r="F2091" s="601">
        <v>0.37</v>
      </c>
      <c r="G2091" s="536" t="s">
        <v>120</v>
      </c>
    </row>
    <row r="2092" spans="1:7" ht="12.75" customHeight="1">
      <c r="A2092" s="532">
        <v>44547</v>
      </c>
      <c r="B2092" s="615">
        <v>113000</v>
      </c>
      <c r="C2092" s="615">
        <f t="shared" si="260"/>
        <v>116550.98630136986</v>
      </c>
      <c r="D2092" s="532">
        <f t="shared" si="261"/>
        <v>44578</v>
      </c>
      <c r="E2092" s="534">
        <v>31</v>
      </c>
      <c r="F2092" s="601">
        <v>0.37</v>
      </c>
      <c r="G2092" s="536" t="s">
        <v>695</v>
      </c>
    </row>
    <row r="2093" spans="1:7" ht="12.75" customHeight="1">
      <c r="A2093" s="532">
        <v>44547</v>
      </c>
      <c r="B2093" s="615">
        <v>50300</v>
      </c>
      <c r="C2093" s="615">
        <f t="shared" si="260"/>
        <v>51880.6602739726</v>
      </c>
      <c r="D2093" s="532">
        <f t="shared" si="261"/>
        <v>44578</v>
      </c>
      <c r="E2093" s="534">
        <v>31</v>
      </c>
      <c r="F2093" s="601">
        <v>0.37</v>
      </c>
      <c r="G2093" s="536" t="s">
        <v>695</v>
      </c>
    </row>
    <row r="2094" spans="1:7" ht="12.75" customHeight="1">
      <c r="A2094" s="532">
        <v>44547</v>
      </c>
      <c r="B2094" s="615">
        <v>27300</v>
      </c>
      <c r="C2094" s="615">
        <f t="shared" si="260"/>
        <v>28157.893150684933</v>
      </c>
      <c r="D2094" s="532">
        <f t="shared" si="261"/>
        <v>44578</v>
      </c>
      <c r="E2094" s="534">
        <v>31</v>
      </c>
      <c r="F2094" s="601">
        <v>0.37</v>
      </c>
      <c r="G2094" s="536" t="s">
        <v>680</v>
      </c>
    </row>
    <row r="2095" spans="1:7" ht="12.75" customHeight="1">
      <c r="A2095" s="532">
        <v>44547</v>
      </c>
      <c r="B2095" s="615">
        <v>50000</v>
      </c>
      <c r="C2095" s="615">
        <f t="shared" si="260"/>
        <v>51571.232876712325</v>
      </c>
      <c r="D2095" s="532">
        <f t="shared" si="261"/>
        <v>44578</v>
      </c>
      <c r="E2095" s="534">
        <v>31</v>
      </c>
      <c r="F2095" s="601">
        <v>0.37</v>
      </c>
      <c r="G2095" s="536" t="s">
        <v>680</v>
      </c>
    </row>
    <row r="2096" spans="1:7" ht="12.75" customHeight="1">
      <c r="A2096" s="532">
        <v>44547</v>
      </c>
      <c r="B2096" s="615">
        <v>32900</v>
      </c>
      <c r="C2096" s="615">
        <f t="shared" si="260"/>
        <v>33933.871232876714</v>
      </c>
      <c r="D2096" s="532">
        <f t="shared" si="261"/>
        <v>44578</v>
      </c>
      <c r="E2096" s="534">
        <v>31</v>
      </c>
      <c r="F2096" s="601">
        <v>0.37</v>
      </c>
      <c r="G2096" s="536" t="s">
        <v>697</v>
      </c>
    </row>
    <row r="2097" spans="1:7" ht="12.75" customHeight="1">
      <c r="A2097" s="532">
        <v>44550</v>
      </c>
      <c r="B2097" s="615">
        <v>127900</v>
      </c>
      <c r="C2097" s="615">
        <f t="shared" si="260"/>
        <v>131789.56164383562</v>
      </c>
      <c r="D2097" s="532">
        <f t="shared" si="261"/>
        <v>44580</v>
      </c>
      <c r="E2097" s="534">
        <v>30</v>
      </c>
      <c r="F2097" s="601">
        <v>0.37</v>
      </c>
      <c r="G2097" s="536" t="s">
        <v>696</v>
      </c>
    </row>
    <row r="2098" spans="1:7" ht="12.75" customHeight="1">
      <c r="A2098" s="532">
        <v>44550</v>
      </c>
      <c r="B2098" s="615">
        <v>45000</v>
      </c>
      <c r="C2098" s="615">
        <f t="shared" si="260"/>
        <v>46368.493150684932</v>
      </c>
      <c r="D2098" s="532">
        <f t="shared" si="261"/>
        <v>44580</v>
      </c>
      <c r="E2098" s="534">
        <v>30</v>
      </c>
      <c r="F2098" s="601">
        <v>0.37</v>
      </c>
      <c r="G2098" s="536" t="s">
        <v>276</v>
      </c>
    </row>
    <row r="2099" spans="1:7" ht="12.75" customHeight="1">
      <c r="A2099" s="532">
        <v>44550</v>
      </c>
      <c r="B2099" s="615">
        <v>59300</v>
      </c>
      <c r="C2099" s="615">
        <f t="shared" si="260"/>
        <v>61103.369863013701</v>
      </c>
      <c r="D2099" s="532">
        <f t="shared" si="261"/>
        <v>44580</v>
      </c>
      <c r="E2099" s="534">
        <v>30</v>
      </c>
      <c r="F2099" s="601">
        <v>0.37</v>
      </c>
      <c r="G2099" s="536" t="s">
        <v>695</v>
      </c>
    </row>
    <row r="2100" spans="1:7" ht="12.75" customHeight="1">
      <c r="A2100" s="532">
        <v>44551</v>
      </c>
      <c r="B2100" s="615">
        <v>28000</v>
      </c>
      <c r="C2100" s="615">
        <f t="shared" si="260"/>
        <v>28851.506849315068</v>
      </c>
      <c r="D2100" s="532">
        <f t="shared" si="261"/>
        <v>44581</v>
      </c>
      <c r="E2100" s="534">
        <v>30</v>
      </c>
      <c r="F2100" s="601">
        <v>0.37</v>
      </c>
      <c r="G2100" s="536" t="s">
        <v>695</v>
      </c>
    </row>
    <row r="2101" spans="1:7" ht="12.75" customHeight="1">
      <c r="A2101" s="532">
        <v>44551</v>
      </c>
      <c r="B2101" s="615">
        <v>120000</v>
      </c>
      <c r="C2101" s="615">
        <f t="shared" si="260"/>
        <v>123649.31506849315</v>
      </c>
      <c r="D2101" s="532">
        <f t="shared" si="261"/>
        <v>44581</v>
      </c>
      <c r="E2101" s="534">
        <v>30</v>
      </c>
      <c r="F2101" s="601">
        <v>0.37</v>
      </c>
      <c r="G2101" s="536" t="s">
        <v>540</v>
      </c>
    </row>
    <row r="2102" spans="1:7" ht="12.75" customHeight="1">
      <c r="A2102" s="532">
        <v>44551</v>
      </c>
      <c r="B2102" s="615">
        <v>45000</v>
      </c>
      <c r="C2102" s="615">
        <f t="shared" si="260"/>
        <v>46368.493150684932</v>
      </c>
      <c r="D2102" s="532">
        <f t="shared" si="261"/>
        <v>44581</v>
      </c>
      <c r="E2102" s="534">
        <v>30</v>
      </c>
      <c r="F2102" s="601">
        <v>0.37</v>
      </c>
      <c r="G2102" s="536" t="s">
        <v>540</v>
      </c>
    </row>
    <row r="2103" spans="1:7" ht="12.75" customHeight="1">
      <c r="A2103" s="532">
        <v>44553</v>
      </c>
      <c r="B2103" s="615">
        <v>14000</v>
      </c>
      <c r="C2103" s="615">
        <f t="shared" si="260"/>
        <v>14454.13698630137</v>
      </c>
      <c r="D2103" s="532">
        <f t="shared" si="261"/>
        <v>44585</v>
      </c>
      <c r="E2103" s="534">
        <v>32</v>
      </c>
      <c r="F2103" s="601">
        <v>0.37</v>
      </c>
      <c r="G2103" s="536" t="s">
        <v>697</v>
      </c>
    </row>
    <row r="2104" spans="1:7" ht="12.75" customHeight="1">
      <c r="A2104" s="532">
        <v>44553</v>
      </c>
      <c r="B2104" s="615">
        <v>62300</v>
      </c>
      <c r="C2104" s="615">
        <f t="shared" si="260"/>
        <v>64320.909589041097</v>
      </c>
      <c r="D2104" s="532">
        <f t="shared" si="261"/>
        <v>44585</v>
      </c>
      <c r="E2104" s="534">
        <v>32</v>
      </c>
      <c r="F2104" s="601">
        <v>0.37</v>
      </c>
      <c r="G2104" s="536" t="s">
        <v>695</v>
      </c>
    </row>
    <row r="2105" spans="1:7" ht="12.75" customHeight="1">
      <c r="A2105" s="532">
        <v>44553</v>
      </c>
      <c r="B2105" s="615">
        <v>19800</v>
      </c>
      <c r="C2105" s="615">
        <f t="shared" si="260"/>
        <v>20442.279452054794</v>
      </c>
      <c r="D2105" s="532">
        <f t="shared" si="261"/>
        <v>44585</v>
      </c>
      <c r="E2105" s="534">
        <v>32</v>
      </c>
      <c r="F2105" s="601">
        <v>0.37</v>
      </c>
      <c r="G2105" s="536" t="s">
        <v>680</v>
      </c>
    </row>
    <row r="2106" spans="1:7" ht="12.75" customHeight="1">
      <c r="A2106" s="532">
        <v>44553</v>
      </c>
      <c r="B2106" s="615">
        <v>8000</v>
      </c>
      <c r="C2106" s="615">
        <f t="shared" si="260"/>
        <v>8259.5068493150684</v>
      </c>
      <c r="D2106" s="532">
        <f t="shared" si="261"/>
        <v>44585</v>
      </c>
      <c r="E2106" s="534">
        <v>32</v>
      </c>
      <c r="F2106" s="601">
        <v>0.37</v>
      </c>
      <c r="G2106" s="536" t="s">
        <v>696</v>
      </c>
    </row>
    <row r="2107" spans="1:7" ht="12.75" customHeight="1">
      <c r="A2107" s="532">
        <v>44557</v>
      </c>
      <c r="B2107" s="615">
        <v>51000</v>
      </c>
      <c r="C2107" s="615">
        <f t="shared" si="260"/>
        <v>52550.95890410959</v>
      </c>
      <c r="D2107" s="532">
        <f t="shared" si="261"/>
        <v>44587</v>
      </c>
      <c r="E2107" s="534">
        <v>30</v>
      </c>
      <c r="F2107" s="601">
        <v>0.37</v>
      </c>
      <c r="G2107" s="536" t="s">
        <v>697</v>
      </c>
    </row>
    <row r="2108" spans="1:7" ht="12.75" customHeight="1">
      <c r="A2108" s="532">
        <v>44557</v>
      </c>
      <c r="B2108" s="615">
        <v>6000</v>
      </c>
      <c r="C2108" s="615">
        <f t="shared" si="260"/>
        <v>6182.4657534246571</v>
      </c>
      <c r="D2108" s="532">
        <f t="shared" si="261"/>
        <v>44587</v>
      </c>
      <c r="E2108" s="534">
        <v>30</v>
      </c>
      <c r="F2108" s="601">
        <v>0.37</v>
      </c>
      <c r="G2108" s="536" t="s">
        <v>680</v>
      </c>
    </row>
    <row r="2109" spans="1:7" ht="12.75" customHeight="1">
      <c r="A2109" s="532">
        <v>44557</v>
      </c>
      <c r="B2109" s="615">
        <v>286900</v>
      </c>
      <c r="C2109" s="615">
        <f t="shared" si="260"/>
        <v>295624.90410958906</v>
      </c>
      <c r="D2109" s="532">
        <f t="shared" si="261"/>
        <v>44587</v>
      </c>
      <c r="E2109" s="534">
        <v>30</v>
      </c>
      <c r="F2109" s="601">
        <v>0.37</v>
      </c>
      <c r="G2109" s="536" t="s">
        <v>695</v>
      </c>
    </row>
    <row r="2110" spans="1:7" ht="12.75" customHeight="1">
      <c r="A2110" s="532">
        <v>44557</v>
      </c>
      <c r="B2110" s="615">
        <v>140000</v>
      </c>
      <c r="C2110" s="615">
        <f t="shared" si="260"/>
        <v>144257.53424657535</v>
      </c>
      <c r="D2110" s="532">
        <f t="shared" si="261"/>
        <v>44587</v>
      </c>
      <c r="E2110" s="534">
        <v>30</v>
      </c>
      <c r="F2110" s="601">
        <v>0.37</v>
      </c>
      <c r="G2110" s="536" t="s">
        <v>276</v>
      </c>
    </row>
    <row r="2111" spans="1:7" ht="12.75" customHeight="1">
      <c r="A2111" s="532">
        <v>44557</v>
      </c>
      <c r="B2111" s="615">
        <v>186500</v>
      </c>
      <c r="C2111" s="615">
        <f t="shared" si="260"/>
        <v>192171.64383561644</v>
      </c>
      <c r="D2111" s="532">
        <f t="shared" si="261"/>
        <v>44587</v>
      </c>
      <c r="E2111" s="534">
        <v>30</v>
      </c>
      <c r="F2111" s="601">
        <v>0.37</v>
      </c>
      <c r="G2111" s="536" t="s">
        <v>696</v>
      </c>
    </row>
    <row r="2112" spans="1:7" ht="12.75" customHeight="1">
      <c r="A2112" s="532">
        <v>44557</v>
      </c>
      <c r="B2112" s="615">
        <v>70000</v>
      </c>
      <c r="C2112" s="615">
        <f t="shared" si="260"/>
        <v>72128.767123287675</v>
      </c>
      <c r="D2112" s="532">
        <f t="shared" ref="A2112:D2143" si="262">+A2112+E2112</f>
        <v>44587</v>
      </c>
      <c r="E2112" s="534">
        <v>30</v>
      </c>
      <c r="F2112" s="601">
        <v>0.37</v>
      </c>
      <c r="G2112" s="536" t="s">
        <v>540</v>
      </c>
    </row>
    <row r="2113" spans="1:21" ht="12.75" customHeight="1">
      <c r="A2113" s="532">
        <v>44557</v>
      </c>
      <c r="B2113" s="615">
        <v>355000</v>
      </c>
      <c r="C2113" s="615">
        <f t="shared" si="260"/>
        <v>365795.89041095891</v>
      </c>
      <c r="D2113" s="532">
        <f t="shared" si="262"/>
        <v>44587</v>
      </c>
      <c r="E2113" s="534">
        <v>30</v>
      </c>
      <c r="F2113" s="601">
        <v>0.37</v>
      </c>
      <c r="G2113" s="536" t="s">
        <v>120</v>
      </c>
    </row>
    <row r="2114" spans="1:21" ht="12.75" customHeight="1">
      <c r="A2114" s="532">
        <v>44559</v>
      </c>
      <c r="B2114" s="615">
        <v>22000</v>
      </c>
      <c r="C2114" s="615">
        <f t="shared" si="260"/>
        <v>22669.04109589041</v>
      </c>
      <c r="D2114" s="532">
        <f t="shared" si="262"/>
        <v>44589</v>
      </c>
      <c r="E2114" s="534">
        <v>30</v>
      </c>
      <c r="F2114" s="601">
        <v>0.37</v>
      </c>
      <c r="G2114" s="536" t="s">
        <v>695</v>
      </c>
    </row>
    <row r="2115" spans="1:21" ht="12.75" customHeight="1">
      <c r="A2115" s="532">
        <v>44559</v>
      </c>
      <c r="B2115" s="615">
        <v>140000</v>
      </c>
      <c r="C2115" s="615">
        <f t="shared" si="260"/>
        <v>144257.53424657535</v>
      </c>
      <c r="D2115" s="532">
        <f t="shared" si="262"/>
        <v>44589</v>
      </c>
      <c r="E2115" s="534">
        <v>30</v>
      </c>
      <c r="F2115" s="601">
        <v>0.37</v>
      </c>
      <c r="G2115" s="536" t="s">
        <v>276</v>
      </c>
    </row>
    <row r="2116" spans="1:21" ht="12.75" customHeight="1">
      <c r="A2116" s="532">
        <v>44559</v>
      </c>
      <c r="B2116" s="615">
        <v>100000</v>
      </c>
      <c r="C2116" s="615">
        <f t="shared" si="260"/>
        <v>103041.09589041096</v>
      </c>
      <c r="D2116" s="532">
        <f t="shared" si="262"/>
        <v>44589</v>
      </c>
      <c r="E2116" s="534">
        <v>30</v>
      </c>
      <c r="F2116" s="601">
        <v>0.37</v>
      </c>
      <c r="G2116" s="536" t="s">
        <v>120</v>
      </c>
    </row>
    <row r="2117" spans="1:21" ht="12.75" customHeight="1">
      <c r="A2117" s="532">
        <v>44560</v>
      </c>
      <c r="B2117" s="615">
        <v>160000</v>
      </c>
      <c r="C2117" s="615">
        <f t="shared" si="260"/>
        <v>165190.13698630137</v>
      </c>
      <c r="D2117" s="532">
        <f t="shared" si="262"/>
        <v>44592</v>
      </c>
      <c r="E2117" s="534">
        <v>32</v>
      </c>
      <c r="F2117" s="601">
        <v>0.37</v>
      </c>
      <c r="G2117" s="536" t="s">
        <v>695</v>
      </c>
    </row>
    <row r="2118" spans="1:21" ht="12.75" customHeight="1">
      <c r="A2118" s="532">
        <v>44560</v>
      </c>
      <c r="B2118" s="615">
        <v>800000</v>
      </c>
      <c r="C2118" s="615">
        <f t="shared" si="260"/>
        <v>825950.68493150687</v>
      </c>
      <c r="D2118" s="532">
        <f t="shared" si="262"/>
        <v>44592</v>
      </c>
      <c r="E2118" s="534">
        <v>32</v>
      </c>
      <c r="F2118" s="601">
        <v>0.37</v>
      </c>
      <c r="G2118" s="536" t="s">
        <v>276</v>
      </c>
    </row>
    <row r="2119" spans="1:21" ht="12.75" customHeight="1">
      <c r="A2119" s="532">
        <v>44564</v>
      </c>
      <c r="B2119" s="615">
        <v>85000</v>
      </c>
      <c r="C2119" s="615">
        <f t="shared" si="260"/>
        <v>87584.931506849316</v>
      </c>
      <c r="D2119" s="532">
        <f t="shared" si="262"/>
        <v>44594</v>
      </c>
      <c r="E2119" s="534">
        <v>30</v>
      </c>
      <c r="F2119" s="601">
        <v>0.37</v>
      </c>
      <c r="G2119" s="536" t="s">
        <v>276</v>
      </c>
    </row>
    <row r="2120" spans="1:21" ht="12.75" customHeight="1">
      <c r="A2120" s="532">
        <v>44564</v>
      </c>
      <c r="B2120" s="615">
        <v>29400</v>
      </c>
      <c r="C2120" s="615">
        <f t="shared" si="260"/>
        <v>30294.082191780821</v>
      </c>
      <c r="D2120" s="532">
        <f t="shared" si="262"/>
        <v>44594</v>
      </c>
      <c r="E2120" s="534">
        <v>30</v>
      </c>
      <c r="F2120" s="601">
        <v>0.37</v>
      </c>
      <c r="G2120" s="536" t="s">
        <v>697</v>
      </c>
    </row>
    <row r="2121" spans="1:21" ht="12.75" customHeight="1">
      <c r="A2121" s="532">
        <v>44564</v>
      </c>
      <c r="B2121" s="615">
        <v>150000</v>
      </c>
      <c r="C2121" s="615">
        <f t="shared" si="260"/>
        <v>154561.64383561644</v>
      </c>
      <c r="D2121" s="532">
        <f t="shared" si="262"/>
        <v>44594</v>
      </c>
      <c r="E2121" s="534">
        <v>30</v>
      </c>
      <c r="F2121" s="601">
        <v>0.37</v>
      </c>
      <c r="G2121" s="536" t="s">
        <v>540</v>
      </c>
      <c r="H2121">
        <f>SUM(C2121:C2121)</f>
        <v>154561.64383561644</v>
      </c>
    </row>
    <row r="2122" spans="1:21" ht="12.75" customHeight="1">
      <c r="A2122" s="532">
        <v>44564</v>
      </c>
      <c r="B2122" s="615">
        <v>18500</v>
      </c>
      <c r="C2122" s="615">
        <f t="shared" si="260"/>
        <v>19062.602739726026</v>
      </c>
      <c r="D2122" s="532">
        <f t="shared" si="262"/>
        <v>44594</v>
      </c>
      <c r="E2122" s="534">
        <v>30</v>
      </c>
      <c r="F2122" s="601">
        <v>0.37</v>
      </c>
      <c r="G2122" s="536" t="s">
        <v>696</v>
      </c>
    </row>
    <row r="2123" spans="1:21" ht="12.75" customHeight="1">
      <c r="A2123" s="532">
        <v>44566</v>
      </c>
      <c r="B2123" s="615">
        <v>26900</v>
      </c>
      <c r="C2123" s="615">
        <f t="shared" si="260"/>
        <v>27718.054794520547</v>
      </c>
      <c r="D2123" s="532">
        <f t="shared" si="262"/>
        <v>44596</v>
      </c>
      <c r="E2123" s="534">
        <v>30</v>
      </c>
      <c r="F2123" s="601">
        <v>0.37</v>
      </c>
      <c r="G2123" s="536" t="s">
        <v>697</v>
      </c>
      <c r="U2123">
        <v>49314</v>
      </c>
    </row>
    <row r="2124" spans="1:21" ht="12.75" customHeight="1">
      <c r="A2124" s="532">
        <v>44566</v>
      </c>
      <c r="B2124" s="615">
        <v>25000</v>
      </c>
      <c r="C2124" s="615">
        <f t="shared" si="260"/>
        <v>25760.273972602739</v>
      </c>
      <c r="D2124" s="532">
        <f t="shared" si="262"/>
        <v>44596</v>
      </c>
      <c r="E2124" s="534">
        <v>30</v>
      </c>
      <c r="F2124" s="601">
        <v>0.37</v>
      </c>
      <c r="G2124" s="536" t="s">
        <v>695</v>
      </c>
    </row>
    <row r="2125" spans="1:21" ht="12.75" customHeight="1">
      <c r="A2125" s="532">
        <v>44573</v>
      </c>
      <c r="B2125" s="615">
        <v>160000</v>
      </c>
      <c r="C2125" s="615">
        <f t="shared" si="260"/>
        <v>165128.76712328766</v>
      </c>
      <c r="D2125" s="532">
        <f t="shared" si="262"/>
        <v>44603</v>
      </c>
      <c r="E2125" s="534">
        <v>30</v>
      </c>
      <c r="F2125" s="601">
        <v>0.39</v>
      </c>
      <c r="G2125" s="536" t="s">
        <v>276</v>
      </c>
    </row>
    <row r="2126" spans="1:21" ht="12.75" customHeight="1">
      <c r="A2126" s="532">
        <v>44573</v>
      </c>
      <c r="B2126" s="615">
        <v>53200</v>
      </c>
      <c r="C2126" s="615">
        <f t="shared" si="260"/>
        <v>54905.315068493153</v>
      </c>
      <c r="D2126" s="532">
        <f t="shared" si="262"/>
        <v>44603</v>
      </c>
      <c r="E2126" s="534">
        <v>30</v>
      </c>
      <c r="F2126" s="601">
        <v>0.39</v>
      </c>
      <c r="G2126" s="536" t="s">
        <v>697</v>
      </c>
    </row>
    <row r="2127" spans="1:21" ht="12.75" customHeight="1">
      <c r="A2127" s="532">
        <v>44574</v>
      </c>
      <c r="B2127" s="615">
        <v>18000</v>
      </c>
      <c r="C2127" s="615">
        <f t="shared" si="260"/>
        <v>18615.452054794521</v>
      </c>
      <c r="D2127" s="532">
        <f t="shared" si="262"/>
        <v>44606</v>
      </c>
      <c r="E2127" s="534">
        <v>32</v>
      </c>
      <c r="F2127" s="601">
        <v>0.39</v>
      </c>
      <c r="G2127" s="536" t="s">
        <v>276</v>
      </c>
    </row>
    <row r="2128" spans="1:21" ht="12.75" customHeight="1">
      <c r="A2128" s="532">
        <v>44574</v>
      </c>
      <c r="B2128" s="615">
        <v>56000</v>
      </c>
      <c r="C2128" s="615">
        <f t="shared" si="260"/>
        <v>57914.739726027394</v>
      </c>
      <c r="D2128" s="532">
        <f t="shared" si="262"/>
        <v>44606</v>
      </c>
      <c r="E2128" s="534">
        <v>32</v>
      </c>
      <c r="F2128" s="601">
        <v>0.39</v>
      </c>
      <c r="G2128" s="536" t="s">
        <v>695</v>
      </c>
      <c r="U2128">
        <v>49314</v>
      </c>
    </row>
    <row r="2129" spans="1:21" ht="12.75" customHeight="1">
      <c r="A2129" s="532">
        <v>44575</v>
      </c>
      <c r="B2129" s="615">
        <v>5000</v>
      </c>
      <c r="C2129" s="615">
        <f t="shared" si="260"/>
        <v>5165.6164383561645</v>
      </c>
      <c r="D2129" s="532">
        <f t="shared" si="262"/>
        <v>44606</v>
      </c>
      <c r="E2129" s="534">
        <v>31</v>
      </c>
      <c r="F2129" s="601">
        <v>0.39</v>
      </c>
      <c r="G2129" s="536" t="s">
        <v>120</v>
      </c>
    </row>
    <row r="2130" spans="1:21" ht="12.75" customHeight="1">
      <c r="A2130" s="532">
        <v>44575</v>
      </c>
      <c r="B2130" s="615">
        <v>48800</v>
      </c>
      <c r="C2130" s="615">
        <f t="shared" si="260"/>
        <v>55167.919999999991</v>
      </c>
      <c r="D2130" s="532">
        <f t="shared" si="262"/>
        <v>44669</v>
      </c>
      <c r="E2130" s="534">
        <v>94</v>
      </c>
      <c r="F2130" s="601">
        <v>0.5066905301709097</v>
      </c>
      <c r="G2130" s="536" t="s">
        <v>699</v>
      </c>
    </row>
    <row r="2131" spans="1:21" ht="12.75" customHeight="1">
      <c r="A2131" s="532">
        <v>44575</v>
      </c>
      <c r="B2131" s="615">
        <v>43300</v>
      </c>
      <c r="C2131" s="615">
        <f t="shared" si="260"/>
        <v>48949.96</v>
      </c>
      <c r="D2131" s="532">
        <f t="shared" si="262"/>
        <v>44669</v>
      </c>
      <c r="E2131" s="534">
        <v>94</v>
      </c>
      <c r="F2131" s="601">
        <v>0.50666684683799335</v>
      </c>
      <c r="G2131" s="536" t="s">
        <v>703</v>
      </c>
    </row>
    <row r="2132" spans="1:21" ht="12.75" customHeight="1">
      <c r="A2132" s="532">
        <v>44575</v>
      </c>
      <c r="B2132" s="615">
        <v>115000</v>
      </c>
      <c r="C2132" s="615">
        <f t="shared" si="260"/>
        <v>130006.36</v>
      </c>
      <c r="D2132" s="532">
        <f t="shared" si="262"/>
        <v>44669</v>
      </c>
      <c r="E2132" s="534">
        <v>94</v>
      </c>
      <c r="F2132" s="601">
        <v>0.50669023126734503</v>
      </c>
      <c r="G2132" s="536" t="s">
        <v>701</v>
      </c>
      <c r="U2132">
        <v>49314</v>
      </c>
    </row>
    <row r="2133" spans="1:21" ht="12.75" customHeight="1">
      <c r="A2133" s="532">
        <v>44575</v>
      </c>
      <c r="B2133" s="615">
        <v>65000</v>
      </c>
      <c r="C2133" s="615">
        <f t="shared" si="260"/>
        <v>73841.859999999986</v>
      </c>
      <c r="D2133" s="532">
        <f t="shared" si="262"/>
        <v>44669</v>
      </c>
      <c r="E2133" s="534">
        <v>94</v>
      </c>
      <c r="F2133" s="601">
        <v>0.52819621931260186</v>
      </c>
      <c r="G2133" s="536" t="s">
        <v>686</v>
      </c>
    </row>
    <row r="2134" spans="1:21" ht="12.75" customHeight="1">
      <c r="A2134" s="532">
        <v>44578</v>
      </c>
      <c r="B2134" s="615">
        <v>79700</v>
      </c>
      <c r="C2134" s="615">
        <f t="shared" si="260"/>
        <v>82254.767123287675</v>
      </c>
      <c r="D2134" s="532">
        <f t="shared" si="262"/>
        <v>44608</v>
      </c>
      <c r="E2134" s="534">
        <v>30</v>
      </c>
      <c r="F2134" s="601">
        <v>0.39</v>
      </c>
      <c r="G2134" s="536" t="s">
        <v>680</v>
      </c>
    </row>
    <row r="2135" spans="1:21" ht="12.75" customHeight="1">
      <c r="A2135" s="532">
        <v>44578</v>
      </c>
      <c r="B2135" s="615">
        <v>124200</v>
      </c>
      <c r="C2135" s="615">
        <f t="shared" si="260"/>
        <v>128181.20547945205</v>
      </c>
      <c r="D2135" s="532">
        <f t="shared" si="262"/>
        <v>44608</v>
      </c>
      <c r="E2135" s="534">
        <v>30</v>
      </c>
      <c r="F2135" s="601">
        <v>0.39</v>
      </c>
      <c r="G2135" s="536" t="s">
        <v>695</v>
      </c>
    </row>
    <row r="2136" spans="1:21" ht="12.75" customHeight="1">
      <c r="A2136" s="532">
        <v>44578</v>
      </c>
      <c r="B2136" s="615">
        <v>19100</v>
      </c>
      <c r="C2136" s="615">
        <f t="shared" si="260"/>
        <v>19712.246575342466</v>
      </c>
      <c r="D2136" s="532">
        <f t="shared" si="262"/>
        <v>44608</v>
      </c>
      <c r="E2136" s="534">
        <v>30</v>
      </c>
      <c r="F2136" s="601">
        <v>0.39</v>
      </c>
      <c r="G2136" s="536" t="s">
        <v>697</v>
      </c>
    </row>
    <row r="2137" spans="1:21" ht="12.75" customHeight="1">
      <c r="A2137" s="532">
        <v>44580</v>
      </c>
      <c r="B2137" s="615">
        <v>61000</v>
      </c>
      <c r="C2137" s="615">
        <f t="shared" si="260"/>
        <v>62955.342465753427</v>
      </c>
      <c r="D2137" s="532">
        <f t="shared" si="262"/>
        <v>44610</v>
      </c>
      <c r="E2137" s="534">
        <v>30</v>
      </c>
      <c r="F2137" s="601">
        <v>0.39</v>
      </c>
      <c r="G2137" s="536" t="s">
        <v>695</v>
      </c>
      <c r="H2137">
        <f>SUM(C2137:C2137)</f>
        <v>62955.342465753427</v>
      </c>
    </row>
    <row r="2138" spans="1:21" ht="12.75" customHeight="1">
      <c r="A2138" s="532">
        <v>44580</v>
      </c>
      <c r="B2138" s="615">
        <v>51000</v>
      </c>
      <c r="C2138" s="615">
        <f t="shared" si="260"/>
        <v>52634.794520547948</v>
      </c>
      <c r="D2138" s="532">
        <f t="shared" si="262"/>
        <v>44610</v>
      </c>
      <c r="E2138" s="534">
        <v>30</v>
      </c>
      <c r="F2138" s="601">
        <v>0.39</v>
      </c>
      <c r="G2138" s="536" t="s">
        <v>276</v>
      </c>
    </row>
    <row r="2139" spans="1:21" ht="12.75" customHeight="1">
      <c r="A2139" s="532">
        <v>44580</v>
      </c>
      <c r="B2139" s="615">
        <v>159000</v>
      </c>
      <c r="C2139" s="615">
        <f t="shared" si="260"/>
        <v>164096.71232876711</v>
      </c>
      <c r="D2139" s="532">
        <f t="shared" si="262"/>
        <v>44610</v>
      </c>
      <c r="E2139" s="534">
        <v>30</v>
      </c>
      <c r="F2139" s="601">
        <v>0.39</v>
      </c>
      <c r="G2139" s="536" t="s">
        <v>696</v>
      </c>
      <c r="H2139">
        <f>SUM(C2139:C2139)</f>
        <v>164096.71232876711</v>
      </c>
    </row>
    <row r="2140" spans="1:21" ht="12.75" customHeight="1">
      <c r="A2140" s="532">
        <v>44581</v>
      </c>
      <c r="B2140" s="615">
        <v>120000</v>
      </c>
      <c r="C2140" s="615">
        <f t="shared" si="260"/>
        <v>124103.01369863014</v>
      </c>
      <c r="D2140" s="532">
        <f t="shared" si="262"/>
        <v>44613</v>
      </c>
      <c r="E2140" s="534">
        <v>32</v>
      </c>
      <c r="F2140" s="601">
        <v>0.39</v>
      </c>
      <c r="G2140" s="536" t="s">
        <v>540</v>
      </c>
      <c r="H2140">
        <f>SUM(C2140:C2140)</f>
        <v>124103.01369863014</v>
      </c>
    </row>
    <row r="2141" spans="1:21" ht="12.75" customHeight="1">
      <c r="A2141" s="532">
        <v>44581</v>
      </c>
      <c r="B2141" s="615">
        <v>55000</v>
      </c>
      <c r="C2141" s="615">
        <f t="shared" si="260"/>
        <v>56880.547945205479</v>
      </c>
      <c r="D2141" s="532">
        <f t="shared" si="262"/>
        <v>44613</v>
      </c>
      <c r="E2141" s="534">
        <v>32</v>
      </c>
      <c r="F2141" s="601">
        <v>0.39</v>
      </c>
      <c r="G2141" s="536" t="s">
        <v>540</v>
      </c>
    </row>
    <row r="2142" spans="1:21" ht="12.75" customHeight="1">
      <c r="A2142" s="532">
        <v>44585</v>
      </c>
      <c r="B2142" s="615">
        <v>9300</v>
      </c>
      <c r="C2142" s="615">
        <f t="shared" si="260"/>
        <v>9598.1095890410961</v>
      </c>
      <c r="D2142" s="532">
        <f t="shared" si="262"/>
        <v>44615</v>
      </c>
      <c r="E2142" s="534">
        <v>30</v>
      </c>
      <c r="F2142" s="601">
        <v>0.39</v>
      </c>
      <c r="G2142" s="536" t="s">
        <v>697</v>
      </c>
    </row>
    <row r="2143" spans="1:21" ht="12.75" customHeight="1">
      <c r="A2143" s="532">
        <v>44585</v>
      </c>
      <c r="B2143" s="615">
        <v>54000</v>
      </c>
      <c r="C2143" s="615">
        <f t="shared" si="260"/>
        <v>55730.95890410959</v>
      </c>
      <c r="D2143" s="532">
        <f t="shared" si="262"/>
        <v>44615</v>
      </c>
      <c r="E2143" s="534">
        <v>30</v>
      </c>
      <c r="F2143" s="601">
        <v>0.39</v>
      </c>
      <c r="G2143" s="536" t="s">
        <v>695</v>
      </c>
    </row>
    <row r="2144" spans="1:21" ht="12.75" customHeight="1">
      <c r="A2144" s="532">
        <v>44585</v>
      </c>
      <c r="B2144" s="615">
        <v>20000</v>
      </c>
      <c r="C2144" s="615">
        <f t="shared" ref="A2144:C2207" si="263">B2144+(B2144*F2144/365*E2144)*1</f>
        <v>20641.095890410958</v>
      </c>
      <c r="D2144" s="532">
        <f t="shared" ref="A2144:D2175" si="264">+A2144+E2144</f>
        <v>44615</v>
      </c>
      <c r="E2144" s="534">
        <v>30</v>
      </c>
      <c r="F2144" s="601">
        <v>0.39</v>
      </c>
      <c r="G2144" s="536" t="s">
        <v>680</v>
      </c>
      <c r="H2144">
        <f>SUM(C2144:C2144)</f>
        <v>20641.095890410958</v>
      </c>
    </row>
    <row r="2145" spans="1:8" ht="12.75" customHeight="1">
      <c r="A2145" s="532">
        <v>44585</v>
      </c>
      <c r="B2145" s="615">
        <v>8800</v>
      </c>
      <c r="C2145" s="615">
        <f t="shared" si="263"/>
        <v>9082.0821917808225</v>
      </c>
      <c r="D2145" s="532">
        <f t="shared" si="264"/>
        <v>44615</v>
      </c>
      <c r="E2145" s="534">
        <v>30</v>
      </c>
      <c r="F2145" s="601">
        <v>0.39</v>
      </c>
      <c r="G2145" s="536" t="s">
        <v>696</v>
      </c>
    </row>
    <row r="2146" spans="1:8" ht="12.75" customHeight="1">
      <c r="A2146" s="532">
        <v>44585</v>
      </c>
      <c r="B2146" s="615">
        <v>20000</v>
      </c>
      <c r="C2146" s="615">
        <f t="shared" si="263"/>
        <v>20641.095890410958</v>
      </c>
      <c r="D2146" s="532">
        <f t="shared" si="264"/>
        <v>44615</v>
      </c>
      <c r="E2146" s="534">
        <v>30</v>
      </c>
      <c r="F2146" s="601">
        <v>0.39</v>
      </c>
      <c r="G2146" s="536" t="s">
        <v>276</v>
      </c>
    </row>
    <row r="2147" spans="1:8" ht="12.75" customHeight="1">
      <c r="A2147" s="532">
        <v>44587</v>
      </c>
      <c r="B2147" s="615">
        <v>295500</v>
      </c>
      <c r="C2147" s="615">
        <f t="shared" si="263"/>
        <v>304972.19178082194</v>
      </c>
      <c r="D2147" s="532">
        <f t="shared" si="264"/>
        <v>44617</v>
      </c>
      <c r="E2147" s="534">
        <v>30</v>
      </c>
      <c r="F2147" s="601">
        <v>0.39</v>
      </c>
      <c r="G2147" s="536" t="s">
        <v>695</v>
      </c>
    </row>
    <row r="2148" spans="1:8" ht="12.75" customHeight="1">
      <c r="A2148" s="532">
        <v>44587</v>
      </c>
      <c r="B2148" s="615">
        <v>6600</v>
      </c>
      <c r="C2148" s="615">
        <f t="shared" si="263"/>
        <v>6811.5616438356165</v>
      </c>
      <c r="D2148" s="532">
        <f t="shared" si="264"/>
        <v>44617</v>
      </c>
      <c r="E2148" s="534">
        <v>30</v>
      </c>
      <c r="F2148" s="601">
        <v>0.39</v>
      </c>
      <c r="G2148" s="536" t="s">
        <v>680</v>
      </c>
    </row>
    <row r="2149" spans="1:8" ht="12.75" customHeight="1">
      <c r="A2149" s="532">
        <v>44587</v>
      </c>
      <c r="B2149" s="615">
        <v>144000</v>
      </c>
      <c r="C2149" s="615">
        <f t="shared" si="263"/>
        <v>148615.89041095891</v>
      </c>
      <c r="D2149" s="532">
        <f t="shared" si="264"/>
        <v>44617</v>
      </c>
      <c r="E2149" s="534">
        <v>30</v>
      </c>
      <c r="F2149" s="601">
        <v>0.39</v>
      </c>
      <c r="G2149" s="536" t="s">
        <v>276</v>
      </c>
    </row>
    <row r="2150" spans="1:8" ht="12.75" customHeight="1">
      <c r="A2150" s="532">
        <v>44587</v>
      </c>
      <c r="B2150" s="615">
        <v>52600</v>
      </c>
      <c r="C2150" s="615">
        <f t="shared" si="263"/>
        <v>54286.082191780821</v>
      </c>
      <c r="D2150" s="532">
        <f t="shared" si="264"/>
        <v>44617</v>
      </c>
      <c r="E2150" s="534">
        <v>30</v>
      </c>
      <c r="F2150" s="601">
        <v>0.39</v>
      </c>
      <c r="G2150" s="536" t="s">
        <v>697</v>
      </c>
    </row>
    <row r="2151" spans="1:8" ht="12.75" customHeight="1">
      <c r="A2151" s="532">
        <v>44587</v>
      </c>
      <c r="B2151" s="615">
        <v>192100</v>
      </c>
      <c r="C2151" s="615">
        <f t="shared" si="263"/>
        <v>198257.72602739726</v>
      </c>
      <c r="D2151" s="532">
        <f t="shared" si="264"/>
        <v>44617</v>
      </c>
      <c r="E2151" s="534">
        <v>30</v>
      </c>
      <c r="F2151" s="601">
        <v>0.39</v>
      </c>
      <c r="G2151" s="536" t="s">
        <v>696</v>
      </c>
    </row>
    <row r="2152" spans="1:8" ht="12.75" customHeight="1">
      <c r="A2152" s="532">
        <v>44587</v>
      </c>
      <c r="B2152" s="615">
        <v>70000</v>
      </c>
      <c r="C2152" s="615">
        <f t="shared" si="263"/>
        <v>72243.835616438359</v>
      </c>
      <c r="D2152" s="532">
        <f t="shared" si="264"/>
        <v>44617</v>
      </c>
      <c r="E2152" s="534">
        <v>30</v>
      </c>
      <c r="F2152" s="601">
        <v>0.39</v>
      </c>
      <c r="G2152" s="536" t="s">
        <v>540</v>
      </c>
    </row>
    <row r="2153" spans="1:8" ht="12.75" customHeight="1">
      <c r="A2153" s="532">
        <v>44587</v>
      </c>
      <c r="B2153" s="615">
        <v>150000</v>
      </c>
      <c r="C2153" s="615">
        <f t="shared" si="263"/>
        <v>154808.21917808219</v>
      </c>
      <c r="D2153" s="532">
        <f t="shared" si="264"/>
        <v>44617</v>
      </c>
      <c r="E2153" s="534">
        <v>30</v>
      </c>
      <c r="F2153" s="601">
        <v>0.39</v>
      </c>
      <c r="G2153" s="536" t="s">
        <v>120</v>
      </c>
    </row>
    <row r="2154" spans="1:8" ht="12.75" customHeight="1">
      <c r="A2154" s="532">
        <v>44589</v>
      </c>
      <c r="B2154" s="615">
        <v>17400</v>
      </c>
      <c r="C2154" s="615">
        <f t="shared" si="263"/>
        <v>18013.528767123287</v>
      </c>
      <c r="D2154" s="532">
        <f t="shared" si="264"/>
        <v>44622</v>
      </c>
      <c r="E2154" s="534">
        <v>33</v>
      </c>
      <c r="F2154" s="601">
        <v>0.39</v>
      </c>
      <c r="G2154" s="536" t="s">
        <v>695</v>
      </c>
    </row>
    <row r="2155" spans="1:8" ht="12.75" customHeight="1">
      <c r="A2155" s="532">
        <v>44589</v>
      </c>
      <c r="B2155" s="615">
        <v>180000</v>
      </c>
      <c r="C2155" s="615">
        <f t="shared" si="263"/>
        <v>186346.84931506848</v>
      </c>
      <c r="D2155" s="532">
        <f t="shared" si="264"/>
        <v>44622</v>
      </c>
      <c r="E2155" s="534">
        <v>33</v>
      </c>
      <c r="F2155" s="601">
        <v>0.39</v>
      </c>
      <c r="G2155" s="536" t="s">
        <v>276</v>
      </c>
    </row>
    <row r="2156" spans="1:8" ht="12.75" customHeight="1">
      <c r="A2156" s="532">
        <v>44589</v>
      </c>
      <c r="B2156" s="615">
        <v>104000</v>
      </c>
      <c r="C2156" s="615">
        <f t="shared" si="263"/>
        <v>107667.06849315068</v>
      </c>
      <c r="D2156" s="532">
        <f t="shared" si="264"/>
        <v>44622</v>
      </c>
      <c r="E2156" s="534">
        <v>33</v>
      </c>
      <c r="F2156" s="601">
        <v>0.39</v>
      </c>
      <c r="G2156" s="536" t="s">
        <v>120</v>
      </c>
    </row>
    <row r="2157" spans="1:8" ht="12.75" customHeight="1">
      <c r="A2157" s="532">
        <v>44592</v>
      </c>
      <c r="B2157" s="615">
        <v>165000</v>
      </c>
      <c r="C2157" s="615">
        <f t="shared" si="263"/>
        <v>170289.0410958904</v>
      </c>
      <c r="D2157" s="532">
        <f t="shared" si="264"/>
        <v>44622</v>
      </c>
      <c r="E2157" s="534">
        <v>30</v>
      </c>
      <c r="F2157" s="601">
        <v>0.39</v>
      </c>
      <c r="G2157" s="536" t="s">
        <v>695</v>
      </c>
    </row>
    <row r="2158" spans="1:8" ht="12.75" customHeight="1">
      <c r="A2158" s="532">
        <v>44592</v>
      </c>
      <c r="B2158" s="615">
        <v>67500</v>
      </c>
      <c r="C2158" s="615">
        <f t="shared" si="263"/>
        <v>69663.698630136991</v>
      </c>
      <c r="D2158" s="532">
        <f t="shared" si="264"/>
        <v>44622</v>
      </c>
      <c r="E2158" s="534">
        <v>30</v>
      </c>
      <c r="F2158" s="601">
        <v>0.39</v>
      </c>
      <c r="G2158" s="536" t="s">
        <v>680</v>
      </c>
    </row>
    <row r="2159" spans="1:8" ht="12.75" customHeight="1">
      <c r="A2159" s="532">
        <v>44592</v>
      </c>
      <c r="B2159" s="615">
        <v>800000</v>
      </c>
      <c r="C2159" s="615">
        <f t="shared" si="263"/>
        <v>825643.83561643842</v>
      </c>
      <c r="D2159" s="532">
        <f t="shared" si="264"/>
        <v>44622</v>
      </c>
      <c r="E2159" s="534">
        <v>30</v>
      </c>
      <c r="F2159" s="601">
        <v>0.39</v>
      </c>
      <c r="G2159" s="536" t="s">
        <v>276</v>
      </c>
    </row>
    <row r="2160" spans="1:8" ht="12.75" customHeight="1">
      <c r="A2160" s="532">
        <v>44593</v>
      </c>
      <c r="B2160" s="615">
        <v>15000</v>
      </c>
      <c r="C2160" s="615">
        <f t="shared" si="263"/>
        <v>15496.849315068494</v>
      </c>
      <c r="D2160" s="532">
        <f t="shared" si="264"/>
        <v>44624</v>
      </c>
      <c r="E2160" s="534">
        <v>31</v>
      </c>
      <c r="F2160" s="601">
        <v>0.39</v>
      </c>
      <c r="G2160" s="536" t="s">
        <v>697</v>
      </c>
      <c r="H2160">
        <f>SUM(C2160:C2160)</f>
        <v>15496.849315068494</v>
      </c>
    </row>
    <row r="2161" spans="1:8" ht="12.75" customHeight="1">
      <c r="A2161" s="532">
        <v>44594</v>
      </c>
      <c r="B2161" s="615">
        <v>18700</v>
      </c>
      <c r="C2161" s="615">
        <f t="shared" si="263"/>
        <v>19299.424657534248</v>
      </c>
      <c r="D2161" s="532">
        <f t="shared" si="264"/>
        <v>44624</v>
      </c>
      <c r="E2161" s="534">
        <v>30</v>
      </c>
      <c r="F2161" s="601">
        <v>0.39</v>
      </c>
      <c r="G2161" s="536" t="s">
        <v>695</v>
      </c>
      <c r="H2161">
        <f>SUM(C2161:C2161)</f>
        <v>19299.424657534248</v>
      </c>
    </row>
    <row r="2162" spans="1:8" ht="12.75" customHeight="1">
      <c r="A2162" s="532">
        <v>44594</v>
      </c>
      <c r="B2162" s="615">
        <v>25000</v>
      </c>
      <c r="C2162" s="615">
        <f t="shared" si="263"/>
        <v>25801.369863013701</v>
      </c>
      <c r="D2162" s="532">
        <f t="shared" si="264"/>
        <v>44624</v>
      </c>
      <c r="E2162" s="534">
        <v>30</v>
      </c>
      <c r="F2162" s="601">
        <v>0.39</v>
      </c>
      <c r="G2162" s="536" t="s">
        <v>695</v>
      </c>
    </row>
    <row r="2163" spans="1:8" ht="12.75" customHeight="1">
      <c r="A2163" s="532">
        <v>44594</v>
      </c>
      <c r="B2163" s="615">
        <v>85000</v>
      </c>
      <c r="C2163" s="615">
        <f t="shared" si="263"/>
        <v>87724.65753424658</v>
      </c>
      <c r="D2163" s="532">
        <f t="shared" si="264"/>
        <v>44624</v>
      </c>
      <c r="E2163" s="534">
        <v>30</v>
      </c>
      <c r="F2163" s="601">
        <v>0.39</v>
      </c>
      <c r="G2163" s="536" t="s">
        <v>276</v>
      </c>
      <c r="H2163">
        <f>SUM(C2163:C2163)</f>
        <v>87724.65753424658</v>
      </c>
    </row>
    <row r="2164" spans="1:8" ht="12.75" customHeight="1">
      <c r="A2164" s="532">
        <v>44594</v>
      </c>
      <c r="B2164" s="615">
        <v>30300</v>
      </c>
      <c r="C2164" s="615">
        <f t="shared" si="263"/>
        <v>31271.260273972603</v>
      </c>
      <c r="D2164" s="532">
        <f t="shared" si="264"/>
        <v>44624</v>
      </c>
      <c r="E2164" s="534">
        <v>30</v>
      </c>
      <c r="F2164" s="601">
        <v>0.39</v>
      </c>
      <c r="G2164" s="536" t="s">
        <v>697</v>
      </c>
    </row>
    <row r="2165" spans="1:8" ht="12.75" customHeight="1">
      <c r="A2165" s="532">
        <v>44594</v>
      </c>
      <c r="B2165" s="615">
        <v>220000</v>
      </c>
      <c r="C2165" s="615">
        <f t="shared" si="263"/>
        <v>227052.05479452055</v>
      </c>
      <c r="D2165" s="532">
        <f t="shared" si="264"/>
        <v>44624</v>
      </c>
      <c r="E2165" s="534">
        <v>30</v>
      </c>
      <c r="F2165" s="601">
        <v>0.39</v>
      </c>
      <c r="G2165" s="536" t="s">
        <v>540</v>
      </c>
    </row>
    <row r="2166" spans="1:8" ht="12.75" customHeight="1">
      <c r="A2166" s="532">
        <v>44596</v>
      </c>
      <c r="B2166" s="615">
        <v>22500</v>
      </c>
      <c r="C2166" s="615">
        <f t="shared" si="263"/>
        <v>23245.273972602739</v>
      </c>
      <c r="D2166" s="532">
        <f t="shared" si="264"/>
        <v>44627</v>
      </c>
      <c r="E2166" s="534">
        <v>31</v>
      </c>
      <c r="F2166" s="601">
        <v>0.39</v>
      </c>
      <c r="G2166" s="536" t="s">
        <v>697</v>
      </c>
    </row>
    <row r="2167" spans="1:8" ht="12.75" customHeight="1">
      <c r="A2167" s="532">
        <v>44601</v>
      </c>
      <c r="B2167" s="615">
        <v>9500</v>
      </c>
      <c r="C2167" s="615">
        <f t="shared" si="263"/>
        <v>9804.5205479452052</v>
      </c>
      <c r="D2167" s="532">
        <f t="shared" si="264"/>
        <v>44631</v>
      </c>
      <c r="E2167" s="534">
        <v>30</v>
      </c>
      <c r="F2167" s="601">
        <v>0.39</v>
      </c>
      <c r="G2167" s="536" t="s">
        <v>697</v>
      </c>
    </row>
    <row r="2168" spans="1:8" ht="12.75" customHeight="1">
      <c r="A2168" s="532">
        <v>44602</v>
      </c>
      <c r="B2168" s="615">
        <v>100000</v>
      </c>
      <c r="C2168" s="615">
        <f t="shared" si="263"/>
        <v>103419.17808219178</v>
      </c>
      <c r="D2168" s="532">
        <f t="shared" si="264"/>
        <v>44634</v>
      </c>
      <c r="E2168" s="534">
        <v>32</v>
      </c>
      <c r="F2168" s="601">
        <v>0.39</v>
      </c>
      <c r="G2168" s="536" t="s">
        <v>276</v>
      </c>
    </row>
    <row r="2169" spans="1:8" ht="12.75" customHeight="1">
      <c r="A2169" s="532">
        <v>44602</v>
      </c>
      <c r="B2169" s="615">
        <v>18900</v>
      </c>
      <c r="C2169" s="615">
        <f t="shared" si="263"/>
        <v>19546.224657534247</v>
      </c>
      <c r="D2169" s="532">
        <f t="shared" si="264"/>
        <v>44634</v>
      </c>
      <c r="E2169" s="534">
        <v>32</v>
      </c>
      <c r="F2169" s="601">
        <v>0.39</v>
      </c>
      <c r="G2169" s="536" t="s">
        <v>696</v>
      </c>
      <c r="H2169">
        <f>SUM(C2169:C2169)</f>
        <v>19546.224657534247</v>
      </c>
    </row>
    <row r="2170" spans="1:8" ht="12.75" customHeight="1">
      <c r="A2170" s="532">
        <v>44602</v>
      </c>
      <c r="B2170" s="615">
        <v>4000</v>
      </c>
      <c r="C2170" s="615">
        <f t="shared" si="263"/>
        <v>4136.767123287671</v>
      </c>
      <c r="D2170" s="532">
        <f t="shared" si="264"/>
        <v>44634</v>
      </c>
      <c r="E2170" s="534">
        <v>32</v>
      </c>
      <c r="F2170" s="601">
        <v>0.39</v>
      </c>
      <c r="G2170" s="536" t="s">
        <v>696</v>
      </c>
    </row>
    <row r="2171" spans="1:8" ht="12.75" customHeight="1">
      <c r="A2171" s="532">
        <v>44603</v>
      </c>
      <c r="B2171" s="615">
        <v>140000</v>
      </c>
      <c r="C2171" s="615">
        <f t="shared" si="263"/>
        <v>144637.26027397261</v>
      </c>
      <c r="D2171" s="532">
        <f t="shared" si="264"/>
        <v>44634</v>
      </c>
      <c r="E2171" s="534">
        <v>31</v>
      </c>
      <c r="F2171" s="601">
        <v>0.39</v>
      </c>
      <c r="G2171" s="536" t="s">
        <v>276</v>
      </c>
    </row>
    <row r="2172" spans="1:8" ht="12.75" customHeight="1">
      <c r="A2172" s="532">
        <v>44603</v>
      </c>
      <c r="B2172" s="615">
        <v>55000</v>
      </c>
      <c r="C2172" s="615">
        <f t="shared" si="263"/>
        <v>56821.780821917811</v>
      </c>
      <c r="D2172" s="532">
        <f t="shared" si="264"/>
        <v>44634</v>
      </c>
      <c r="E2172" s="534">
        <v>31</v>
      </c>
      <c r="F2172" s="601">
        <v>0.39</v>
      </c>
      <c r="G2172" s="536" t="s">
        <v>697</v>
      </c>
      <c r="H2172">
        <f>SUM(C2172:C2172)</f>
        <v>56821.780821917811</v>
      </c>
    </row>
    <row r="2173" spans="1:8" ht="12.75" customHeight="1">
      <c r="A2173" s="532">
        <v>44603</v>
      </c>
      <c r="B2173" s="615">
        <v>20000</v>
      </c>
      <c r="C2173" s="615">
        <f t="shared" si="263"/>
        <v>20662.465753424658</v>
      </c>
      <c r="D2173" s="532">
        <f t="shared" si="264"/>
        <v>44634</v>
      </c>
      <c r="E2173" s="534">
        <v>31</v>
      </c>
      <c r="F2173" s="601">
        <v>0.39</v>
      </c>
      <c r="G2173" s="536" t="s">
        <v>120</v>
      </c>
    </row>
    <row r="2174" spans="1:8" ht="12.75" customHeight="1">
      <c r="A2174" s="532">
        <v>44608</v>
      </c>
      <c r="B2174" s="615">
        <v>110000</v>
      </c>
      <c r="C2174" s="615">
        <f t="shared" si="263"/>
        <v>113526.02739726027</v>
      </c>
      <c r="D2174" s="532">
        <f t="shared" si="264"/>
        <v>44638</v>
      </c>
      <c r="E2174" s="534">
        <v>30</v>
      </c>
      <c r="F2174" s="601">
        <v>0.39</v>
      </c>
      <c r="G2174" s="536" t="s">
        <v>695</v>
      </c>
    </row>
    <row r="2175" spans="1:8" ht="12.75" customHeight="1">
      <c r="A2175" s="532">
        <v>44608</v>
      </c>
      <c r="B2175" s="615">
        <v>19800</v>
      </c>
      <c r="C2175" s="615">
        <f t="shared" si="263"/>
        <v>20434.68493150685</v>
      </c>
      <c r="D2175" s="532">
        <f t="shared" si="264"/>
        <v>44638</v>
      </c>
      <c r="E2175" s="534">
        <v>30</v>
      </c>
      <c r="F2175" s="601">
        <v>0.39</v>
      </c>
      <c r="G2175" s="536" t="s">
        <v>697</v>
      </c>
    </row>
    <row r="2176" spans="1:8" ht="12.75" customHeight="1">
      <c r="A2176" s="532">
        <v>44610</v>
      </c>
      <c r="B2176" s="615">
        <v>82000</v>
      </c>
      <c r="C2176" s="615">
        <f t="shared" si="263"/>
        <v>84890.219178082189</v>
      </c>
      <c r="D2176" s="532">
        <f t="shared" ref="A2176:D2207" si="265">+A2176+E2176</f>
        <v>44641</v>
      </c>
      <c r="E2176" s="534">
        <v>31</v>
      </c>
      <c r="F2176" s="601">
        <v>0.41499999999999998</v>
      </c>
      <c r="G2176" s="536" t="s">
        <v>276</v>
      </c>
    </row>
    <row r="2177" spans="1:8" ht="12.75" customHeight="1">
      <c r="A2177" s="532">
        <v>44610</v>
      </c>
      <c r="B2177" s="615">
        <v>20000</v>
      </c>
      <c r="C2177" s="615">
        <f t="shared" si="263"/>
        <v>20704.931506849316</v>
      </c>
      <c r="D2177" s="532">
        <f t="shared" si="265"/>
        <v>44641</v>
      </c>
      <c r="E2177" s="534">
        <v>31</v>
      </c>
      <c r="F2177" s="601">
        <v>0.41499999999999998</v>
      </c>
      <c r="G2177" s="536" t="s">
        <v>696</v>
      </c>
    </row>
    <row r="2178" spans="1:8" ht="12.75" customHeight="1">
      <c r="A2178" s="532">
        <v>44613</v>
      </c>
      <c r="B2178" s="615">
        <v>55000</v>
      </c>
      <c r="C2178" s="615">
        <f t="shared" si="263"/>
        <v>56876.027397260274</v>
      </c>
      <c r="D2178" s="532">
        <f t="shared" si="265"/>
        <v>44643</v>
      </c>
      <c r="E2178" s="534">
        <v>30</v>
      </c>
      <c r="F2178" s="601">
        <v>0.41499999999999998</v>
      </c>
      <c r="G2178" s="536" t="s">
        <v>540</v>
      </c>
    </row>
    <row r="2179" spans="1:8" ht="12.75" customHeight="1">
      <c r="A2179" s="532">
        <v>44613</v>
      </c>
      <c r="B2179" s="615">
        <v>124000</v>
      </c>
      <c r="C2179" s="615">
        <f t="shared" si="263"/>
        <v>128229.5890410959</v>
      </c>
      <c r="D2179" s="532">
        <f t="shared" si="265"/>
        <v>44643</v>
      </c>
      <c r="E2179" s="534">
        <v>30</v>
      </c>
      <c r="F2179" s="601">
        <v>0.41499999999999998</v>
      </c>
      <c r="G2179" s="536" t="s">
        <v>540</v>
      </c>
    </row>
    <row r="2180" spans="1:8" ht="12.75" customHeight="1">
      <c r="A2180" s="532">
        <v>44615</v>
      </c>
      <c r="B2180" s="615">
        <v>20000</v>
      </c>
      <c r="C2180" s="615">
        <f t="shared" si="263"/>
        <v>20682.191780821919</v>
      </c>
      <c r="D2180" s="532">
        <f t="shared" si="265"/>
        <v>44645</v>
      </c>
      <c r="E2180" s="534">
        <v>30</v>
      </c>
      <c r="F2180" s="601">
        <v>0.41499999999999998</v>
      </c>
      <c r="G2180" s="536" t="s">
        <v>276</v>
      </c>
    </row>
    <row r="2181" spans="1:8" ht="12.75" customHeight="1">
      <c r="A2181" s="532">
        <v>44615</v>
      </c>
      <c r="B2181" s="615">
        <v>20600</v>
      </c>
      <c r="C2181" s="615">
        <f t="shared" si="263"/>
        <v>21302.657534246577</v>
      </c>
      <c r="D2181" s="532">
        <f t="shared" si="265"/>
        <v>44645</v>
      </c>
      <c r="E2181" s="534">
        <v>30</v>
      </c>
      <c r="F2181" s="601">
        <v>0.41499999999999998</v>
      </c>
      <c r="G2181" s="536" t="s">
        <v>680</v>
      </c>
    </row>
    <row r="2182" spans="1:8" ht="12.75" customHeight="1">
      <c r="A2182" s="532">
        <v>44615</v>
      </c>
      <c r="B2182" s="615">
        <v>53400</v>
      </c>
      <c r="C2182" s="615">
        <f t="shared" si="263"/>
        <v>55221.452054794521</v>
      </c>
      <c r="D2182" s="532">
        <f t="shared" si="265"/>
        <v>44645</v>
      </c>
      <c r="E2182" s="534">
        <v>30</v>
      </c>
      <c r="F2182" s="601">
        <v>0.41499999999999998</v>
      </c>
      <c r="G2182" s="536" t="s">
        <v>695</v>
      </c>
    </row>
    <row r="2183" spans="1:8" ht="12.75" customHeight="1">
      <c r="A2183" s="532">
        <v>44615</v>
      </c>
      <c r="B2183" s="615">
        <v>9100</v>
      </c>
      <c r="C2183" s="615">
        <f t="shared" si="263"/>
        <v>9410.3972602739723</v>
      </c>
      <c r="D2183" s="532">
        <f t="shared" si="265"/>
        <v>44645</v>
      </c>
      <c r="E2183" s="534">
        <v>30</v>
      </c>
      <c r="F2183" s="601">
        <v>0.41499999999999998</v>
      </c>
      <c r="G2183" s="536" t="s">
        <v>696</v>
      </c>
    </row>
    <row r="2184" spans="1:8" ht="12.75" customHeight="1">
      <c r="A2184" s="532">
        <v>44615</v>
      </c>
      <c r="B2184" s="615">
        <v>4190</v>
      </c>
      <c r="C2184" s="615">
        <f t="shared" si="263"/>
        <v>4332.919178082192</v>
      </c>
      <c r="D2184" s="532">
        <f t="shared" si="265"/>
        <v>44645</v>
      </c>
      <c r="E2184" s="534">
        <v>30</v>
      </c>
      <c r="F2184" s="601">
        <v>0.41499999999999998</v>
      </c>
      <c r="G2184" s="536" t="s">
        <v>697</v>
      </c>
    </row>
    <row r="2185" spans="1:8" ht="12.75" customHeight="1">
      <c r="A2185" s="532">
        <v>44617</v>
      </c>
      <c r="B2185" s="615">
        <v>148000</v>
      </c>
      <c r="C2185" s="615">
        <f t="shared" si="263"/>
        <v>153216.49315068492</v>
      </c>
      <c r="D2185" s="532">
        <f t="shared" si="265"/>
        <v>44648</v>
      </c>
      <c r="E2185" s="534">
        <v>31</v>
      </c>
      <c r="F2185" s="601">
        <v>0.41499999999999998</v>
      </c>
      <c r="G2185" s="536" t="s">
        <v>276</v>
      </c>
    </row>
    <row r="2186" spans="1:8" ht="12.75" customHeight="1">
      <c r="A2186" s="532">
        <v>44617</v>
      </c>
      <c r="B2186" s="615">
        <v>6800</v>
      </c>
      <c r="C2186" s="615">
        <f t="shared" si="263"/>
        <v>7039.6767123287673</v>
      </c>
      <c r="D2186" s="532">
        <f t="shared" si="265"/>
        <v>44648</v>
      </c>
      <c r="E2186" s="534">
        <v>31</v>
      </c>
      <c r="F2186" s="601">
        <v>0.41499999999999998</v>
      </c>
      <c r="G2186" s="536" t="s">
        <v>680</v>
      </c>
    </row>
    <row r="2187" spans="1:8" ht="12.75" customHeight="1">
      <c r="A2187" s="532">
        <v>44617</v>
      </c>
      <c r="B2187" s="615">
        <v>321400</v>
      </c>
      <c r="C2187" s="615">
        <f t="shared" si="263"/>
        <v>332728.24931506847</v>
      </c>
      <c r="D2187" s="532">
        <f t="shared" si="265"/>
        <v>44648</v>
      </c>
      <c r="E2187" s="534">
        <v>31</v>
      </c>
      <c r="F2187" s="601">
        <v>0.41499999999999998</v>
      </c>
      <c r="G2187" s="536" t="s">
        <v>695</v>
      </c>
    </row>
    <row r="2188" spans="1:8" ht="12.75" customHeight="1">
      <c r="A2188" s="532">
        <v>44617</v>
      </c>
      <c r="B2188" s="615">
        <v>198300</v>
      </c>
      <c r="C2188" s="615">
        <f t="shared" si="263"/>
        <v>205289.39589041096</v>
      </c>
      <c r="D2188" s="532">
        <f t="shared" si="265"/>
        <v>44648</v>
      </c>
      <c r="E2188" s="534">
        <v>31</v>
      </c>
      <c r="F2188" s="601">
        <v>0.41499999999999998</v>
      </c>
      <c r="G2188" s="536" t="s">
        <v>696</v>
      </c>
    </row>
    <row r="2189" spans="1:8" ht="12.75" customHeight="1">
      <c r="A2189" s="532">
        <v>44617</v>
      </c>
      <c r="B2189" s="615">
        <v>58700</v>
      </c>
      <c r="C2189" s="615">
        <f t="shared" si="263"/>
        <v>60768.97397260274</v>
      </c>
      <c r="D2189" s="532">
        <f t="shared" si="265"/>
        <v>44648</v>
      </c>
      <c r="E2189" s="534">
        <v>31</v>
      </c>
      <c r="F2189" s="601">
        <v>0.41499999999999998</v>
      </c>
      <c r="G2189" s="536" t="s">
        <v>697</v>
      </c>
    </row>
    <row r="2190" spans="1:8" ht="12.75" customHeight="1">
      <c r="A2190" s="532">
        <v>44617</v>
      </c>
      <c r="B2190" s="615">
        <v>73000</v>
      </c>
      <c r="C2190" s="615">
        <f t="shared" si="263"/>
        <v>75573</v>
      </c>
      <c r="D2190" s="532">
        <f t="shared" si="265"/>
        <v>44648</v>
      </c>
      <c r="E2190" s="534">
        <v>31</v>
      </c>
      <c r="F2190" s="601">
        <v>0.41499999999999998</v>
      </c>
      <c r="G2190" s="536" t="s">
        <v>540</v>
      </c>
    </row>
    <row r="2191" spans="1:8" ht="12.75" customHeight="1">
      <c r="A2191" s="532">
        <v>44617</v>
      </c>
      <c r="B2191" s="615">
        <v>155000</v>
      </c>
      <c r="C2191" s="615">
        <f t="shared" si="263"/>
        <v>160463.21917808219</v>
      </c>
      <c r="D2191" s="532">
        <f t="shared" si="265"/>
        <v>44648</v>
      </c>
      <c r="E2191" s="534">
        <v>31</v>
      </c>
      <c r="F2191" s="601">
        <v>0.41499999999999998</v>
      </c>
      <c r="G2191" s="536" t="s">
        <v>540</v>
      </c>
      <c r="H2191">
        <f>SUM(C2191:C2191)</f>
        <v>160463.21917808219</v>
      </c>
    </row>
    <row r="2192" spans="1:8" ht="12.75" customHeight="1">
      <c r="A2192" s="532">
        <v>44622</v>
      </c>
      <c r="B2192" s="615">
        <v>36700</v>
      </c>
      <c r="C2192" s="615">
        <f t="shared" si="263"/>
        <v>37951.821917808222</v>
      </c>
      <c r="D2192" s="532">
        <f t="shared" si="265"/>
        <v>44652</v>
      </c>
      <c r="E2192" s="534">
        <v>30</v>
      </c>
      <c r="F2192" s="601">
        <v>0.41499999999999998</v>
      </c>
      <c r="G2192" s="536" t="s">
        <v>680</v>
      </c>
    </row>
    <row r="2193" spans="1:8" ht="12.75" customHeight="1">
      <c r="A2193" s="532">
        <v>44622</v>
      </c>
      <c r="B2193" s="615">
        <v>124300</v>
      </c>
      <c r="C2193" s="615">
        <f t="shared" si="263"/>
        <v>128539.82191780822</v>
      </c>
      <c r="D2193" s="532">
        <f t="shared" si="265"/>
        <v>44652</v>
      </c>
      <c r="E2193" s="534">
        <v>30</v>
      </c>
      <c r="F2193" s="601">
        <v>0.41499999999999998</v>
      </c>
      <c r="G2193" s="536" t="s">
        <v>695</v>
      </c>
    </row>
    <row r="2194" spans="1:8" ht="12.75" customHeight="1">
      <c r="A2194" s="532">
        <v>44622</v>
      </c>
      <c r="B2194" s="615">
        <v>480000</v>
      </c>
      <c r="C2194" s="615">
        <f t="shared" si="263"/>
        <v>496372.60273972602</v>
      </c>
      <c r="D2194" s="532">
        <f t="shared" si="265"/>
        <v>44652</v>
      </c>
      <c r="E2194" s="534">
        <v>30</v>
      </c>
      <c r="F2194" s="601">
        <v>0.41499999999999998</v>
      </c>
      <c r="G2194" s="536" t="s">
        <v>276</v>
      </c>
    </row>
    <row r="2195" spans="1:8" ht="12.75" customHeight="1">
      <c r="A2195" s="532">
        <v>44622</v>
      </c>
      <c r="B2195" s="615">
        <v>70000</v>
      </c>
      <c r="C2195" s="615">
        <f t="shared" si="263"/>
        <v>72387.671232876717</v>
      </c>
      <c r="D2195" s="532">
        <f t="shared" si="265"/>
        <v>44652</v>
      </c>
      <c r="E2195" s="534">
        <v>30</v>
      </c>
      <c r="F2195" s="601">
        <v>0.41499999999999998</v>
      </c>
      <c r="G2195" s="536" t="s">
        <v>540</v>
      </c>
    </row>
    <row r="2196" spans="1:8" ht="12.75" customHeight="1">
      <c r="A2196" s="532">
        <v>44622</v>
      </c>
      <c r="B2196" s="615">
        <v>60000</v>
      </c>
      <c r="C2196" s="615">
        <f t="shared" si="263"/>
        <v>62046.575342465752</v>
      </c>
      <c r="D2196" s="532">
        <f t="shared" si="265"/>
        <v>44652</v>
      </c>
      <c r="E2196" s="534">
        <v>30</v>
      </c>
      <c r="F2196" s="601">
        <v>0.41499999999999998</v>
      </c>
      <c r="G2196" s="536" t="s">
        <v>120</v>
      </c>
    </row>
    <row r="2197" spans="1:8" ht="12.75" customHeight="1">
      <c r="A2197" s="532">
        <v>44622</v>
      </c>
      <c r="B2197" s="615">
        <v>33000</v>
      </c>
      <c r="C2197" s="615">
        <f t="shared" si="263"/>
        <v>38961.01</v>
      </c>
      <c r="D2197" s="532">
        <f t="shared" si="265"/>
        <v>44712</v>
      </c>
      <c r="E2197" s="534">
        <v>90</v>
      </c>
      <c r="F2197" s="601">
        <v>0.73258203703703728</v>
      </c>
      <c r="G2197" s="536" t="s">
        <v>701</v>
      </c>
      <c r="H2197">
        <f>33081.37+5879.64</f>
        <v>38961.01</v>
      </c>
    </row>
    <row r="2198" spans="1:8" ht="13">
      <c r="A2198" s="532">
        <v>44622</v>
      </c>
      <c r="B2198" s="615">
        <v>120000</v>
      </c>
      <c r="C2198" s="615">
        <f t="shared" si="263"/>
        <v>141676.41999999998</v>
      </c>
      <c r="D2198" s="532">
        <f t="shared" si="265"/>
        <v>44712</v>
      </c>
      <c r="E2198" s="534">
        <v>90</v>
      </c>
      <c r="F2198" s="601">
        <v>0.73258271296296262</v>
      </c>
      <c r="G2198" s="536" t="s">
        <v>698</v>
      </c>
      <c r="H2198">
        <f>120295.89+21380.53</f>
        <v>141676.41999999998</v>
      </c>
    </row>
    <row r="2199" spans="1:8" ht="12.75" customHeight="1">
      <c r="A2199" s="532">
        <v>44622</v>
      </c>
      <c r="B2199" s="615">
        <v>500000</v>
      </c>
      <c r="C2199" s="615">
        <f t="shared" si="263"/>
        <v>590318.42999999993</v>
      </c>
      <c r="D2199" s="532">
        <f t="shared" si="265"/>
        <v>44712</v>
      </c>
      <c r="E2199" s="534">
        <v>90</v>
      </c>
      <c r="F2199" s="601">
        <v>0.73258282111111095</v>
      </c>
      <c r="G2199" s="536" t="s">
        <v>686</v>
      </c>
      <c r="H2199">
        <f>501232.88+89085.55</f>
        <v>590318.43000000005</v>
      </c>
    </row>
    <row r="2200" spans="1:8" ht="12.75" customHeight="1">
      <c r="A2200" s="532">
        <v>44622</v>
      </c>
      <c r="B2200" s="615">
        <v>50000</v>
      </c>
      <c r="C2200" s="615">
        <f t="shared" si="263"/>
        <v>59032.359999999993</v>
      </c>
      <c r="D2200" s="532">
        <f t="shared" si="265"/>
        <v>44712</v>
      </c>
      <c r="E2200" s="534">
        <v>90</v>
      </c>
      <c r="F2200" s="601">
        <v>0.73262475555555495</v>
      </c>
      <c r="G2200" s="536" t="s">
        <v>687</v>
      </c>
      <c r="H2200">
        <v>59032.36</v>
      </c>
    </row>
    <row r="2201" spans="1:8" ht="12.75" customHeight="1">
      <c r="A2201" s="532">
        <v>44623</v>
      </c>
      <c r="B2201" s="615">
        <v>19800</v>
      </c>
      <c r="C2201" s="615">
        <f t="shared" si="263"/>
        <v>20520.394520547947</v>
      </c>
      <c r="D2201" s="532">
        <f t="shared" si="265"/>
        <v>44655</v>
      </c>
      <c r="E2201" s="534">
        <v>32</v>
      </c>
      <c r="F2201" s="601">
        <v>0.41499999999999998</v>
      </c>
      <c r="G2201" s="536" t="s">
        <v>696</v>
      </c>
    </row>
    <row r="2202" spans="1:8" ht="12.75" customHeight="1">
      <c r="A2202" s="532">
        <v>44624</v>
      </c>
      <c r="B2202" s="615">
        <v>45000</v>
      </c>
      <c r="C2202" s="615">
        <f t="shared" si="263"/>
        <v>46586.095890410958</v>
      </c>
      <c r="D2202" s="532">
        <f t="shared" si="265"/>
        <v>44655</v>
      </c>
      <c r="E2202" s="534">
        <v>31</v>
      </c>
      <c r="F2202" s="601">
        <v>0.41499999999999998</v>
      </c>
      <c r="G2202" s="536" t="s">
        <v>695</v>
      </c>
    </row>
    <row r="2203" spans="1:8" ht="12.75" customHeight="1">
      <c r="A2203" s="532">
        <v>44624</v>
      </c>
      <c r="B2203" s="615">
        <v>85000</v>
      </c>
      <c r="C2203" s="615">
        <f t="shared" si="263"/>
        <v>87995.95890410959</v>
      </c>
      <c r="D2203" s="532">
        <f t="shared" si="265"/>
        <v>44655</v>
      </c>
      <c r="E2203" s="534">
        <v>31</v>
      </c>
      <c r="F2203" s="601">
        <v>0.41499999999999998</v>
      </c>
      <c r="G2203" s="536" t="s">
        <v>276</v>
      </c>
    </row>
    <row r="2204" spans="1:8" ht="12.75" customHeight="1">
      <c r="A2204" s="532">
        <v>44624</v>
      </c>
      <c r="B2204" s="615">
        <v>46800</v>
      </c>
      <c r="C2204" s="615">
        <f t="shared" si="263"/>
        <v>48449.539726027397</v>
      </c>
      <c r="D2204" s="532">
        <f t="shared" si="265"/>
        <v>44655</v>
      </c>
      <c r="E2204" s="534">
        <v>31</v>
      </c>
      <c r="F2204" s="601">
        <v>0.41499999999999998</v>
      </c>
      <c r="G2204" s="536" t="s">
        <v>697</v>
      </c>
    </row>
    <row r="2205" spans="1:8" ht="12.75" customHeight="1">
      <c r="A2205" s="532">
        <v>44624</v>
      </c>
      <c r="B2205" s="615">
        <v>37000</v>
      </c>
      <c r="C2205" s="615">
        <f t="shared" si="263"/>
        <v>38304.123287671231</v>
      </c>
      <c r="D2205" s="532">
        <f t="shared" si="265"/>
        <v>44655</v>
      </c>
      <c r="E2205" s="534">
        <v>31</v>
      </c>
      <c r="F2205" s="601">
        <v>0.41499999999999998</v>
      </c>
      <c r="G2205" s="536" t="s">
        <v>553</v>
      </c>
    </row>
    <row r="2206" spans="1:8" ht="12.75" customHeight="1">
      <c r="A2206" s="532">
        <v>44624</v>
      </c>
      <c r="B2206" s="615">
        <v>115000</v>
      </c>
      <c r="C2206" s="615">
        <f t="shared" si="263"/>
        <v>119053.35616438356</v>
      </c>
      <c r="D2206" s="532">
        <f t="shared" si="265"/>
        <v>44655</v>
      </c>
      <c r="E2206" s="534">
        <v>31</v>
      </c>
      <c r="F2206" s="601">
        <v>0.41499999999999998</v>
      </c>
      <c r="G2206" s="536" t="s">
        <v>540</v>
      </c>
    </row>
    <row r="2207" spans="1:8" ht="12.75" customHeight="1">
      <c r="A2207" s="532">
        <v>44624</v>
      </c>
      <c r="B2207" s="615">
        <v>115000</v>
      </c>
      <c r="C2207" s="615">
        <f t="shared" si="263"/>
        <v>135178</v>
      </c>
      <c r="D2207" s="532">
        <f t="shared" si="265"/>
        <v>44714</v>
      </c>
      <c r="E2207" s="534">
        <v>90</v>
      </c>
      <c r="F2207" s="601">
        <v>0.71159130434782569</v>
      </c>
      <c r="G2207" s="536" t="s">
        <v>704</v>
      </c>
      <c r="H2207">
        <v>135178</v>
      </c>
    </row>
    <row r="2208" spans="1:8" ht="12.75" customHeight="1">
      <c r="A2208" s="532">
        <v>44627</v>
      </c>
      <c r="B2208" s="615">
        <v>62000</v>
      </c>
      <c r="C2208" s="615">
        <f t="shared" ref="A2208:C2271" si="266">B2208+(B2208*F2208/365*E2208)*1</f>
        <v>64114.794520547948</v>
      </c>
      <c r="D2208" s="532">
        <f t="shared" ref="A2208:D2239" si="267">+A2208+E2208</f>
        <v>44657</v>
      </c>
      <c r="E2208" s="534">
        <v>30</v>
      </c>
      <c r="F2208" s="601">
        <v>0.41499999999999998</v>
      </c>
      <c r="G2208" s="536" t="s">
        <v>276</v>
      </c>
      <c r="H2208">
        <f>SUM(C2208:C2208)</f>
        <v>64114.794520547948</v>
      </c>
    </row>
    <row r="2209" spans="1:8" ht="12.75" customHeight="1">
      <c r="A2209" s="532">
        <v>44631</v>
      </c>
      <c r="B2209" s="615">
        <v>28800</v>
      </c>
      <c r="C2209" s="615">
        <f t="shared" si="266"/>
        <v>29815.101369863012</v>
      </c>
      <c r="D2209" s="532">
        <f t="shared" si="267"/>
        <v>44662</v>
      </c>
      <c r="E2209" s="534">
        <v>31</v>
      </c>
      <c r="F2209" s="601">
        <v>0.41499999999999998</v>
      </c>
      <c r="G2209" s="536" t="s">
        <v>697</v>
      </c>
      <c r="H2209">
        <f>SUM(C2209:C2209)</f>
        <v>29815.101369863012</v>
      </c>
    </row>
    <row r="2210" spans="1:8" ht="12.75" customHeight="1">
      <c r="A2210" s="532">
        <v>44634</v>
      </c>
      <c r="B2210" s="615">
        <v>140000</v>
      </c>
      <c r="C2210" s="615">
        <f t="shared" si="266"/>
        <v>144775.34246575343</v>
      </c>
      <c r="D2210" s="532">
        <f t="shared" si="267"/>
        <v>44664</v>
      </c>
      <c r="E2210" s="534">
        <v>30</v>
      </c>
      <c r="F2210" s="601">
        <v>0.41499999999999998</v>
      </c>
      <c r="G2210" s="536" t="s">
        <v>276</v>
      </c>
      <c r="H2210">
        <f>SUM(C2210:C2210)</f>
        <v>144775.34246575343</v>
      </c>
    </row>
    <row r="2211" spans="1:8" ht="12.75" customHeight="1">
      <c r="A2211" s="532">
        <v>44634</v>
      </c>
      <c r="B2211" s="615">
        <v>40000</v>
      </c>
      <c r="C2211" s="615">
        <f t="shared" si="266"/>
        <v>41364.383561643837</v>
      </c>
      <c r="D2211" s="532">
        <f t="shared" si="267"/>
        <v>44664</v>
      </c>
      <c r="E2211" s="534">
        <v>30</v>
      </c>
      <c r="F2211" s="601">
        <v>0.41499999999999998</v>
      </c>
      <c r="G2211" s="536" t="s">
        <v>120</v>
      </c>
      <c r="H2211">
        <f>SUM(C2211:C2211)</f>
        <v>41364.383561643837</v>
      </c>
    </row>
    <row r="2212" spans="1:8" ht="12.75" customHeight="1">
      <c r="A2212" s="532">
        <v>44634</v>
      </c>
      <c r="B2212" s="615">
        <v>135000</v>
      </c>
      <c r="C2212" s="615">
        <f t="shared" si="266"/>
        <v>159623.82000000004</v>
      </c>
      <c r="D2212" s="532">
        <f t="shared" si="267"/>
        <v>44725</v>
      </c>
      <c r="E2212" s="534">
        <v>91</v>
      </c>
      <c r="F2212" s="601">
        <v>0.73159904761904859</v>
      </c>
      <c r="G2212" s="536" t="s">
        <v>686</v>
      </c>
      <c r="H2212">
        <f>25061.04+4378.01</f>
        <v>29439.050000000003</v>
      </c>
    </row>
    <row r="2213" spans="1:8" ht="12.75" customHeight="1">
      <c r="A2213" s="532">
        <v>44635</v>
      </c>
      <c r="B2213" s="615">
        <v>23600</v>
      </c>
      <c r="C2213" s="615">
        <f t="shared" si="266"/>
        <v>24512.317808219177</v>
      </c>
      <c r="D2213" s="532">
        <f t="shared" si="267"/>
        <v>44669</v>
      </c>
      <c r="E2213" s="534">
        <v>34</v>
      </c>
      <c r="F2213" s="601">
        <v>0.41499999999999998</v>
      </c>
      <c r="G2213" s="536" t="s">
        <v>696</v>
      </c>
      <c r="H2213">
        <f>SUM(C2213:C2213)</f>
        <v>24512.317808219177</v>
      </c>
    </row>
    <row r="2214" spans="1:8" ht="12.75" customHeight="1">
      <c r="A2214" s="532">
        <v>44635</v>
      </c>
      <c r="B2214" s="615">
        <v>25000</v>
      </c>
      <c r="C2214" s="615">
        <f t="shared" si="266"/>
        <v>25966.438356164384</v>
      </c>
      <c r="D2214" s="532">
        <f t="shared" si="267"/>
        <v>44669</v>
      </c>
      <c r="E2214" s="534">
        <v>34</v>
      </c>
      <c r="F2214" s="601">
        <v>0.41499999999999998</v>
      </c>
      <c r="G2214" s="536" t="s">
        <v>680</v>
      </c>
      <c r="H2214">
        <f>115296.16+14710.2</f>
        <v>130006.36</v>
      </c>
    </row>
    <row r="2215" spans="1:8" ht="12.75" customHeight="1">
      <c r="A2215" s="532">
        <v>44635</v>
      </c>
      <c r="B2215" s="615">
        <v>25000</v>
      </c>
      <c r="C2215" s="615">
        <f t="shared" si="266"/>
        <v>29439.049999999996</v>
      </c>
      <c r="D2215" s="532">
        <f t="shared" si="267"/>
        <v>44725</v>
      </c>
      <c r="E2215" s="534">
        <v>90</v>
      </c>
      <c r="F2215" s="601">
        <v>0.72011255555555487</v>
      </c>
      <c r="G2215" s="536" t="s">
        <v>701</v>
      </c>
      <c r="H2215">
        <f>135336.58+24287.24</f>
        <v>159623.81999999998</v>
      </c>
    </row>
    <row r="2216" spans="1:8" ht="12.75" customHeight="1">
      <c r="A2216" s="532">
        <v>44637</v>
      </c>
      <c r="B2216" s="615">
        <v>17500</v>
      </c>
      <c r="C2216" s="615">
        <f t="shared" si="266"/>
        <v>18136.712328767124</v>
      </c>
      <c r="D2216" s="532">
        <f t="shared" si="267"/>
        <v>44669</v>
      </c>
      <c r="E2216" s="534">
        <v>32</v>
      </c>
      <c r="F2216" s="601">
        <v>0.41499999999999998</v>
      </c>
      <c r="G2216" s="536" t="s">
        <v>696</v>
      </c>
    </row>
    <row r="2217" spans="1:8" ht="12.75" customHeight="1">
      <c r="A2217" s="532">
        <v>44637</v>
      </c>
      <c r="B2217" s="615">
        <v>31000</v>
      </c>
      <c r="C2217" s="615">
        <f t="shared" si="266"/>
        <v>32127.890410958906</v>
      </c>
      <c r="D2217" s="532">
        <f t="shared" si="267"/>
        <v>44669</v>
      </c>
      <c r="E2217" s="534">
        <v>32</v>
      </c>
      <c r="F2217" s="601">
        <v>0.41499999999999998</v>
      </c>
      <c r="G2217" s="536" t="s">
        <v>695</v>
      </c>
      <c r="H2217">
        <f>SUM(C2217:C2217)</f>
        <v>32127.890410958906</v>
      </c>
    </row>
    <row r="2218" spans="1:8" ht="12.75" customHeight="1">
      <c r="A2218" s="532">
        <v>44637</v>
      </c>
      <c r="B2218" s="615">
        <v>17500</v>
      </c>
      <c r="C2218" s="615">
        <f t="shared" si="266"/>
        <v>20706.05</v>
      </c>
      <c r="D2218" s="532">
        <f t="shared" si="267"/>
        <v>44727</v>
      </c>
      <c r="E2218" s="534">
        <v>90</v>
      </c>
      <c r="F2218" s="601">
        <v>0.74298936507936486</v>
      </c>
      <c r="G2218" s="536" t="s">
        <v>699</v>
      </c>
      <c r="H2218">
        <v>20706.05</v>
      </c>
    </row>
    <row r="2219" spans="1:8" ht="12.75" customHeight="1">
      <c r="A2219" s="532">
        <v>44637</v>
      </c>
      <c r="B2219" s="615">
        <v>31900</v>
      </c>
      <c r="C2219" s="615">
        <f t="shared" si="266"/>
        <v>37744.169999999984</v>
      </c>
      <c r="D2219" s="532">
        <f t="shared" si="267"/>
        <v>44727</v>
      </c>
      <c r="E2219" s="534">
        <v>90</v>
      </c>
      <c r="F2219" s="601">
        <v>0.74298921978404575</v>
      </c>
      <c r="G2219" s="536" t="s">
        <v>698</v>
      </c>
      <c r="H2219">
        <f>31978.66+5765.51</f>
        <v>37744.17</v>
      </c>
    </row>
    <row r="2220" spans="1:8" ht="12.75" customHeight="1">
      <c r="A2220" s="532">
        <v>44638</v>
      </c>
      <c r="B2220" s="615">
        <v>47000</v>
      </c>
      <c r="C2220" s="615">
        <f t="shared" si="266"/>
        <v>48656.589041095889</v>
      </c>
      <c r="D2220" s="532">
        <f t="shared" si="267"/>
        <v>44669</v>
      </c>
      <c r="E2220" s="534">
        <v>31</v>
      </c>
      <c r="F2220" s="601">
        <v>0.41499999999999998</v>
      </c>
      <c r="G2220" s="536" t="s">
        <v>695</v>
      </c>
      <c r="H2220">
        <f>SUM(C2220:C2220)</f>
        <v>48656.589041095889</v>
      </c>
    </row>
    <row r="2221" spans="1:8" ht="12.75" customHeight="1">
      <c r="A2221" s="532">
        <v>44638</v>
      </c>
      <c r="B2221" s="615">
        <v>30000</v>
      </c>
      <c r="C2221" s="615">
        <f t="shared" si="266"/>
        <v>31057.397260273974</v>
      </c>
      <c r="D2221" s="532">
        <f t="shared" si="267"/>
        <v>44669</v>
      </c>
      <c r="E2221" s="534">
        <v>31</v>
      </c>
      <c r="F2221" s="601">
        <v>0.41499999999999998</v>
      </c>
      <c r="G2221" s="536" t="s">
        <v>276</v>
      </c>
      <c r="H2221">
        <f>65167.4+8314.46</f>
        <v>73481.86</v>
      </c>
    </row>
    <row r="2222" spans="1:8" ht="12.75" customHeight="1">
      <c r="A2222" s="532">
        <v>44638</v>
      </c>
      <c r="B2222" s="615">
        <v>80700</v>
      </c>
      <c r="C2222" s="615">
        <f t="shared" si="266"/>
        <v>95151.53</v>
      </c>
      <c r="D2222" s="532">
        <f t="shared" si="267"/>
        <v>44728</v>
      </c>
      <c r="E2222" s="534">
        <v>90</v>
      </c>
      <c r="F2222" s="601">
        <v>0.72625753132314441</v>
      </c>
      <c r="G2222" s="536" t="s">
        <v>698</v>
      </c>
      <c r="H2222">
        <f>80898.89+14616.64</f>
        <v>95515.53</v>
      </c>
    </row>
    <row r="2223" spans="1:8" ht="12.75" customHeight="1">
      <c r="A2223" s="532">
        <v>44641</v>
      </c>
      <c r="B2223" s="615">
        <v>39000</v>
      </c>
      <c r="C2223" s="615">
        <f t="shared" si="266"/>
        <v>40330.273972602743</v>
      </c>
      <c r="D2223" s="532">
        <f t="shared" si="267"/>
        <v>44671</v>
      </c>
      <c r="E2223" s="534">
        <v>30</v>
      </c>
      <c r="F2223" s="601">
        <v>0.41499999999999998</v>
      </c>
      <c r="G2223" s="536" t="s">
        <v>276</v>
      </c>
    </row>
    <row r="2224" spans="1:8" ht="12.75" customHeight="1">
      <c r="A2224" s="532">
        <v>44641</v>
      </c>
      <c r="B2224" s="615">
        <v>10000</v>
      </c>
      <c r="C2224" s="615">
        <f t="shared" si="266"/>
        <v>10341.095890410959</v>
      </c>
      <c r="D2224" s="532">
        <f t="shared" si="267"/>
        <v>44671</v>
      </c>
      <c r="E2224" s="534">
        <v>30</v>
      </c>
      <c r="F2224" s="601">
        <v>0.41499999999999998</v>
      </c>
      <c r="G2224" s="536" t="s">
        <v>696</v>
      </c>
    </row>
    <row r="2225" spans="1:8" ht="12.75" customHeight="1">
      <c r="A2225" s="532">
        <v>44641</v>
      </c>
      <c r="B2225" s="615">
        <v>10700</v>
      </c>
      <c r="C2225" s="615">
        <f t="shared" si="266"/>
        <v>12667.209999999997</v>
      </c>
      <c r="D2225" s="532">
        <f t="shared" si="267"/>
        <v>44733</v>
      </c>
      <c r="E2225" s="534">
        <v>92</v>
      </c>
      <c r="F2225" s="601">
        <v>0.72941045306785779</v>
      </c>
      <c r="G2225" s="536" t="s">
        <v>699</v>
      </c>
      <c r="H2225">
        <v>76036.78</v>
      </c>
    </row>
    <row r="2226" spans="1:8" ht="12.75" customHeight="1">
      <c r="A2226" s="532">
        <v>44641</v>
      </c>
      <c r="B2226" s="615">
        <v>50000</v>
      </c>
      <c r="C2226" s="615">
        <f t="shared" si="266"/>
        <v>59192.569999999992</v>
      </c>
      <c r="D2226" s="532">
        <f t="shared" si="267"/>
        <v>44733</v>
      </c>
      <c r="E2226" s="534">
        <v>92</v>
      </c>
      <c r="F2226" s="601">
        <v>0.72941044565217372</v>
      </c>
      <c r="G2226" s="536" t="s">
        <v>686</v>
      </c>
      <c r="H2226">
        <v>12667.21</v>
      </c>
    </row>
    <row r="2227" spans="1:8" ht="12.75" customHeight="1">
      <c r="A2227" s="532">
        <v>44643</v>
      </c>
      <c r="B2227" s="615">
        <v>30000</v>
      </c>
      <c r="C2227" s="615">
        <f t="shared" si="266"/>
        <v>31072.602739726026</v>
      </c>
      <c r="D2227" s="532">
        <f t="shared" si="267"/>
        <v>44673</v>
      </c>
      <c r="E2227" s="534">
        <v>30</v>
      </c>
      <c r="F2227" s="601">
        <v>0.435</v>
      </c>
      <c r="G2227" s="536" t="s">
        <v>540</v>
      </c>
    </row>
    <row r="2228" spans="1:8" ht="12.75" customHeight="1">
      <c r="A2228" s="532">
        <v>44643</v>
      </c>
      <c r="B2228" s="615">
        <v>60000</v>
      </c>
      <c r="C2228" s="615">
        <f t="shared" si="266"/>
        <v>62145.205479452052</v>
      </c>
      <c r="D2228" s="532">
        <f t="shared" si="267"/>
        <v>44673</v>
      </c>
      <c r="E2228" s="534">
        <v>30</v>
      </c>
      <c r="F2228" s="601">
        <v>0.435</v>
      </c>
      <c r="G2228" s="536" t="s">
        <v>540</v>
      </c>
    </row>
    <row r="2229" spans="1:8" ht="12.75" customHeight="1">
      <c r="A2229" s="636">
        <v>44643</v>
      </c>
      <c r="B2229" s="637">
        <v>65000</v>
      </c>
      <c r="C2229" s="637">
        <f t="shared" si="266"/>
        <v>76036.78</v>
      </c>
      <c r="D2229" s="636">
        <f t="shared" si="267"/>
        <v>44733</v>
      </c>
      <c r="E2229" s="638">
        <v>90</v>
      </c>
      <c r="F2229" s="639">
        <v>0.68861960683760726</v>
      </c>
      <c r="G2229" s="640" t="s">
        <v>704</v>
      </c>
      <c r="H2229">
        <f>50126.03+9066.54</f>
        <v>59192.57</v>
      </c>
    </row>
    <row r="2230" spans="1:8" ht="12.75" customHeight="1">
      <c r="A2230" s="532">
        <v>44645</v>
      </c>
      <c r="B2230" s="615">
        <v>39300</v>
      </c>
      <c r="C2230" s="615">
        <f t="shared" si="266"/>
        <v>40751.946575342467</v>
      </c>
      <c r="D2230" s="532">
        <f t="shared" si="267"/>
        <v>44676</v>
      </c>
      <c r="E2230" s="534">
        <v>31</v>
      </c>
      <c r="F2230" s="601">
        <v>0.435</v>
      </c>
      <c r="G2230" s="536" t="s">
        <v>697</v>
      </c>
    </row>
    <row r="2231" spans="1:8" ht="12.75" customHeight="1">
      <c r="A2231" s="532">
        <v>44645</v>
      </c>
      <c r="B2231" s="615">
        <v>9900</v>
      </c>
      <c r="C2231" s="615">
        <f t="shared" si="266"/>
        <v>10265.757534246575</v>
      </c>
      <c r="D2231" s="532">
        <f t="shared" si="267"/>
        <v>44676</v>
      </c>
      <c r="E2231" s="534">
        <v>31</v>
      </c>
      <c r="F2231" s="601">
        <v>0.435</v>
      </c>
      <c r="G2231" s="536" t="s">
        <v>696</v>
      </c>
    </row>
    <row r="2232" spans="1:8" ht="12.75" customHeight="1">
      <c r="A2232" s="532">
        <v>44645</v>
      </c>
      <c r="B2232" s="615">
        <v>10300</v>
      </c>
      <c r="C2232" s="615">
        <f t="shared" si="266"/>
        <v>10680.535616438356</v>
      </c>
      <c r="D2232" s="532">
        <f t="shared" si="267"/>
        <v>44676</v>
      </c>
      <c r="E2232" s="534">
        <v>31</v>
      </c>
      <c r="F2232" s="601">
        <v>0.435</v>
      </c>
      <c r="G2232" s="536" t="s">
        <v>680</v>
      </c>
    </row>
    <row r="2233" spans="1:8" ht="12.75" customHeight="1">
      <c r="A2233" s="532">
        <v>44645</v>
      </c>
      <c r="B2233" s="615">
        <v>25200</v>
      </c>
      <c r="C2233" s="615">
        <f t="shared" si="266"/>
        <v>26131.019178082192</v>
      </c>
      <c r="D2233" s="532">
        <f t="shared" si="267"/>
        <v>44676</v>
      </c>
      <c r="E2233" s="534">
        <v>31</v>
      </c>
      <c r="F2233" s="601">
        <v>0.435</v>
      </c>
      <c r="G2233" s="536" t="s">
        <v>695</v>
      </c>
    </row>
    <row r="2234" spans="1:8" ht="12.75" customHeight="1">
      <c r="A2234" s="532">
        <v>44645</v>
      </c>
      <c r="B2234" s="615">
        <v>20000</v>
      </c>
      <c r="C2234" s="615">
        <f t="shared" si="266"/>
        <v>20738.904109589042</v>
      </c>
      <c r="D2234" s="532">
        <f t="shared" si="267"/>
        <v>44676</v>
      </c>
      <c r="E2234" s="534">
        <v>31</v>
      </c>
      <c r="F2234" s="601">
        <v>0.435</v>
      </c>
      <c r="G2234" s="536" t="s">
        <v>276</v>
      </c>
    </row>
    <row r="2235" spans="1:8" ht="12.75" customHeight="1">
      <c r="A2235" s="532">
        <v>44645</v>
      </c>
      <c r="B2235" s="615">
        <v>14000</v>
      </c>
      <c r="C2235" s="615">
        <f t="shared" si="266"/>
        <v>14517.232876712329</v>
      </c>
      <c r="D2235" s="532">
        <f t="shared" si="267"/>
        <v>44676</v>
      </c>
      <c r="E2235" s="534">
        <v>31</v>
      </c>
      <c r="F2235" s="601">
        <v>0.435</v>
      </c>
      <c r="G2235" s="536" t="s">
        <v>120</v>
      </c>
    </row>
    <row r="2236" spans="1:8" ht="12.75" customHeight="1">
      <c r="A2236" s="532">
        <v>44645</v>
      </c>
      <c r="B2236" s="615">
        <v>11000</v>
      </c>
      <c r="C2236" s="615">
        <f t="shared" si="266"/>
        <v>13055.529999999999</v>
      </c>
      <c r="D2236" s="532">
        <f t="shared" si="267"/>
        <v>44735</v>
      </c>
      <c r="E2236" s="534">
        <v>90</v>
      </c>
      <c r="F2236" s="601">
        <v>0.75784691919191838</v>
      </c>
      <c r="G2236" s="536" t="s">
        <v>701</v>
      </c>
      <c r="H2236">
        <f>11027.72+2027.81</f>
        <v>13055.529999999999</v>
      </c>
    </row>
    <row r="2237" spans="1:8" ht="12.75" customHeight="1">
      <c r="A2237" s="532">
        <v>44645</v>
      </c>
      <c r="B2237" s="615">
        <v>30000</v>
      </c>
      <c r="C2237" s="615">
        <f t="shared" si="266"/>
        <v>35604.36</v>
      </c>
      <c r="D2237" s="532">
        <f t="shared" si="267"/>
        <v>44735</v>
      </c>
      <c r="E2237" s="534">
        <v>90</v>
      </c>
      <c r="F2237" s="601">
        <v>0.75762644444444416</v>
      </c>
      <c r="G2237" s="536" t="s">
        <v>698</v>
      </c>
      <c r="H2237">
        <f>30073.97+5530.39</f>
        <v>35604.36</v>
      </c>
    </row>
    <row r="2238" spans="1:8" ht="12.75" customHeight="1">
      <c r="A2238" s="532">
        <v>44648</v>
      </c>
      <c r="B2238" s="615">
        <v>55200</v>
      </c>
      <c r="C2238" s="615">
        <f t="shared" si="266"/>
        <v>57173.589041095889</v>
      </c>
      <c r="D2238" s="532">
        <f t="shared" si="267"/>
        <v>44678</v>
      </c>
      <c r="E2238" s="534">
        <v>30</v>
      </c>
      <c r="F2238" s="601">
        <v>0.435</v>
      </c>
      <c r="G2238" s="536" t="s">
        <v>696</v>
      </c>
    </row>
    <row r="2239" spans="1:8" ht="12.75" customHeight="1">
      <c r="A2239" s="532">
        <v>44648</v>
      </c>
      <c r="B2239" s="615">
        <v>20800</v>
      </c>
      <c r="C2239" s="615">
        <f t="shared" si="266"/>
        <v>21543.671232876713</v>
      </c>
      <c r="D2239" s="532">
        <f t="shared" si="267"/>
        <v>44678</v>
      </c>
      <c r="E2239" s="534">
        <v>30</v>
      </c>
      <c r="F2239" s="601">
        <v>0.435</v>
      </c>
      <c r="G2239" s="536" t="s">
        <v>697</v>
      </c>
    </row>
    <row r="2240" spans="1:8" ht="12.75" customHeight="1">
      <c r="A2240" s="532">
        <v>44648</v>
      </c>
      <c r="B2240" s="615">
        <v>7000</v>
      </c>
      <c r="C2240" s="615">
        <f t="shared" si="266"/>
        <v>7250.2739726027394</v>
      </c>
      <c r="D2240" s="532">
        <f t="shared" ref="A2240:D2271" si="268">+A2240+E2240</f>
        <v>44678</v>
      </c>
      <c r="E2240" s="534">
        <v>30</v>
      </c>
      <c r="F2240" s="601">
        <v>0.435</v>
      </c>
      <c r="G2240" s="536" t="s">
        <v>680</v>
      </c>
    </row>
    <row r="2241" spans="1:8" ht="12.75" customHeight="1">
      <c r="A2241" s="532">
        <v>44648</v>
      </c>
      <c r="B2241" s="615">
        <v>60000</v>
      </c>
      <c r="C2241" s="615">
        <f t="shared" si="266"/>
        <v>62145.205479452052</v>
      </c>
      <c r="D2241" s="532">
        <f t="shared" si="268"/>
        <v>44678</v>
      </c>
      <c r="E2241" s="534">
        <v>30</v>
      </c>
      <c r="F2241" s="601">
        <v>0.435</v>
      </c>
      <c r="G2241" s="536" t="s">
        <v>540</v>
      </c>
    </row>
    <row r="2242" spans="1:8" ht="12.75" customHeight="1">
      <c r="A2242" s="532">
        <v>44648</v>
      </c>
      <c r="B2242" s="615">
        <v>57000</v>
      </c>
      <c r="C2242" s="615">
        <f t="shared" si="266"/>
        <v>59105.876712328769</v>
      </c>
      <c r="D2242" s="532">
        <f t="shared" si="268"/>
        <v>44679</v>
      </c>
      <c r="E2242" s="534">
        <v>31</v>
      </c>
      <c r="F2242" s="601">
        <v>0.435</v>
      </c>
      <c r="G2242" s="536" t="s">
        <v>695</v>
      </c>
    </row>
    <row r="2243" spans="1:8" ht="12.75" customHeight="1">
      <c r="A2243" s="532">
        <v>44648</v>
      </c>
      <c r="B2243" s="615">
        <v>150000</v>
      </c>
      <c r="C2243" s="615">
        <f t="shared" si="266"/>
        <v>178083.96</v>
      </c>
      <c r="D2243" s="532">
        <f t="shared" si="268"/>
        <v>44739</v>
      </c>
      <c r="E2243" s="534">
        <v>91</v>
      </c>
      <c r="F2243" s="601">
        <v>0.75096303296703293</v>
      </c>
      <c r="G2243" s="536" t="s">
        <v>699</v>
      </c>
      <c r="H2243">
        <v>178083.96</v>
      </c>
    </row>
    <row r="2244" spans="1:8" ht="12.75" customHeight="1">
      <c r="A2244" s="532">
        <v>44648</v>
      </c>
      <c r="B2244" s="615">
        <v>40000</v>
      </c>
      <c r="C2244" s="615">
        <f t="shared" si="266"/>
        <v>47489.02</v>
      </c>
      <c r="D2244" s="532">
        <f t="shared" si="268"/>
        <v>44739</v>
      </c>
      <c r="E2244" s="534">
        <v>91</v>
      </c>
      <c r="F2244" s="601">
        <v>0.75095942307692265</v>
      </c>
      <c r="G2244" s="536" t="s">
        <v>681</v>
      </c>
      <c r="H2244">
        <f>47371.24+117.78</f>
        <v>47489.02</v>
      </c>
    </row>
    <row r="2245" spans="1:8" ht="12.75" customHeight="1">
      <c r="A2245" s="532">
        <v>44648</v>
      </c>
      <c r="B2245" s="615">
        <v>300000</v>
      </c>
      <c r="C2245" s="615">
        <f t="shared" si="266"/>
        <v>356167.92</v>
      </c>
      <c r="D2245" s="532">
        <f t="shared" si="268"/>
        <v>44739</v>
      </c>
      <c r="E2245" s="534">
        <v>91</v>
      </c>
      <c r="F2245" s="601">
        <v>0.75096303296703293</v>
      </c>
      <c r="G2245" s="536" t="s">
        <v>698</v>
      </c>
      <c r="H2245">
        <v>15364.98</v>
      </c>
    </row>
    <row r="2246" spans="1:8" ht="12.75" customHeight="1">
      <c r="A2246" s="532">
        <v>44648</v>
      </c>
      <c r="B2246" s="615">
        <v>160000</v>
      </c>
      <c r="C2246" s="615">
        <f t="shared" si="266"/>
        <v>189296.5</v>
      </c>
      <c r="D2246" s="532">
        <f t="shared" si="268"/>
        <v>44739</v>
      </c>
      <c r="E2246" s="534">
        <v>91</v>
      </c>
      <c r="F2246" s="601">
        <v>0.73442462225274718</v>
      </c>
      <c r="G2246" s="536" t="s">
        <v>687</v>
      </c>
      <c r="H2246">
        <f>300747.95+55419.97</f>
        <v>356167.92000000004</v>
      </c>
    </row>
    <row r="2247" spans="1:8" ht="12.75" customHeight="1">
      <c r="A2247" s="532">
        <v>44649</v>
      </c>
      <c r="B2247" s="615">
        <v>13000</v>
      </c>
      <c r="C2247" s="615">
        <f t="shared" si="266"/>
        <v>13464.794520547945</v>
      </c>
      <c r="D2247" s="532">
        <f t="shared" si="268"/>
        <v>44679</v>
      </c>
      <c r="E2247" s="534">
        <v>30</v>
      </c>
      <c r="F2247" s="601">
        <v>0.435</v>
      </c>
      <c r="G2247" s="536" t="s">
        <v>553</v>
      </c>
    </row>
    <row r="2248" spans="1:8" ht="12.75" customHeight="1">
      <c r="A2248" s="532">
        <v>44649</v>
      </c>
      <c r="B2248" s="615">
        <v>95000</v>
      </c>
      <c r="C2248" s="615">
        <f t="shared" si="266"/>
        <v>98396.57534246576</v>
      </c>
      <c r="D2248" s="532">
        <f t="shared" si="268"/>
        <v>44679</v>
      </c>
      <c r="E2248" s="534">
        <v>30</v>
      </c>
      <c r="F2248" s="601">
        <v>0.435</v>
      </c>
      <c r="G2248" s="536" t="s">
        <v>276</v>
      </c>
    </row>
    <row r="2249" spans="1:8" ht="12.75" customHeight="1">
      <c r="A2249" s="532">
        <v>44649</v>
      </c>
      <c r="B2249" s="615">
        <v>10000</v>
      </c>
      <c r="C2249" s="615">
        <f t="shared" si="266"/>
        <v>10357.534246575342</v>
      </c>
      <c r="D2249" s="532">
        <f t="shared" si="268"/>
        <v>44679</v>
      </c>
      <c r="E2249" s="534">
        <v>30</v>
      </c>
      <c r="F2249" s="601">
        <v>0.435</v>
      </c>
      <c r="G2249" s="536" t="s">
        <v>540</v>
      </c>
    </row>
    <row r="2250" spans="1:8" ht="12.75" customHeight="1">
      <c r="A2250" s="532">
        <v>44649</v>
      </c>
      <c r="B2250" s="615">
        <v>13000</v>
      </c>
      <c r="C2250" s="615">
        <f t="shared" si="266"/>
        <v>15364.98</v>
      </c>
      <c r="D2250" s="532">
        <f t="shared" si="268"/>
        <v>44739</v>
      </c>
      <c r="E2250" s="534">
        <v>90</v>
      </c>
      <c r="F2250" s="601">
        <v>0.73779290598290603</v>
      </c>
      <c r="G2250" s="536" t="s">
        <v>703</v>
      </c>
      <c r="H2250">
        <f>100246.58+17947.99</f>
        <v>118194.57</v>
      </c>
    </row>
    <row r="2251" spans="1:8" ht="12.75" customHeight="1">
      <c r="A2251" s="532">
        <v>44649</v>
      </c>
      <c r="B2251" s="615">
        <v>100000</v>
      </c>
      <c r="C2251" s="615">
        <f t="shared" si="266"/>
        <v>118194.57</v>
      </c>
      <c r="D2251" s="532">
        <f t="shared" si="268"/>
        <v>44739</v>
      </c>
      <c r="E2251" s="534">
        <v>90</v>
      </c>
      <c r="F2251" s="601">
        <v>0.73789089444444489</v>
      </c>
      <c r="G2251" s="536" t="s">
        <v>686</v>
      </c>
      <c r="H2251">
        <v>189296.5</v>
      </c>
    </row>
    <row r="2252" spans="1:8" ht="12.75" customHeight="1">
      <c r="A2252" s="532">
        <v>44650</v>
      </c>
      <c r="B2252" s="615">
        <v>25000</v>
      </c>
      <c r="C2252" s="615">
        <f t="shared" si="266"/>
        <v>25893.835616438355</v>
      </c>
      <c r="D2252" s="532">
        <f t="shared" si="268"/>
        <v>44680</v>
      </c>
      <c r="E2252" s="534">
        <v>30</v>
      </c>
      <c r="F2252" s="601">
        <v>0.435</v>
      </c>
      <c r="G2252" s="536" t="s">
        <v>276</v>
      </c>
    </row>
    <row r="2253" spans="1:8" ht="12.75" customHeight="1">
      <c r="A2253" s="532">
        <v>44650</v>
      </c>
      <c r="B2253" s="615">
        <v>25000</v>
      </c>
      <c r="C2253" s="615">
        <f t="shared" si="266"/>
        <v>25893.835616438355</v>
      </c>
      <c r="D2253" s="532">
        <f t="shared" si="268"/>
        <v>44680</v>
      </c>
      <c r="E2253" s="534">
        <v>30</v>
      </c>
      <c r="F2253" s="601">
        <v>0.435</v>
      </c>
      <c r="G2253" s="536" t="s">
        <v>120</v>
      </c>
    </row>
    <row r="2254" spans="1:8" ht="12.75" customHeight="1">
      <c r="A2254" s="532">
        <v>44652</v>
      </c>
      <c r="B2254" s="615">
        <v>29300</v>
      </c>
      <c r="C2254" s="615">
        <f t="shared" si="266"/>
        <v>30382.494520547945</v>
      </c>
      <c r="D2254" s="532">
        <f t="shared" si="268"/>
        <v>44683</v>
      </c>
      <c r="E2254" s="534">
        <v>31</v>
      </c>
      <c r="F2254" s="601">
        <v>0.435</v>
      </c>
      <c r="G2254" s="536" t="s">
        <v>695</v>
      </c>
    </row>
    <row r="2255" spans="1:8" ht="12.75" customHeight="1">
      <c r="A2255" s="532">
        <v>44652</v>
      </c>
      <c r="B2255" s="615">
        <v>150000</v>
      </c>
      <c r="C2255" s="615">
        <f t="shared" si="266"/>
        <v>155541.78082191781</v>
      </c>
      <c r="D2255" s="532">
        <f t="shared" si="268"/>
        <v>44683</v>
      </c>
      <c r="E2255" s="534">
        <v>31</v>
      </c>
      <c r="F2255" s="601">
        <v>0.435</v>
      </c>
      <c r="G2255" s="536" t="s">
        <v>276</v>
      </c>
    </row>
    <row r="2256" spans="1:8" ht="12.75" customHeight="1">
      <c r="A2256" s="532">
        <v>44652</v>
      </c>
      <c r="B2256" s="615">
        <v>30000</v>
      </c>
      <c r="C2256" s="615">
        <f t="shared" si="266"/>
        <v>31108.35616438356</v>
      </c>
      <c r="D2256" s="532">
        <f t="shared" si="268"/>
        <v>44683</v>
      </c>
      <c r="E2256" s="534">
        <v>31</v>
      </c>
      <c r="F2256" s="601">
        <v>0.435</v>
      </c>
      <c r="G2256" s="536" t="s">
        <v>540</v>
      </c>
    </row>
    <row r="2257" spans="1:8" ht="12.75" customHeight="1">
      <c r="A2257" s="532">
        <v>44652</v>
      </c>
      <c r="B2257" s="615">
        <v>10000</v>
      </c>
      <c r="C2257" s="615">
        <f t="shared" si="266"/>
        <v>10369.452054794521</v>
      </c>
      <c r="D2257" s="532">
        <f t="shared" si="268"/>
        <v>44683</v>
      </c>
      <c r="E2257" s="534">
        <v>31</v>
      </c>
      <c r="F2257" s="601">
        <v>0.435</v>
      </c>
      <c r="G2257" s="536" t="s">
        <v>120</v>
      </c>
    </row>
    <row r="2258" spans="1:8" ht="12.75" customHeight="1">
      <c r="A2258" s="532">
        <v>44652</v>
      </c>
      <c r="B2258" s="615">
        <v>75000</v>
      </c>
      <c r="C2258" s="615">
        <f t="shared" si="266"/>
        <v>77770.890410958906</v>
      </c>
      <c r="D2258" s="532">
        <f t="shared" si="268"/>
        <v>44683</v>
      </c>
      <c r="E2258" s="534">
        <v>31</v>
      </c>
      <c r="F2258" s="601">
        <v>0.435</v>
      </c>
      <c r="G2258" s="536" t="s">
        <v>540</v>
      </c>
    </row>
    <row r="2259" spans="1:8" ht="12.75" customHeight="1">
      <c r="A2259" s="532">
        <v>44652</v>
      </c>
      <c r="B2259" s="615">
        <v>300000</v>
      </c>
      <c r="C2259" s="615">
        <f t="shared" si="266"/>
        <v>355946.12</v>
      </c>
      <c r="D2259" s="532">
        <f t="shared" si="268"/>
        <v>44742</v>
      </c>
      <c r="E2259" s="534">
        <v>90</v>
      </c>
      <c r="F2259" s="601">
        <v>0.75630865925925961</v>
      </c>
      <c r="G2259" s="536" t="s">
        <v>686</v>
      </c>
      <c r="H2259">
        <f>300739.73+55206.39</f>
        <v>355946.12</v>
      </c>
    </row>
    <row r="2260" spans="1:8" ht="12.75" customHeight="1">
      <c r="A2260" s="532">
        <v>44652</v>
      </c>
      <c r="B2260" s="615">
        <v>75000</v>
      </c>
      <c r="C2260" s="615">
        <f t="shared" si="266"/>
        <v>88986.48000000001</v>
      </c>
      <c r="D2260" s="532">
        <f t="shared" si="268"/>
        <v>44742</v>
      </c>
      <c r="E2260" s="534">
        <v>90</v>
      </c>
      <c r="F2260" s="601">
        <v>0.7563059555555558</v>
      </c>
      <c r="G2260" s="536" t="s">
        <v>704</v>
      </c>
      <c r="H2260">
        <v>88986.48</v>
      </c>
    </row>
    <row r="2261" spans="1:8" ht="12.75" customHeight="1">
      <c r="A2261" s="532">
        <v>44652</v>
      </c>
      <c r="B2261" s="615">
        <v>30000</v>
      </c>
      <c r="C2261" s="615">
        <f t="shared" si="266"/>
        <v>35595.1</v>
      </c>
      <c r="D2261" s="532">
        <f t="shared" si="268"/>
        <v>44742</v>
      </c>
      <c r="E2261" s="534">
        <v>90</v>
      </c>
      <c r="F2261" s="601">
        <v>0.75637462962962976</v>
      </c>
      <c r="G2261" s="536" t="s">
        <v>704</v>
      </c>
      <c r="H2261">
        <v>35595.1</v>
      </c>
    </row>
    <row r="2262" spans="1:8" ht="12.75" customHeight="1">
      <c r="A2262" s="532">
        <v>44652</v>
      </c>
      <c r="B2262" s="615">
        <v>38000</v>
      </c>
      <c r="C2262" s="615">
        <f t="shared" si="266"/>
        <v>45086.5</v>
      </c>
      <c r="D2262" s="532">
        <f t="shared" si="268"/>
        <v>44742</v>
      </c>
      <c r="E2262" s="534">
        <v>90</v>
      </c>
      <c r="F2262" s="601">
        <v>0.75630774853801142</v>
      </c>
      <c r="G2262" s="536" t="s">
        <v>701</v>
      </c>
      <c r="H2262">
        <f>38093.7+6992.8</f>
        <v>45086.5</v>
      </c>
    </row>
    <row r="2263" spans="1:8" ht="12.75" customHeight="1">
      <c r="A2263" s="532">
        <v>44652</v>
      </c>
      <c r="B2263" s="615">
        <v>52400</v>
      </c>
      <c r="C2263" s="615">
        <f t="shared" si="266"/>
        <v>62171.919999999991</v>
      </c>
      <c r="D2263" s="532">
        <f t="shared" si="268"/>
        <v>44742</v>
      </c>
      <c r="E2263" s="534">
        <v>90</v>
      </c>
      <c r="F2263" s="601">
        <v>0.75630848176420606</v>
      </c>
      <c r="G2263" s="536" t="s">
        <v>701</v>
      </c>
      <c r="H2263">
        <f>52529.21+9642.71</f>
        <v>62171.92</v>
      </c>
    </row>
    <row r="2264" spans="1:8" ht="12.75" customHeight="1">
      <c r="A2264" s="532">
        <v>44652</v>
      </c>
      <c r="B2264" s="615">
        <v>100000</v>
      </c>
      <c r="C2264" s="615">
        <f t="shared" si="266"/>
        <v>118648.69999999998</v>
      </c>
      <c r="D2264" s="532">
        <f t="shared" si="268"/>
        <v>44742</v>
      </c>
      <c r="E2264" s="534">
        <v>90</v>
      </c>
      <c r="F2264" s="601">
        <v>0.75630838888888807</v>
      </c>
      <c r="G2264" s="536" t="s">
        <v>698</v>
      </c>
      <c r="H2264">
        <f>100246.58+18402.12</f>
        <v>118648.7</v>
      </c>
    </row>
    <row r="2265" spans="1:8" ht="12.75" customHeight="1">
      <c r="A2265" s="532">
        <v>44655</v>
      </c>
      <c r="B2265" s="615">
        <v>21600</v>
      </c>
      <c r="C2265" s="615">
        <f t="shared" si="266"/>
        <v>22372.273972602739</v>
      </c>
      <c r="D2265" s="532">
        <f t="shared" si="268"/>
        <v>44685</v>
      </c>
      <c r="E2265" s="534">
        <v>30</v>
      </c>
      <c r="F2265" s="601">
        <v>0.435</v>
      </c>
      <c r="G2265" s="536" t="s">
        <v>695</v>
      </c>
    </row>
    <row r="2266" spans="1:8" ht="12.75" customHeight="1">
      <c r="A2266" s="532">
        <v>44655</v>
      </c>
      <c r="B2266" s="615">
        <v>40000</v>
      </c>
      <c r="C2266" s="615">
        <f t="shared" si="266"/>
        <v>41430.136986301368</v>
      </c>
      <c r="D2266" s="532">
        <f t="shared" si="268"/>
        <v>44685</v>
      </c>
      <c r="E2266" s="534">
        <v>30</v>
      </c>
      <c r="F2266" s="601">
        <v>0.435</v>
      </c>
      <c r="G2266" s="536" t="s">
        <v>276</v>
      </c>
    </row>
    <row r="2267" spans="1:8" ht="12.75" customHeight="1">
      <c r="A2267" s="532">
        <v>44655</v>
      </c>
      <c r="B2267" s="615">
        <v>42000</v>
      </c>
      <c r="C2267" s="615">
        <f t="shared" si="266"/>
        <v>43501.643835616436</v>
      </c>
      <c r="D2267" s="532">
        <f t="shared" si="268"/>
        <v>44685</v>
      </c>
      <c r="E2267" s="534">
        <v>30</v>
      </c>
      <c r="F2267" s="601">
        <v>0.435</v>
      </c>
      <c r="G2267" s="536" t="s">
        <v>697</v>
      </c>
    </row>
    <row r="2268" spans="1:8" ht="12.75" customHeight="1">
      <c r="A2268" s="532">
        <v>44655</v>
      </c>
      <c r="B2268" s="615">
        <v>60000</v>
      </c>
      <c r="C2268" s="615">
        <f t="shared" si="266"/>
        <v>62145.205479452052</v>
      </c>
      <c r="D2268" s="532">
        <f t="shared" si="268"/>
        <v>44685</v>
      </c>
      <c r="E2268" s="534">
        <v>30</v>
      </c>
      <c r="F2268" s="601">
        <v>0.435</v>
      </c>
      <c r="G2268" s="536" t="s">
        <v>540</v>
      </c>
    </row>
    <row r="2269" spans="1:8" ht="12.75" customHeight="1">
      <c r="A2269" s="532">
        <v>44655</v>
      </c>
      <c r="B2269" s="615">
        <v>20600</v>
      </c>
      <c r="C2269" s="615">
        <f t="shared" si="266"/>
        <v>24487.800000000003</v>
      </c>
      <c r="D2269" s="532">
        <f t="shared" si="268"/>
        <v>44746</v>
      </c>
      <c r="E2269" s="534">
        <v>91</v>
      </c>
      <c r="F2269" s="601">
        <v>0.75698655713218854</v>
      </c>
      <c r="G2269" s="536" t="s">
        <v>699</v>
      </c>
      <c r="H2269">
        <v>24487.8</v>
      </c>
    </row>
    <row r="2270" spans="1:8" ht="12.75" customHeight="1">
      <c r="A2270" s="532">
        <v>44655</v>
      </c>
      <c r="B2270" s="615">
        <v>38300</v>
      </c>
      <c r="C2270" s="615">
        <f t="shared" si="266"/>
        <v>45527.94</v>
      </c>
      <c r="D2270" s="532">
        <f t="shared" si="268"/>
        <v>44746</v>
      </c>
      <c r="E2270" s="534">
        <v>91</v>
      </c>
      <c r="F2270" s="601">
        <v>0.75695007603362685</v>
      </c>
      <c r="G2270" s="536" t="s">
        <v>703</v>
      </c>
      <c r="H2270">
        <v>45527.94</v>
      </c>
    </row>
    <row r="2271" spans="1:8" ht="12.75" customHeight="1">
      <c r="A2271" s="532">
        <v>44655</v>
      </c>
      <c r="B2271" s="615">
        <v>50000</v>
      </c>
      <c r="C2271" s="615">
        <f t="shared" si="266"/>
        <v>59227.679999999993</v>
      </c>
      <c r="D2271" s="532">
        <f t="shared" si="268"/>
        <v>44746</v>
      </c>
      <c r="E2271" s="534">
        <v>91</v>
      </c>
      <c r="F2271" s="601">
        <v>0.74024246153846107</v>
      </c>
      <c r="G2271" s="536" t="s">
        <v>704</v>
      </c>
      <c r="H2271">
        <v>59227.68</v>
      </c>
    </row>
    <row r="2272" spans="1:8" ht="12.75" customHeight="1">
      <c r="A2272" s="532">
        <v>44655</v>
      </c>
      <c r="B2272" s="615">
        <v>60000</v>
      </c>
      <c r="C2272" s="615">
        <f t="shared" ref="A2272:C2335" si="269">B2272+(B2272*F2272/365*E2272)*1</f>
        <v>71323.69</v>
      </c>
      <c r="D2272" s="532">
        <f t="shared" ref="A2272:D2279" si="270">+A2272+E2272</f>
        <v>44746</v>
      </c>
      <c r="E2272" s="534">
        <v>91</v>
      </c>
      <c r="F2272" s="601">
        <v>0.75698660256410322</v>
      </c>
      <c r="G2272" s="536" t="s">
        <v>686</v>
      </c>
      <c r="H2272">
        <f>12631.11+31.08</f>
        <v>12662.19</v>
      </c>
    </row>
    <row r="2273" spans="1:8" ht="12.75" customHeight="1">
      <c r="A2273" s="532">
        <v>44655</v>
      </c>
      <c r="B2273" s="615">
        <v>50000</v>
      </c>
      <c r="C2273" s="615">
        <f t="shared" si="269"/>
        <v>59436.409999999996</v>
      </c>
      <c r="D2273" s="532">
        <f t="shared" si="270"/>
        <v>44746</v>
      </c>
      <c r="E2273" s="534">
        <v>91</v>
      </c>
      <c r="F2273" s="601">
        <v>0.75698673626373614</v>
      </c>
      <c r="G2273" s="536" t="s">
        <v>698</v>
      </c>
      <c r="H2273">
        <f>30073.97+5427.62</f>
        <v>35501.590000000004</v>
      </c>
    </row>
    <row r="2274" spans="1:8" ht="12.75" customHeight="1">
      <c r="A2274" s="532">
        <v>44656</v>
      </c>
      <c r="B2274" s="615">
        <v>30000</v>
      </c>
      <c r="C2274" s="615">
        <f t="shared" si="269"/>
        <v>31072.602739726026</v>
      </c>
      <c r="D2274" s="532">
        <f t="shared" si="270"/>
        <v>44686</v>
      </c>
      <c r="E2274" s="534">
        <v>30</v>
      </c>
      <c r="F2274" s="601">
        <v>0.435</v>
      </c>
      <c r="G2274" s="536" t="s">
        <v>276</v>
      </c>
    </row>
    <row r="2275" spans="1:8" ht="12.75" customHeight="1">
      <c r="A2275" s="532">
        <v>44656</v>
      </c>
      <c r="B2275" s="615">
        <v>10000</v>
      </c>
      <c r="C2275" s="615">
        <f t="shared" si="269"/>
        <v>10357.534246575342</v>
      </c>
      <c r="D2275" s="532">
        <f t="shared" si="270"/>
        <v>44686</v>
      </c>
      <c r="E2275" s="534">
        <v>30</v>
      </c>
      <c r="F2275" s="601">
        <v>0.435</v>
      </c>
      <c r="G2275" s="536" t="s">
        <v>697</v>
      </c>
    </row>
    <row r="2276" spans="1:8" ht="12.75" customHeight="1">
      <c r="A2276" s="532">
        <v>44656</v>
      </c>
      <c r="B2276" s="615">
        <v>10700</v>
      </c>
      <c r="C2276" s="615">
        <f t="shared" si="269"/>
        <v>12662.189999999999</v>
      </c>
      <c r="D2276" s="532">
        <f t="shared" si="270"/>
        <v>44746</v>
      </c>
      <c r="E2276" s="534">
        <v>90</v>
      </c>
      <c r="F2276" s="601">
        <v>0.74371687435098621</v>
      </c>
      <c r="G2276" s="536" t="s">
        <v>681</v>
      </c>
      <c r="H2276">
        <f>60149.59+11174.1</f>
        <v>71323.69</v>
      </c>
    </row>
    <row r="2277" spans="1:8" ht="12.75" customHeight="1">
      <c r="A2277" s="532">
        <v>44656</v>
      </c>
      <c r="B2277" s="615">
        <v>30000</v>
      </c>
      <c r="C2277" s="615">
        <f t="shared" si="269"/>
        <v>35501.589999999997</v>
      </c>
      <c r="D2277" s="532">
        <f t="shared" si="270"/>
        <v>44746</v>
      </c>
      <c r="E2277" s="534">
        <v>90</v>
      </c>
      <c r="F2277" s="601">
        <v>0.74373346296296283</v>
      </c>
      <c r="G2277" s="536" t="s">
        <v>686</v>
      </c>
      <c r="H2277">
        <f>50124.66+9311.75</f>
        <v>59436.41</v>
      </c>
    </row>
    <row r="2278" spans="1:8" ht="12.75" customHeight="1">
      <c r="A2278" s="532">
        <v>44657</v>
      </c>
      <c r="B2278" s="615">
        <v>30000</v>
      </c>
      <c r="C2278" s="615">
        <f t="shared" si="269"/>
        <v>31072.602739726026</v>
      </c>
      <c r="D2278" s="532">
        <f t="shared" si="270"/>
        <v>44687</v>
      </c>
      <c r="E2278" s="534">
        <v>30</v>
      </c>
      <c r="F2278" s="601">
        <v>0.435</v>
      </c>
      <c r="G2278" s="536" t="s">
        <v>276</v>
      </c>
    </row>
    <row r="2279" spans="1:8" ht="12.75" customHeight="1">
      <c r="A2279" s="532">
        <v>44657</v>
      </c>
      <c r="B2279" s="615">
        <v>37000</v>
      </c>
      <c r="C2279" s="615">
        <f t="shared" si="269"/>
        <v>43940.680000000015</v>
      </c>
      <c r="D2279" s="532">
        <f t="shared" si="270"/>
        <v>44747</v>
      </c>
      <c r="E2279" s="534">
        <v>90</v>
      </c>
      <c r="F2279" s="601">
        <v>0.76076522522522649</v>
      </c>
      <c r="G2279" s="536" t="s">
        <v>703</v>
      </c>
      <c r="H2279">
        <v>43940.68</v>
      </c>
    </row>
    <row r="2280" spans="1:8" ht="12.75" customHeight="1">
      <c r="A2280" s="532">
        <f>+D2280-E2280</f>
        <v>44657</v>
      </c>
      <c r="B2280" s="615">
        <v>22500</v>
      </c>
      <c r="C2280" s="615">
        <f t="shared" si="269"/>
        <v>26720.869999999995</v>
      </c>
      <c r="D2280" s="532">
        <v>44747</v>
      </c>
      <c r="E2280" s="534">
        <v>90</v>
      </c>
      <c r="F2280" s="601">
        <v>0.76079879012345608</v>
      </c>
      <c r="G2280" s="536" t="s">
        <v>699</v>
      </c>
      <c r="H2280">
        <v>26720.87</v>
      </c>
    </row>
    <row r="2281" spans="1:8" ht="12.75" customHeight="1">
      <c r="A2281" s="532">
        <v>44659</v>
      </c>
      <c r="B2281" s="615">
        <v>56000</v>
      </c>
      <c r="C2281" s="615">
        <f t="shared" si="269"/>
        <v>66525.149999999994</v>
      </c>
      <c r="D2281" s="532">
        <f t="shared" ref="A2281:D2344" si="271">+A2281+E2281</f>
        <v>44749</v>
      </c>
      <c r="E2281" s="534">
        <v>90</v>
      </c>
      <c r="F2281" s="601">
        <v>0.7622380456349197</v>
      </c>
      <c r="G2281" s="536" t="s">
        <v>698</v>
      </c>
      <c r="H2281">
        <f>56138.08+10387.07</f>
        <v>66525.149999999994</v>
      </c>
    </row>
    <row r="2282" spans="1:8" ht="12.75" customHeight="1">
      <c r="A2282" s="532">
        <v>44662</v>
      </c>
      <c r="B2282" s="615">
        <v>30000</v>
      </c>
      <c r="C2282" s="615">
        <f t="shared" si="269"/>
        <v>31072.602739726026</v>
      </c>
      <c r="D2282" s="532">
        <f t="shared" si="271"/>
        <v>44692</v>
      </c>
      <c r="E2282" s="534">
        <v>30</v>
      </c>
      <c r="F2282" s="601">
        <v>0.435</v>
      </c>
      <c r="G2282" s="536" t="s">
        <v>276</v>
      </c>
    </row>
    <row r="2283" spans="1:8" ht="12.75" customHeight="1">
      <c r="A2283" s="532">
        <v>44662</v>
      </c>
      <c r="B2283" s="615">
        <v>55000</v>
      </c>
      <c r="C2283" s="615">
        <f t="shared" si="269"/>
        <v>65464.08</v>
      </c>
      <c r="D2283" s="532">
        <f t="shared" si="271"/>
        <v>44753</v>
      </c>
      <c r="E2283" s="534">
        <v>91</v>
      </c>
      <c r="F2283" s="601">
        <v>0.76311472527472546</v>
      </c>
      <c r="G2283" s="536" t="s">
        <v>701</v>
      </c>
      <c r="H2283">
        <f>55137.12+10326.96</f>
        <v>65464.08</v>
      </c>
    </row>
    <row r="2284" spans="1:8" ht="12.75" customHeight="1">
      <c r="A2284" s="532">
        <v>44663</v>
      </c>
      <c r="B2284" s="615">
        <v>15000</v>
      </c>
      <c r="C2284" s="615">
        <f t="shared" si="269"/>
        <v>15536.301369863013</v>
      </c>
      <c r="D2284" s="532">
        <f t="shared" si="271"/>
        <v>44693</v>
      </c>
      <c r="E2284" s="534">
        <v>30</v>
      </c>
      <c r="F2284" s="601">
        <v>0.435</v>
      </c>
      <c r="G2284" s="536" t="s">
        <v>276</v>
      </c>
    </row>
    <row r="2285" spans="1:8" ht="12.75" customHeight="1">
      <c r="A2285" s="532">
        <v>44663</v>
      </c>
      <c r="B2285" s="615">
        <v>38000</v>
      </c>
      <c r="C2285" s="615">
        <f t="shared" si="269"/>
        <v>45028.28</v>
      </c>
      <c r="D2285" s="532">
        <f t="shared" si="271"/>
        <v>44753</v>
      </c>
      <c r="E2285" s="534">
        <v>90</v>
      </c>
      <c r="F2285" s="601">
        <v>0.75009421052631531</v>
      </c>
      <c r="G2285" s="536" t="s">
        <v>703</v>
      </c>
      <c r="H2285">
        <v>45028.28</v>
      </c>
    </row>
    <row r="2286" spans="1:8" ht="12.75" customHeight="1">
      <c r="A2286" s="532">
        <v>44663</v>
      </c>
      <c r="B2286" s="615">
        <v>4800</v>
      </c>
      <c r="C2286" s="615">
        <f t="shared" si="269"/>
        <v>5687.82</v>
      </c>
      <c r="D2286" s="532">
        <f t="shared" si="271"/>
        <v>44753</v>
      </c>
      <c r="E2286" s="534">
        <v>90</v>
      </c>
      <c r="F2286" s="601">
        <v>0.75012569444444455</v>
      </c>
      <c r="G2286" s="536" t="s">
        <v>699</v>
      </c>
      <c r="H2286">
        <v>5687.82</v>
      </c>
    </row>
    <row r="2287" spans="1:8" ht="12.75" customHeight="1">
      <c r="A2287" s="532">
        <v>44664</v>
      </c>
      <c r="B2287" s="615">
        <v>6500</v>
      </c>
      <c r="C2287" s="615">
        <f t="shared" si="269"/>
        <v>7728.34</v>
      </c>
      <c r="D2287" s="532">
        <f t="shared" si="271"/>
        <v>44754</v>
      </c>
      <c r="E2287" s="534">
        <v>90</v>
      </c>
      <c r="F2287" s="601">
        <v>0.76640017094017121</v>
      </c>
      <c r="G2287" s="536" t="s">
        <v>703</v>
      </c>
      <c r="H2287">
        <v>7728.34</v>
      </c>
    </row>
    <row r="2288" spans="1:8" ht="12.75" customHeight="1">
      <c r="A2288" s="532">
        <v>44664</v>
      </c>
      <c r="B2288" s="615">
        <v>40000</v>
      </c>
      <c r="C2288" s="615">
        <f t="shared" si="269"/>
        <v>47561.5</v>
      </c>
      <c r="D2288" s="532">
        <f t="shared" si="271"/>
        <v>44754</v>
      </c>
      <c r="E2288" s="534">
        <v>90</v>
      </c>
      <c r="F2288" s="601">
        <v>0.76665208333333301</v>
      </c>
      <c r="G2288" s="536" t="s">
        <v>704</v>
      </c>
      <c r="H2288">
        <v>47561.5</v>
      </c>
    </row>
    <row r="2289" spans="1:8" ht="12.75" customHeight="1">
      <c r="A2289" s="532">
        <v>44664</v>
      </c>
      <c r="B2289" s="615">
        <v>146000</v>
      </c>
      <c r="C2289" s="615">
        <f t="shared" si="269"/>
        <v>173596.5</v>
      </c>
      <c r="D2289" s="532">
        <f t="shared" si="271"/>
        <v>44754</v>
      </c>
      <c r="E2289" s="534">
        <v>90</v>
      </c>
      <c r="F2289" s="601">
        <v>0.76656944444444419</v>
      </c>
      <c r="G2289" s="536" t="s">
        <v>686</v>
      </c>
      <c r="H2289">
        <f>146360+27236.5</f>
        <v>173596.5</v>
      </c>
    </row>
    <row r="2290" spans="1:8" ht="12.75" customHeight="1">
      <c r="A2290" s="532">
        <v>44669</v>
      </c>
      <c r="B2290" s="615">
        <v>6000</v>
      </c>
      <c r="C2290" s="615">
        <f t="shared" si="269"/>
        <v>6234.41095890411</v>
      </c>
      <c r="D2290" s="532">
        <f t="shared" si="271"/>
        <v>44700</v>
      </c>
      <c r="E2290" s="534">
        <v>31</v>
      </c>
      <c r="F2290" s="601">
        <v>0.46</v>
      </c>
      <c r="G2290" s="536" t="s">
        <v>680</v>
      </c>
    </row>
    <row r="2291" spans="1:8" ht="12.75" customHeight="1">
      <c r="A2291" s="532">
        <v>44669</v>
      </c>
      <c r="B2291" s="615">
        <v>97800</v>
      </c>
      <c r="C2291" s="615">
        <f t="shared" si="269"/>
        <v>116897.73999999999</v>
      </c>
      <c r="D2291" s="532">
        <f t="shared" si="271"/>
        <v>44760</v>
      </c>
      <c r="E2291" s="534">
        <v>91</v>
      </c>
      <c r="F2291" s="601">
        <v>0.78323952223645443</v>
      </c>
      <c r="G2291" s="536" t="s">
        <v>699</v>
      </c>
      <c r="H2291">
        <v>37495.79</v>
      </c>
    </row>
    <row r="2292" spans="1:8" ht="12.75" customHeight="1">
      <c r="A2292" s="532">
        <v>44669</v>
      </c>
      <c r="B2292" s="615">
        <v>85000</v>
      </c>
      <c r="C2292" s="615">
        <f t="shared" si="269"/>
        <v>101598.23000000001</v>
      </c>
      <c r="D2292" s="532">
        <f t="shared" si="271"/>
        <v>44760</v>
      </c>
      <c r="E2292" s="534">
        <v>91</v>
      </c>
      <c r="F2292" s="601">
        <v>0.78323903684550822</v>
      </c>
      <c r="G2292" s="536" t="s">
        <v>698</v>
      </c>
      <c r="H2292">
        <v>116897.74</v>
      </c>
    </row>
    <row r="2293" spans="1:8" ht="12.75" customHeight="1">
      <c r="A2293" s="532">
        <v>44669</v>
      </c>
      <c r="B2293" s="615">
        <v>103000</v>
      </c>
      <c r="C2293" s="615">
        <f t="shared" si="269"/>
        <v>123113.13999999998</v>
      </c>
      <c r="D2293" s="532">
        <f t="shared" si="271"/>
        <v>44760</v>
      </c>
      <c r="E2293" s="534">
        <v>91</v>
      </c>
      <c r="F2293" s="601">
        <v>0.78323867491731491</v>
      </c>
      <c r="G2293" s="536" t="s">
        <v>686</v>
      </c>
      <c r="H2293">
        <f>85211.92+16386.31</f>
        <v>101598.23</v>
      </c>
    </row>
    <row r="2294" spans="1:8" ht="12.75" customHeight="1">
      <c r="A2294" s="532">
        <v>44669</v>
      </c>
      <c r="B2294" s="615">
        <v>200000</v>
      </c>
      <c r="C2294" s="615">
        <f t="shared" si="269"/>
        <v>239054.66999999998</v>
      </c>
      <c r="D2294" s="532">
        <f t="shared" si="271"/>
        <v>44760</v>
      </c>
      <c r="E2294" s="534">
        <v>91</v>
      </c>
      <c r="F2294" s="601">
        <v>0.78323926098901098</v>
      </c>
      <c r="G2294" s="536" t="s">
        <v>701</v>
      </c>
      <c r="H2294">
        <f>2004.93+362.97</f>
        <v>2367.9</v>
      </c>
    </row>
    <row r="2295" spans="1:8" ht="12.75" customHeight="1">
      <c r="A2295" s="532">
        <v>44669</v>
      </c>
      <c r="B2295" s="615">
        <v>49000</v>
      </c>
      <c r="C2295" s="615">
        <f t="shared" si="269"/>
        <v>58568.070000000014</v>
      </c>
      <c r="D2295" s="532">
        <f t="shared" si="271"/>
        <v>44760</v>
      </c>
      <c r="E2295" s="534">
        <v>91</v>
      </c>
      <c r="F2295" s="601">
        <v>0.7832127270688507</v>
      </c>
      <c r="G2295" s="536" t="s">
        <v>703</v>
      </c>
      <c r="H2295">
        <f>103256.79+19856.35</f>
        <v>123113.13999999998</v>
      </c>
    </row>
    <row r="2296" spans="1:8" ht="12.75" customHeight="1">
      <c r="A2296" s="532">
        <v>44669</v>
      </c>
      <c r="B2296" s="615">
        <v>9900</v>
      </c>
      <c r="C2296" s="615">
        <f t="shared" si="269"/>
        <v>11849.54</v>
      </c>
      <c r="D2296" s="532">
        <f t="shared" si="271"/>
        <v>44760</v>
      </c>
      <c r="E2296" s="534">
        <v>91</v>
      </c>
      <c r="F2296" s="601">
        <v>0.78985692085692139</v>
      </c>
      <c r="G2296" s="536" t="s">
        <v>681</v>
      </c>
      <c r="H2296">
        <f>200498.63+38556.04</f>
        <v>239054.67</v>
      </c>
    </row>
    <row r="2297" spans="1:8" ht="12.75" customHeight="1">
      <c r="A2297" s="532">
        <v>44670</v>
      </c>
      <c r="B2297" s="615">
        <v>31670</v>
      </c>
      <c r="C2297" s="615">
        <f t="shared" si="269"/>
        <v>37495.789999999994</v>
      </c>
      <c r="D2297" s="532">
        <f t="shared" si="271"/>
        <v>44760</v>
      </c>
      <c r="E2297" s="534">
        <v>90</v>
      </c>
      <c r="F2297" s="601">
        <v>0.74603141774550008</v>
      </c>
      <c r="G2297" s="536" t="s">
        <v>699</v>
      </c>
      <c r="H2297">
        <v>58568.07</v>
      </c>
    </row>
    <row r="2298" spans="1:8" ht="12.75" customHeight="1">
      <c r="A2298" s="532">
        <v>44670</v>
      </c>
      <c r="B2298" s="615">
        <v>2000</v>
      </c>
      <c r="C2298" s="615">
        <f t="shared" si="269"/>
        <v>2367.8999999999996</v>
      </c>
      <c r="D2298" s="532">
        <f t="shared" si="271"/>
        <v>44760</v>
      </c>
      <c r="E2298" s="534">
        <v>90</v>
      </c>
      <c r="F2298" s="601">
        <v>0.7460194444444439</v>
      </c>
      <c r="G2298" s="536" t="s">
        <v>698</v>
      </c>
      <c r="H2298">
        <f>11820.38+29.16</f>
        <v>11849.539999999999</v>
      </c>
    </row>
    <row r="2299" spans="1:8" ht="12.75" customHeight="1">
      <c r="A2299" s="532">
        <v>44671</v>
      </c>
      <c r="B2299" s="615">
        <v>40000</v>
      </c>
      <c r="C2299" s="615">
        <f t="shared" si="269"/>
        <v>47492.349999999991</v>
      </c>
      <c r="D2299" s="532">
        <f t="shared" si="271"/>
        <v>44761</v>
      </c>
      <c r="E2299" s="534">
        <v>90</v>
      </c>
      <c r="F2299" s="601">
        <v>0.75964104166666613</v>
      </c>
      <c r="G2299" s="536" t="s">
        <v>686</v>
      </c>
      <c r="H2299">
        <f>40098.63+7393.72</f>
        <v>47492.35</v>
      </c>
    </row>
    <row r="2300" spans="1:8" ht="12.75" customHeight="1">
      <c r="A2300" s="532">
        <v>44671</v>
      </c>
      <c r="B2300" s="615">
        <v>40300</v>
      </c>
      <c r="C2300" s="615">
        <f t="shared" si="269"/>
        <v>47848.542624999995</v>
      </c>
      <c r="D2300" s="532">
        <f t="shared" si="271"/>
        <v>44761</v>
      </c>
      <c r="E2300" s="534">
        <v>90</v>
      </c>
      <c r="F2300" s="601">
        <v>0.75964104166666613</v>
      </c>
      <c r="G2300" s="536" t="s">
        <v>699</v>
      </c>
      <c r="H2300">
        <v>47848.54</v>
      </c>
    </row>
    <row r="2301" spans="1:8" ht="12.75" customHeight="1">
      <c r="A2301" s="532">
        <v>44672</v>
      </c>
      <c r="B2301" s="615">
        <v>5000</v>
      </c>
      <c r="C2301" s="615">
        <f t="shared" si="269"/>
        <v>5201.6438356164381</v>
      </c>
      <c r="D2301" s="532">
        <f t="shared" si="271"/>
        <v>44704</v>
      </c>
      <c r="E2301" s="534">
        <v>32</v>
      </c>
      <c r="F2301" s="601">
        <v>0.46</v>
      </c>
      <c r="G2301" s="536" t="s">
        <v>699</v>
      </c>
    </row>
    <row r="2302" spans="1:8" ht="12.75" customHeight="1">
      <c r="A2302" s="532">
        <v>44673</v>
      </c>
      <c r="B2302" s="615">
        <v>4000</v>
      </c>
      <c r="C2302" s="615">
        <f t="shared" si="269"/>
        <v>4744.9299999999994</v>
      </c>
      <c r="D2302" s="532">
        <f t="shared" si="271"/>
        <v>44763</v>
      </c>
      <c r="E2302" s="534">
        <v>90</v>
      </c>
      <c r="F2302" s="601">
        <v>0.75527624999999954</v>
      </c>
      <c r="G2302" s="536" t="s">
        <v>681</v>
      </c>
      <c r="H2302">
        <f>4732.9+12.03</f>
        <v>4744.9299999999994</v>
      </c>
    </row>
    <row r="2303" spans="1:8" ht="12.75" customHeight="1">
      <c r="A2303" s="532">
        <v>44673</v>
      </c>
      <c r="B2303" s="615">
        <v>42000</v>
      </c>
      <c r="C2303" s="615">
        <f t="shared" si="269"/>
        <v>49814.66</v>
      </c>
      <c r="D2303" s="532">
        <f t="shared" si="271"/>
        <v>44763</v>
      </c>
      <c r="E2303" s="534">
        <v>90</v>
      </c>
      <c r="F2303" s="601">
        <v>0.75459018518518572</v>
      </c>
      <c r="G2303" s="536" t="s">
        <v>698</v>
      </c>
      <c r="H2303">
        <f>42103.56+7711.1</f>
        <v>49814.659999999996</v>
      </c>
    </row>
    <row r="2304" spans="1:8" ht="12.75" customHeight="1">
      <c r="A2304" s="532">
        <v>44673</v>
      </c>
      <c r="B2304" s="615">
        <v>160000</v>
      </c>
      <c r="C2304" s="615">
        <f t="shared" si="269"/>
        <v>189770.12</v>
      </c>
      <c r="D2304" s="532">
        <f t="shared" si="271"/>
        <v>44763</v>
      </c>
      <c r="E2304" s="534">
        <v>90</v>
      </c>
      <c r="F2304" s="601">
        <v>0.75458984722222178</v>
      </c>
      <c r="G2304" s="536" t="s">
        <v>686</v>
      </c>
      <c r="H2304">
        <f>160394.52+29375.6</f>
        <v>189770.12</v>
      </c>
    </row>
    <row r="2305" spans="1:8" ht="12.75" customHeight="1">
      <c r="A2305" s="532">
        <v>44673</v>
      </c>
      <c r="B2305" s="615">
        <v>30000</v>
      </c>
      <c r="C2305" s="615">
        <f t="shared" si="269"/>
        <v>35581.629999999997</v>
      </c>
      <c r="D2305" s="532">
        <f t="shared" si="271"/>
        <v>44763</v>
      </c>
      <c r="E2305" s="534">
        <v>90</v>
      </c>
      <c r="F2305" s="601">
        <v>0.75455368518518517</v>
      </c>
      <c r="G2305" s="536" t="s">
        <v>687</v>
      </c>
      <c r="H2305">
        <v>35581.629999999997</v>
      </c>
    </row>
    <row r="2306" spans="1:8" ht="12.75" customHeight="1">
      <c r="A2306" s="532">
        <v>44673</v>
      </c>
      <c r="B2306" s="615">
        <v>60000</v>
      </c>
      <c r="C2306" s="615">
        <f t="shared" si="269"/>
        <v>71163.259999999995</v>
      </c>
      <c r="D2306" s="532">
        <f t="shared" si="271"/>
        <v>44763</v>
      </c>
      <c r="E2306" s="534">
        <v>90</v>
      </c>
      <c r="F2306" s="601">
        <v>0.75455368518518517</v>
      </c>
      <c r="G2306" s="536" t="s">
        <v>704</v>
      </c>
      <c r="H2306">
        <v>71163.259999999995</v>
      </c>
    </row>
    <row r="2307" spans="1:8" ht="12.75" customHeight="1">
      <c r="A2307" s="532">
        <v>44676</v>
      </c>
      <c r="B2307" s="615">
        <v>6000</v>
      </c>
      <c r="C2307" s="615">
        <f t="shared" si="269"/>
        <v>6234.41095890411</v>
      </c>
      <c r="D2307" s="532">
        <f t="shared" si="271"/>
        <v>44707</v>
      </c>
      <c r="E2307" s="534">
        <v>31</v>
      </c>
      <c r="F2307" s="601">
        <v>0.46</v>
      </c>
      <c r="G2307" s="536" t="s">
        <v>120</v>
      </c>
    </row>
    <row r="2308" spans="1:8" ht="12.75" customHeight="1">
      <c r="A2308" s="532">
        <v>44676</v>
      </c>
      <c r="B2308" s="615">
        <v>24000</v>
      </c>
      <c r="C2308" s="615">
        <f t="shared" si="269"/>
        <v>24937.64383561644</v>
      </c>
      <c r="D2308" s="532">
        <f t="shared" si="271"/>
        <v>44707</v>
      </c>
      <c r="E2308" s="534">
        <v>31</v>
      </c>
      <c r="F2308" s="601">
        <v>0.46</v>
      </c>
      <c r="G2308" s="536" t="s">
        <v>276</v>
      </c>
    </row>
    <row r="2309" spans="1:8" ht="12.75" customHeight="1">
      <c r="A2309" s="532">
        <v>44676</v>
      </c>
      <c r="B2309" s="615">
        <v>10650</v>
      </c>
      <c r="C2309" s="615">
        <f t="shared" si="269"/>
        <v>12647.57</v>
      </c>
      <c r="D2309" s="532">
        <f t="shared" si="271"/>
        <v>44767</v>
      </c>
      <c r="E2309" s="534">
        <v>91</v>
      </c>
      <c r="F2309" s="601">
        <v>0.75232218954754115</v>
      </c>
      <c r="G2309" s="536" t="s">
        <v>701</v>
      </c>
      <c r="H2309">
        <f>10676.55+1971.02</f>
        <v>12647.57</v>
      </c>
    </row>
    <row r="2310" spans="1:8" ht="12.75" customHeight="1">
      <c r="A2310" s="532">
        <v>44676</v>
      </c>
      <c r="B2310" s="615">
        <v>16800</v>
      </c>
      <c r="C2310" s="615">
        <f t="shared" si="269"/>
        <v>19951.096338028168</v>
      </c>
      <c r="D2310" s="532">
        <f t="shared" si="271"/>
        <v>44767</v>
      </c>
      <c r="E2310" s="534">
        <v>91</v>
      </c>
      <c r="F2310" s="601">
        <v>0.75232218954754115</v>
      </c>
      <c r="G2310" s="536" t="s">
        <v>698</v>
      </c>
      <c r="H2310">
        <f>16841.88+3109.22</f>
        <v>19951.100000000002</v>
      </c>
    </row>
    <row r="2311" spans="1:8" ht="12.75" customHeight="1">
      <c r="A2311" s="532">
        <v>44676</v>
      </c>
      <c r="B2311" s="615">
        <v>10300</v>
      </c>
      <c r="C2311" s="615">
        <f t="shared" si="269"/>
        <v>12231.922159624412</v>
      </c>
      <c r="D2311" s="532">
        <f t="shared" si="271"/>
        <v>44767</v>
      </c>
      <c r="E2311" s="534">
        <v>91</v>
      </c>
      <c r="F2311" s="601">
        <v>0.75232218954754115</v>
      </c>
      <c r="G2311" s="536" t="s">
        <v>699</v>
      </c>
      <c r="H2311">
        <v>12231.93</v>
      </c>
    </row>
    <row r="2312" spans="1:8" ht="12.75" customHeight="1">
      <c r="A2312" s="532">
        <v>44676</v>
      </c>
      <c r="B2312" s="615">
        <v>40750</v>
      </c>
      <c r="C2312" s="615">
        <f t="shared" si="269"/>
        <v>48393.59</v>
      </c>
      <c r="D2312" s="532">
        <f t="shared" si="271"/>
        <v>44767</v>
      </c>
      <c r="E2312" s="534">
        <v>91</v>
      </c>
      <c r="F2312" s="601">
        <v>0.75235228207375404</v>
      </c>
      <c r="G2312" s="536" t="s">
        <v>681</v>
      </c>
      <c r="H2312">
        <f>48272.89+120.7</f>
        <v>48393.59</v>
      </c>
    </row>
    <row r="2313" spans="1:8" ht="12.75" customHeight="1">
      <c r="A2313" s="532">
        <v>44676</v>
      </c>
      <c r="B2313" s="615">
        <v>15000</v>
      </c>
      <c r="C2313" s="615">
        <f t="shared" si="269"/>
        <v>17750.95</v>
      </c>
      <c r="D2313" s="532">
        <f t="shared" si="271"/>
        <v>44767</v>
      </c>
      <c r="E2313" s="534">
        <v>91</v>
      </c>
      <c r="F2313" s="601">
        <v>0.7356020146520148</v>
      </c>
      <c r="G2313" s="536" t="s">
        <v>687</v>
      </c>
      <c r="H2313">
        <v>17750.95</v>
      </c>
    </row>
    <row r="2314" spans="1:8" ht="12.75" customHeight="1">
      <c r="A2314" s="532">
        <v>44677</v>
      </c>
      <c r="B2314" s="615">
        <v>6000</v>
      </c>
      <c r="C2314" s="615">
        <f t="shared" si="269"/>
        <v>6226.8493150684935</v>
      </c>
      <c r="D2314" s="532">
        <f t="shared" si="271"/>
        <v>44707</v>
      </c>
      <c r="E2314" s="534">
        <v>30</v>
      </c>
      <c r="F2314" s="601">
        <v>0.46</v>
      </c>
      <c r="G2314" s="536" t="s">
        <v>696</v>
      </c>
    </row>
    <row r="2315" spans="1:8" ht="12.75" customHeight="1">
      <c r="A2315" s="532">
        <v>44678</v>
      </c>
      <c r="B2315" s="615">
        <v>65000</v>
      </c>
      <c r="C2315" s="615">
        <f t="shared" si="269"/>
        <v>76902.77</v>
      </c>
      <c r="D2315" s="532">
        <f t="shared" si="271"/>
        <v>44768</v>
      </c>
      <c r="E2315" s="534">
        <v>90</v>
      </c>
      <c r="F2315" s="601">
        <v>0.74265146153846184</v>
      </c>
      <c r="G2315" s="536" t="s">
        <v>704</v>
      </c>
      <c r="H2315">
        <v>76902.77</v>
      </c>
    </row>
    <row r="2316" spans="1:8" ht="12.75" customHeight="1">
      <c r="A2316" s="532">
        <v>44678</v>
      </c>
      <c r="B2316" s="615">
        <v>7250</v>
      </c>
      <c r="C2316" s="615">
        <f t="shared" si="269"/>
        <v>8577.6200000000026</v>
      </c>
      <c r="D2316" s="532">
        <f t="shared" si="271"/>
        <v>44768</v>
      </c>
      <c r="E2316" s="534">
        <v>90</v>
      </c>
      <c r="F2316" s="601">
        <v>0.7426533333333345</v>
      </c>
      <c r="G2316" s="536" t="s">
        <v>701</v>
      </c>
      <c r="H2316">
        <f>7267.88+1309.74</f>
        <v>8577.6200000000008</v>
      </c>
    </row>
    <row r="2317" spans="1:8" ht="12.75" customHeight="1">
      <c r="A2317" s="532">
        <v>44678</v>
      </c>
      <c r="B2317" s="615">
        <v>35000</v>
      </c>
      <c r="C2317" s="615">
        <f t="shared" si="269"/>
        <v>41409.199999999997</v>
      </c>
      <c r="D2317" s="532">
        <f t="shared" si="271"/>
        <v>44768</v>
      </c>
      <c r="E2317" s="534">
        <v>90</v>
      </c>
      <c r="F2317" s="601">
        <v>0.74265333333333328</v>
      </c>
      <c r="G2317" s="536" t="s">
        <v>686</v>
      </c>
      <c r="H2317">
        <f>35086.3+6322.9</f>
        <v>41409.200000000004</v>
      </c>
    </row>
    <row r="2318" spans="1:8" ht="12.75" customHeight="1">
      <c r="A2318" s="532">
        <v>44678</v>
      </c>
      <c r="B2318" s="615">
        <v>21500</v>
      </c>
      <c r="C2318" s="615">
        <f t="shared" si="269"/>
        <v>25488.338182943815</v>
      </c>
      <c r="D2318" s="532">
        <f t="shared" si="271"/>
        <v>44768</v>
      </c>
      <c r="E2318" s="534">
        <v>90</v>
      </c>
      <c r="F2318" s="601">
        <v>0.75232218954754115</v>
      </c>
      <c r="G2318" s="536" t="s">
        <v>681</v>
      </c>
      <c r="H2318">
        <f>25375.03+62</f>
        <v>25437.03</v>
      </c>
    </row>
    <row r="2319" spans="1:8" ht="12.75" customHeight="1">
      <c r="A2319" s="532">
        <v>44678</v>
      </c>
      <c r="B2319" s="615">
        <v>57100</v>
      </c>
      <c r="C2319" s="615">
        <f t="shared" si="269"/>
        <v>67556.17</v>
      </c>
      <c r="D2319" s="532">
        <f t="shared" si="271"/>
        <v>44768</v>
      </c>
      <c r="E2319" s="534">
        <v>90</v>
      </c>
      <c r="F2319" s="601">
        <v>0.7426546117921774</v>
      </c>
      <c r="G2319" s="536" t="s">
        <v>699</v>
      </c>
      <c r="H2319">
        <v>67556.17</v>
      </c>
    </row>
    <row r="2320" spans="1:8" ht="12.75" customHeight="1">
      <c r="A2320" s="532">
        <v>44679</v>
      </c>
      <c r="B2320" s="615">
        <v>96000</v>
      </c>
      <c r="C2320" s="615">
        <f t="shared" si="269"/>
        <v>113534.76</v>
      </c>
      <c r="D2320" s="532">
        <f t="shared" si="271"/>
        <v>44769</v>
      </c>
      <c r="E2320" s="534">
        <v>90</v>
      </c>
      <c r="F2320" s="601">
        <v>0.74076243055555524</v>
      </c>
      <c r="G2320" s="536" t="s">
        <v>686</v>
      </c>
      <c r="H2320">
        <f>96236.71+17298.05</f>
        <v>113534.76000000001</v>
      </c>
    </row>
    <row r="2321" spans="1:8" ht="12.75" customHeight="1">
      <c r="A2321" s="532">
        <v>44679</v>
      </c>
      <c r="B2321" s="615">
        <v>59100</v>
      </c>
      <c r="C2321" s="615">
        <f t="shared" si="269"/>
        <v>69894.840000000011</v>
      </c>
      <c r="D2321" s="532">
        <f t="shared" si="271"/>
        <v>44769</v>
      </c>
      <c r="E2321" s="534">
        <v>90</v>
      </c>
      <c r="F2321" s="601">
        <v>0.74076266215454067</v>
      </c>
      <c r="G2321" s="536" t="s">
        <v>698</v>
      </c>
      <c r="H2321">
        <f>59245.73+10649.11</f>
        <v>69894.84</v>
      </c>
    </row>
    <row r="2322" spans="1:8" ht="12.75" customHeight="1">
      <c r="A2322" s="532">
        <v>44679</v>
      </c>
      <c r="B2322" s="615">
        <v>13450</v>
      </c>
      <c r="C2322" s="615">
        <f t="shared" si="269"/>
        <v>15906.460000000001</v>
      </c>
      <c r="D2322" s="532">
        <f t="shared" si="271"/>
        <v>44769</v>
      </c>
      <c r="E2322" s="534">
        <v>90</v>
      </c>
      <c r="F2322" s="601">
        <v>0.74069219330855052</v>
      </c>
      <c r="G2322" s="536" t="s">
        <v>703</v>
      </c>
      <c r="H2322">
        <v>15906.46</v>
      </c>
    </row>
    <row r="2323" spans="1:8" ht="12.75" customHeight="1">
      <c r="A2323" s="532">
        <v>44679</v>
      </c>
      <c r="B2323" s="615">
        <v>10000</v>
      </c>
      <c r="C2323" s="615">
        <f t="shared" si="269"/>
        <v>11826.869999999999</v>
      </c>
      <c r="D2323" s="532">
        <f t="shared" si="271"/>
        <v>44769</v>
      </c>
      <c r="E2323" s="534">
        <v>90</v>
      </c>
      <c r="F2323" s="601">
        <v>0.74089727777777759</v>
      </c>
      <c r="G2323" s="536" t="s">
        <v>704</v>
      </c>
      <c r="H2323">
        <v>11826.87</v>
      </c>
    </row>
    <row r="2324" spans="1:8" ht="12.75" customHeight="1">
      <c r="A2324" s="532">
        <v>44680</v>
      </c>
      <c r="B2324" s="615">
        <v>27000</v>
      </c>
      <c r="C2324" s="615">
        <f t="shared" si="269"/>
        <v>31913.96</v>
      </c>
      <c r="D2324" s="532">
        <f t="shared" si="271"/>
        <v>44770</v>
      </c>
      <c r="E2324" s="534">
        <v>90</v>
      </c>
      <c r="F2324" s="601">
        <v>0.73810510288065845</v>
      </c>
      <c r="G2324" s="536" t="s">
        <v>686</v>
      </c>
      <c r="H2324">
        <f>27066.58+4847.38</f>
        <v>31913.960000000003</v>
      </c>
    </row>
    <row r="2325" spans="1:8" ht="12.75" customHeight="1">
      <c r="A2325" s="532">
        <v>44680</v>
      </c>
      <c r="B2325" s="615">
        <v>66200</v>
      </c>
      <c r="C2325" s="615">
        <f t="shared" si="269"/>
        <v>78248.301925925931</v>
      </c>
      <c r="D2325" s="532">
        <f t="shared" si="271"/>
        <v>44770</v>
      </c>
      <c r="E2325" s="534">
        <v>90</v>
      </c>
      <c r="F2325" s="601">
        <v>0.73810510288065845</v>
      </c>
      <c r="G2325" s="536" t="s">
        <v>701</v>
      </c>
      <c r="H2325">
        <f>66363.23+11885.08</f>
        <v>78248.31</v>
      </c>
    </row>
    <row r="2326" spans="1:8" ht="12.75" customHeight="1">
      <c r="A2326" s="532">
        <v>44680</v>
      </c>
      <c r="B2326" s="615">
        <v>30000</v>
      </c>
      <c r="C2326" s="615">
        <f t="shared" si="269"/>
        <v>35459.955555555556</v>
      </c>
      <c r="D2326" s="532">
        <f t="shared" si="271"/>
        <v>44770</v>
      </c>
      <c r="E2326" s="534">
        <v>90</v>
      </c>
      <c r="F2326" s="601">
        <v>0.73810510288065845</v>
      </c>
      <c r="G2326" s="536" t="s">
        <v>701</v>
      </c>
      <c r="H2326">
        <f>30073.97+5385.99</f>
        <v>35459.96</v>
      </c>
    </row>
    <row r="2327" spans="1:8" ht="12.75" customHeight="1">
      <c r="A2327" s="532">
        <v>44680</v>
      </c>
      <c r="B2327" s="615">
        <v>26000</v>
      </c>
      <c r="C2327" s="615">
        <f t="shared" si="269"/>
        <v>30732.37</v>
      </c>
      <c r="D2327" s="532">
        <f t="shared" si="271"/>
        <v>44770</v>
      </c>
      <c r="E2327" s="534">
        <v>90</v>
      </c>
      <c r="F2327" s="601">
        <v>0.73816882478632462</v>
      </c>
      <c r="G2327" s="536" t="s">
        <v>704</v>
      </c>
      <c r="H2327">
        <v>30732.37</v>
      </c>
    </row>
    <row r="2328" spans="1:8" ht="12.75" customHeight="1">
      <c r="A2328" s="532">
        <v>44683</v>
      </c>
      <c r="B2328" s="615">
        <v>118000</v>
      </c>
      <c r="C2328" s="615">
        <f t="shared" si="269"/>
        <v>139639.41999999995</v>
      </c>
      <c r="D2328" s="532">
        <f t="shared" si="271"/>
        <v>44774</v>
      </c>
      <c r="E2328" s="534">
        <v>91</v>
      </c>
      <c r="F2328" s="601">
        <v>0.73555487986589574</v>
      </c>
      <c r="G2328" s="536" t="s">
        <v>686</v>
      </c>
      <c r="H2328">
        <f>118294.19+21345.23</f>
        <v>139639.42000000001</v>
      </c>
    </row>
    <row r="2329" spans="1:8" ht="12.75" customHeight="1">
      <c r="A2329" s="532">
        <v>44683</v>
      </c>
      <c r="B2329" s="615">
        <v>150000</v>
      </c>
      <c r="C2329" s="615">
        <f t="shared" si="269"/>
        <v>177507.45</v>
      </c>
      <c r="D2329" s="532">
        <f t="shared" si="271"/>
        <v>44774</v>
      </c>
      <c r="E2329" s="534">
        <v>91</v>
      </c>
      <c r="F2329" s="601">
        <v>0.73554719780219768</v>
      </c>
      <c r="G2329" s="536" t="s">
        <v>704</v>
      </c>
      <c r="H2329">
        <v>177507.45</v>
      </c>
    </row>
    <row r="2330" spans="1:8" ht="12.75" customHeight="1">
      <c r="A2330" s="532">
        <v>44683</v>
      </c>
      <c r="B2330" s="615">
        <v>40000</v>
      </c>
      <c r="C2330" s="615">
        <f t="shared" si="269"/>
        <v>47336.06</v>
      </c>
      <c r="D2330" s="532">
        <f t="shared" si="271"/>
        <v>44774</v>
      </c>
      <c r="E2330" s="534">
        <v>91</v>
      </c>
      <c r="F2330" s="601">
        <v>0.73562140109890051</v>
      </c>
      <c r="G2330" s="536" t="s">
        <v>704</v>
      </c>
      <c r="H2330">
        <v>47336.06</v>
      </c>
    </row>
    <row r="2331" spans="1:8" ht="12.75" customHeight="1">
      <c r="A2331" s="532">
        <v>44683</v>
      </c>
      <c r="B2331" s="615">
        <v>30300</v>
      </c>
      <c r="C2331" s="615">
        <f t="shared" si="269"/>
        <v>35856.559999999998</v>
      </c>
      <c r="D2331" s="532">
        <f t="shared" si="271"/>
        <v>44774</v>
      </c>
      <c r="E2331" s="534">
        <v>91</v>
      </c>
      <c r="F2331" s="601">
        <v>0.7355544917129071</v>
      </c>
      <c r="G2331" s="536" t="s">
        <v>698</v>
      </c>
      <c r="H2331">
        <f>30375.54+5481.02</f>
        <v>35856.559999999998</v>
      </c>
    </row>
    <row r="2332" spans="1:8" ht="12.75" customHeight="1">
      <c r="A2332" s="532">
        <v>44684</v>
      </c>
      <c r="B2332" s="615">
        <v>24000</v>
      </c>
      <c r="C2332" s="615">
        <f t="shared" si="269"/>
        <v>28216.03</v>
      </c>
      <c r="D2332" s="532">
        <f t="shared" si="271"/>
        <v>44774</v>
      </c>
      <c r="E2332" s="534">
        <v>90</v>
      </c>
      <c r="F2332" s="601">
        <v>0.71243099537037036</v>
      </c>
      <c r="G2332" s="536" t="s">
        <v>687</v>
      </c>
      <c r="H2332" s="193">
        <v>28216.03</v>
      </c>
    </row>
    <row r="2333" spans="1:8" ht="12.75" customHeight="1">
      <c r="A2333" s="532">
        <v>44684</v>
      </c>
      <c r="B2333" s="615">
        <v>10000</v>
      </c>
      <c r="C2333" s="615">
        <f t="shared" si="269"/>
        <v>11756.81</v>
      </c>
      <c r="D2333" s="532">
        <f t="shared" si="271"/>
        <v>44774</v>
      </c>
      <c r="E2333" s="534">
        <v>90</v>
      </c>
      <c r="F2333" s="601">
        <v>0.71248405555555561</v>
      </c>
      <c r="G2333" s="536" t="s">
        <v>686</v>
      </c>
      <c r="H2333">
        <f>10024.66+1732.15</f>
        <v>11756.81</v>
      </c>
    </row>
    <row r="2334" spans="1:8" ht="12.75" customHeight="1">
      <c r="A2334" s="532">
        <v>44685</v>
      </c>
      <c r="B2334" s="615">
        <v>40000</v>
      </c>
      <c r="C2334" s="615">
        <f t="shared" si="269"/>
        <v>47161.02</v>
      </c>
      <c r="D2334" s="532">
        <f t="shared" si="271"/>
        <v>44775</v>
      </c>
      <c r="E2334" s="534">
        <v>90</v>
      </c>
      <c r="F2334" s="601">
        <v>0.72604786111111053</v>
      </c>
      <c r="G2334" s="536" t="s">
        <v>686</v>
      </c>
      <c r="H2334">
        <f>40098.63+7062.39</f>
        <v>47161.02</v>
      </c>
    </row>
    <row r="2335" spans="1:8" ht="12.75" customHeight="1">
      <c r="A2335" s="532">
        <v>44685</v>
      </c>
      <c r="B2335" s="615">
        <v>47400</v>
      </c>
      <c r="C2335" s="615">
        <f t="shared" si="269"/>
        <v>55885.819999999992</v>
      </c>
      <c r="D2335" s="532">
        <f t="shared" si="271"/>
        <v>44775</v>
      </c>
      <c r="E2335" s="534">
        <v>90</v>
      </c>
      <c r="F2335" s="601">
        <v>0.72604882794186532</v>
      </c>
      <c r="G2335" s="536" t="s">
        <v>698</v>
      </c>
      <c r="H2335">
        <f>47516.88+8368.94</f>
        <v>55885.82</v>
      </c>
    </row>
    <row r="2336" spans="1:8" ht="12.75" customHeight="1">
      <c r="A2336" s="532">
        <v>44685</v>
      </c>
      <c r="B2336" s="615">
        <v>37000</v>
      </c>
      <c r="C2336" s="615">
        <f t="shared" ref="A2336:C2399" si="272">B2336+(B2336*F2336/365*E2336)*1</f>
        <v>43623.51</v>
      </c>
      <c r="D2336" s="532">
        <f t="shared" si="271"/>
        <v>44775</v>
      </c>
      <c r="E2336" s="534">
        <v>90</v>
      </c>
      <c r="F2336" s="601">
        <v>0.72600034534534552</v>
      </c>
      <c r="G2336" s="536" t="s">
        <v>703</v>
      </c>
      <c r="H2336">
        <v>43623.51</v>
      </c>
    </row>
    <row r="2337" spans="1:21" ht="12.75" customHeight="1">
      <c r="A2337" s="532">
        <v>44685</v>
      </c>
      <c r="B2337" s="615">
        <v>43500</v>
      </c>
      <c r="C2337" s="615">
        <f t="shared" si="272"/>
        <v>51287.720000000008</v>
      </c>
      <c r="D2337" s="532">
        <f t="shared" si="271"/>
        <v>44775</v>
      </c>
      <c r="E2337" s="534">
        <v>90</v>
      </c>
      <c r="F2337" s="601">
        <v>0.72605818646232501</v>
      </c>
      <c r="G2337" s="536" t="s">
        <v>681</v>
      </c>
      <c r="H2337">
        <f>51160.91+126.81</f>
        <v>51287.72</v>
      </c>
    </row>
    <row r="2338" spans="1:21" ht="12.75" customHeight="1">
      <c r="A2338" s="532">
        <v>44685</v>
      </c>
      <c r="B2338" s="615">
        <v>60000</v>
      </c>
      <c r="C2338" s="615">
        <f t="shared" si="272"/>
        <v>70742.210000000006</v>
      </c>
      <c r="D2338" s="532">
        <f t="shared" si="271"/>
        <v>44775</v>
      </c>
      <c r="E2338" s="534">
        <v>90</v>
      </c>
      <c r="F2338" s="601">
        <v>0.72609382407407486</v>
      </c>
      <c r="G2338" s="536" t="s">
        <v>704</v>
      </c>
      <c r="H2338">
        <v>70742.210000000006</v>
      </c>
    </row>
    <row r="2339" spans="1:21" ht="12.75" customHeight="1">
      <c r="A2339" s="532">
        <v>44685</v>
      </c>
      <c r="B2339" s="615">
        <v>40000</v>
      </c>
      <c r="C2339" s="615">
        <f t="shared" si="272"/>
        <v>47161.47</v>
      </c>
      <c r="D2339" s="532">
        <f t="shared" si="271"/>
        <v>44775</v>
      </c>
      <c r="E2339" s="534">
        <v>90</v>
      </c>
      <c r="F2339" s="601">
        <v>0.72609348611111091</v>
      </c>
      <c r="G2339" s="536" t="s">
        <v>704</v>
      </c>
      <c r="H2339">
        <v>47161.47</v>
      </c>
    </row>
    <row r="2340" spans="1:21" ht="12.75" customHeight="1">
      <c r="A2340" s="532">
        <v>44686</v>
      </c>
      <c r="B2340" s="615">
        <v>40000</v>
      </c>
      <c r="C2340" s="615">
        <f t="shared" si="272"/>
        <v>47138.92</v>
      </c>
      <c r="D2340" s="532">
        <f t="shared" si="271"/>
        <v>44776</v>
      </c>
      <c r="E2340" s="534">
        <v>90</v>
      </c>
      <c r="F2340" s="601">
        <v>0.72380716666666622</v>
      </c>
      <c r="G2340" s="536" t="s">
        <v>686</v>
      </c>
      <c r="H2340">
        <f>40098.63+7040.29</f>
        <v>47138.92</v>
      </c>
    </row>
    <row r="2341" spans="1:21" ht="12.75" customHeight="1">
      <c r="A2341" s="532">
        <v>44686</v>
      </c>
      <c r="B2341" s="615">
        <v>4400</v>
      </c>
      <c r="C2341" s="615">
        <f t="shared" si="272"/>
        <v>5184.96</v>
      </c>
      <c r="D2341" s="532">
        <f t="shared" si="271"/>
        <v>44776</v>
      </c>
      <c r="E2341" s="534">
        <v>90</v>
      </c>
      <c r="F2341" s="601">
        <v>0.72351111111111099</v>
      </c>
      <c r="G2341" s="536" t="s">
        <v>681</v>
      </c>
      <c r="H2341">
        <f>5172.67+12.29</f>
        <v>5184.96</v>
      </c>
    </row>
    <row r="2342" spans="1:21" ht="12.75" customHeight="1">
      <c r="A2342" s="532">
        <v>44686</v>
      </c>
      <c r="B2342" s="615">
        <v>40000</v>
      </c>
      <c r="C2342" s="615">
        <f t="shared" si="272"/>
        <v>47138.569999999992</v>
      </c>
      <c r="D2342" s="532">
        <f t="shared" si="271"/>
        <v>44776</v>
      </c>
      <c r="E2342" s="534">
        <v>90</v>
      </c>
      <c r="F2342" s="601">
        <v>0.72377168055555519</v>
      </c>
      <c r="G2342" s="536" t="s">
        <v>687</v>
      </c>
      <c r="H2342">
        <v>47138.57</v>
      </c>
    </row>
    <row r="2343" spans="1:21" ht="12.75" customHeight="1">
      <c r="A2343" s="532">
        <v>44687</v>
      </c>
      <c r="B2343" s="615">
        <v>30000</v>
      </c>
      <c r="C2343" s="615">
        <f t="shared" si="272"/>
        <v>35337.69</v>
      </c>
      <c r="D2343" s="532">
        <f t="shared" si="271"/>
        <v>44777</v>
      </c>
      <c r="E2343" s="534">
        <v>90</v>
      </c>
      <c r="F2343" s="601">
        <v>0.72157661111111171</v>
      </c>
      <c r="G2343" s="536" t="s">
        <v>686</v>
      </c>
      <c r="H2343">
        <f>30073.97+5263.72</f>
        <v>35337.69</v>
      </c>
      <c r="U2343">
        <v>49314</v>
      </c>
    </row>
    <row r="2344" spans="1:21" ht="12.75" customHeight="1">
      <c r="A2344" s="532">
        <v>44690</v>
      </c>
      <c r="B2344" s="615">
        <v>30000</v>
      </c>
      <c r="C2344" s="615">
        <f t="shared" si="272"/>
        <v>35378.98000000001</v>
      </c>
      <c r="D2344" s="532">
        <f t="shared" si="271"/>
        <v>44781</v>
      </c>
      <c r="E2344" s="534">
        <v>91</v>
      </c>
      <c r="F2344" s="601">
        <v>0.71916765567765661</v>
      </c>
      <c r="G2344" s="536" t="s">
        <v>686</v>
      </c>
      <c r="H2344">
        <f>30074.79+5304.19</f>
        <v>35378.980000000003</v>
      </c>
    </row>
    <row r="2345" spans="1:21" ht="12.75" customHeight="1">
      <c r="A2345" s="532">
        <v>44691</v>
      </c>
      <c r="B2345" s="615">
        <v>55000</v>
      </c>
      <c r="C2345" s="615">
        <f t="shared" si="272"/>
        <v>64439.900000000009</v>
      </c>
      <c r="D2345" s="532">
        <f t="shared" ref="A2345:D2408" si="273">+A2345+E2345</f>
        <v>44781</v>
      </c>
      <c r="E2345" s="534">
        <v>90</v>
      </c>
      <c r="F2345" s="601">
        <v>0.69607343434343494</v>
      </c>
      <c r="G2345" s="536" t="s">
        <v>701</v>
      </c>
      <c r="H2345">
        <f>55135.62+9304.28</f>
        <v>64439.9</v>
      </c>
    </row>
    <row r="2346" spans="1:21" ht="12.75" customHeight="1">
      <c r="A2346" s="532">
        <v>44692</v>
      </c>
      <c r="B2346" s="615">
        <v>30000</v>
      </c>
      <c r="C2346" s="615">
        <f t="shared" si="272"/>
        <v>35250.67</v>
      </c>
      <c r="D2346" s="532">
        <f t="shared" si="273"/>
        <v>44782</v>
      </c>
      <c r="E2346" s="534">
        <v>90</v>
      </c>
      <c r="F2346" s="601">
        <v>0.70981279629629634</v>
      </c>
      <c r="G2346" s="536" t="s">
        <v>686</v>
      </c>
      <c r="H2346">
        <f>30073.97+5176.7</f>
        <v>35250.67</v>
      </c>
      <c r="U2346">
        <v>49314</v>
      </c>
    </row>
    <row r="2347" spans="1:21" ht="12.75" customHeight="1">
      <c r="A2347" s="532">
        <v>44693</v>
      </c>
      <c r="B2347" s="615">
        <v>20000</v>
      </c>
      <c r="C2347" s="615">
        <f t="shared" si="272"/>
        <v>23487.75</v>
      </c>
      <c r="D2347" s="532">
        <f t="shared" si="273"/>
        <v>44783</v>
      </c>
      <c r="E2347" s="534">
        <v>90</v>
      </c>
      <c r="F2347" s="601">
        <v>0.70723819444444413</v>
      </c>
      <c r="G2347" s="536" t="s">
        <v>686</v>
      </c>
      <c r="H2347">
        <f>20049.32+3438.43</f>
        <v>23487.75</v>
      </c>
    </row>
    <row r="2348" spans="1:21" ht="12.75" customHeight="1">
      <c r="A2348" s="532">
        <v>44693</v>
      </c>
      <c r="B2348" s="615">
        <v>8000</v>
      </c>
      <c r="C2348" s="615">
        <f t="shared" si="272"/>
        <v>9372.0499999999975</v>
      </c>
      <c r="D2348" s="532">
        <f t="shared" si="273"/>
        <v>44783</v>
      </c>
      <c r="E2348" s="534">
        <v>90</v>
      </c>
      <c r="F2348" s="601">
        <v>0.695553124999999</v>
      </c>
      <c r="G2348" s="536" t="s">
        <v>687</v>
      </c>
      <c r="H2348">
        <v>9372.0499999999993</v>
      </c>
    </row>
    <row r="2349" spans="1:21" ht="12.75" customHeight="1">
      <c r="A2349" s="532">
        <v>44694</v>
      </c>
      <c r="B2349" s="615">
        <v>55000</v>
      </c>
      <c r="C2349" s="615">
        <f t="shared" si="272"/>
        <v>64561.650000000009</v>
      </c>
      <c r="D2349" s="532">
        <f t="shared" si="273"/>
        <v>44784</v>
      </c>
      <c r="E2349" s="534">
        <v>90</v>
      </c>
      <c r="F2349" s="601">
        <v>0.7050509595959602</v>
      </c>
      <c r="G2349" s="536" t="s">
        <v>703</v>
      </c>
      <c r="H2349">
        <v>64561.65</v>
      </c>
    </row>
    <row r="2350" spans="1:21" ht="12.75" customHeight="1">
      <c r="A2350" s="532">
        <v>44694</v>
      </c>
      <c r="B2350" s="615">
        <v>6500</v>
      </c>
      <c r="C2350" s="615">
        <f t="shared" si="272"/>
        <v>7629.09</v>
      </c>
      <c r="D2350" s="532">
        <f t="shared" si="273"/>
        <v>44784</v>
      </c>
      <c r="E2350" s="534">
        <v>90</v>
      </c>
      <c r="F2350" s="601">
        <v>0.70447495726495746</v>
      </c>
      <c r="G2350" s="536" t="s">
        <v>703</v>
      </c>
      <c r="H2350">
        <v>7629.09</v>
      </c>
    </row>
    <row r="2351" spans="1:21" ht="12.75" customHeight="1">
      <c r="A2351" s="532">
        <v>44697</v>
      </c>
      <c r="B2351" s="615">
        <v>84000</v>
      </c>
      <c r="C2351" s="615">
        <f t="shared" si="272"/>
        <v>98719.710000000021</v>
      </c>
      <c r="D2351" s="532">
        <f t="shared" si="273"/>
        <v>44789</v>
      </c>
      <c r="E2351" s="534">
        <v>92</v>
      </c>
      <c r="F2351" s="601">
        <v>0.69522439829192662</v>
      </c>
      <c r="G2351" s="536" t="s">
        <v>699</v>
      </c>
      <c r="H2351">
        <v>98719.71</v>
      </c>
    </row>
    <row r="2352" spans="1:21" ht="12.75" customHeight="1">
      <c r="A2352" s="532">
        <v>44697</v>
      </c>
      <c r="B2352" s="615">
        <v>3000</v>
      </c>
      <c r="C2352" s="615">
        <f t="shared" si="272"/>
        <v>3524.77</v>
      </c>
      <c r="D2352" s="532">
        <f t="shared" si="273"/>
        <v>44789</v>
      </c>
      <c r="E2352" s="534">
        <v>92</v>
      </c>
      <c r="F2352" s="601">
        <v>0.69398931159420307</v>
      </c>
      <c r="G2352" s="536" t="s">
        <v>681</v>
      </c>
      <c r="H2352">
        <v>51037.56</v>
      </c>
    </row>
    <row r="2353" spans="1:8" ht="12.75" customHeight="1">
      <c r="A2353" s="532">
        <v>44698</v>
      </c>
      <c r="B2353" s="615">
        <v>43700</v>
      </c>
      <c r="C2353" s="615">
        <f t="shared" si="272"/>
        <v>51037.55999999999</v>
      </c>
      <c r="D2353" s="532">
        <f t="shared" si="273"/>
        <v>44789</v>
      </c>
      <c r="E2353" s="534">
        <v>91</v>
      </c>
      <c r="F2353" s="601">
        <v>0.67347534387808927</v>
      </c>
      <c r="G2353" s="536" t="s">
        <v>699</v>
      </c>
      <c r="H2353">
        <f>3516.44+8.33</f>
        <v>3524.77</v>
      </c>
    </row>
    <row r="2354" spans="1:8" ht="12.75" customHeight="1">
      <c r="A2354" s="532">
        <v>44698</v>
      </c>
      <c r="B2354" s="615">
        <v>2700</v>
      </c>
      <c r="C2354" s="615">
        <f t="shared" si="272"/>
        <v>3153.34</v>
      </c>
      <c r="D2354" s="532">
        <f t="shared" si="273"/>
        <v>44789</v>
      </c>
      <c r="E2354" s="534">
        <v>91</v>
      </c>
      <c r="F2354" s="601">
        <v>0.67345991045991049</v>
      </c>
      <c r="G2354" s="536" t="s">
        <v>698</v>
      </c>
      <c r="H2354">
        <f>2706.73+446.61</f>
        <v>3153.34</v>
      </c>
    </row>
    <row r="2355" spans="1:8" ht="12.75" customHeight="1">
      <c r="A2355" s="532">
        <v>44700</v>
      </c>
      <c r="B2355" s="615">
        <v>6200</v>
      </c>
      <c r="C2355" s="615">
        <f t="shared" si="272"/>
        <v>7280.57</v>
      </c>
      <c r="D2355" s="532">
        <f t="shared" si="273"/>
        <v>44790</v>
      </c>
      <c r="E2355" s="534">
        <v>90</v>
      </c>
      <c r="F2355" s="601">
        <v>0.70682446236559104</v>
      </c>
      <c r="G2355" s="536" t="s">
        <v>701</v>
      </c>
      <c r="H2355">
        <f>6215.29+1065.28</f>
        <v>7280.57</v>
      </c>
    </row>
    <row r="2356" spans="1:8" ht="12.75" customHeight="1">
      <c r="A2356" s="532">
        <v>44701</v>
      </c>
      <c r="B2356" s="615">
        <v>45000</v>
      </c>
      <c r="C2356" s="615">
        <f t="shared" si="272"/>
        <v>52768.079999999994</v>
      </c>
      <c r="D2356" s="532">
        <f t="shared" si="273"/>
        <v>44791</v>
      </c>
      <c r="E2356" s="534">
        <v>90</v>
      </c>
      <c r="F2356" s="601">
        <v>0.70008622222222194</v>
      </c>
      <c r="G2356" s="536" t="s">
        <v>699</v>
      </c>
      <c r="H2356">
        <v>52768.08</v>
      </c>
    </row>
    <row r="2357" spans="1:8" ht="12.75" customHeight="1">
      <c r="A2357" s="532">
        <v>44705</v>
      </c>
      <c r="B2357" s="615">
        <v>50000</v>
      </c>
      <c r="C2357" s="615">
        <f t="shared" si="272"/>
        <v>58455.73</v>
      </c>
      <c r="D2357" s="532">
        <f t="shared" si="273"/>
        <v>44795</v>
      </c>
      <c r="E2357" s="534">
        <v>90</v>
      </c>
      <c r="F2357" s="601">
        <v>0.685853655555556</v>
      </c>
      <c r="G2357" s="536" t="s">
        <v>698</v>
      </c>
      <c r="H2357">
        <f>50123.29+8332.44</f>
        <v>58455.73</v>
      </c>
    </row>
    <row r="2358" spans="1:8" ht="12.75" customHeight="1">
      <c r="A2358" s="532">
        <v>44708</v>
      </c>
      <c r="B2358" s="615">
        <v>6250</v>
      </c>
      <c r="C2358" s="615">
        <f t="shared" si="272"/>
        <v>7350.1400000000012</v>
      </c>
      <c r="D2358" s="532">
        <f t="shared" si="273"/>
        <v>44798</v>
      </c>
      <c r="E2358" s="534">
        <v>90</v>
      </c>
      <c r="F2358" s="601">
        <v>0.71386862222222258</v>
      </c>
      <c r="G2358" s="536" t="s">
        <v>699</v>
      </c>
      <c r="H2358">
        <v>7350.14</v>
      </c>
    </row>
    <row r="2359" spans="1:8" ht="12.75" customHeight="1">
      <c r="A2359" s="532">
        <v>44708</v>
      </c>
      <c r="B2359" s="615">
        <v>25000</v>
      </c>
      <c r="C2359" s="615">
        <f t="shared" si="272"/>
        <v>29399.93</v>
      </c>
      <c r="D2359" s="532">
        <f t="shared" si="273"/>
        <v>44798</v>
      </c>
      <c r="E2359" s="534">
        <v>90</v>
      </c>
      <c r="F2359" s="601">
        <v>0.71376642222222242</v>
      </c>
      <c r="G2359" s="536" t="s">
        <v>686</v>
      </c>
      <c r="H2359">
        <f>25061.04+4338.89</f>
        <v>29399.93</v>
      </c>
    </row>
    <row r="2360" spans="1:8" ht="12.75" customHeight="1">
      <c r="A2360" s="532">
        <v>44708</v>
      </c>
      <c r="B2360" s="615">
        <v>60000</v>
      </c>
      <c r="C2360" s="615">
        <f t="shared" si="272"/>
        <v>70561.73000000001</v>
      </c>
      <c r="D2360" s="532">
        <f t="shared" si="273"/>
        <v>44798</v>
      </c>
      <c r="E2360" s="534">
        <v>90</v>
      </c>
      <c r="F2360" s="601">
        <v>0.71389471296296403</v>
      </c>
      <c r="G2360" s="536" t="s">
        <v>687</v>
      </c>
      <c r="H2360">
        <v>70561.73</v>
      </c>
    </row>
    <row r="2361" spans="1:8" ht="12.75" customHeight="1">
      <c r="A2361" s="532">
        <v>44711</v>
      </c>
      <c r="B2361" s="615">
        <v>70000</v>
      </c>
      <c r="C2361" s="615">
        <f t="shared" si="272"/>
        <v>82547.48000000001</v>
      </c>
      <c r="D2361" s="532">
        <f t="shared" si="273"/>
        <v>44802</v>
      </c>
      <c r="E2361" s="534">
        <v>91</v>
      </c>
      <c r="F2361" s="601">
        <v>0.71896863422292057</v>
      </c>
      <c r="G2361" s="536" t="s">
        <v>687</v>
      </c>
      <c r="H2361">
        <f>586442.47+99521.98</f>
        <v>685964.45</v>
      </c>
    </row>
    <row r="2362" spans="1:8" ht="12.75" customHeight="1">
      <c r="A2362" s="532">
        <v>44712</v>
      </c>
      <c r="B2362" s="615">
        <v>585000</v>
      </c>
      <c r="C2362" s="615">
        <f t="shared" si="272"/>
        <v>685964.45</v>
      </c>
      <c r="D2362" s="532">
        <f t="shared" si="273"/>
        <v>44802</v>
      </c>
      <c r="E2362" s="534">
        <v>90</v>
      </c>
      <c r="F2362" s="601">
        <v>0.69994348053181343</v>
      </c>
      <c r="G2362" s="536" t="s">
        <v>686</v>
      </c>
      <c r="H2362">
        <f>142049.4+24106.26</f>
        <v>166155.66</v>
      </c>
    </row>
    <row r="2363" spans="1:8" ht="12.75" customHeight="1">
      <c r="A2363" s="532">
        <v>44712</v>
      </c>
      <c r="B2363" s="615">
        <v>141700</v>
      </c>
      <c r="C2363" s="615">
        <f t="shared" si="272"/>
        <v>166155.66000000003</v>
      </c>
      <c r="D2363" s="532">
        <f t="shared" si="273"/>
        <v>44802</v>
      </c>
      <c r="E2363" s="534">
        <v>90</v>
      </c>
      <c r="F2363" s="601">
        <v>0.69993851642750782</v>
      </c>
      <c r="G2363" s="536" t="s">
        <v>698</v>
      </c>
      <c r="H2363">
        <f>39096.16+6634.75</f>
        <v>45730.91</v>
      </c>
    </row>
    <row r="2364" spans="1:8" ht="12.75" customHeight="1">
      <c r="A2364" s="532">
        <v>44712</v>
      </c>
      <c r="B2364" s="615">
        <v>39000</v>
      </c>
      <c r="C2364" s="615">
        <f t="shared" si="272"/>
        <v>45730.91</v>
      </c>
      <c r="D2364" s="532">
        <f t="shared" si="273"/>
        <v>44802</v>
      </c>
      <c r="E2364" s="534">
        <v>90</v>
      </c>
      <c r="F2364" s="601">
        <v>0.69993793447293517</v>
      </c>
      <c r="G2364" s="536" t="s">
        <v>701</v>
      </c>
      <c r="H2364">
        <v>70356</v>
      </c>
    </row>
    <row r="2365" spans="1:8" ht="12.75" customHeight="1">
      <c r="A2365" s="532">
        <v>44712</v>
      </c>
      <c r="B2365" s="615">
        <v>60000</v>
      </c>
      <c r="C2365" s="615">
        <f t="shared" si="272"/>
        <v>70356.000000000015</v>
      </c>
      <c r="D2365" s="532">
        <f t="shared" si="273"/>
        <v>44802</v>
      </c>
      <c r="E2365" s="534">
        <v>90</v>
      </c>
      <c r="F2365" s="601">
        <v>0.6999888888888901</v>
      </c>
      <c r="G2365" s="536" t="s">
        <v>687</v>
      </c>
      <c r="H2365">
        <v>82547.48</v>
      </c>
    </row>
    <row r="2366" spans="1:8" ht="12.75" customHeight="1">
      <c r="A2366" s="532">
        <v>44712</v>
      </c>
      <c r="B2366" s="615">
        <v>10000</v>
      </c>
      <c r="C2366" s="615">
        <f t="shared" si="272"/>
        <v>11726.239999999998</v>
      </c>
      <c r="D2366" s="532">
        <f t="shared" si="273"/>
        <v>44802</v>
      </c>
      <c r="E2366" s="534">
        <v>90</v>
      </c>
      <c r="F2366" s="601">
        <v>0.70008622222222172</v>
      </c>
      <c r="G2366" s="536" t="s">
        <v>704</v>
      </c>
      <c r="H2366">
        <v>11726.24</v>
      </c>
    </row>
    <row r="2367" spans="1:8" ht="12.75" customHeight="1">
      <c r="A2367" s="532">
        <v>44713</v>
      </c>
      <c r="B2367" s="615">
        <v>20000</v>
      </c>
      <c r="C2367" s="615">
        <f t="shared" si="272"/>
        <v>23569.629999999997</v>
      </c>
      <c r="D2367" s="532">
        <f t="shared" si="273"/>
        <v>44803</v>
      </c>
      <c r="E2367" s="534">
        <v>90</v>
      </c>
      <c r="F2367" s="601">
        <v>0.72384163888888864</v>
      </c>
      <c r="G2367" s="536" t="s">
        <v>699</v>
      </c>
      <c r="H2367">
        <v>23569.63</v>
      </c>
    </row>
    <row r="2368" spans="1:8" ht="12.75" customHeight="1">
      <c r="A2368" s="532">
        <v>44713</v>
      </c>
      <c r="B2368" s="615">
        <v>100000</v>
      </c>
      <c r="C2368" s="615">
        <f t="shared" si="272"/>
        <v>117848.39</v>
      </c>
      <c r="D2368" s="532">
        <f t="shared" si="273"/>
        <v>44803</v>
      </c>
      <c r="E2368" s="534">
        <v>90</v>
      </c>
      <c r="F2368" s="601">
        <v>0.72385137222222229</v>
      </c>
      <c r="G2368" s="536" t="s">
        <v>704</v>
      </c>
      <c r="H2368">
        <v>117848.39</v>
      </c>
    </row>
    <row r="2369" spans="1:8" ht="12.75" customHeight="1">
      <c r="A2369" s="532">
        <v>44714</v>
      </c>
      <c r="B2369" s="615">
        <v>100000</v>
      </c>
      <c r="C2369" s="615">
        <f t="shared" si="272"/>
        <v>117905.29</v>
      </c>
      <c r="D2369" s="532">
        <f t="shared" si="273"/>
        <v>44804</v>
      </c>
      <c r="E2369" s="534">
        <v>90</v>
      </c>
      <c r="F2369" s="601">
        <v>0.72615898333333317</v>
      </c>
      <c r="G2369" s="536" t="s">
        <v>704</v>
      </c>
      <c r="H2369">
        <v>117905.29</v>
      </c>
    </row>
    <row r="2370" spans="1:8" ht="12.75" customHeight="1">
      <c r="A2370" s="532">
        <v>44715</v>
      </c>
      <c r="B2370" s="615">
        <v>37000</v>
      </c>
      <c r="C2370" s="615">
        <f t="shared" si="272"/>
        <v>43642.46</v>
      </c>
      <c r="D2370" s="532">
        <f t="shared" si="273"/>
        <v>44805</v>
      </c>
      <c r="E2370" s="534">
        <v>90</v>
      </c>
      <c r="F2370" s="601">
        <v>0.7280774474474474</v>
      </c>
      <c r="G2370" s="536" t="s">
        <v>703</v>
      </c>
      <c r="H2370">
        <v>43642.46</v>
      </c>
    </row>
    <row r="2371" spans="1:8" ht="12.75" customHeight="1">
      <c r="A2371" s="532">
        <v>44715</v>
      </c>
      <c r="B2371" s="615">
        <v>15000</v>
      </c>
      <c r="C2371" s="615">
        <f t="shared" si="272"/>
        <v>17693.020000000004</v>
      </c>
      <c r="D2371" s="532">
        <f t="shared" si="273"/>
        <v>44805</v>
      </c>
      <c r="E2371" s="534">
        <v>90</v>
      </c>
      <c r="F2371" s="601">
        <v>0.72811281481481638</v>
      </c>
      <c r="G2371" s="536" t="s">
        <v>699</v>
      </c>
      <c r="H2371">
        <v>17693.02</v>
      </c>
    </row>
    <row r="2372" spans="1:8" ht="12.75" customHeight="1">
      <c r="A2372" s="532">
        <v>44715</v>
      </c>
      <c r="B2372" s="615">
        <v>40000</v>
      </c>
      <c r="C2372" s="615">
        <f t="shared" si="272"/>
        <v>47180.909999999996</v>
      </c>
      <c r="D2372" s="532">
        <f t="shared" si="273"/>
        <v>44805</v>
      </c>
      <c r="E2372" s="534">
        <v>90</v>
      </c>
      <c r="F2372" s="601">
        <v>0.72806448611111096</v>
      </c>
      <c r="G2372" s="536" t="s">
        <v>687</v>
      </c>
      <c r="H2372">
        <v>47180.91</v>
      </c>
    </row>
    <row r="2373" spans="1:8" ht="12.75" customHeight="1">
      <c r="A2373" s="532">
        <v>44718</v>
      </c>
      <c r="B2373" s="615">
        <v>90000</v>
      </c>
      <c r="C2373" s="615">
        <f t="shared" si="272"/>
        <v>106453.59</v>
      </c>
      <c r="D2373" s="532">
        <f t="shared" si="273"/>
        <v>44809</v>
      </c>
      <c r="E2373" s="534">
        <v>91</v>
      </c>
      <c r="F2373" s="601">
        <v>0.73327965201465217</v>
      </c>
      <c r="G2373" s="536" t="s">
        <v>687</v>
      </c>
      <c r="H2373">
        <v>106453.59</v>
      </c>
    </row>
    <row r="2374" spans="1:8" ht="12.75" customHeight="1">
      <c r="A2374" s="532">
        <v>44720</v>
      </c>
      <c r="B2374" s="615">
        <v>60000</v>
      </c>
      <c r="C2374" s="615">
        <f t="shared" si="272"/>
        <v>70924.62</v>
      </c>
      <c r="D2374" s="532">
        <f t="shared" si="273"/>
        <v>44810</v>
      </c>
      <c r="E2374" s="534">
        <v>90</v>
      </c>
      <c r="F2374" s="601">
        <v>0.73842338888888903</v>
      </c>
      <c r="G2374" s="536" t="s">
        <v>686</v>
      </c>
      <c r="H2374">
        <f>60147.95+10776.67</f>
        <v>70924.62</v>
      </c>
    </row>
    <row r="2375" spans="1:8" ht="12.75" customHeight="1">
      <c r="A2375" s="532">
        <v>44721</v>
      </c>
      <c r="B2375" s="615">
        <v>55000</v>
      </c>
      <c r="C2375" s="615">
        <f t="shared" si="272"/>
        <v>65040.27</v>
      </c>
      <c r="D2375" s="532">
        <f t="shared" si="273"/>
        <v>44811</v>
      </c>
      <c r="E2375" s="534">
        <v>90</v>
      </c>
      <c r="F2375" s="601">
        <v>0.74034314141414126</v>
      </c>
      <c r="G2375" s="536" t="s">
        <v>701</v>
      </c>
      <c r="H2375">
        <f>55135.62+9904.65</f>
        <v>65040.270000000004</v>
      </c>
    </row>
    <row r="2376" spans="1:8" ht="12.75" customHeight="1">
      <c r="A2376" s="532">
        <v>44721</v>
      </c>
      <c r="B2376" s="615">
        <v>35000</v>
      </c>
      <c r="C2376" s="615">
        <f t="shared" si="272"/>
        <v>41388.449999999997</v>
      </c>
      <c r="D2376" s="532">
        <f t="shared" si="273"/>
        <v>44811</v>
      </c>
      <c r="E2376" s="534">
        <v>90</v>
      </c>
      <c r="F2376" s="601">
        <v>0.74024896825396813</v>
      </c>
      <c r="G2376" s="536" t="s">
        <v>687</v>
      </c>
      <c r="H2376">
        <v>41388.449999999997</v>
      </c>
    </row>
    <row r="2377" spans="1:8" ht="12.75" customHeight="1">
      <c r="A2377" s="532">
        <v>44725</v>
      </c>
      <c r="B2377" s="615">
        <v>29400</v>
      </c>
      <c r="C2377" s="615">
        <f t="shared" si="272"/>
        <v>34877.75</v>
      </c>
      <c r="D2377" s="532">
        <f t="shared" si="273"/>
        <v>44816</v>
      </c>
      <c r="E2377" s="534">
        <v>91</v>
      </c>
      <c r="F2377" s="601">
        <v>0.74731955969200847</v>
      </c>
      <c r="G2377" s="536" t="s">
        <v>701</v>
      </c>
      <c r="H2377">
        <f>29473.3+5404.45</f>
        <v>34877.75</v>
      </c>
    </row>
    <row r="2378" spans="1:8" ht="12.75" customHeight="1">
      <c r="A2378" s="532">
        <v>44725</v>
      </c>
      <c r="B2378" s="615">
        <v>150000</v>
      </c>
      <c r="C2378" s="615">
        <f t="shared" si="272"/>
        <v>177947.74</v>
      </c>
      <c r="D2378" s="532">
        <f t="shared" si="273"/>
        <v>44816</v>
      </c>
      <c r="E2378" s="534">
        <v>91</v>
      </c>
      <c r="F2378" s="601">
        <v>0.74732052014651951</v>
      </c>
      <c r="G2378" s="536" t="s">
        <v>686</v>
      </c>
      <c r="H2378">
        <f>150373.97+27573.77</f>
        <v>177947.74</v>
      </c>
    </row>
    <row r="2379" spans="1:8" ht="12.75" customHeight="1">
      <c r="A2379" s="532">
        <v>44727</v>
      </c>
      <c r="B2379" s="615">
        <v>21500</v>
      </c>
      <c r="C2379" s="615">
        <f t="shared" si="272"/>
        <v>25489.02</v>
      </c>
      <c r="D2379" s="532">
        <f t="shared" si="273"/>
        <v>44817</v>
      </c>
      <c r="E2379" s="534">
        <v>90</v>
      </c>
      <c r="F2379" s="601">
        <v>0.75245080103359152</v>
      </c>
      <c r="G2379" s="536" t="s">
        <v>699</v>
      </c>
      <c r="H2379">
        <v>25489.02</v>
      </c>
    </row>
    <row r="2380" spans="1:8" ht="12.75" customHeight="1">
      <c r="A2380" s="532">
        <v>44728</v>
      </c>
      <c r="B2380" s="615">
        <v>95500</v>
      </c>
      <c r="C2380" s="615">
        <f t="shared" si="272"/>
        <v>113270.28</v>
      </c>
      <c r="D2380" s="532">
        <f t="shared" si="273"/>
        <v>44818</v>
      </c>
      <c r="E2380" s="534">
        <v>90</v>
      </c>
      <c r="F2380" s="601">
        <v>0.75464248981966242</v>
      </c>
      <c r="G2380" s="536" t="s">
        <v>698</v>
      </c>
      <c r="H2380">
        <f>95735.48+17534.8</f>
        <v>113270.28</v>
      </c>
    </row>
    <row r="2381" spans="1:8" ht="12.75" customHeight="1">
      <c r="A2381" s="532">
        <v>44728</v>
      </c>
      <c r="B2381" s="615">
        <v>58700</v>
      </c>
      <c r="C2381" s="615">
        <f t="shared" si="272"/>
        <v>69622.679999999993</v>
      </c>
      <c r="D2381" s="532">
        <f t="shared" si="273"/>
        <v>44818</v>
      </c>
      <c r="E2381" s="534">
        <v>90</v>
      </c>
      <c r="F2381" s="601">
        <v>0.75464285443876589</v>
      </c>
      <c r="G2381" s="536" t="s">
        <v>699</v>
      </c>
      <c r="H2381">
        <v>69622.679999999993</v>
      </c>
    </row>
    <row r="2382" spans="1:8" ht="12.75" customHeight="1">
      <c r="A2382" s="532">
        <v>44733</v>
      </c>
      <c r="B2382" s="615">
        <v>39000</v>
      </c>
      <c r="C2382" s="615">
        <f t="shared" si="272"/>
        <v>46498.510000000009</v>
      </c>
      <c r="D2382" s="532">
        <f t="shared" si="273"/>
        <v>44823</v>
      </c>
      <c r="E2382" s="534">
        <v>90</v>
      </c>
      <c r="F2382" s="601">
        <v>0.77975958689458791</v>
      </c>
      <c r="G2382" s="536" t="s">
        <v>703</v>
      </c>
      <c r="H2382">
        <v>46498.51</v>
      </c>
    </row>
    <row r="2383" spans="1:8" ht="12.75" customHeight="1">
      <c r="A2383" s="532">
        <v>44733</v>
      </c>
      <c r="B2383" s="615">
        <v>10200</v>
      </c>
      <c r="C2383" s="615">
        <f t="shared" si="272"/>
        <v>12161.23</v>
      </c>
      <c r="D2383" s="532">
        <f t="shared" si="273"/>
        <v>44823</v>
      </c>
      <c r="E2383" s="534">
        <v>90</v>
      </c>
      <c r="F2383" s="601">
        <v>0.77979188453158987</v>
      </c>
      <c r="G2383" s="536" t="s">
        <v>699</v>
      </c>
      <c r="H2383">
        <v>12161.23</v>
      </c>
    </row>
    <row r="2384" spans="1:8" ht="12.75" customHeight="1">
      <c r="A2384" s="532">
        <v>44733</v>
      </c>
      <c r="B2384" s="615">
        <v>75000</v>
      </c>
      <c r="C2384" s="615">
        <f t="shared" si="272"/>
        <v>89419.81</v>
      </c>
      <c r="D2384" s="532">
        <f t="shared" si="273"/>
        <v>44823</v>
      </c>
      <c r="E2384" s="534">
        <v>90</v>
      </c>
      <c r="F2384" s="601">
        <v>0.77973787407407413</v>
      </c>
      <c r="G2384" s="536" t="s">
        <v>704</v>
      </c>
      <c r="H2384">
        <v>89419.81</v>
      </c>
    </row>
    <row r="2385" spans="1:8" ht="12.75" customHeight="1">
      <c r="A2385" s="532">
        <v>44734</v>
      </c>
      <c r="B2385" s="615">
        <v>26000</v>
      </c>
      <c r="C2385" s="615">
        <f t="shared" si="272"/>
        <v>30952.400000000005</v>
      </c>
      <c r="D2385" s="532">
        <f t="shared" si="273"/>
        <v>44824</v>
      </c>
      <c r="E2385" s="534">
        <v>90</v>
      </c>
      <c r="F2385" s="601">
        <v>0.77248974358974432</v>
      </c>
      <c r="G2385" s="536" t="s">
        <v>686</v>
      </c>
      <c r="H2385">
        <f>26064.11+4888.29</f>
        <v>30952.400000000001</v>
      </c>
    </row>
    <row r="2386" spans="1:8" ht="12.75" customHeight="1">
      <c r="A2386" s="532">
        <v>44734</v>
      </c>
      <c r="B2386" s="615">
        <v>26000</v>
      </c>
      <c r="C2386" s="615">
        <f t="shared" si="272"/>
        <v>30951.360000000004</v>
      </c>
      <c r="D2386" s="532">
        <f t="shared" si="273"/>
        <v>44824</v>
      </c>
      <c r="E2386" s="534">
        <v>90</v>
      </c>
      <c r="F2386" s="601">
        <v>0.77232752136752203</v>
      </c>
      <c r="G2386" s="536" t="s">
        <v>687</v>
      </c>
      <c r="H2386">
        <v>30951.360000000001</v>
      </c>
    </row>
    <row r="2387" spans="1:8" ht="12.75" customHeight="1">
      <c r="A2387" s="532">
        <v>44735</v>
      </c>
      <c r="B2387" s="615">
        <v>30400</v>
      </c>
      <c r="C2387" s="615">
        <f t="shared" si="272"/>
        <v>36209.019999999997</v>
      </c>
      <c r="D2387" s="532">
        <f t="shared" si="273"/>
        <v>44825</v>
      </c>
      <c r="E2387" s="534">
        <v>90</v>
      </c>
      <c r="F2387" s="601">
        <v>0.77496063596491205</v>
      </c>
      <c r="G2387" s="536" t="s">
        <v>681</v>
      </c>
      <c r="H2387">
        <f>36119.57+89.45</f>
        <v>36209.019999999997</v>
      </c>
    </row>
    <row r="2388" spans="1:8" ht="12.75" customHeight="1">
      <c r="A2388" s="532">
        <v>44736</v>
      </c>
      <c r="B2388" s="615">
        <v>13100</v>
      </c>
      <c r="C2388" s="615">
        <f t="shared" si="272"/>
        <v>15612.650000000001</v>
      </c>
      <c r="D2388" s="532">
        <f t="shared" si="273"/>
        <v>44826</v>
      </c>
      <c r="E2388" s="534">
        <v>90</v>
      </c>
      <c r="F2388" s="601">
        <v>0.77787722646310464</v>
      </c>
      <c r="G2388" s="536" t="s">
        <v>701</v>
      </c>
      <c r="H2388">
        <f>13132.3+2480.35</f>
        <v>15612.65</v>
      </c>
    </row>
    <row r="2389" spans="1:8" ht="12.75" customHeight="1">
      <c r="A2389" s="532">
        <v>44736</v>
      </c>
      <c r="B2389" s="615">
        <v>23600</v>
      </c>
      <c r="C2389" s="615">
        <f t="shared" si="272"/>
        <v>28126.599999999995</v>
      </c>
      <c r="D2389" s="532">
        <f t="shared" si="273"/>
        <v>44826</v>
      </c>
      <c r="E2389" s="534">
        <v>90</v>
      </c>
      <c r="F2389" s="601">
        <v>0.77787617702448142</v>
      </c>
      <c r="G2389" s="536" t="s">
        <v>698</v>
      </c>
      <c r="H2389">
        <f>23658.19+4468.41</f>
        <v>28126.6</v>
      </c>
    </row>
    <row r="2390" spans="1:8" ht="12.75" customHeight="1">
      <c r="A2390" s="532">
        <v>44739</v>
      </c>
      <c r="B2390" s="615">
        <v>356000</v>
      </c>
      <c r="C2390" s="615">
        <f t="shared" si="272"/>
        <v>425521.91999999998</v>
      </c>
      <c r="D2390" s="532">
        <f t="shared" si="273"/>
        <v>44830</v>
      </c>
      <c r="E2390" s="534">
        <v>91</v>
      </c>
      <c r="F2390" s="601">
        <v>0.78329117174959828</v>
      </c>
      <c r="G2390" s="536" t="s">
        <v>698</v>
      </c>
      <c r="H2390">
        <f>356887.56+68634.36</f>
        <v>425521.91999999998</v>
      </c>
    </row>
    <row r="2391" spans="1:8" ht="12.75" customHeight="1">
      <c r="A2391" s="532">
        <v>44739</v>
      </c>
      <c r="B2391" s="615">
        <v>185000</v>
      </c>
      <c r="C2391" s="615">
        <f t="shared" si="272"/>
        <v>221127.96000000002</v>
      </c>
      <c r="D2391" s="532">
        <f t="shared" si="273"/>
        <v>44830</v>
      </c>
      <c r="E2391" s="534">
        <v>91</v>
      </c>
      <c r="F2391" s="601">
        <v>0.78329108405108416</v>
      </c>
      <c r="G2391" s="536" t="s">
        <v>686</v>
      </c>
      <c r="H2391">
        <f>185461.23+35666.73</f>
        <v>221127.96000000002</v>
      </c>
    </row>
    <row r="2392" spans="1:8" ht="12.75" customHeight="1">
      <c r="A2392" s="532">
        <v>44739</v>
      </c>
      <c r="B2392" s="615">
        <v>15200</v>
      </c>
      <c r="C2392" s="615">
        <f t="shared" si="272"/>
        <v>18168.040000000005</v>
      </c>
      <c r="D2392" s="532">
        <f t="shared" si="273"/>
        <v>44830</v>
      </c>
      <c r="E2392" s="534">
        <v>91</v>
      </c>
      <c r="F2392" s="601">
        <v>0.78320893580104201</v>
      </c>
      <c r="G2392" s="536" t="s">
        <v>703</v>
      </c>
      <c r="H2392">
        <v>18168.04</v>
      </c>
    </row>
    <row r="2393" spans="1:8" ht="12.75" customHeight="1">
      <c r="A2393" s="532">
        <v>44739</v>
      </c>
      <c r="B2393" s="615">
        <v>47500</v>
      </c>
      <c r="C2393" s="615">
        <f t="shared" si="272"/>
        <v>56777.5</v>
      </c>
      <c r="D2393" s="532">
        <f t="shared" si="273"/>
        <v>44830</v>
      </c>
      <c r="E2393" s="534">
        <v>91</v>
      </c>
      <c r="F2393" s="601">
        <v>0.78340948525159049</v>
      </c>
      <c r="G2393" s="536" t="s">
        <v>681</v>
      </c>
      <c r="H2393">
        <f>56635.54+141.96</f>
        <v>56777.5</v>
      </c>
    </row>
    <row r="2394" spans="1:8" ht="12.75" customHeight="1">
      <c r="A2394" s="532">
        <v>44739</v>
      </c>
      <c r="B2394" s="615">
        <v>190000</v>
      </c>
      <c r="C2394" s="615">
        <f t="shared" si="272"/>
        <v>227103.92</v>
      </c>
      <c r="D2394" s="532">
        <f t="shared" si="273"/>
        <v>44830</v>
      </c>
      <c r="E2394" s="534">
        <v>91</v>
      </c>
      <c r="F2394" s="601">
        <v>0.78328113360323903</v>
      </c>
      <c r="G2394" s="536" t="s">
        <v>687</v>
      </c>
      <c r="H2394">
        <v>11417.35</v>
      </c>
    </row>
    <row r="2395" spans="1:8" ht="12.75" customHeight="1">
      <c r="A2395" s="532">
        <v>44740</v>
      </c>
      <c r="B2395" s="615">
        <v>9600</v>
      </c>
      <c r="C2395" s="615">
        <f t="shared" si="272"/>
        <v>11417.349999999999</v>
      </c>
      <c r="D2395" s="532">
        <f t="shared" si="273"/>
        <v>44830</v>
      </c>
      <c r="E2395" s="534">
        <v>90</v>
      </c>
      <c r="F2395" s="601">
        <v>0.76774623842592549</v>
      </c>
      <c r="G2395" s="536" t="s">
        <v>699</v>
      </c>
      <c r="H2395">
        <v>227103.92</v>
      </c>
    </row>
    <row r="2396" spans="1:8" ht="12.75" customHeight="1">
      <c r="A2396" s="532">
        <v>44741</v>
      </c>
      <c r="B2396" s="615">
        <v>25000</v>
      </c>
      <c r="C2396" s="615">
        <f t="shared" si="272"/>
        <v>29886.149999999994</v>
      </c>
      <c r="D2396" s="532">
        <f t="shared" si="273"/>
        <v>44831</v>
      </c>
      <c r="E2396" s="534">
        <v>90</v>
      </c>
      <c r="F2396" s="601">
        <v>0.79264211111111049</v>
      </c>
      <c r="G2396" s="536" t="s">
        <v>687</v>
      </c>
      <c r="H2396">
        <v>29886.15</v>
      </c>
    </row>
    <row r="2397" spans="1:8" ht="12.75" customHeight="1">
      <c r="A2397" s="532">
        <v>44742</v>
      </c>
      <c r="B2397" s="615">
        <v>107200</v>
      </c>
      <c r="C2397" s="615">
        <f t="shared" si="272"/>
        <v>128227.87999999999</v>
      </c>
      <c r="D2397" s="532">
        <f t="shared" si="273"/>
        <v>44832</v>
      </c>
      <c r="E2397" s="534">
        <v>90</v>
      </c>
      <c r="F2397" s="601">
        <v>0.79551992122719706</v>
      </c>
      <c r="G2397" s="536" t="s">
        <v>701</v>
      </c>
      <c r="H2397">
        <f>107464.33+20763.55</f>
        <v>128227.88</v>
      </c>
    </row>
    <row r="2398" spans="1:8" ht="12.75" customHeight="1">
      <c r="A2398" s="532">
        <v>44742</v>
      </c>
      <c r="B2398" s="615">
        <v>61200</v>
      </c>
      <c r="C2398" s="615">
        <f t="shared" si="272"/>
        <v>73204.720000000016</v>
      </c>
      <c r="D2398" s="532">
        <f t="shared" si="273"/>
        <v>44832</v>
      </c>
      <c r="E2398" s="534">
        <v>90</v>
      </c>
      <c r="F2398" s="601">
        <v>0.79551975308642042</v>
      </c>
      <c r="G2398" s="536" t="s">
        <v>698</v>
      </c>
      <c r="H2398">
        <f>61350.9+11853.82</f>
        <v>73204.72</v>
      </c>
    </row>
    <row r="2399" spans="1:8" ht="12.75" customHeight="1">
      <c r="A2399" s="532">
        <v>44742</v>
      </c>
      <c r="B2399" s="615">
        <v>190000</v>
      </c>
      <c r="C2399" s="615">
        <f t="shared" si="272"/>
        <v>227269.56999999998</v>
      </c>
      <c r="D2399" s="532">
        <f t="shared" si="273"/>
        <v>44832</v>
      </c>
      <c r="E2399" s="534">
        <v>90</v>
      </c>
      <c r="F2399" s="601">
        <v>0.79552006140350817</v>
      </c>
      <c r="G2399" s="536" t="s">
        <v>686</v>
      </c>
      <c r="H2399">
        <f>190468.49+36801.08</f>
        <v>227269.57</v>
      </c>
    </row>
    <row r="2400" spans="1:8" ht="12.75" customHeight="1">
      <c r="A2400" s="532">
        <v>44742</v>
      </c>
      <c r="B2400" s="615">
        <v>30000</v>
      </c>
      <c r="C2400" s="615">
        <f t="shared" ref="A2400:C2463" si="274">B2400+(B2400*F2400/365*E2400)*1</f>
        <v>35883.540000000008</v>
      </c>
      <c r="D2400" s="532">
        <f t="shared" si="273"/>
        <v>44832</v>
      </c>
      <c r="E2400" s="534">
        <v>90</v>
      </c>
      <c r="F2400" s="601">
        <v>0.79536744444444507</v>
      </c>
      <c r="G2400" s="536" t="s">
        <v>704</v>
      </c>
      <c r="H2400">
        <v>35883.54</v>
      </c>
    </row>
    <row r="2401" spans="1:8" ht="12.75" customHeight="1">
      <c r="A2401" s="532">
        <v>44743</v>
      </c>
      <c r="B2401" s="615">
        <v>180000</v>
      </c>
      <c r="C2401" s="615">
        <f t="shared" si="274"/>
        <v>215429.51999999996</v>
      </c>
      <c r="D2401" s="532">
        <f t="shared" si="273"/>
        <v>44833</v>
      </c>
      <c r="E2401" s="534">
        <v>90</v>
      </c>
      <c r="F2401" s="601">
        <v>0.79825770370370297</v>
      </c>
      <c r="G2401" s="536" t="s">
        <v>704</v>
      </c>
      <c r="H2401">
        <v>215429.52</v>
      </c>
    </row>
    <row r="2402" spans="1:8" ht="12.75" customHeight="1">
      <c r="A2402" s="532">
        <v>44746</v>
      </c>
      <c r="B2402" s="615">
        <v>57000</v>
      </c>
      <c r="C2402" s="615">
        <f t="shared" si="274"/>
        <v>68419.62999999999</v>
      </c>
      <c r="D2402" s="532">
        <f t="shared" si="273"/>
        <v>44837</v>
      </c>
      <c r="E2402" s="534">
        <v>91</v>
      </c>
      <c r="F2402" s="601">
        <v>0.80357913051860352</v>
      </c>
      <c r="G2402" s="536" t="s">
        <v>698</v>
      </c>
      <c r="H2402">
        <f>57142.11+11277.52</f>
        <v>68419.63</v>
      </c>
    </row>
    <row r="2403" spans="1:8" ht="12.75" customHeight="1">
      <c r="A2403" s="532">
        <v>44746</v>
      </c>
      <c r="B2403" s="615">
        <v>82700</v>
      </c>
      <c r="C2403" s="615">
        <f t="shared" si="274"/>
        <v>99268.19</v>
      </c>
      <c r="D2403" s="532">
        <f t="shared" si="273"/>
        <v>44837</v>
      </c>
      <c r="E2403" s="534">
        <v>91</v>
      </c>
      <c r="F2403" s="601">
        <v>0.80356503049550265</v>
      </c>
      <c r="G2403" s="536" t="s">
        <v>703</v>
      </c>
      <c r="H2403">
        <v>99268.19</v>
      </c>
    </row>
    <row r="2404" spans="1:8" ht="12.75" customHeight="1">
      <c r="A2404" s="532">
        <v>44746</v>
      </c>
      <c r="B2404" s="615">
        <v>2000</v>
      </c>
      <c r="C2404" s="615">
        <f t="shared" si="274"/>
        <v>2400.69</v>
      </c>
      <c r="D2404" s="532">
        <f t="shared" si="273"/>
        <v>44837</v>
      </c>
      <c r="E2404" s="534">
        <v>91</v>
      </c>
      <c r="F2404" s="601">
        <v>0.80358159340659352</v>
      </c>
      <c r="G2404" s="536" t="s">
        <v>699</v>
      </c>
      <c r="H2404">
        <v>52430.3</v>
      </c>
    </row>
    <row r="2405" spans="1:8" ht="12.75" customHeight="1">
      <c r="A2405" s="532">
        <v>44746</v>
      </c>
      <c r="B2405" s="615">
        <v>22500</v>
      </c>
      <c r="C2405" s="615">
        <f t="shared" si="274"/>
        <v>27007.762500000001</v>
      </c>
      <c r="D2405" s="532">
        <f t="shared" si="273"/>
        <v>44837</v>
      </c>
      <c r="E2405" s="534">
        <v>91</v>
      </c>
      <c r="F2405" s="601">
        <v>0.80358159340659352</v>
      </c>
      <c r="G2405" s="536" t="s">
        <v>699</v>
      </c>
      <c r="H2405">
        <v>2400.69</v>
      </c>
    </row>
    <row r="2406" spans="1:8" ht="12.75" customHeight="1">
      <c r="A2406" s="532">
        <v>44746</v>
      </c>
      <c r="B2406" s="615">
        <v>12700</v>
      </c>
      <c r="C2406" s="615">
        <f t="shared" si="274"/>
        <v>15123.980000000001</v>
      </c>
      <c r="D2406" s="532">
        <f t="shared" si="273"/>
        <v>44837</v>
      </c>
      <c r="E2406" s="534">
        <v>91</v>
      </c>
      <c r="F2406" s="601">
        <v>0.76555568053993273</v>
      </c>
      <c r="G2406" s="536" t="s">
        <v>681</v>
      </c>
      <c r="H2406">
        <v>27007.75</v>
      </c>
    </row>
    <row r="2407" spans="1:8" ht="12.75" customHeight="1">
      <c r="A2407" s="532">
        <v>44746</v>
      </c>
      <c r="B2407" s="615">
        <v>65000</v>
      </c>
      <c r="C2407" s="615">
        <f t="shared" si="274"/>
        <v>78022.38</v>
      </c>
      <c r="D2407" s="532">
        <f t="shared" si="273"/>
        <v>44837</v>
      </c>
      <c r="E2407" s="534">
        <v>91</v>
      </c>
      <c r="F2407" s="601">
        <v>0.80357881656804719</v>
      </c>
      <c r="G2407" s="536" t="s">
        <v>686</v>
      </c>
      <c r="H2407">
        <f>15086.76+37.22</f>
        <v>15123.98</v>
      </c>
    </row>
    <row r="2408" spans="1:8" ht="12.75" customHeight="1">
      <c r="A2408" s="532">
        <v>44746</v>
      </c>
      <c r="B2408" s="615">
        <v>57000</v>
      </c>
      <c r="C2408" s="615">
        <f t="shared" si="274"/>
        <v>68419.989999999991</v>
      </c>
      <c r="D2408" s="532">
        <f t="shared" si="273"/>
        <v>44837</v>
      </c>
      <c r="E2408" s="534">
        <v>91</v>
      </c>
      <c r="F2408" s="601">
        <v>0.80360446308077826</v>
      </c>
      <c r="G2408" s="536" t="s">
        <v>704</v>
      </c>
      <c r="H2408">
        <f>5012.33+959.25</f>
        <v>5971.58</v>
      </c>
    </row>
    <row r="2409" spans="1:8" ht="12.75" customHeight="1">
      <c r="A2409" s="532">
        <v>44747</v>
      </c>
      <c r="B2409" s="615">
        <v>43900</v>
      </c>
      <c r="C2409" s="615">
        <f t="shared" si="274"/>
        <v>52430.3</v>
      </c>
      <c r="D2409" s="532">
        <f t="shared" ref="A2409:D2472" si="275">+A2409+E2409</f>
        <v>44837</v>
      </c>
      <c r="E2409" s="534">
        <v>90</v>
      </c>
      <c r="F2409" s="601">
        <v>0.7880434067324732</v>
      </c>
      <c r="G2409" s="536" t="s">
        <v>703</v>
      </c>
      <c r="H2409">
        <f>65162.05+12860.33</f>
        <v>78022.38</v>
      </c>
    </row>
    <row r="2410" spans="1:8" ht="12.75" customHeight="1">
      <c r="A2410" s="532">
        <v>44747</v>
      </c>
      <c r="B2410" s="615">
        <v>5000</v>
      </c>
      <c r="C2410" s="615">
        <f t="shared" si="274"/>
        <v>5971.58</v>
      </c>
      <c r="D2410" s="532">
        <f t="shared" si="275"/>
        <v>44837</v>
      </c>
      <c r="E2410" s="534">
        <v>90</v>
      </c>
      <c r="F2410" s="601">
        <v>0.78805933333333322</v>
      </c>
      <c r="G2410" s="536" t="s">
        <v>686</v>
      </c>
      <c r="H2410">
        <v>29857.17</v>
      </c>
    </row>
    <row r="2411" spans="1:8" ht="12.75" customHeight="1">
      <c r="A2411" s="532">
        <v>44747</v>
      </c>
      <c r="B2411" s="615">
        <v>25000</v>
      </c>
      <c r="C2411" s="615">
        <f t="shared" si="274"/>
        <v>29857.169999999995</v>
      </c>
      <c r="D2411" s="532">
        <f t="shared" si="275"/>
        <v>44837</v>
      </c>
      <c r="E2411" s="534">
        <v>90</v>
      </c>
      <c r="F2411" s="601">
        <v>0.78794091111110998</v>
      </c>
      <c r="G2411" s="536" t="s">
        <v>687</v>
      </c>
      <c r="H2411">
        <v>68419.990000000005</v>
      </c>
    </row>
    <row r="2412" spans="1:8" ht="12.75" customHeight="1">
      <c r="A2412" s="532">
        <v>44748</v>
      </c>
      <c r="B2412" s="615">
        <v>38700</v>
      </c>
      <c r="C2412" s="615">
        <f t="shared" si="274"/>
        <v>46454.520000000004</v>
      </c>
      <c r="D2412" s="532">
        <f t="shared" si="275"/>
        <v>44838</v>
      </c>
      <c r="E2412" s="534">
        <v>90</v>
      </c>
      <c r="F2412" s="601">
        <v>0.81263273040482353</v>
      </c>
      <c r="G2412" s="536" t="s">
        <v>698</v>
      </c>
      <c r="H2412">
        <f>38795.42+7659.1</f>
        <v>46454.52</v>
      </c>
    </row>
    <row r="2413" spans="1:8" ht="12.75" customHeight="1">
      <c r="A2413" s="532">
        <v>44748</v>
      </c>
      <c r="B2413" s="615">
        <v>70000</v>
      </c>
      <c r="C2413" s="615">
        <f t="shared" si="274"/>
        <v>84026.263565891481</v>
      </c>
      <c r="D2413" s="532">
        <f t="shared" si="275"/>
        <v>44838</v>
      </c>
      <c r="E2413" s="534">
        <v>90</v>
      </c>
      <c r="F2413" s="601">
        <v>0.81263273040482353</v>
      </c>
      <c r="G2413" s="536" t="s">
        <v>686</v>
      </c>
      <c r="H2413">
        <f>70172.6+13853.68</f>
        <v>84026.28</v>
      </c>
    </row>
    <row r="2414" spans="1:8" ht="12.75" customHeight="1">
      <c r="A2414" s="532">
        <v>44748</v>
      </c>
      <c r="B2414" s="615">
        <v>25000</v>
      </c>
      <c r="C2414" s="615">
        <f t="shared" si="274"/>
        <v>30011.009999999991</v>
      </c>
      <c r="D2414" s="532">
        <f t="shared" si="275"/>
        <v>44838</v>
      </c>
      <c r="E2414" s="534">
        <v>90</v>
      </c>
      <c r="F2414" s="601">
        <v>0.81289717777777648</v>
      </c>
      <c r="G2414" s="536" t="s">
        <v>687</v>
      </c>
      <c r="H2414">
        <v>30011.01</v>
      </c>
    </row>
    <row r="2415" spans="1:8" ht="12.75" customHeight="1">
      <c r="A2415" s="532">
        <v>44749</v>
      </c>
      <c r="B2415" s="615">
        <v>28000</v>
      </c>
      <c r="C2415" s="615">
        <f t="shared" si="274"/>
        <v>33631.69000000001</v>
      </c>
      <c r="D2415" s="532">
        <f t="shared" si="275"/>
        <v>44839</v>
      </c>
      <c r="E2415" s="534">
        <v>90</v>
      </c>
      <c r="F2415" s="601">
        <v>0.81570113095238228</v>
      </c>
      <c r="G2415" s="536" t="s">
        <v>698</v>
      </c>
      <c r="H2415">
        <f>28069.04+5562.65</f>
        <v>33631.69</v>
      </c>
    </row>
    <row r="2416" spans="1:8" ht="12.75" customHeight="1">
      <c r="A2416" s="532">
        <v>44750</v>
      </c>
      <c r="B2416" s="615">
        <v>30000</v>
      </c>
      <c r="C2416" s="615">
        <f t="shared" si="274"/>
        <v>36056.11</v>
      </c>
      <c r="D2416" s="532">
        <f t="shared" si="275"/>
        <v>44840</v>
      </c>
      <c r="E2416" s="534">
        <v>90</v>
      </c>
      <c r="F2416" s="601">
        <v>0.81869635185185241</v>
      </c>
      <c r="G2416" s="536" t="s">
        <v>698</v>
      </c>
      <c r="H2416">
        <f>30073.97+5982.14</f>
        <v>36056.11</v>
      </c>
    </row>
    <row r="2417" spans="1:8" ht="12.75" customHeight="1">
      <c r="A2417" s="532">
        <v>44750</v>
      </c>
      <c r="B2417" s="615">
        <v>60000</v>
      </c>
      <c r="C2417" s="615">
        <f t="shared" si="274"/>
        <v>72112.240000000005</v>
      </c>
      <c r="D2417" s="532">
        <f t="shared" si="275"/>
        <v>44840</v>
      </c>
      <c r="E2417" s="534">
        <v>90</v>
      </c>
      <c r="F2417" s="601">
        <v>0.81869770370370454</v>
      </c>
      <c r="G2417" s="536" t="s">
        <v>686</v>
      </c>
      <c r="H2417">
        <f>60147.95+11964.29</f>
        <v>72112.239999999991</v>
      </c>
    </row>
    <row r="2418" spans="1:8" ht="12.75" customHeight="1">
      <c r="A2418" s="532">
        <v>44750</v>
      </c>
      <c r="B2418" s="615">
        <v>20000</v>
      </c>
      <c r="C2418" s="615">
        <f t="shared" si="274"/>
        <v>24037.33</v>
      </c>
      <c r="D2418" s="532">
        <f t="shared" si="275"/>
        <v>44840</v>
      </c>
      <c r="E2418" s="534">
        <v>90</v>
      </c>
      <c r="F2418" s="601">
        <v>0.81868080555555589</v>
      </c>
      <c r="G2418" s="536" t="s">
        <v>687</v>
      </c>
      <c r="H2418">
        <v>24037.33</v>
      </c>
    </row>
    <row r="2419" spans="1:8" ht="12.75" customHeight="1">
      <c r="A2419" s="532">
        <v>44753</v>
      </c>
      <c r="B2419" s="615">
        <v>45000</v>
      </c>
      <c r="C2419" s="615">
        <f t="shared" si="274"/>
        <v>54116.46</v>
      </c>
      <c r="D2419" s="532">
        <f t="shared" si="275"/>
        <v>44845</v>
      </c>
      <c r="E2419" s="534">
        <v>92</v>
      </c>
      <c r="F2419" s="601">
        <v>0.8037458695652171</v>
      </c>
      <c r="G2419" s="536" t="s">
        <v>703</v>
      </c>
      <c r="H2419">
        <v>54116.46</v>
      </c>
    </row>
    <row r="2420" spans="1:8" ht="12.75" customHeight="1">
      <c r="A2420" s="532">
        <v>44753</v>
      </c>
      <c r="B2420" s="615">
        <v>32400</v>
      </c>
      <c r="C2420" s="615">
        <f t="shared" si="274"/>
        <v>38964.11</v>
      </c>
      <c r="D2420" s="532">
        <f t="shared" si="275"/>
        <v>44845</v>
      </c>
      <c r="E2420" s="534">
        <v>92</v>
      </c>
      <c r="F2420" s="601">
        <v>0.80377755971551279</v>
      </c>
      <c r="G2420" s="536" t="s">
        <v>699</v>
      </c>
      <c r="H2420">
        <v>9333.3700000000008</v>
      </c>
    </row>
    <row r="2421" spans="1:8" ht="12.75" customHeight="1">
      <c r="A2421" s="532">
        <v>44753</v>
      </c>
      <c r="B2421" s="615">
        <v>83400</v>
      </c>
      <c r="C2421" s="615">
        <f t="shared" si="274"/>
        <v>100296.50999999998</v>
      </c>
      <c r="D2421" s="532">
        <f t="shared" si="275"/>
        <v>44845</v>
      </c>
      <c r="E2421" s="534">
        <v>92</v>
      </c>
      <c r="F2421" s="601">
        <v>0.80377777994995248</v>
      </c>
      <c r="G2421" s="536" t="s">
        <v>701</v>
      </c>
      <c r="H2421">
        <v>38964.11</v>
      </c>
    </row>
    <row r="2422" spans="1:8" ht="12.75" customHeight="1">
      <c r="A2422" s="532">
        <v>44754</v>
      </c>
      <c r="B2422" s="615">
        <v>7800</v>
      </c>
      <c r="C2422" s="615">
        <f t="shared" si="274"/>
        <v>9333.3700000000008</v>
      </c>
      <c r="D2422" s="532">
        <f t="shared" si="275"/>
        <v>44845</v>
      </c>
      <c r="E2422" s="534">
        <v>91</v>
      </c>
      <c r="F2422" s="601">
        <v>0.78850387433079772</v>
      </c>
      <c r="G2422" s="536" t="s">
        <v>703</v>
      </c>
      <c r="H2422">
        <f>83610.21+16686.3</f>
        <v>100296.51000000001</v>
      </c>
    </row>
    <row r="2423" spans="1:8" ht="12.75" customHeight="1">
      <c r="A2423" s="532">
        <v>44754</v>
      </c>
      <c r="B2423" s="615">
        <v>170000</v>
      </c>
      <c r="C2423" s="615">
        <f t="shared" si="274"/>
        <v>203426.63</v>
      </c>
      <c r="D2423" s="532">
        <f t="shared" si="275"/>
        <v>44845</v>
      </c>
      <c r="E2423" s="534">
        <v>91</v>
      </c>
      <c r="F2423" s="601">
        <v>0.78866968002585625</v>
      </c>
      <c r="G2423" s="536" t="s">
        <v>686</v>
      </c>
      <c r="H2423">
        <f>170423.84+33002.79</f>
        <v>203426.63</v>
      </c>
    </row>
    <row r="2424" spans="1:8" ht="12.75" customHeight="1">
      <c r="A2424" s="532">
        <v>44754</v>
      </c>
      <c r="B2424" s="615">
        <v>45000</v>
      </c>
      <c r="C2424" s="615">
        <f t="shared" si="274"/>
        <v>53848.30000000001</v>
      </c>
      <c r="D2424" s="532">
        <f t="shared" si="275"/>
        <v>44845</v>
      </c>
      <c r="E2424" s="534">
        <v>91</v>
      </c>
      <c r="F2424" s="601">
        <v>0.78867631257631354</v>
      </c>
      <c r="G2424" s="536" t="s">
        <v>687</v>
      </c>
      <c r="H2424">
        <v>53848.3</v>
      </c>
    </row>
    <row r="2425" spans="1:8" ht="12.75" customHeight="1">
      <c r="A2425" s="532">
        <v>44756</v>
      </c>
      <c r="B2425" s="615">
        <v>8000</v>
      </c>
      <c r="C2425" s="615">
        <f t="shared" si="274"/>
        <v>9648.619999999999</v>
      </c>
      <c r="D2425" s="532">
        <f t="shared" si="275"/>
        <v>44846</v>
      </c>
      <c r="E2425" s="534">
        <v>90</v>
      </c>
      <c r="F2425" s="601">
        <v>0.83575874999999944</v>
      </c>
      <c r="G2425" s="536" t="s">
        <v>703</v>
      </c>
      <c r="H2425">
        <v>9648.6200000000008</v>
      </c>
    </row>
    <row r="2426" spans="1:8" ht="12.75" customHeight="1">
      <c r="A2426" s="532">
        <v>44756</v>
      </c>
      <c r="B2426" s="615">
        <v>33600</v>
      </c>
      <c r="C2426" s="615">
        <f t="shared" si="274"/>
        <v>40525.469999999994</v>
      </c>
      <c r="D2426" s="532">
        <f t="shared" si="275"/>
        <v>44846</v>
      </c>
      <c r="E2426" s="534">
        <v>90</v>
      </c>
      <c r="F2426" s="601">
        <v>0.8359115575396816</v>
      </c>
      <c r="G2426" s="536" t="s">
        <v>698</v>
      </c>
      <c r="H2426">
        <f>33682.85+6842.62</f>
        <v>40525.47</v>
      </c>
    </row>
    <row r="2427" spans="1:8" ht="12.75" customHeight="1">
      <c r="A2427" s="532">
        <v>44756</v>
      </c>
      <c r="B2427" s="615">
        <v>40000</v>
      </c>
      <c r="C2427" s="615">
        <f t="shared" si="274"/>
        <v>48244.62</v>
      </c>
      <c r="D2427" s="532">
        <f t="shared" si="275"/>
        <v>44846</v>
      </c>
      <c r="E2427" s="534">
        <v>90</v>
      </c>
      <c r="F2427" s="601">
        <v>0.8359128611111114</v>
      </c>
      <c r="G2427" s="536" t="s">
        <v>699</v>
      </c>
      <c r="H2427">
        <v>48244.62</v>
      </c>
    </row>
    <row r="2428" spans="1:8" ht="12.75" customHeight="1">
      <c r="A2428" s="532">
        <v>44757</v>
      </c>
      <c r="B2428" s="615">
        <v>11900</v>
      </c>
      <c r="C2428" s="615">
        <f t="shared" si="274"/>
        <v>14361.100000000002</v>
      </c>
      <c r="D2428" s="532">
        <f t="shared" si="275"/>
        <v>44847</v>
      </c>
      <c r="E2428" s="534">
        <v>90</v>
      </c>
      <c r="F2428" s="601">
        <v>0.83875023342670507</v>
      </c>
      <c r="G2428" s="536" t="s">
        <v>681</v>
      </c>
      <c r="H2428">
        <f>14326.05+35.05</f>
        <v>14361.099999999999</v>
      </c>
    </row>
    <row r="2429" spans="1:8" ht="12.75" customHeight="1">
      <c r="A2429" s="532">
        <v>44760</v>
      </c>
      <c r="B2429" s="615">
        <v>190800</v>
      </c>
      <c r="C2429" s="615">
        <f t="shared" si="274"/>
        <v>230927.6</v>
      </c>
      <c r="D2429" s="532">
        <f t="shared" si="275"/>
        <v>44851</v>
      </c>
      <c r="E2429" s="534">
        <v>91</v>
      </c>
      <c r="F2429" s="601">
        <v>0.84356060082475193</v>
      </c>
      <c r="G2429" s="536" t="s">
        <v>699</v>
      </c>
      <c r="H2429">
        <v>230927.6</v>
      </c>
    </row>
    <row r="2430" spans="1:8" ht="12.75" customHeight="1">
      <c r="A2430" s="532">
        <v>44760</v>
      </c>
      <c r="B2430" s="615">
        <v>159100</v>
      </c>
      <c r="C2430" s="615">
        <f t="shared" si="274"/>
        <v>192560.69</v>
      </c>
      <c r="D2430" s="532">
        <f t="shared" si="275"/>
        <v>44851</v>
      </c>
      <c r="E2430" s="534">
        <v>91</v>
      </c>
      <c r="F2430" s="601">
        <v>0.84356040157202905</v>
      </c>
      <c r="G2430" s="536" t="s">
        <v>701</v>
      </c>
      <c r="H2430">
        <v>117778.9</v>
      </c>
    </row>
    <row r="2431" spans="1:8" ht="12.75" customHeight="1">
      <c r="A2431" s="532">
        <v>44760</v>
      </c>
      <c r="B2431" s="615">
        <v>86500</v>
      </c>
      <c r="C2431" s="615">
        <f t="shared" si="274"/>
        <v>104692.02</v>
      </c>
      <c r="D2431" s="532">
        <f t="shared" si="275"/>
        <v>44851</v>
      </c>
      <c r="E2431" s="534">
        <v>91</v>
      </c>
      <c r="F2431" s="601">
        <v>0.84356060471320637</v>
      </c>
      <c r="G2431" s="536" t="s">
        <v>698</v>
      </c>
      <c r="H2431">
        <v>12042.83</v>
      </c>
    </row>
    <row r="2432" spans="1:8" ht="12.75" customHeight="1">
      <c r="A2432" s="532">
        <v>44760</v>
      </c>
      <c r="B2432" s="615">
        <v>58500</v>
      </c>
      <c r="C2432" s="615">
        <f t="shared" si="274"/>
        <v>70802.98</v>
      </c>
      <c r="D2432" s="532">
        <f t="shared" si="275"/>
        <v>44851</v>
      </c>
      <c r="E2432" s="534">
        <v>91</v>
      </c>
      <c r="F2432" s="601">
        <v>0.84354047149431732</v>
      </c>
      <c r="G2432" s="536" t="s">
        <v>703</v>
      </c>
      <c r="H2432">
        <f>159496.66+33064.03</f>
        <v>192560.69</v>
      </c>
    </row>
    <row r="2433" spans="1:8" ht="12.75" customHeight="1">
      <c r="A2433" s="532">
        <v>44760</v>
      </c>
      <c r="B2433" s="615">
        <v>11800</v>
      </c>
      <c r="C2433" s="615">
        <f t="shared" si="274"/>
        <v>14249.940000000002</v>
      </c>
      <c r="D2433" s="532">
        <f t="shared" si="275"/>
        <v>44851</v>
      </c>
      <c r="E2433" s="534">
        <v>91</v>
      </c>
      <c r="F2433" s="601">
        <v>0.83276969640529019</v>
      </c>
      <c r="G2433" s="536" t="s">
        <v>681</v>
      </c>
      <c r="H2433">
        <f>86715.66+17976.36</f>
        <v>104692.02</v>
      </c>
    </row>
    <row r="2434" spans="1:8" ht="12.75" customHeight="1">
      <c r="A2434" s="532">
        <v>44760</v>
      </c>
      <c r="B2434" s="615">
        <v>203000</v>
      </c>
      <c r="C2434" s="615">
        <f t="shared" si="274"/>
        <v>245693.39999999997</v>
      </c>
      <c r="D2434" s="532">
        <f t="shared" si="275"/>
        <v>44851</v>
      </c>
      <c r="E2434" s="534">
        <v>91</v>
      </c>
      <c r="F2434" s="601">
        <v>0.84356038542737999</v>
      </c>
      <c r="G2434" s="536" t="s">
        <v>686</v>
      </c>
      <c r="H2434">
        <v>70802.98</v>
      </c>
    </row>
    <row r="2435" spans="1:8" ht="12.75" customHeight="1">
      <c r="A2435" s="532">
        <v>44761</v>
      </c>
      <c r="B2435" s="615">
        <v>97800</v>
      </c>
      <c r="C2435" s="615">
        <f t="shared" si="274"/>
        <v>117778.9</v>
      </c>
      <c r="D2435" s="532">
        <f t="shared" si="275"/>
        <v>44851</v>
      </c>
      <c r="E2435" s="534">
        <v>90</v>
      </c>
      <c r="F2435" s="601">
        <v>0.82848199272892487</v>
      </c>
      <c r="G2435" s="536" t="s">
        <v>699</v>
      </c>
      <c r="H2435">
        <f>14214.71+35.13</f>
        <v>14249.839999999998</v>
      </c>
    </row>
    <row r="2436" spans="1:8" ht="12.75" customHeight="1">
      <c r="A2436" s="532">
        <v>44761</v>
      </c>
      <c r="B2436" s="615">
        <v>10000</v>
      </c>
      <c r="C2436" s="615">
        <f t="shared" si="274"/>
        <v>12042.830000000002</v>
      </c>
      <c r="D2436" s="532">
        <f t="shared" si="275"/>
        <v>44851</v>
      </c>
      <c r="E2436" s="534">
        <v>90</v>
      </c>
      <c r="F2436" s="601">
        <v>0.82848105555555618</v>
      </c>
      <c r="G2436" s="536" t="s">
        <v>699</v>
      </c>
      <c r="H2436">
        <f>203506.11+42187.29</f>
        <v>245693.4</v>
      </c>
    </row>
    <row r="2437" spans="1:8" ht="12.75" customHeight="1">
      <c r="A2437" s="532">
        <v>44761</v>
      </c>
      <c r="B2437" s="615">
        <v>50000</v>
      </c>
      <c r="C2437" s="615">
        <f t="shared" si="274"/>
        <v>60214.16</v>
      </c>
      <c r="D2437" s="532">
        <f t="shared" si="275"/>
        <v>44851</v>
      </c>
      <c r="E2437" s="534">
        <v>90</v>
      </c>
      <c r="F2437" s="601">
        <v>0.82848186666666712</v>
      </c>
      <c r="G2437" s="536" t="s">
        <v>686</v>
      </c>
      <c r="H2437">
        <f>50123.29+10090.87</f>
        <v>60214.16</v>
      </c>
    </row>
    <row r="2438" spans="1:8" ht="12.75" customHeight="1">
      <c r="A2438" s="532">
        <v>44761</v>
      </c>
      <c r="B2438" s="615">
        <v>30000</v>
      </c>
      <c r="C2438" s="615">
        <f t="shared" si="274"/>
        <v>36047.75</v>
      </c>
      <c r="D2438" s="532">
        <f t="shared" si="275"/>
        <v>44851</v>
      </c>
      <c r="E2438" s="534">
        <v>90</v>
      </c>
      <c r="F2438" s="601">
        <v>0.81756620370370414</v>
      </c>
      <c r="G2438" s="536" t="s">
        <v>687</v>
      </c>
      <c r="H2438">
        <v>36047.75</v>
      </c>
    </row>
    <row r="2439" spans="1:8" ht="12.75" customHeight="1">
      <c r="A2439" s="532">
        <v>44763</v>
      </c>
      <c r="B2439" s="615">
        <v>170000</v>
      </c>
      <c r="C2439" s="615">
        <f t="shared" si="274"/>
        <v>205711.73000000004</v>
      </c>
      <c r="D2439" s="532">
        <f t="shared" si="275"/>
        <v>44853</v>
      </c>
      <c r="E2439" s="534">
        <v>90</v>
      </c>
      <c r="F2439" s="601">
        <v>0.85194650000000127</v>
      </c>
      <c r="G2439" s="536" t="s">
        <v>686</v>
      </c>
      <c r="H2439">
        <f>170419.18+35292.55</f>
        <v>205711.72999999998</v>
      </c>
    </row>
    <row r="2440" spans="1:8" ht="12.75" customHeight="1">
      <c r="A2440" s="532">
        <v>44763</v>
      </c>
      <c r="B2440" s="615">
        <v>95200</v>
      </c>
      <c r="C2440" s="615">
        <f t="shared" si="274"/>
        <v>115198.56</v>
      </c>
      <c r="D2440" s="532">
        <f t="shared" si="275"/>
        <v>44853</v>
      </c>
      <c r="E2440" s="534">
        <v>90</v>
      </c>
      <c r="F2440" s="601">
        <v>0.85194612511671297</v>
      </c>
      <c r="G2440" s="536" t="s">
        <v>698</v>
      </c>
      <c r="H2440">
        <f>95434.74+19763.82</f>
        <v>115198.56</v>
      </c>
    </row>
    <row r="2441" spans="1:8" ht="12.75" customHeight="1">
      <c r="A2441" s="532">
        <v>44763</v>
      </c>
      <c r="B2441" s="615">
        <v>9900</v>
      </c>
      <c r="C2441" s="615">
        <f t="shared" si="274"/>
        <v>11979.499999999998</v>
      </c>
      <c r="D2441" s="532">
        <f t="shared" si="275"/>
        <v>44853</v>
      </c>
      <c r="E2441" s="534">
        <v>90</v>
      </c>
      <c r="F2441" s="601">
        <v>0.85187149270482543</v>
      </c>
      <c r="G2441" s="536" t="s">
        <v>681</v>
      </c>
      <c r="H2441">
        <f>11950.46+29.04</f>
        <v>11979.5</v>
      </c>
    </row>
    <row r="2442" spans="1:8" ht="12.75" customHeight="1">
      <c r="A2442" s="532">
        <v>44763</v>
      </c>
      <c r="B2442" s="615">
        <v>57000</v>
      </c>
      <c r="C2442" s="615">
        <f t="shared" si="274"/>
        <v>68973.579999999987</v>
      </c>
      <c r="D2442" s="532">
        <f t="shared" si="275"/>
        <v>44853</v>
      </c>
      <c r="E2442" s="534">
        <v>90</v>
      </c>
      <c r="F2442" s="601">
        <v>0.85192138401559403</v>
      </c>
      <c r="G2442" s="536" t="s">
        <v>703</v>
      </c>
      <c r="H2442">
        <v>68973.58</v>
      </c>
    </row>
    <row r="2443" spans="1:8" ht="12.75" customHeight="1">
      <c r="A2443" s="532">
        <v>44763</v>
      </c>
      <c r="B2443" s="615">
        <v>32000</v>
      </c>
      <c r="C2443" s="615">
        <f t="shared" si="274"/>
        <v>38721.599999999991</v>
      </c>
      <c r="D2443" s="532">
        <f t="shared" si="275"/>
        <v>44853</v>
      </c>
      <c r="E2443" s="534">
        <v>90</v>
      </c>
      <c r="F2443" s="601">
        <v>0.85186944444444357</v>
      </c>
      <c r="G2443" s="536" t="s">
        <v>687</v>
      </c>
      <c r="H2443">
        <v>38721.599999999999</v>
      </c>
    </row>
    <row r="2444" spans="1:8" ht="12.75" customHeight="1">
      <c r="A2444" s="532">
        <v>44763</v>
      </c>
      <c r="B2444" s="615">
        <v>73000</v>
      </c>
      <c r="C2444" s="615">
        <f t="shared" si="274"/>
        <v>88335.25999999998</v>
      </c>
      <c r="D2444" s="532">
        <f t="shared" si="275"/>
        <v>44853</v>
      </c>
      <c r="E2444" s="534">
        <v>90</v>
      </c>
      <c r="F2444" s="601">
        <v>0.85195888888888827</v>
      </c>
      <c r="G2444" s="536" t="s">
        <v>704</v>
      </c>
      <c r="H2444">
        <v>88335.26</v>
      </c>
    </row>
    <row r="2445" spans="1:8" ht="12.75" customHeight="1">
      <c r="A2445" s="532">
        <v>44764</v>
      </c>
      <c r="B2445" s="615">
        <v>20000</v>
      </c>
      <c r="C2445" s="615">
        <f t="shared" si="274"/>
        <v>24205.9</v>
      </c>
      <c r="D2445" s="532">
        <f t="shared" si="275"/>
        <v>44854</v>
      </c>
      <c r="E2445" s="534">
        <v>90</v>
      </c>
      <c r="F2445" s="601">
        <v>0.85286305555555619</v>
      </c>
      <c r="G2445" s="536" t="s">
        <v>703</v>
      </c>
      <c r="H2445">
        <v>24205.9</v>
      </c>
    </row>
    <row r="2446" spans="1:8" ht="12.75" customHeight="1">
      <c r="A2446" s="532">
        <v>44768</v>
      </c>
      <c r="B2446" s="615">
        <v>3000</v>
      </c>
      <c r="C2446" s="615">
        <f t="shared" si="274"/>
        <v>3620.47</v>
      </c>
      <c r="D2446" s="532">
        <f t="shared" si="275"/>
        <v>44858</v>
      </c>
      <c r="E2446" s="534">
        <v>90</v>
      </c>
      <c r="F2446" s="601">
        <v>0.83878351851851818</v>
      </c>
      <c r="G2446" s="536" t="s">
        <v>681</v>
      </c>
      <c r="H2446">
        <f>3612.36+8.11</f>
        <v>3620.4700000000003</v>
      </c>
    </row>
    <row r="2447" spans="1:8" ht="12.75" customHeight="1">
      <c r="A2447" s="532">
        <v>44769</v>
      </c>
      <c r="B2447" s="615">
        <v>10000</v>
      </c>
      <c r="C2447" s="615">
        <f t="shared" si="274"/>
        <v>12119.830000000002</v>
      </c>
      <c r="D2447" s="532">
        <f t="shared" si="275"/>
        <v>44859</v>
      </c>
      <c r="E2447" s="534">
        <v>90</v>
      </c>
      <c r="F2447" s="601">
        <v>0.85970883333333359</v>
      </c>
      <c r="G2447" s="536" t="s">
        <v>704</v>
      </c>
      <c r="H2447">
        <v>12119.83</v>
      </c>
    </row>
    <row r="2448" spans="1:8" ht="12.75" customHeight="1">
      <c r="A2448" s="532">
        <v>44769</v>
      </c>
      <c r="B2448" s="615">
        <v>32000</v>
      </c>
      <c r="C2448" s="615">
        <f t="shared" si="274"/>
        <v>38783.439999999995</v>
      </c>
      <c r="D2448" s="532">
        <f t="shared" si="275"/>
        <v>44859</v>
      </c>
      <c r="E2448" s="534">
        <v>90</v>
      </c>
      <c r="F2448" s="601">
        <v>0.85970680555555501</v>
      </c>
      <c r="G2448" s="536" t="s">
        <v>704</v>
      </c>
      <c r="H2448">
        <v>38783.440000000002</v>
      </c>
    </row>
    <row r="2449" spans="1:8" ht="12.75" customHeight="1">
      <c r="A2449" s="532">
        <v>44770</v>
      </c>
      <c r="B2449" s="615">
        <v>53700</v>
      </c>
      <c r="C2449" s="615">
        <f t="shared" si="274"/>
        <v>65106.04</v>
      </c>
      <c r="D2449" s="532">
        <f t="shared" si="275"/>
        <v>44860</v>
      </c>
      <c r="E2449" s="534">
        <v>90</v>
      </c>
      <c r="F2449" s="601">
        <v>0.86141208359197197</v>
      </c>
      <c r="G2449" s="536" t="s">
        <v>701</v>
      </c>
      <c r="H2449">
        <f>53832.41+11273.63</f>
        <v>65106.04</v>
      </c>
    </row>
    <row r="2450" spans="1:8" ht="12.75" customHeight="1">
      <c r="A2450" s="532">
        <v>44770</v>
      </c>
      <c r="B2450" s="615">
        <v>93000</v>
      </c>
      <c r="C2450" s="615">
        <f t="shared" si="274"/>
        <v>112753.49</v>
      </c>
      <c r="D2450" s="532">
        <f t="shared" si="275"/>
        <v>44860</v>
      </c>
      <c r="E2450" s="534">
        <v>90</v>
      </c>
      <c r="F2450" s="601">
        <v>0.86141264635603387</v>
      </c>
      <c r="G2450" s="536" t="s">
        <v>686</v>
      </c>
      <c r="H2450">
        <f>93229.32+19524.17</f>
        <v>112753.49</v>
      </c>
    </row>
    <row r="2451" spans="1:8" ht="12.75" customHeight="1">
      <c r="A2451" s="532">
        <v>44770</v>
      </c>
      <c r="B2451" s="615">
        <v>20000</v>
      </c>
      <c r="C2451" s="615">
        <f t="shared" si="274"/>
        <v>24248.060000000005</v>
      </c>
      <c r="D2451" s="532">
        <f t="shared" si="275"/>
        <v>44860</v>
      </c>
      <c r="E2451" s="534">
        <v>90</v>
      </c>
      <c r="F2451" s="601">
        <v>0.86141216666666731</v>
      </c>
      <c r="G2451" s="536" t="s">
        <v>686</v>
      </c>
      <c r="H2451">
        <f>20049.32+4198.74</f>
        <v>24248.059999999998</v>
      </c>
    </row>
    <row r="2452" spans="1:8" ht="12.75" customHeight="1">
      <c r="A2452" s="532">
        <v>44770</v>
      </c>
      <c r="B2452" s="615">
        <v>30000</v>
      </c>
      <c r="C2452" s="615">
        <f t="shared" si="274"/>
        <v>36371.880000000005</v>
      </c>
      <c r="D2452" s="532">
        <f t="shared" si="275"/>
        <v>44860</v>
      </c>
      <c r="E2452" s="534">
        <v>90</v>
      </c>
      <c r="F2452" s="601">
        <v>0.8613837777777783</v>
      </c>
      <c r="G2452" s="536" t="s">
        <v>687</v>
      </c>
      <c r="H2452">
        <v>36371.879999999997</v>
      </c>
    </row>
    <row r="2453" spans="1:8" ht="12.75" customHeight="1">
      <c r="A2453" s="532">
        <v>44771</v>
      </c>
      <c r="B2453" s="615">
        <v>2500</v>
      </c>
      <c r="C2453" s="615">
        <f t="shared" si="274"/>
        <v>3033.05</v>
      </c>
      <c r="D2453" s="532">
        <f t="shared" si="275"/>
        <v>44861</v>
      </c>
      <c r="E2453" s="534">
        <v>90</v>
      </c>
      <c r="F2453" s="601">
        <v>0.86472555555555619</v>
      </c>
      <c r="G2453" s="536" t="s">
        <v>681</v>
      </c>
      <c r="H2453">
        <f>3024.86+8.19</f>
        <v>3033.05</v>
      </c>
    </row>
    <row r="2454" spans="1:8" ht="12.75" customHeight="1">
      <c r="A2454" s="532">
        <v>44771</v>
      </c>
      <c r="B2454" s="615">
        <v>45000</v>
      </c>
      <c r="C2454" s="615">
        <f t="shared" si="274"/>
        <v>54568.73000000001</v>
      </c>
      <c r="D2454" s="532">
        <f t="shared" si="275"/>
        <v>44861</v>
      </c>
      <c r="E2454" s="534">
        <v>90</v>
      </c>
      <c r="F2454" s="601">
        <v>0.86236702469135884</v>
      </c>
      <c r="G2454" s="536" t="s">
        <v>686</v>
      </c>
      <c r="H2454">
        <f>45110.96+9457.77</f>
        <v>54568.729999999996</v>
      </c>
    </row>
    <row r="2455" spans="1:8" ht="12.75" customHeight="1">
      <c r="A2455" s="532">
        <v>44774</v>
      </c>
      <c r="B2455" s="615">
        <v>35800</v>
      </c>
      <c r="C2455" s="615">
        <f t="shared" si="274"/>
        <v>43512.54</v>
      </c>
      <c r="D2455" s="532">
        <f t="shared" si="275"/>
        <v>44865</v>
      </c>
      <c r="E2455" s="534">
        <v>91</v>
      </c>
      <c r="F2455" s="601">
        <v>0.86410372030204441</v>
      </c>
      <c r="G2455" s="536" t="s">
        <v>698</v>
      </c>
      <c r="H2455">
        <f>35889.25+7623.29</f>
        <v>43512.54</v>
      </c>
    </row>
    <row r="2456" spans="1:8" ht="12.75" customHeight="1">
      <c r="A2456" s="532">
        <v>44774</v>
      </c>
      <c r="B2456" s="615">
        <v>100000</v>
      </c>
      <c r="C2456" s="615">
        <f t="shared" si="274"/>
        <v>121543.43</v>
      </c>
      <c r="D2456" s="532">
        <f t="shared" si="275"/>
        <v>44865</v>
      </c>
      <c r="E2456" s="534">
        <v>91</v>
      </c>
      <c r="F2456" s="601">
        <v>0.86410460989010984</v>
      </c>
      <c r="G2456" s="536" t="s">
        <v>686</v>
      </c>
      <c r="H2456">
        <f>56037.84+11564.28</f>
        <v>67602.12</v>
      </c>
    </row>
    <row r="2457" spans="1:8" ht="12.75" customHeight="1">
      <c r="A2457" s="532">
        <v>44774</v>
      </c>
      <c r="B2457" s="615">
        <v>105000</v>
      </c>
      <c r="C2457" s="615">
        <f t="shared" si="274"/>
        <v>127620.76000000001</v>
      </c>
      <c r="D2457" s="532">
        <f t="shared" si="275"/>
        <v>44865</v>
      </c>
      <c r="E2457" s="534">
        <v>91</v>
      </c>
      <c r="F2457" s="601">
        <v>0.86411066457352204</v>
      </c>
      <c r="G2457" s="536" t="s">
        <v>687</v>
      </c>
      <c r="H2457">
        <f>100249.32+21294.11</f>
        <v>121543.43000000001</v>
      </c>
    </row>
    <row r="2458" spans="1:8" ht="12.75" customHeight="1">
      <c r="A2458" s="532">
        <v>44774</v>
      </c>
      <c r="B2458" s="615">
        <v>340000</v>
      </c>
      <c r="C2458" s="615">
        <f t="shared" si="274"/>
        <v>413248.73</v>
      </c>
      <c r="D2458" s="532">
        <f t="shared" si="275"/>
        <v>44865</v>
      </c>
      <c r="E2458" s="534">
        <v>91</v>
      </c>
      <c r="F2458" s="601">
        <v>0.86411720911441436</v>
      </c>
      <c r="G2458" s="536" t="s">
        <v>704</v>
      </c>
      <c r="H2458">
        <f>68167.67+14067.45</f>
        <v>82235.12</v>
      </c>
    </row>
    <row r="2459" spans="1:8" ht="12.75" customHeight="1">
      <c r="A2459" s="532">
        <v>44775</v>
      </c>
      <c r="B2459" s="615">
        <v>55900</v>
      </c>
      <c r="C2459" s="615">
        <f t="shared" si="274"/>
        <v>67602.119999999981</v>
      </c>
      <c r="D2459" s="532">
        <f t="shared" si="275"/>
        <v>44865</v>
      </c>
      <c r="E2459" s="534">
        <v>90</v>
      </c>
      <c r="F2459" s="601">
        <v>0.84899101570264257</v>
      </c>
      <c r="G2459" s="536" t="s">
        <v>698</v>
      </c>
      <c r="H2459">
        <f>95664.97+235.24</f>
        <v>95900.21</v>
      </c>
    </row>
    <row r="2460" spans="1:8" ht="12.75" customHeight="1">
      <c r="A2460" s="532">
        <v>44775</v>
      </c>
      <c r="B2460" s="615">
        <v>68000</v>
      </c>
      <c r="C2460" s="615">
        <f t="shared" si="274"/>
        <v>82235.12</v>
      </c>
      <c r="D2460" s="532">
        <f t="shared" si="275"/>
        <v>44865</v>
      </c>
      <c r="E2460" s="534">
        <v>90</v>
      </c>
      <c r="F2460" s="601">
        <v>0.84899000000000013</v>
      </c>
      <c r="G2460" s="536" t="s">
        <v>686</v>
      </c>
      <c r="H2460">
        <v>97593.38</v>
      </c>
    </row>
    <row r="2461" spans="1:8" ht="12.75" customHeight="1">
      <c r="A2461" s="532">
        <v>44775</v>
      </c>
      <c r="B2461" s="615">
        <v>79300</v>
      </c>
      <c r="C2461" s="615">
        <f t="shared" si="274"/>
        <v>95900.210000000021</v>
      </c>
      <c r="D2461" s="532">
        <f t="shared" si="275"/>
        <v>44865</v>
      </c>
      <c r="E2461" s="534">
        <v>90</v>
      </c>
      <c r="F2461" s="601">
        <v>0.84896688384475338</v>
      </c>
      <c r="G2461" s="536" t="s">
        <v>681</v>
      </c>
      <c r="H2461">
        <v>127620.76</v>
      </c>
    </row>
    <row r="2462" spans="1:8" ht="12.75" customHeight="1">
      <c r="A2462" s="532">
        <v>44775</v>
      </c>
      <c r="B2462" s="615">
        <v>80700</v>
      </c>
      <c r="C2462" s="615">
        <f t="shared" si="274"/>
        <v>97593.38</v>
      </c>
      <c r="D2462" s="532">
        <f t="shared" si="275"/>
        <v>44865</v>
      </c>
      <c r="E2462" s="534">
        <v>90</v>
      </c>
      <c r="F2462" s="601">
        <v>0.84897200881178581</v>
      </c>
      <c r="G2462" s="536" t="s">
        <v>703</v>
      </c>
      <c r="H2462">
        <v>413248.73</v>
      </c>
    </row>
    <row r="2463" spans="1:8" ht="12.75" customHeight="1">
      <c r="A2463" s="532">
        <v>44775</v>
      </c>
      <c r="B2463" s="615">
        <v>15000</v>
      </c>
      <c r="C2463" s="615">
        <f t="shared" si="274"/>
        <v>18139.409999999996</v>
      </c>
      <c r="D2463" s="532">
        <f t="shared" si="275"/>
        <v>44865</v>
      </c>
      <c r="E2463" s="534">
        <v>90</v>
      </c>
      <c r="F2463" s="601">
        <v>0.84880344444444356</v>
      </c>
      <c r="G2463" s="536" t="s">
        <v>704</v>
      </c>
      <c r="H2463">
        <v>18139.41</v>
      </c>
    </row>
    <row r="2464" spans="1:8" ht="12.75" customHeight="1">
      <c r="A2464" s="532">
        <v>44775</v>
      </c>
      <c r="B2464" s="615">
        <v>10000</v>
      </c>
      <c r="C2464" s="615">
        <f t="shared" ref="A2464:C2527" si="276">B2464+(B2464*F2464/365*E2464)*1</f>
        <v>12094.040000000003</v>
      </c>
      <c r="D2464" s="532">
        <f t="shared" si="275"/>
        <v>44865</v>
      </c>
      <c r="E2464" s="534">
        <v>90</v>
      </c>
      <c r="F2464" s="601">
        <v>0.84924955555555637</v>
      </c>
      <c r="G2464" s="536" t="s">
        <v>704</v>
      </c>
      <c r="H2464">
        <v>12094.04</v>
      </c>
    </row>
    <row r="2465" spans="1:8" ht="12.75" customHeight="1">
      <c r="A2465" s="532">
        <v>44776</v>
      </c>
      <c r="B2465" s="615">
        <v>5100</v>
      </c>
      <c r="C2465" s="615">
        <f t="shared" si="276"/>
        <v>6193.170000000001</v>
      </c>
      <c r="D2465" s="532">
        <f t="shared" si="275"/>
        <v>44866</v>
      </c>
      <c r="E2465" s="534">
        <v>90</v>
      </c>
      <c r="F2465" s="601">
        <v>0.86929640522875895</v>
      </c>
      <c r="G2465" s="536" t="s">
        <v>681</v>
      </c>
      <c r="H2465">
        <f>6178.28+14.89</f>
        <v>6193.17</v>
      </c>
    </row>
    <row r="2466" spans="1:8" ht="12.75" customHeight="1">
      <c r="A2466" s="532">
        <v>44776</v>
      </c>
      <c r="B2466" s="615">
        <v>65600</v>
      </c>
      <c r="C2466" s="615">
        <f t="shared" si="276"/>
        <v>79661.310000000012</v>
      </c>
      <c r="D2466" s="532">
        <f t="shared" si="275"/>
        <v>44866</v>
      </c>
      <c r="E2466" s="534">
        <v>90</v>
      </c>
      <c r="F2466" s="601">
        <v>0.86930524220867267</v>
      </c>
      <c r="G2466" s="536" t="s">
        <v>698</v>
      </c>
      <c r="H2466">
        <f>65761.75+13899.56</f>
        <v>79661.31</v>
      </c>
    </row>
    <row r="2467" spans="1:8" ht="12.75" customHeight="1">
      <c r="A2467" s="532">
        <v>44776</v>
      </c>
      <c r="B2467" s="615">
        <v>45000</v>
      </c>
      <c r="C2467" s="615">
        <f t="shared" si="276"/>
        <v>54645.720000000008</v>
      </c>
      <c r="D2467" s="532">
        <f t="shared" si="275"/>
        <v>44866</v>
      </c>
      <c r="E2467" s="534">
        <v>90</v>
      </c>
      <c r="F2467" s="601">
        <v>0.86930562962963032</v>
      </c>
      <c r="G2467" s="536" t="s">
        <v>686</v>
      </c>
      <c r="H2467">
        <f>45110.96+9534.76</f>
        <v>54645.72</v>
      </c>
    </row>
    <row r="2468" spans="1:8" ht="12.75" customHeight="1">
      <c r="A2468" s="532">
        <v>44776</v>
      </c>
      <c r="B2468" s="615">
        <v>102000</v>
      </c>
      <c r="C2468" s="615">
        <f t="shared" si="276"/>
        <v>123863.36000000002</v>
      </c>
      <c r="D2468" s="532">
        <f t="shared" si="275"/>
        <v>44866</v>
      </c>
      <c r="E2468" s="534">
        <v>90</v>
      </c>
      <c r="F2468" s="601">
        <v>0.8692948148148153</v>
      </c>
      <c r="G2468" s="536" t="s">
        <v>687</v>
      </c>
      <c r="H2468">
        <v>123863.36</v>
      </c>
    </row>
    <row r="2469" spans="1:8" ht="12.75" customHeight="1">
      <c r="A2469" s="532">
        <v>44777</v>
      </c>
      <c r="B2469" s="615">
        <v>98000</v>
      </c>
      <c r="C2469" s="615">
        <f t="shared" si="276"/>
        <v>119035.94999999998</v>
      </c>
      <c r="D2469" s="532">
        <f t="shared" si="275"/>
        <v>44867</v>
      </c>
      <c r="E2469" s="534">
        <v>90</v>
      </c>
      <c r="F2469" s="601">
        <v>0.87053534580498815</v>
      </c>
      <c r="G2469" s="536" t="s">
        <v>686</v>
      </c>
      <c r="H2469">
        <f>20794.31+98241.64</f>
        <v>119035.95</v>
      </c>
    </row>
    <row r="2470" spans="1:8" ht="12.75" customHeight="1">
      <c r="A2470" s="532">
        <v>44781</v>
      </c>
      <c r="B2470" s="615">
        <v>45600</v>
      </c>
      <c r="C2470" s="615">
        <f t="shared" si="276"/>
        <v>55531.130000000012</v>
      </c>
      <c r="D2470" s="532">
        <f t="shared" si="275"/>
        <v>44872</v>
      </c>
      <c r="E2470" s="534">
        <v>91</v>
      </c>
      <c r="F2470" s="601">
        <v>0.87354502843647674</v>
      </c>
      <c r="G2470" s="536" t="s">
        <v>701</v>
      </c>
      <c r="H2470">
        <f>11965.98+30.02</f>
        <v>11996</v>
      </c>
    </row>
    <row r="2471" spans="1:8" ht="12.75" customHeight="1">
      <c r="A2471" s="532">
        <v>44781</v>
      </c>
      <c r="B2471" s="615">
        <v>25000</v>
      </c>
      <c r="C2471" s="615">
        <f t="shared" si="276"/>
        <v>30443.560000000005</v>
      </c>
      <c r="D2471" s="532">
        <f t="shared" si="275"/>
        <v>44872</v>
      </c>
      <c r="E2471" s="534">
        <v>91</v>
      </c>
      <c r="F2471" s="601">
        <v>0.87336237362637403</v>
      </c>
      <c r="G2471" s="536" t="s">
        <v>687</v>
      </c>
      <c r="H2471">
        <f>45713.69+9817.44</f>
        <v>55531.130000000005</v>
      </c>
    </row>
    <row r="2472" spans="1:8" ht="12.75" customHeight="1">
      <c r="A2472" s="532">
        <v>44782</v>
      </c>
      <c r="B2472" s="615">
        <v>9900</v>
      </c>
      <c r="C2472" s="615">
        <f t="shared" si="276"/>
        <v>11995.999999999998</v>
      </c>
      <c r="D2472" s="532">
        <f t="shared" si="275"/>
        <v>44872</v>
      </c>
      <c r="E2472" s="534">
        <v>90</v>
      </c>
      <c r="F2472" s="601">
        <v>0.85863075196408467</v>
      </c>
      <c r="G2472" s="536" t="s">
        <v>681</v>
      </c>
      <c r="H2472">
        <f>65160.27+13597.88</f>
        <v>78758.149999999994</v>
      </c>
    </row>
    <row r="2473" spans="1:8" ht="12.75" customHeight="1">
      <c r="A2473" s="532">
        <v>44782</v>
      </c>
      <c r="B2473" s="615">
        <v>65000</v>
      </c>
      <c r="C2473" s="615">
        <f t="shared" si="276"/>
        <v>78758.149999999994</v>
      </c>
      <c r="D2473" s="532">
        <f t="shared" ref="A2473:D2536" si="277">+A2473+E2473</f>
        <v>44872</v>
      </c>
      <c r="E2473" s="534">
        <v>90</v>
      </c>
      <c r="F2473" s="601">
        <v>0.85841448717948676</v>
      </c>
      <c r="G2473" s="536" t="s">
        <v>686</v>
      </c>
      <c r="H2473">
        <v>30443.56</v>
      </c>
    </row>
    <row r="2474" spans="1:8" ht="12.75" customHeight="1">
      <c r="A2474" s="532">
        <v>44782</v>
      </c>
      <c r="B2474" s="615">
        <v>65000</v>
      </c>
      <c r="C2474" s="615">
        <f t="shared" si="276"/>
        <v>78757.710000000006</v>
      </c>
      <c r="D2474" s="532">
        <f t="shared" si="277"/>
        <v>44872</v>
      </c>
      <c r="E2474" s="534">
        <v>90</v>
      </c>
      <c r="F2474" s="601">
        <v>0.85838703418803464</v>
      </c>
      <c r="G2474" s="536" t="s">
        <v>687</v>
      </c>
      <c r="H2474">
        <v>78757.710000000006</v>
      </c>
    </row>
    <row r="2475" spans="1:8" ht="12.75" customHeight="1">
      <c r="A2475" s="532">
        <v>44783</v>
      </c>
      <c r="B2475" s="615">
        <v>65000</v>
      </c>
      <c r="C2475" s="615">
        <f t="shared" si="276"/>
        <v>79084.45</v>
      </c>
      <c r="D2475" s="532">
        <f t="shared" si="277"/>
        <v>44873</v>
      </c>
      <c r="E2475" s="534">
        <v>90</v>
      </c>
      <c r="F2475" s="601">
        <v>0.8787733760683758</v>
      </c>
      <c r="G2475" s="536" t="s">
        <v>701</v>
      </c>
      <c r="H2475">
        <f>65160.27+13924.18</f>
        <v>79084.45</v>
      </c>
    </row>
    <row r="2476" spans="1:8" ht="12.75" customHeight="1">
      <c r="A2476" s="532">
        <v>44783</v>
      </c>
      <c r="B2476" s="615">
        <v>23000</v>
      </c>
      <c r="C2476" s="615">
        <f t="shared" si="276"/>
        <v>27983.719999999998</v>
      </c>
      <c r="D2476" s="532">
        <f t="shared" si="277"/>
        <v>44873</v>
      </c>
      <c r="E2476" s="534">
        <v>90</v>
      </c>
      <c r="F2476" s="601">
        <v>0.8787718840579708</v>
      </c>
      <c r="G2476" s="536" t="s">
        <v>686</v>
      </c>
      <c r="H2476">
        <f>23056.71+4927.01</f>
        <v>27983.72</v>
      </c>
    </row>
    <row r="2477" spans="1:8" ht="12.75" customHeight="1">
      <c r="A2477" s="532">
        <v>44784</v>
      </c>
      <c r="B2477" s="615">
        <v>72100</v>
      </c>
      <c r="C2477" s="615">
        <f t="shared" si="276"/>
        <v>87749.11</v>
      </c>
      <c r="D2477" s="532">
        <f t="shared" si="277"/>
        <v>44874</v>
      </c>
      <c r="E2477" s="534">
        <v>90</v>
      </c>
      <c r="F2477" s="601">
        <v>0.88024736477115129</v>
      </c>
      <c r="G2477" s="536" t="s">
        <v>703</v>
      </c>
      <c r="H2477">
        <v>87749.11</v>
      </c>
    </row>
    <row r="2478" spans="1:8" ht="12.75" customHeight="1">
      <c r="A2478" s="532">
        <v>44785</v>
      </c>
      <c r="B2478" s="615">
        <v>12000</v>
      </c>
      <c r="C2478" s="615">
        <f t="shared" si="276"/>
        <v>14608.65</v>
      </c>
      <c r="D2478" s="532">
        <f t="shared" si="277"/>
        <v>44875</v>
      </c>
      <c r="E2478" s="534">
        <v>90</v>
      </c>
      <c r="F2478" s="601">
        <v>0.88162708333333295</v>
      </c>
      <c r="G2478" s="536" t="s">
        <v>687</v>
      </c>
      <c r="H2478">
        <v>14608.65</v>
      </c>
    </row>
    <row r="2479" spans="1:8" ht="12.75" customHeight="1">
      <c r="A2479" s="532">
        <v>44789</v>
      </c>
      <c r="B2479" s="615">
        <v>8000</v>
      </c>
      <c r="C2479" s="615">
        <f t="shared" si="276"/>
        <v>9760.4199999999983</v>
      </c>
      <c r="D2479" s="532">
        <f t="shared" si="277"/>
        <v>44879</v>
      </c>
      <c r="E2479" s="534">
        <v>90</v>
      </c>
      <c r="F2479" s="601">
        <v>0.89243513888888792</v>
      </c>
      <c r="G2479" s="536" t="s">
        <v>703</v>
      </c>
      <c r="H2479">
        <v>9760.42</v>
      </c>
    </row>
    <row r="2480" spans="1:8" ht="12.75" customHeight="1">
      <c r="A2480" s="532">
        <v>44789</v>
      </c>
      <c r="B2480" s="615">
        <v>149700</v>
      </c>
      <c r="C2480" s="615">
        <f t="shared" si="276"/>
        <v>182648.20999999996</v>
      </c>
      <c r="D2480" s="532">
        <f t="shared" si="277"/>
        <v>44879</v>
      </c>
      <c r="E2480" s="534">
        <v>90</v>
      </c>
      <c r="F2480" s="601">
        <v>0.8926071884509752</v>
      </c>
      <c r="G2480" s="536" t="s">
        <v>699</v>
      </c>
      <c r="H2480">
        <v>182648.21</v>
      </c>
    </row>
    <row r="2481" spans="1:8" ht="12.75" customHeight="1">
      <c r="A2481" s="532">
        <v>44789</v>
      </c>
      <c r="B2481" s="615">
        <v>30000</v>
      </c>
      <c r="C2481" s="615">
        <f t="shared" si="276"/>
        <v>36602.840000000004</v>
      </c>
      <c r="D2481" s="532">
        <f t="shared" si="277"/>
        <v>44879</v>
      </c>
      <c r="E2481" s="534">
        <v>90</v>
      </c>
      <c r="F2481" s="601">
        <v>0.89260614814814865</v>
      </c>
      <c r="G2481" s="536" t="s">
        <v>698</v>
      </c>
      <c r="H2481">
        <f>30073.97+6528.87</f>
        <v>36602.840000000004</v>
      </c>
    </row>
    <row r="2482" spans="1:8" ht="12.75" customHeight="1">
      <c r="A2482" s="532">
        <v>44789</v>
      </c>
      <c r="B2482" s="615">
        <v>62000</v>
      </c>
      <c r="C2482" s="615">
        <f t="shared" si="276"/>
        <v>75645.99000000002</v>
      </c>
      <c r="D2482" s="532">
        <f t="shared" si="277"/>
        <v>44879</v>
      </c>
      <c r="E2482" s="534">
        <v>90</v>
      </c>
      <c r="F2482" s="601">
        <v>0.89261404121863896</v>
      </c>
      <c r="G2482" s="536" t="s">
        <v>687</v>
      </c>
      <c r="H2482">
        <f>26064.11+5611.51</f>
        <v>31675.620000000003</v>
      </c>
    </row>
    <row r="2483" spans="1:8" ht="12.75" customHeight="1">
      <c r="A2483" s="532">
        <v>44790</v>
      </c>
      <c r="B2483" s="615">
        <v>26000</v>
      </c>
      <c r="C2483" s="615">
        <f t="shared" si="276"/>
        <v>31675.619999999995</v>
      </c>
      <c r="D2483" s="532">
        <f t="shared" si="277"/>
        <v>44880</v>
      </c>
      <c r="E2483" s="534">
        <v>90</v>
      </c>
      <c r="F2483" s="601">
        <v>0.88529970085470022</v>
      </c>
      <c r="G2483" s="536" t="s">
        <v>698</v>
      </c>
      <c r="H2483">
        <f>7318+1575.54</f>
        <v>8893.5400000000009</v>
      </c>
    </row>
    <row r="2484" spans="1:8" ht="12.75" customHeight="1">
      <c r="A2484" s="532">
        <v>44790</v>
      </c>
      <c r="B2484" s="615">
        <v>7300</v>
      </c>
      <c r="C2484" s="615">
        <f t="shared" si="276"/>
        <v>8893.5400000000027</v>
      </c>
      <c r="D2484" s="532">
        <f t="shared" si="277"/>
        <v>44880</v>
      </c>
      <c r="E2484" s="534">
        <v>90</v>
      </c>
      <c r="F2484" s="601">
        <v>0.8853000000000012</v>
      </c>
      <c r="G2484" s="536" t="s">
        <v>701</v>
      </c>
      <c r="H2484">
        <v>44345.88</v>
      </c>
    </row>
    <row r="2485" spans="1:8" ht="13.5" customHeight="1">
      <c r="A2485" s="532">
        <v>44790</v>
      </c>
      <c r="B2485" s="615">
        <v>36400</v>
      </c>
      <c r="C2485" s="615">
        <f t="shared" si="276"/>
        <v>44345.87999999999</v>
      </c>
      <c r="D2485" s="532">
        <f t="shared" si="277"/>
        <v>44880</v>
      </c>
      <c r="E2485" s="534">
        <v>90</v>
      </c>
      <c r="F2485" s="601">
        <v>0.88530103785103664</v>
      </c>
      <c r="G2485" s="536" t="s">
        <v>699</v>
      </c>
      <c r="H2485">
        <v>75645.990000000005</v>
      </c>
    </row>
    <row r="2486" spans="1:8" ht="13.5" customHeight="1">
      <c r="A2486" s="532">
        <v>44791</v>
      </c>
      <c r="B2486" s="615">
        <v>52800</v>
      </c>
      <c r="C2486" s="615">
        <f t="shared" si="276"/>
        <v>64299.07</v>
      </c>
      <c r="D2486" s="532">
        <f t="shared" si="277"/>
        <v>44881</v>
      </c>
      <c r="E2486" s="534">
        <v>90</v>
      </c>
      <c r="F2486" s="601">
        <v>0.88324085648148143</v>
      </c>
      <c r="G2486" s="536" t="s">
        <v>699</v>
      </c>
      <c r="H2486">
        <v>64299.07</v>
      </c>
    </row>
    <row r="2487" spans="1:8" ht="13.5" customHeight="1">
      <c r="A2487" s="532">
        <v>44791</v>
      </c>
      <c r="B2487" s="615">
        <v>70000</v>
      </c>
      <c r="C2487" s="615">
        <f t="shared" si="276"/>
        <v>85244.96</v>
      </c>
      <c r="D2487" s="532">
        <f t="shared" si="277"/>
        <v>44881</v>
      </c>
      <c r="E2487" s="534">
        <v>90</v>
      </c>
      <c r="F2487" s="601">
        <v>0.88323974603174638</v>
      </c>
      <c r="G2487" s="536" t="s">
        <v>698</v>
      </c>
      <c r="H2487">
        <f>70172.6+15072.36</f>
        <v>85244.96</v>
      </c>
    </row>
    <row r="2488" spans="1:8" ht="13.5" customHeight="1">
      <c r="A2488" s="532">
        <v>44798</v>
      </c>
      <c r="B2488" s="615">
        <v>7350</v>
      </c>
      <c r="C2488" s="615">
        <f t="shared" si="276"/>
        <v>8934.3500000000022</v>
      </c>
      <c r="D2488" s="532">
        <f t="shared" si="277"/>
        <v>44888</v>
      </c>
      <c r="E2488" s="534">
        <v>90</v>
      </c>
      <c r="F2488" s="601">
        <v>0.87420672713529923</v>
      </c>
      <c r="G2488" s="536" t="s">
        <v>699</v>
      </c>
      <c r="H2488">
        <v>8934.31</v>
      </c>
    </row>
    <row r="2489" spans="1:8" ht="13.5" customHeight="1">
      <c r="A2489" s="532">
        <v>44798</v>
      </c>
      <c r="B2489" s="615">
        <v>28000</v>
      </c>
      <c r="C2489" s="615">
        <f t="shared" si="276"/>
        <v>34036.030000000006</v>
      </c>
      <c r="D2489" s="532">
        <f t="shared" si="277"/>
        <v>44888</v>
      </c>
      <c r="E2489" s="534">
        <v>90</v>
      </c>
      <c r="F2489" s="601">
        <v>0.87426625000000047</v>
      </c>
      <c r="G2489" s="536" t="s">
        <v>686</v>
      </c>
      <c r="H2489">
        <f>28069.64+5966.39</f>
        <v>34036.03</v>
      </c>
    </row>
    <row r="2490" spans="1:8" ht="13.5" customHeight="1">
      <c r="A2490" s="532">
        <v>44798</v>
      </c>
      <c r="B2490" s="615">
        <v>65000</v>
      </c>
      <c r="C2490" s="615">
        <f t="shared" si="276"/>
        <v>79009.95</v>
      </c>
      <c r="D2490" s="532">
        <f t="shared" si="277"/>
        <v>44888</v>
      </c>
      <c r="E2490" s="534">
        <v>90</v>
      </c>
      <c r="F2490" s="601">
        <v>0.87412508547008527</v>
      </c>
      <c r="G2490" s="536" t="s">
        <v>687</v>
      </c>
      <c r="H2490">
        <v>79009.95</v>
      </c>
    </row>
    <row r="2491" spans="1:8" ht="13.5" customHeight="1">
      <c r="A2491" s="532">
        <v>44799</v>
      </c>
      <c r="B2491" s="615">
        <v>30000</v>
      </c>
      <c r="C2491" s="615">
        <f t="shared" si="276"/>
        <v>36458.47</v>
      </c>
      <c r="D2491" s="532">
        <f t="shared" si="277"/>
        <v>44889</v>
      </c>
      <c r="E2491" s="534">
        <v>90</v>
      </c>
      <c r="F2491" s="601">
        <v>0.8730894629629633</v>
      </c>
      <c r="G2491" s="536" t="s">
        <v>687</v>
      </c>
      <c r="H2491">
        <v>36458.47</v>
      </c>
    </row>
    <row r="2492" spans="1:8" ht="13.5" customHeight="1">
      <c r="A2492" s="532">
        <v>44802</v>
      </c>
      <c r="B2492" s="615">
        <v>45700</v>
      </c>
      <c r="C2492" s="615">
        <f t="shared" si="276"/>
        <v>55636.33</v>
      </c>
      <c r="D2492" s="532">
        <f t="shared" si="277"/>
        <v>44893</v>
      </c>
      <c r="E2492" s="534">
        <v>91</v>
      </c>
      <c r="F2492" s="601">
        <v>0.87208994397287676</v>
      </c>
      <c r="G2492" s="536" t="s">
        <v>701</v>
      </c>
      <c r="H2492">
        <f>45813.94+9821.39</f>
        <v>55635.33</v>
      </c>
    </row>
    <row r="2493" spans="1:8" ht="13.5" customHeight="1">
      <c r="A2493" s="532">
        <v>44802</v>
      </c>
      <c r="B2493" s="615">
        <v>138500</v>
      </c>
      <c r="C2493" s="615">
        <f t="shared" si="276"/>
        <v>168610.32999999996</v>
      </c>
      <c r="D2493" s="532">
        <f t="shared" si="277"/>
        <v>44893</v>
      </c>
      <c r="E2493" s="534">
        <v>91</v>
      </c>
      <c r="F2493" s="601">
        <v>0.87200146387908017</v>
      </c>
      <c r="G2493" s="536" t="s">
        <v>698</v>
      </c>
      <c r="H2493">
        <f>138845.3+29765.03</f>
        <v>168610.33</v>
      </c>
    </row>
    <row r="2494" spans="1:8" ht="13.5" customHeight="1">
      <c r="A2494" s="532">
        <v>44802</v>
      </c>
      <c r="B2494" s="615">
        <v>280000</v>
      </c>
      <c r="C2494" s="615">
        <f t="shared" si="276"/>
        <v>340872.87000000011</v>
      </c>
      <c r="D2494" s="532">
        <f t="shared" si="277"/>
        <v>44893</v>
      </c>
      <c r="E2494" s="534">
        <v>91</v>
      </c>
      <c r="F2494" s="601">
        <v>0.87200147370486802</v>
      </c>
      <c r="G2494" s="536" t="s">
        <v>686</v>
      </c>
      <c r="H2494">
        <f>20049.32+4130.86</f>
        <v>24180.18</v>
      </c>
    </row>
    <row r="2495" spans="1:8" ht="13.5" customHeight="1">
      <c r="A2495" s="532">
        <v>44802</v>
      </c>
      <c r="B2495" s="615">
        <v>10000</v>
      </c>
      <c r="C2495" s="615">
        <f t="shared" si="276"/>
        <v>12172.98</v>
      </c>
      <c r="D2495" s="532">
        <f t="shared" si="277"/>
        <v>44893</v>
      </c>
      <c r="E2495" s="534">
        <v>91</v>
      </c>
      <c r="F2495" s="601">
        <v>0.87157989010988979</v>
      </c>
      <c r="G2495" s="536" t="s">
        <v>704</v>
      </c>
      <c r="H2495">
        <f>280698.08+60174.79</f>
        <v>340872.87</v>
      </c>
    </row>
    <row r="2496" spans="1:8" ht="13.5" customHeight="1">
      <c r="A2496" s="532">
        <v>44803</v>
      </c>
      <c r="B2496" s="615">
        <v>20000</v>
      </c>
      <c r="C2496" s="615">
        <f t="shared" si="276"/>
        <v>24180.18</v>
      </c>
      <c r="D2496" s="532">
        <f t="shared" si="277"/>
        <v>44893</v>
      </c>
      <c r="E2496" s="534">
        <v>90</v>
      </c>
      <c r="F2496" s="601">
        <v>0.84764761111111142</v>
      </c>
      <c r="G2496" s="536" t="s">
        <v>686</v>
      </c>
      <c r="H2496">
        <v>28411.71</v>
      </c>
    </row>
    <row r="2497" spans="1:8" ht="13.5" customHeight="1">
      <c r="A2497" s="532">
        <v>44803</v>
      </c>
      <c r="B2497" s="615">
        <v>23500</v>
      </c>
      <c r="C2497" s="615">
        <f t="shared" si="276"/>
        <v>28411.710000000003</v>
      </c>
      <c r="D2497" s="532">
        <f t="shared" si="277"/>
        <v>44893</v>
      </c>
      <c r="E2497" s="534">
        <v>90</v>
      </c>
      <c r="F2497" s="601">
        <v>0.84764735224586341</v>
      </c>
      <c r="G2497" s="536" t="s">
        <v>699</v>
      </c>
      <c r="H2497">
        <v>12172.98</v>
      </c>
    </row>
    <row r="2498" spans="1:8" ht="13.5" customHeight="1">
      <c r="A2498" s="532">
        <v>44803</v>
      </c>
      <c r="B2498" s="615">
        <v>120000</v>
      </c>
      <c r="C2498" s="615">
        <f t="shared" si="276"/>
        <v>145081.29000000004</v>
      </c>
      <c r="D2498" s="532">
        <f t="shared" si="277"/>
        <v>44893</v>
      </c>
      <c r="E2498" s="534">
        <v>90</v>
      </c>
      <c r="F2498" s="601">
        <v>0.84765470833333434</v>
      </c>
      <c r="G2498" s="536" t="s">
        <v>704</v>
      </c>
      <c r="H2498">
        <v>145081.29</v>
      </c>
    </row>
    <row r="2499" spans="1:8" ht="13.5" customHeight="1">
      <c r="A2499" s="532">
        <v>44804</v>
      </c>
      <c r="B2499" s="615">
        <v>40000</v>
      </c>
      <c r="C2499" s="615">
        <f t="shared" si="276"/>
        <v>48543.510000000009</v>
      </c>
      <c r="D2499" s="532">
        <f t="shared" si="277"/>
        <v>44894</v>
      </c>
      <c r="E2499" s="534">
        <v>90</v>
      </c>
      <c r="F2499" s="601">
        <v>0.86621698611111198</v>
      </c>
      <c r="G2499" s="536" t="s">
        <v>686</v>
      </c>
      <c r="H2499">
        <f>40098.63+8444.88</f>
        <v>48543.509999999995</v>
      </c>
    </row>
    <row r="2500" spans="1:8" ht="13.5" customHeight="1">
      <c r="A2500" s="532">
        <v>44804</v>
      </c>
      <c r="B2500" s="615">
        <v>118000</v>
      </c>
      <c r="C2500" s="615">
        <f t="shared" si="276"/>
        <v>143203.51</v>
      </c>
      <c r="D2500" s="532">
        <f t="shared" si="277"/>
        <v>44894</v>
      </c>
      <c r="E2500" s="534">
        <v>90</v>
      </c>
      <c r="F2500" s="601">
        <v>0.86622233050847486</v>
      </c>
      <c r="G2500" s="536" t="s">
        <v>704</v>
      </c>
      <c r="H2500">
        <v>78501.100000000006</v>
      </c>
    </row>
    <row r="2501" spans="1:8" ht="13.5" customHeight="1">
      <c r="A2501" s="532">
        <v>44804</v>
      </c>
      <c r="B2501" s="615">
        <v>10000</v>
      </c>
      <c r="C2501" s="615">
        <f t="shared" si="276"/>
        <v>12135.950000000003</v>
      </c>
      <c r="D2501" s="532">
        <f t="shared" si="277"/>
        <v>44894</v>
      </c>
      <c r="E2501" s="534">
        <v>90</v>
      </c>
      <c r="F2501" s="601">
        <v>0.86624638888888983</v>
      </c>
      <c r="G2501" s="536" t="s">
        <v>687</v>
      </c>
      <c r="H2501">
        <v>21475.66</v>
      </c>
    </row>
    <row r="2502" spans="1:8" ht="13.5" customHeight="1">
      <c r="A2502" s="532">
        <v>44805</v>
      </c>
      <c r="B2502" s="615">
        <v>64700</v>
      </c>
      <c r="C2502" s="615">
        <f t="shared" si="276"/>
        <v>78501.10000000002</v>
      </c>
      <c r="D2502" s="532">
        <f t="shared" si="277"/>
        <v>44895</v>
      </c>
      <c r="E2502" s="534">
        <v>90</v>
      </c>
      <c r="F2502" s="601">
        <v>0.86508698265499029</v>
      </c>
      <c r="G2502" s="536" t="s">
        <v>703</v>
      </c>
      <c r="H2502">
        <v>24266.29</v>
      </c>
    </row>
    <row r="2503" spans="1:8" ht="13.5" customHeight="1">
      <c r="A2503" s="532">
        <v>44805</v>
      </c>
      <c r="B2503" s="615">
        <v>17700</v>
      </c>
      <c r="C2503" s="615">
        <f t="shared" si="276"/>
        <v>21475.660000000003</v>
      </c>
      <c r="D2503" s="532">
        <f t="shared" si="277"/>
        <v>44895</v>
      </c>
      <c r="E2503" s="534">
        <v>90</v>
      </c>
      <c r="F2503" s="601">
        <v>0.86510728185812968</v>
      </c>
      <c r="G2503" s="536" t="s">
        <v>699</v>
      </c>
      <c r="H2503">
        <v>143203.51</v>
      </c>
    </row>
    <row r="2504" spans="1:8" ht="13.5" customHeight="1">
      <c r="A2504" s="532">
        <v>44805</v>
      </c>
      <c r="B2504" s="615">
        <v>20000</v>
      </c>
      <c r="C2504" s="615">
        <f t="shared" si="276"/>
        <v>24266.29</v>
      </c>
      <c r="D2504" s="532">
        <f t="shared" si="277"/>
        <v>44895</v>
      </c>
      <c r="E2504" s="534">
        <v>90</v>
      </c>
      <c r="F2504" s="601">
        <v>0.86510880555555614</v>
      </c>
      <c r="G2504" s="536" t="s">
        <v>699</v>
      </c>
      <c r="H2504">
        <v>12135.95</v>
      </c>
    </row>
    <row r="2505" spans="1:8" ht="13.5" customHeight="1">
      <c r="A2505" s="532">
        <v>44805</v>
      </c>
      <c r="B2505" s="615">
        <v>80000</v>
      </c>
      <c r="C2505" s="615">
        <f t="shared" si="276"/>
        <v>97064.800000000017</v>
      </c>
      <c r="D2505" s="532">
        <f t="shared" si="277"/>
        <v>44895</v>
      </c>
      <c r="E2505" s="534">
        <v>90</v>
      </c>
      <c r="F2505" s="601">
        <v>0.86509055555555603</v>
      </c>
      <c r="G2505" s="536" t="s">
        <v>704</v>
      </c>
      <c r="H2505">
        <v>97064.8</v>
      </c>
    </row>
    <row r="2506" spans="1:8" ht="13.5" customHeight="1">
      <c r="A2506" s="532">
        <v>44805</v>
      </c>
      <c r="B2506" s="615">
        <v>45000</v>
      </c>
      <c r="C2506" s="615">
        <f t="shared" si="276"/>
        <v>54599.73000000001</v>
      </c>
      <c r="D2506" s="532">
        <f t="shared" si="277"/>
        <v>44895</v>
      </c>
      <c r="E2506" s="534">
        <v>90</v>
      </c>
      <c r="F2506" s="601">
        <v>0.86516085185185265</v>
      </c>
      <c r="G2506" s="536" t="s">
        <v>687</v>
      </c>
      <c r="H2506">
        <v>54599.73</v>
      </c>
    </row>
    <row r="2507" spans="1:8" ht="13.5" customHeight="1">
      <c r="A2507" s="532">
        <v>44809</v>
      </c>
      <c r="B2507" s="615">
        <v>30000</v>
      </c>
      <c r="C2507" s="615">
        <f t="shared" si="276"/>
        <v>36453.97</v>
      </c>
      <c r="D2507" s="532">
        <f t="shared" si="277"/>
        <v>44900</v>
      </c>
      <c r="E2507" s="534">
        <v>91</v>
      </c>
      <c r="F2507" s="601">
        <v>0.86289342490842535</v>
      </c>
      <c r="G2507" s="536" t="s">
        <v>686</v>
      </c>
      <c r="H2507">
        <f>72177.53+14706.47</f>
        <v>86884</v>
      </c>
    </row>
    <row r="2508" spans="1:8" ht="13.5" customHeight="1">
      <c r="A2508" s="532">
        <v>44809</v>
      </c>
      <c r="B2508" s="615">
        <v>20000</v>
      </c>
      <c r="C2508" s="615">
        <f t="shared" si="276"/>
        <v>24302.65</v>
      </c>
      <c r="D2508" s="532">
        <f t="shared" si="277"/>
        <v>44900</v>
      </c>
      <c r="E2508" s="534">
        <v>91</v>
      </c>
      <c r="F2508" s="601">
        <v>0.86289409340659351</v>
      </c>
      <c r="G2508" s="536" t="s">
        <v>698</v>
      </c>
      <c r="H2508">
        <f>30074.79+6379.18</f>
        <v>36453.97</v>
      </c>
    </row>
    <row r="2509" spans="1:8" ht="13.5" customHeight="1">
      <c r="A2509" s="532">
        <v>44809</v>
      </c>
      <c r="B2509" s="615">
        <v>105000</v>
      </c>
      <c r="C2509" s="615">
        <f t="shared" si="276"/>
        <v>127589.23000000001</v>
      </c>
      <c r="D2509" s="532">
        <f t="shared" si="277"/>
        <v>44900</v>
      </c>
      <c r="E2509" s="534">
        <v>91</v>
      </c>
      <c r="F2509" s="601">
        <v>0.86290622187336508</v>
      </c>
      <c r="G2509" s="536" t="s">
        <v>687</v>
      </c>
      <c r="H2509">
        <f>41168.91+102.28</f>
        <v>41271.19</v>
      </c>
    </row>
    <row r="2510" spans="1:8" ht="13.5" customHeight="1">
      <c r="A2510" s="532">
        <v>44810</v>
      </c>
      <c r="B2510" s="615">
        <v>72000</v>
      </c>
      <c r="C2510" s="615">
        <f t="shared" si="276"/>
        <v>86884.000000000015</v>
      </c>
      <c r="D2510" s="532">
        <f t="shared" si="277"/>
        <v>44900</v>
      </c>
      <c r="E2510" s="534">
        <v>90</v>
      </c>
      <c r="F2510" s="601">
        <v>0.83837345679012398</v>
      </c>
      <c r="G2510" s="536" t="s">
        <v>686</v>
      </c>
      <c r="H2510">
        <f>20049.86+4252.79</f>
        <v>24302.65</v>
      </c>
    </row>
    <row r="2511" spans="1:8" ht="13.5" customHeight="1">
      <c r="A2511" s="532">
        <v>44810</v>
      </c>
      <c r="B2511" s="615">
        <v>34200</v>
      </c>
      <c r="C2511" s="615">
        <f t="shared" si="276"/>
        <v>41271.19</v>
      </c>
      <c r="D2511" s="532">
        <f t="shared" si="277"/>
        <v>44900</v>
      </c>
      <c r="E2511" s="534">
        <v>90</v>
      </c>
      <c r="F2511" s="601">
        <v>0.83852642949967582</v>
      </c>
      <c r="G2511" s="536" t="s">
        <v>681</v>
      </c>
      <c r="H2511">
        <v>127589.23</v>
      </c>
    </row>
    <row r="2512" spans="1:8" ht="13.5" customHeight="1">
      <c r="A2512" s="532">
        <v>44810</v>
      </c>
      <c r="B2512" s="615">
        <v>45000</v>
      </c>
      <c r="C2512" s="615">
        <f t="shared" si="276"/>
        <v>54303.48000000001</v>
      </c>
      <c r="D2512" s="532">
        <f t="shared" si="277"/>
        <v>44900</v>
      </c>
      <c r="E2512" s="534">
        <v>90</v>
      </c>
      <c r="F2512" s="601">
        <v>0.83846177777777842</v>
      </c>
      <c r="G2512" s="536" t="s">
        <v>687</v>
      </c>
      <c r="H2512">
        <v>54303.48</v>
      </c>
    </row>
    <row r="2513" spans="1:8" ht="13.5" customHeight="1">
      <c r="A2513" s="532">
        <v>44811</v>
      </c>
      <c r="B2513" s="615">
        <v>15000</v>
      </c>
      <c r="C2513" s="615">
        <f t="shared" si="276"/>
        <v>18170.759999999998</v>
      </c>
      <c r="D2513" s="532">
        <f t="shared" si="277"/>
        <v>44901</v>
      </c>
      <c r="E2513" s="534">
        <v>90</v>
      </c>
      <c r="F2513" s="601">
        <v>0.85727955555555535</v>
      </c>
      <c r="G2513" s="536" t="s">
        <v>701</v>
      </c>
      <c r="H2513">
        <f>15036.99+3133.77</f>
        <v>18170.759999999998</v>
      </c>
    </row>
    <row r="2514" spans="1:8" ht="13.5" customHeight="1">
      <c r="A2514" s="532">
        <v>44811</v>
      </c>
      <c r="B2514" s="615">
        <v>40000</v>
      </c>
      <c r="C2514" s="615">
        <f t="shared" si="276"/>
        <v>48455.350000000006</v>
      </c>
      <c r="D2514" s="532">
        <f t="shared" si="277"/>
        <v>44901</v>
      </c>
      <c r="E2514" s="534">
        <v>90</v>
      </c>
      <c r="F2514" s="601">
        <v>0.85727854166666706</v>
      </c>
      <c r="G2514" s="536" t="s">
        <v>698</v>
      </c>
      <c r="H2514">
        <f>40098.63+8356.72</f>
        <v>48455.35</v>
      </c>
    </row>
    <row r="2515" spans="1:8" ht="13.5" customHeight="1">
      <c r="A2515" s="532">
        <v>44811</v>
      </c>
      <c r="B2515" s="615">
        <v>50000</v>
      </c>
      <c r="C2515" s="615">
        <f t="shared" si="276"/>
        <v>60569.1875</v>
      </c>
      <c r="D2515" s="532">
        <f t="shared" si="277"/>
        <v>44901</v>
      </c>
      <c r="E2515" s="534">
        <v>90</v>
      </c>
      <c r="F2515" s="601">
        <v>0.85727854166666706</v>
      </c>
      <c r="G2515" s="536" t="s">
        <v>686</v>
      </c>
      <c r="H2515">
        <f>50123.29+10445.9</f>
        <v>60569.19</v>
      </c>
    </row>
    <row r="2516" spans="1:8" ht="13.5" customHeight="1">
      <c r="A2516" s="532">
        <v>44811</v>
      </c>
      <c r="B2516" s="615">
        <v>40000</v>
      </c>
      <c r="C2516" s="615">
        <f t="shared" si="276"/>
        <v>48454.37000000001</v>
      </c>
      <c r="D2516" s="532">
        <f t="shared" si="277"/>
        <v>44901</v>
      </c>
      <c r="E2516" s="534">
        <v>90</v>
      </c>
      <c r="F2516" s="601">
        <v>0.8571791805555562</v>
      </c>
      <c r="G2516" s="536" t="s">
        <v>687</v>
      </c>
      <c r="H2516">
        <v>48454.37</v>
      </c>
    </row>
    <row r="2517" spans="1:8" ht="13.5" customHeight="1">
      <c r="A2517" s="532">
        <v>44812</v>
      </c>
      <c r="B2517" s="615">
        <v>60000</v>
      </c>
      <c r="C2517" s="615">
        <f t="shared" si="276"/>
        <v>72662.250000000015</v>
      </c>
      <c r="D2517" s="532">
        <f t="shared" si="277"/>
        <v>44902</v>
      </c>
      <c r="E2517" s="534">
        <v>90</v>
      </c>
      <c r="F2517" s="601">
        <v>0.85587430555555633</v>
      </c>
      <c r="G2517" s="536" t="s">
        <v>686</v>
      </c>
      <c r="H2517">
        <f>60147.95+12514.3</f>
        <v>72662.25</v>
      </c>
    </row>
    <row r="2518" spans="1:8" ht="13.5" customHeight="1">
      <c r="A2518" s="532">
        <v>44813</v>
      </c>
      <c r="B2518" s="615">
        <v>29500</v>
      </c>
      <c r="C2518" s="615">
        <f t="shared" si="276"/>
        <v>35719.33</v>
      </c>
      <c r="D2518" s="532">
        <f t="shared" si="277"/>
        <v>44907</v>
      </c>
      <c r="E2518" s="534">
        <v>94</v>
      </c>
      <c r="F2518" s="601">
        <v>0.81862800216372189</v>
      </c>
      <c r="G2518" s="536" t="s">
        <v>699</v>
      </c>
      <c r="H2518">
        <v>35719.33</v>
      </c>
    </row>
    <row r="2519" spans="1:8" ht="13.5" customHeight="1">
      <c r="A2519" s="532">
        <v>44813</v>
      </c>
      <c r="B2519" s="615">
        <v>30000</v>
      </c>
      <c r="C2519" s="615">
        <f t="shared" si="276"/>
        <v>36234.81</v>
      </c>
      <c r="D2519" s="532">
        <f t="shared" si="277"/>
        <v>44907</v>
      </c>
      <c r="E2519" s="534">
        <v>94</v>
      </c>
      <c r="F2519" s="601">
        <v>0.80698781914893558</v>
      </c>
      <c r="G2519" s="536" t="s">
        <v>687</v>
      </c>
      <c r="H2519">
        <v>24590.82</v>
      </c>
    </row>
    <row r="2520" spans="1:8" ht="13.5" customHeight="1">
      <c r="A2520" s="532">
        <v>44816</v>
      </c>
      <c r="B2520" s="615">
        <v>160000</v>
      </c>
      <c r="C2520" s="615">
        <f t="shared" si="276"/>
        <v>193270.63</v>
      </c>
      <c r="D2520" s="532">
        <f t="shared" si="277"/>
        <v>44907</v>
      </c>
      <c r="E2520" s="534">
        <v>91</v>
      </c>
      <c r="F2520" s="601">
        <v>0.83405082074175818</v>
      </c>
      <c r="G2520" s="536" t="s">
        <v>686</v>
      </c>
      <c r="H2520">
        <f>160398.9+32871.73</f>
        <v>193270.63</v>
      </c>
    </row>
    <row r="2521" spans="1:8" ht="13.5" customHeight="1">
      <c r="A2521" s="532">
        <v>44816</v>
      </c>
      <c r="B2521" s="615">
        <v>78700</v>
      </c>
      <c r="C2521" s="615">
        <f t="shared" si="276"/>
        <v>95064.99000000002</v>
      </c>
      <c r="D2521" s="532">
        <f t="shared" si="277"/>
        <v>44907</v>
      </c>
      <c r="E2521" s="534">
        <v>91</v>
      </c>
      <c r="F2521" s="601">
        <v>0.83405076308697723</v>
      </c>
      <c r="G2521" s="536" t="s">
        <v>701</v>
      </c>
      <c r="H2521">
        <f>78896.21+16168.78</f>
        <v>95064.99</v>
      </c>
    </row>
    <row r="2522" spans="1:8" ht="13.5" customHeight="1">
      <c r="A2522" s="532">
        <v>44816</v>
      </c>
      <c r="B2522" s="615">
        <v>20000</v>
      </c>
      <c r="C2522" s="615">
        <f t="shared" si="276"/>
        <v>24158.93</v>
      </c>
      <c r="D2522" s="532">
        <f t="shared" si="277"/>
        <v>44907</v>
      </c>
      <c r="E2522" s="534">
        <v>91</v>
      </c>
      <c r="F2522" s="601">
        <v>0.83407112637362624</v>
      </c>
      <c r="G2522" s="536" t="s">
        <v>687</v>
      </c>
      <c r="H2522">
        <v>36324.81</v>
      </c>
    </row>
    <row r="2523" spans="1:8" ht="13.5" customHeight="1">
      <c r="A2523" s="532">
        <v>44817</v>
      </c>
      <c r="B2523" s="615">
        <v>20500</v>
      </c>
      <c r="C2523" s="615">
        <f t="shared" si="276"/>
        <v>24590.82</v>
      </c>
      <c r="D2523" s="532">
        <f t="shared" si="277"/>
        <v>44907</v>
      </c>
      <c r="E2523" s="534">
        <v>90</v>
      </c>
      <c r="F2523" s="601">
        <v>0.80929501355013533</v>
      </c>
      <c r="G2523" s="536" t="s">
        <v>699</v>
      </c>
      <c r="H2523">
        <v>35986.33</v>
      </c>
    </row>
    <row r="2524" spans="1:8" ht="13.5" customHeight="1">
      <c r="A2524" s="532">
        <v>44817</v>
      </c>
      <c r="B2524" s="615">
        <v>30000</v>
      </c>
      <c r="C2524" s="615">
        <f t="shared" si="276"/>
        <v>35986.330000000009</v>
      </c>
      <c r="D2524" s="532">
        <f t="shared" si="277"/>
        <v>44907</v>
      </c>
      <c r="E2524" s="534">
        <v>90</v>
      </c>
      <c r="F2524" s="601">
        <v>0.80926312962963043</v>
      </c>
      <c r="G2524" s="536" t="s">
        <v>687</v>
      </c>
      <c r="H2524">
        <v>24158.93</v>
      </c>
    </row>
    <row r="2525" spans="1:8" ht="13.5" customHeight="1">
      <c r="A2525" s="532">
        <v>44818</v>
      </c>
      <c r="B2525" s="615">
        <v>8000</v>
      </c>
      <c r="C2525" s="615">
        <f t="shared" si="276"/>
        <v>9672.5499999999975</v>
      </c>
      <c r="D2525" s="532">
        <f t="shared" si="277"/>
        <v>44908</v>
      </c>
      <c r="E2525" s="534">
        <v>90</v>
      </c>
      <c r="F2525" s="601">
        <v>0.84788993055555451</v>
      </c>
      <c r="G2525" s="536" t="s">
        <v>703</v>
      </c>
      <c r="H2525">
        <v>9672.5499999999993</v>
      </c>
    </row>
    <row r="2526" spans="1:8" ht="13.5" customHeight="1">
      <c r="A2526" s="532">
        <v>44818</v>
      </c>
      <c r="B2526" s="615">
        <v>69600</v>
      </c>
      <c r="C2526" s="615">
        <f t="shared" si="276"/>
        <v>84154.239999999991</v>
      </c>
      <c r="D2526" s="532">
        <f t="shared" si="277"/>
        <v>44908</v>
      </c>
      <c r="E2526" s="534">
        <v>90</v>
      </c>
      <c r="F2526" s="601">
        <v>0.84806794380587436</v>
      </c>
      <c r="G2526" s="536" t="s">
        <v>699</v>
      </c>
      <c r="H2526">
        <v>84154.240000000005</v>
      </c>
    </row>
    <row r="2527" spans="1:8" ht="13.5" customHeight="1">
      <c r="A2527" s="532">
        <v>44818</v>
      </c>
      <c r="B2527" s="615">
        <v>38000</v>
      </c>
      <c r="C2527" s="615">
        <f t="shared" si="276"/>
        <v>45946.28</v>
      </c>
      <c r="D2527" s="532">
        <f t="shared" si="277"/>
        <v>44908</v>
      </c>
      <c r="E2527" s="534">
        <v>90</v>
      </c>
      <c r="F2527" s="601">
        <v>0.84806789473684163</v>
      </c>
      <c r="G2527" s="536" t="s">
        <v>698</v>
      </c>
      <c r="H2527">
        <f>38093.7+7852.58</f>
        <v>45946.28</v>
      </c>
    </row>
    <row r="2528" spans="1:8" ht="13.5" customHeight="1">
      <c r="A2528" s="532">
        <v>44820</v>
      </c>
      <c r="B2528" s="615">
        <v>59000</v>
      </c>
      <c r="C2528" s="615">
        <f t="shared" ref="A2528:C2595" si="278">B2528+(B2528*F2528/365*E2528)*1</f>
        <v>71297.350000000006</v>
      </c>
      <c r="D2528" s="532">
        <f t="shared" si="277"/>
        <v>44910</v>
      </c>
      <c r="E2528" s="534">
        <v>90</v>
      </c>
      <c r="F2528" s="601">
        <v>0.84529806967985011</v>
      </c>
      <c r="G2528" s="536" t="s">
        <v>699</v>
      </c>
      <c r="H2528">
        <v>71297.350000000006</v>
      </c>
    </row>
    <row r="2529" spans="1:8" ht="13.5" customHeight="1">
      <c r="A2529" s="532">
        <v>44823</v>
      </c>
      <c r="B2529" s="615">
        <v>12100</v>
      </c>
      <c r="C2529" s="615">
        <f t="shared" si="278"/>
        <v>14641.769999999999</v>
      </c>
      <c r="D2529" s="532">
        <f t="shared" si="277"/>
        <v>44914</v>
      </c>
      <c r="E2529" s="534">
        <v>91</v>
      </c>
      <c r="F2529" s="601">
        <v>0.84256293706293672</v>
      </c>
      <c r="G2529" s="536" t="s">
        <v>699</v>
      </c>
      <c r="H2529">
        <f>32479.88+6460.76</f>
        <v>38940.639999999999</v>
      </c>
    </row>
    <row r="2530" spans="1:8" ht="13.5" customHeight="1">
      <c r="A2530" s="532">
        <v>44823</v>
      </c>
      <c r="B2530" s="615">
        <v>46500</v>
      </c>
      <c r="C2530" s="615">
        <f t="shared" si="278"/>
        <v>56267.57</v>
      </c>
      <c r="D2530" s="532">
        <f t="shared" si="277"/>
        <v>44914</v>
      </c>
      <c r="E2530" s="534">
        <v>91</v>
      </c>
      <c r="F2530" s="601">
        <v>0.84252937492614899</v>
      </c>
      <c r="G2530" s="536" t="s">
        <v>703</v>
      </c>
      <c r="H2530">
        <f>35086.3+6979.22</f>
        <v>42065.520000000004</v>
      </c>
    </row>
    <row r="2531" spans="1:8" ht="13.5" customHeight="1">
      <c r="A2531" s="532">
        <v>44823</v>
      </c>
      <c r="B2531" s="615">
        <v>85000</v>
      </c>
      <c r="C2531" s="615">
        <f t="shared" si="278"/>
        <v>102854.72</v>
      </c>
      <c r="D2531" s="532">
        <f t="shared" si="277"/>
        <v>44914</v>
      </c>
      <c r="E2531" s="534">
        <v>91</v>
      </c>
      <c r="F2531" s="601">
        <v>0.84253042016806678</v>
      </c>
      <c r="G2531" s="536" t="s">
        <v>704</v>
      </c>
      <c r="H2531">
        <v>14641.77</v>
      </c>
    </row>
    <row r="2532" spans="1:8" ht="13.5" customHeight="1">
      <c r="A2532" s="532">
        <v>44823</v>
      </c>
      <c r="B2532" s="615">
        <v>150000</v>
      </c>
      <c r="C2532" s="615">
        <f t="shared" si="278"/>
        <v>181510.55</v>
      </c>
      <c r="D2532" s="532">
        <f t="shared" si="277"/>
        <v>44914</v>
      </c>
      <c r="E2532" s="534">
        <v>91</v>
      </c>
      <c r="F2532" s="601">
        <v>0.84258979853479832</v>
      </c>
      <c r="G2532" s="536" t="s">
        <v>687</v>
      </c>
      <c r="H2532">
        <v>56267.57</v>
      </c>
    </row>
    <row r="2533" spans="1:8" ht="13.5" customHeight="1">
      <c r="A2533" s="532">
        <v>44824</v>
      </c>
      <c r="B2533" s="615">
        <v>32400</v>
      </c>
      <c r="C2533" s="615">
        <f t="shared" si="278"/>
        <v>38940.639999999999</v>
      </c>
      <c r="D2533" s="532">
        <f t="shared" si="277"/>
        <v>44914</v>
      </c>
      <c r="E2533" s="534">
        <v>90</v>
      </c>
      <c r="F2533" s="601">
        <v>0.81870150891632387</v>
      </c>
      <c r="G2533" s="536" t="s">
        <v>698</v>
      </c>
      <c r="H2533">
        <f>44225.41+109.32</f>
        <v>44334.73</v>
      </c>
    </row>
    <row r="2534" spans="1:8" ht="13.5" customHeight="1">
      <c r="A2534" s="532">
        <v>44824</v>
      </c>
      <c r="B2534" s="615">
        <v>35000</v>
      </c>
      <c r="C2534" s="615">
        <f t="shared" si="278"/>
        <v>42065.51999999999</v>
      </c>
      <c r="D2534" s="532">
        <f t="shared" si="277"/>
        <v>44914</v>
      </c>
      <c r="E2534" s="534">
        <v>90</v>
      </c>
      <c r="F2534" s="601">
        <v>0.81870311111111027</v>
      </c>
      <c r="G2534" s="536" t="s">
        <v>686</v>
      </c>
      <c r="H2534">
        <v>102854.72</v>
      </c>
    </row>
    <row r="2535" spans="1:8" ht="13.5" customHeight="1">
      <c r="A2535" s="532">
        <v>44824</v>
      </c>
      <c r="B2535" s="615">
        <v>30000</v>
      </c>
      <c r="C2535" s="615">
        <f t="shared" si="278"/>
        <v>36056.180000000008</v>
      </c>
      <c r="D2535" s="532">
        <f t="shared" si="277"/>
        <v>44914</v>
      </c>
      <c r="E2535" s="534">
        <v>90</v>
      </c>
      <c r="F2535" s="601">
        <v>0.81870581481481575</v>
      </c>
      <c r="G2535" s="536" t="s">
        <v>687</v>
      </c>
      <c r="H2535">
        <v>181510.55</v>
      </c>
    </row>
    <row r="2536" spans="1:8" ht="13.5" customHeight="1">
      <c r="A2536" s="532">
        <v>44825</v>
      </c>
      <c r="B2536" s="615">
        <v>36800</v>
      </c>
      <c r="C2536" s="615">
        <f t="shared" si="278"/>
        <v>44334.73</v>
      </c>
      <c r="D2536" s="532">
        <f t="shared" si="277"/>
        <v>44915</v>
      </c>
      <c r="E2536" s="534">
        <v>90</v>
      </c>
      <c r="F2536" s="601">
        <v>0.83036728562801931</v>
      </c>
      <c r="G2536" s="536" t="s">
        <v>681</v>
      </c>
      <c r="H2536">
        <v>36056.18</v>
      </c>
    </row>
    <row r="2537" spans="1:8" ht="13.5" customHeight="1">
      <c r="A2537" s="532">
        <v>44830</v>
      </c>
      <c r="B2537" s="615">
        <v>289500</v>
      </c>
      <c r="C2537" s="615">
        <f t="shared" si="278"/>
        <v>348574.14</v>
      </c>
      <c r="D2537" s="532">
        <f t="shared" ref="A2537:D2604" si="279">+A2537+E2537</f>
        <v>44921</v>
      </c>
      <c r="E2537" s="534">
        <v>91</v>
      </c>
      <c r="F2537" s="601">
        <v>0.81846537607470271</v>
      </c>
      <c r="G2537" s="536" t="s">
        <v>698</v>
      </c>
      <c r="H2537">
        <f>290221.77+58352.37</f>
        <v>348574.14</v>
      </c>
    </row>
    <row r="2538" spans="1:8" ht="13.5" customHeight="1">
      <c r="A2538" s="532">
        <v>44830</v>
      </c>
      <c r="B2538" s="615">
        <v>56800</v>
      </c>
      <c r="C2538" s="615">
        <f t="shared" si="278"/>
        <v>68391.260000000009</v>
      </c>
      <c r="D2538" s="532">
        <f t="shared" si="279"/>
        <v>44921</v>
      </c>
      <c r="E2538" s="534">
        <v>91</v>
      </c>
      <c r="F2538" s="601">
        <v>0.81852845921683959</v>
      </c>
      <c r="G2538" s="536" t="s">
        <v>681</v>
      </c>
      <c r="H2538">
        <f>68220.76+170.5</f>
        <v>68391.259999999995</v>
      </c>
    </row>
    <row r="2539" spans="1:8" ht="13.5" customHeight="1">
      <c r="A2539" s="532">
        <v>44830</v>
      </c>
      <c r="B2539" s="615">
        <v>18100</v>
      </c>
      <c r="C2539" s="615">
        <f t="shared" si="278"/>
        <v>21793.08</v>
      </c>
      <c r="D2539" s="532">
        <f t="shared" si="279"/>
        <v>44921</v>
      </c>
      <c r="E2539" s="534">
        <v>91</v>
      </c>
      <c r="F2539" s="601">
        <v>0.81839244733167427</v>
      </c>
      <c r="G2539" s="536" t="s">
        <v>703</v>
      </c>
      <c r="H2539">
        <v>21793.08</v>
      </c>
    </row>
    <row r="2540" spans="1:8" ht="13.5" customHeight="1">
      <c r="A2540" s="532">
        <v>44831</v>
      </c>
      <c r="B2540" s="615">
        <v>30000</v>
      </c>
      <c r="C2540" s="615">
        <f t="shared" si="278"/>
        <v>35875.08</v>
      </c>
      <c r="D2540" s="532">
        <f t="shared" si="279"/>
        <v>44921</v>
      </c>
      <c r="E2540" s="534">
        <v>90</v>
      </c>
      <c r="F2540" s="601">
        <v>0.79422377777777853</v>
      </c>
      <c r="G2540" s="536" t="s">
        <v>687</v>
      </c>
      <c r="H2540">
        <f>73430.62+14379.09</f>
        <v>87809.709999999992</v>
      </c>
    </row>
    <row r="2541" spans="1:8" ht="13.5" customHeight="1">
      <c r="A2541" s="532">
        <v>44832</v>
      </c>
      <c r="B2541" s="615">
        <v>73250</v>
      </c>
      <c r="C2541" s="615">
        <f t="shared" si="278"/>
        <v>87809.71</v>
      </c>
      <c r="D2541" s="532">
        <f t="shared" si="279"/>
        <v>44922</v>
      </c>
      <c r="E2541" s="534">
        <v>90</v>
      </c>
      <c r="F2541" s="601">
        <v>0.80611211983314401</v>
      </c>
      <c r="G2541" s="536" t="s">
        <v>698</v>
      </c>
      <c r="H2541">
        <v>35875.86</v>
      </c>
    </row>
    <row r="2542" spans="1:8" ht="13.5" customHeight="1">
      <c r="A2542" s="532">
        <v>44832</v>
      </c>
      <c r="B2542" s="615">
        <v>128200</v>
      </c>
      <c r="C2542" s="615">
        <f t="shared" si="278"/>
        <v>153682.41</v>
      </c>
      <c r="D2542" s="532">
        <f t="shared" si="279"/>
        <v>44922</v>
      </c>
      <c r="E2542" s="534">
        <v>90</v>
      </c>
      <c r="F2542" s="601">
        <v>0.80612581469925504</v>
      </c>
      <c r="G2542" s="536" t="s">
        <v>701</v>
      </c>
      <c r="H2542">
        <f>128516.55+25165.86</f>
        <v>153682.41</v>
      </c>
    </row>
    <row r="2543" spans="1:8" ht="13.5" customHeight="1">
      <c r="A2543" s="532">
        <v>44832</v>
      </c>
      <c r="B2543" s="615">
        <v>2400</v>
      </c>
      <c r="C2543" s="615">
        <f t="shared" si="278"/>
        <v>2876.89</v>
      </c>
      <c r="D2543" s="532">
        <f t="shared" si="279"/>
        <v>44922</v>
      </c>
      <c r="E2543" s="534">
        <v>90</v>
      </c>
      <c r="F2543" s="601">
        <v>0.80585578703703664</v>
      </c>
      <c r="G2543" s="536" t="s">
        <v>681</v>
      </c>
      <c r="H2543">
        <f>2869.52+7.37</f>
        <v>2876.89</v>
      </c>
    </row>
    <row r="2544" spans="1:8" ht="13.5" customHeight="1">
      <c r="A2544" s="532">
        <v>44832</v>
      </c>
      <c r="B2544" s="615">
        <v>230000</v>
      </c>
      <c r="C2544" s="615">
        <f t="shared" si="278"/>
        <v>275716.46999999997</v>
      </c>
      <c r="D2544" s="532">
        <f t="shared" si="279"/>
        <v>44922</v>
      </c>
      <c r="E2544" s="534">
        <v>90</v>
      </c>
      <c r="F2544" s="601">
        <v>0.80611166908212539</v>
      </c>
      <c r="G2544" s="536" t="s">
        <v>686</v>
      </c>
      <c r="H2544">
        <f>230567.12+45149.35</f>
        <v>275716.46999999997</v>
      </c>
    </row>
    <row r="2545" spans="1:8" ht="13.5" customHeight="1">
      <c r="A2545" s="532">
        <v>44833</v>
      </c>
      <c r="B2545" s="615">
        <v>55000</v>
      </c>
      <c r="C2545" s="615">
        <f t="shared" si="278"/>
        <v>65882.73</v>
      </c>
      <c r="D2545" s="532">
        <f t="shared" si="279"/>
        <v>44923</v>
      </c>
      <c r="E2545" s="534">
        <v>90</v>
      </c>
      <c r="F2545" s="601">
        <v>0.80246392929292876</v>
      </c>
      <c r="G2545" s="536" t="s">
        <v>686</v>
      </c>
      <c r="H2545">
        <f>55135.62+10747.11</f>
        <v>65882.73000000001</v>
      </c>
    </row>
    <row r="2546" spans="1:8" ht="13.5" customHeight="1">
      <c r="A2546" s="532">
        <v>44833</v>
      </c>
      <c r="B2546" s="615">
        <v>250000</v>
      </c>
      <c r="C2546" s="615">
        <f t="shared" si="278"/>
        <v>299467.15000000002</v>
      </c>
      <c r="D2546" s="532">
        <f t="shared" si="279"/>
        <v>44923</v>
      </c>
      <c r="E2546" s="534">
        <v>90</v>
      </c>
      <c r="F2546" s="601">
        <v>0.80246710000000021</v>
      </c>
      <c r="G2546" s="536" t="s">
        <v>704</v>
      </c>
      <c r="H2546">
        <v>299467.15000000002</v>
      </c>
    </row>
    <row r="2547" spans="1:8" ht="13.5" customHeight="1">
      <c r="A2547" s="532">
        <v>44833</v>
      </c>
      <c r="B2547" s="615">
        <v>820000</v>
      </c>
      <c r="C2547" s="615">
        <f t="shared" si="278"/>
        <v>982251.3899999999</v>
      </c>
      <c r="D2547" s="532">
        <f t="shared" si="279"/>
        <v>44923</v>
      </c>
      <c r="E2547" s="534">
        <v>90</v>
      </c>
      <c r="F2547" s="601">
        <v>0.80246283672086705</v>
      </c>
      <c r="G2547" s="536" t="s">
        <v>687</v>
      </c>
      <c r="H2547">
        <v>982251.39</v>
      </c>
    </row>
    <row r="2548" spans="1:8" ht="13.5" customHeight="1">
      <c r="A2548" s="532">
        <v>44833</v>
      </c>
      <c r="B2548" s="615">
        <v>70000</v>
      </c>
      <c r="C2548" s="615">
        <f t="shared" si="278"/>
        <v>83851.44</v>
      </c>
      <c r="D2548" s="532">
        <f t="shared" si="279"/>
        <v>44923</v>
      </c>
      <c r="E2548" s="534">
        <v>90</v>
      </c>
      <c r="F2548" s="601">
        <v>0.80250406349206382</v>
      </c>
      <c r="G2548" s="536" t="s">
        <v>687</v>
      </c>
      <c r="H2548">
        <v>83851.44</v>
      </c>
    </row>
    <row r="2549" spans="1:8" ht="13.5" customHeight="1">
      <c r="A2549" s="532"/>
      <c r="B2549" s="615"/>
      <c r="C2549" s="615"/>
      <c r="D2549" s="532"/>
      <c r="E2549" s="534"/>
      <c r="F2549" s="601"/>
      <c r="G2549" s="536"/>
    </row>
    <row r="2550" spans="1:8" ht="13.5" customHeight="1">
      <c r="A2550" s="532"/>
      <c r="B2550" s="615"/>
      <c r="C2550" s="615"/>
      <c r="D2550" s="532"/>
      <c r="E2550" s="534"/>
      <c r="F2550" s="601"/>
      <c r="G2550" s="536"/>
    </row>
    <row r="2551" spans="1:8" ht="13.5" customHeight="1" thickBot="1">
      <c r="A2551" s="532"/>
      <c r="B2551" s="615"/>
      <c r="C2551" s="615"/>
      <c r="D2551" s="532"/>
      <c r="E2551" s="534"/>
      <c r="F2551" s="601"/>
      <c r="G2551" s="536"/>
    </row>
    <row r="2552" spans="1:8" ht="14" thickTop="1" thickBot="1">
      <c r="A2552" s="2" t="s">
        <v>521</v>
      </c>
      <c r="B2552" s="3" t="s">
        <v>522</v>
      </c>
      <c r="C2552" s="3" t="s">
        <v>523</v>
      </c>
      <c r="D2552" s="5" t="s">
        <v>525</v>
      </c>
      <c r="E2552" s="4" t="s">
        <v>524</v>
      </c>
      <c r="F2552" s="4" t="s">
        <v>526</v>
      </c>
      <c r="G2552" s="6"/>
    </row>
    <row r="2553" spans="1:8" ht="13.5" customHeight="1" thickTop="1">
      <c r="A2553" s="532">
        <v>44837</v>
      </c>
      <c r="B2553" s="615">
        <v>151700</v>
      </c>
      <c r="C2553" s="615">
        <f t="shared" si="278"/>
        <v>181744.24</v>
      </c>
      <c r="D2553" s="532">
        <f t="shared" si="279"/>
        <v>44928</v>
      </c>
      <c r="E2553" s="534">
        <v>91</v>
      </c>
      <c r="F2553" s="601">
        <v>0.79437782784124233</v>
      </c>
      <c r="G2553" s="536" t="s">
        <v>703</v>
      </c>
      <c r="H2553">
        <f>130320.55+24374.57</f>
        <v>154695.12</v>
      </c>
    </row>
    <row r="2554" spans="1:8" ht="13.5" customHeight="1">
      <c r="A2554" s="532">
        <v>44837</v>
      </c>
      <c r="B2554" s="615">
        <v>68400</v>
      </c>
      <c r="C2554" s="615">
        <f t="shared" si="278"/>
        <v>81946.800000000017</v>
      </c>
      <c r="D2554" s="532">
        <f t="shared" si="279"/>
        <v>44928</v>
      </c>
      <c r="E2554" s="534">
        <v>91</v>
      </c>
      <c r="F2554" s="601">
        <v>0.79438692886061368</v>
      </c>
      <c r="G2554" s="536" t="s">
        <v>698</v>
      </c>
      <c r="H2554">
        <v>181744.24</v>
      </c>
    </row>
    <row r="2555" spans="1:8" ht="13.5" customHeight="1">
      <c r="A2555" s="532">
        <v>44837</v>
      </c>
      <c r="B2555" s="615">
        <v>15100</v>
      </c>
      <c r="C2555" s="615">
        <f t="shared" si="278"/>
        <v>18090.939999999999</v>
      </c>
      <c r="D2555" s="532">
        <f t="shared" si="279"/>
        <v>44928</v>
      </c>
      <c r="E2555" s="534">
        <v>91</v>
      </c>
      <c r="F2555" s="601">
        <v>0.79447864056473338</v>
      </c>
      <c r="G2555" s="536" t="s">
        <v>681</v>
      </c>
      <c r="H2555">
        <v>44028.11</v>
      </c>
    </row>
    <row r="2556" spans="1:8" ht="13.5" customHeight="1">
      <c r="A2556" s="532">
        <v>44837</v>
      </c>
      <c r="B2556" s="615">
        <v>29400</v>
      </c>
      <c r="C2556" s="615">
        <f t="shared" si="278"/>
        <v>35222.75</v>
      </c>
      <c r="D2556" s="532">
        <f t="shared" si="279"/>
        <v>44928</v>
      </c>
      <c r="E2556" s="534">
        <v>91</v>
      </c>
      <c r="F2556" s="601">
        <v>0.79438728788218593</v>
      </c>
      <c r="G2556" s="536" t="s">
        <v>699</v>
      </c>
      <c r="H2556">
        <f>68570.53+13376.27</f>
        <v>81946.8</v>
      </c>
    </row>
    <row r="2557" spans="1:8" ht="13.5" customHeight="1">
      <c r="A2557" s="532">
        <v>44837</v>
      </c>
      <c r="B2557" s="615">
        <v>140000</v>
      </c>
      <c r="C2557" s="615">
        <f t="shared" si="278"/>
        <v>167727.6</v>
      </c>
      <c r="D2557" s="532">
        <f t="shared" si="279"/>
        <v>44928</v>
      </c>
      <c r="E2557" s="534">
        <v>91</v>
      </c>
      <c r="F2557" s="601">
        <v>0.79439356357927793</v>
      </c>
      <c r="G2557" s="536" t="s">
        <v>704</v>
      </c>
      <c r="H2557">
        <f>113579.37+21243.38</f>
        <v>134822.75</v>
      </c>
    </row>
    <row r="2558" spans="1:8" ht="13.5" customHeight="1">
      <c r="A2558" s="532">
        <v>44838</v>
      </c>
      <c r="B2558" s="615">
        <v>130000</v>
      </c>
      <c r="C2558" s="615">
        <f t="shared" si="278"/>
        <v>154695.12000000017</v>
      </c>
      <c r="D2558" s="532">
        <f t="shared" si="279"/>
        <v>44928</v>
      </c>
      <c r="E2558" s="534">
        <v>90</v>
      </c>
      <c r="F2558" s="601">
        <v>0.77040331623932168</v>
      </c>
      <c r="G2558" s="536" t="s">
        <v>686</v>
      </c>
      <c r="H2558">
        <f>18046.46+44.48</f>
        <v>18090.939999999999</v>
      </c>
    </row>
    <row r="2559" spans="1:8" ht="13.5" customHeight="1">
      <c r="A2559" s="532">
        <v>44838</v>
      </c>
      <c r="B2559" s="615">
        <v>37000</v>
      </c>
      <c r="C2559" s="615">
        <f t="shared" si="278"/>
        <v>44028.11</v>
      </c>
      <c r="D2559" s="532">
        <f t="shared" si="279"/>
        <v>44928</v>
      </c>
      <c r="E2559" s="534">
        <v>90</v>
      </c>
      <c r="F2559" s="601">
        <v>0.77034839339339323</v>
      </c>
      <c r="G2559" s="536" t="s">
        <v>703</v>
      </c>
      <c r="H2559">
        <v>35222.75</v>
      </c>
    </row>
    <row r="2560" spans="1:8" ht="13.5" customHeight="1">
      <c r="A2560" s="532">
        <v>44838</v>
      </c>
      <c r="B2560" s="615">
        <v>113300</v>
      </c>
      <c r="C2560" s="615">
        <f t="shared" si="278"/>
        <v>134822.7500000002</v>
      </c>
      <c r="D2560" s="532">
        <f t="shared" si="279"/>
        <v>44928</v>
      </c>
      <c r="E2560" s="534">
        <v>90</v>
      </c>
      <c r="F2560" s="601">
        <v>0.77040342747867707</v>
      </c>
      <c r="G2560" s="536" t="s">
        <v>698</v>
      </c>
      <c r="H2560">
        <v>35698.879999999997</v>
      </c>
    </row>
    <row r="2561" spans="1:8" ht="13.5" customHeight="1">
      <c r="A2561" s="532">
        <v>44838</v>
      </c>
      <c r="B2561" s="615">
        <v>30000</v>
      </c>
      <c r="C2561" s="615">
        <f t="shared" si="278"/>
        <v>35698.879999999997</v>
      </c>
      <c r="D2561" s="532">
        <f t="shared" si="279"/>
        <v>44928</v>
      </c>
      <c r="E2561" s="534">
        <v>90</v>
      </c>
      <c r="F2561" s="601">
        <v>0.77040414814814817</v>
      </c>
      <c r="G2561" s="536" t="s">
        <v>699</v>
      </c>
      <c r="H2561">
        <v>128517.59</v>
      </c>
    </row>
    <row r="2562" spans="1:8" ht="13.5" customHeight="1">
      <c r="A2562" s="532">
        <v>44838</v>
      </c>
      <c r="B2562" s="615">
        <v>108000</v>
      </c>
      <c r="C2562" s="615">
        <f t="shared" si="278"/>
        <v>128517.59000000011</v>
      </c>
      <c r="D2562" s="532">
        <f t="shared" si="279"/>
        <v>44928</v>
      </c>
      <c r="E2562" s="534">
        <v>90</v>
      </c>
      <c r="F2562" s="601">
        <v>0.77046505658436659</v>
      </c>
      <c r="G2562" s="536" t="s">
        <v>687</v>
      </c>
      <c r="H2562">
        <v>167727.6</v>
      </c>
    </row>
    <row r="2563" spans="1:8" ht="13.5" customHeight="1">
      <c r="A2563" s="532">
        <v>44839</v>
      </c>
      <c r="B2563" s="615">
        <v>75000</v>
      </c>
      <c r="C2563" s="615">
        <f t="shared" si="278"/>
        <v>89460.780000000042</v>
      </c>
      <c r="D2563" s="532">
        <f t="shared" si="279"/>
        <v>44929</v>
      </c>
      <c r="E2563" s="534">
        <v>90</v>
      </c>
      <c r="F2563" s="601">
        <v>0.78195328888889126</v>
      </c>
      <c r="G2563" s="536" t="s">
        <v>686</v>
      </c>
      <c r="H2563">
        <f>75184.93+14275.85</f>
        <v>89460.78</v>
      </c>
    </row>
    <row r="2564" spans="1:8" ht="13.5" customHeight="1">
      <c r="A2564" s="532">
        <v>44840</v>
      </c>
      <c r="B2564" s="615">
        <v>15000</v>
      </c>
      <c r="C2564" s="615">
        <f t="shared" si="278"/>
        <v>17878.89</v>
      </c>
      <c r="D2564" s="532">
        <f t="shared" si="279"/>
        <v>44930</v>
      </c>
      <c r="E2564" s="534">
        <v>90</v>
      </c>
      <c r="F2564" s="601">
        <v>0.77836655555555578</v>
      </c>
      <c r="G2564" s="536" t="s">
        <v>698</v>
      </c>
      <c r="H2564">
        <f>15036.99+2841.9</f>
        <v>17878.89</v>
      </c>
    </row>
    <row r="2565" spans="1:8" ht="13.5" customHeight="1">
      <c r="A2565" s="532">
        <v>44840</v>
      </c>
      <c r="B2565" s="615">
        <v>10000</v>
      </c>
      <c r="C2565" s="615">
        <f t="shared" si="278"/>
        <v>11919.26</v>
      </c>
      <c r="D2565" s="532">
        <f t="shared" si="279"/>
        <v>44930</v>
      </c>
      <c r="E2565" s="534">
        <v>90</v>
      </c>
      <c r="F2565" s="601">
        <v>0.77836655555555556</v>
      </c>
      <c r="G2565" s="536" t="s">
        <v>699</v>
      </c>
      <c r="H2565">
        <v>11919.26</v>
      </c>
    </row>
    <row r="2566" spans="1:8" ht="13.5" customHeight="1">
      <c r="A2566" s="532">
        <v>44840</v>
      </c>
      <c r="B2566" s="615">
        <v>70000</v>
      </c>
      <c r="C2566" s="615">
        <f t="shared" si="278"/>
        <v>83434.830000000075</v>
      </c>
      <c r="D2566" s="532">
        <f t="shared" si="279"/>
        <v>44930</v>
      </c>
      <c r="E2566" s="534">
        <v>90</v>
      </c>
      <c r="F2566" s="601">
        <v>0.77836713492063925</v>
      </c>
      <c r="G2566" s="536" t="s">
        <v>686</v>
      </c>
      <c r="H2566">
        <f>70172.6+13262.23</f>
        <v>83434.83</v>
      </c>
    </row>
    <row r="2567" spans="1:8" ht="13.5" customHeight="1">
      <c r="A2567" s="532">
        <v>44840</v>
      </c>
      <c r="B2567" s="615">
        <v>22000</v>
      </c>
      <c r="C2567" s="615">
        <f t="shared" si="278"/>
        <v>26223.26</v>
      </c>
      <c r="D2567" s="532">
        <f t="shared" si="279"/>
        <v>44930</v>
      </c>
      <c r="E2567" s="534">
        <v>90</v>
      </c>
      <c r="F2567" s="601">
        <v>0.77853025252525254</v>
      </c>
      <c r="G2567" s="536" t="s">
        <v>687</v>
      </c>
      <c r="H2567">
        <v>26223.26</v>
      </c>
    </row>
    <row r="2568" spans="1:8" ht="13.5" customHeight="1">
      <c r="A2568" s="532">
        <v>44840</v>
      </c>
      <c r="B2568" s="615">
        <v>25000</v>
      </c>
      <c r="C2568" s="615">
        <f t="shared" si="278"/>
        <v>29797.9</v>
      </c>
      <c r="D2568" s="532">
        <f t="shared" si="279"/>
        <v>44930</v>
      </c>
      <c r="E2568" s="534">
        <v>90</v>
      </c>
      <c r="F2568" s="601">
        <v>0.77832600000000041</v>
      </c>
      <c r="G2568" s="536" t="s">
        <v>687</v>
      </c>
      <c r="H2568">
        <v>29797.9</v>
      </c>
    </row>
    <row r="2569" spans="1:8" ht="13.5" customHeight="1">
      <c r="A2569" s="532">
        <v>44845</v>
      </c>
      <c r="B2569" s="615">
        <v>63500</v>
      </c>
      <c r="C2569" s="615">
        <f t="shared" si="278"/>
        <v>75866.59</v>
      </c>
      <c r="D2569" s="532">
        <f t="shared" si="279"/>
        <v>44935</v>
      </c>
      <c r="E2569" s="534">
        <v>90</v>
      </c>
      <c r="F2569" s="601">
        <v>0.78981720909886199</v>
      </c>
      <c r="G2569" s="536" t="s">
        <v>703</v>
      </c>
      <c r="H2569">
        <v>75866.59</v>
      </c>
    </row>
    <row r="2570" spans="1:8" ht="13.5" customHeight="1">
      <c r="A2570" s="532">
        <v>44845</v>
      </c>
      <c r="B2570" s="615">
        <v>79400</v>
      </c>
      <c r="C2570" s="615">
        <f t="shared" si="278"/>
        <v>94863.700000000041</v>
      </c>
      <c r="D2570" s="532">
        <f t="shared" si="279"/>
        <v>44935</v>
      </c>
      <c r="E2570" s="534">
        <v>90</v>
      </c>
      <c r="F2570" s="601">
        <v>0.78984753708368571</v>
      </c>
      <c r="G2570" s="536" t="s">
        <v>701</v>
      </c>
      <c r="H2570">
        <f>79595.78+15267.92</f>
        <v>94863.7</v>
      </c>
    </row>
    <row r="2571" spans="1:8" ht="13.5" customHeight="1">
      <c r="A2571" s="532">
        <v>44845</v>
      </c>
      <c r="B2571" s="615">
        <v>7200</v>
      </c>
      <c r="C2571" s="615">
        <f t="shared" si="278"/>
        <v>8602.2499999999945</v>
      </c>
      <c r="D2571" s="532">
        <f t="shared" si="279"/>
        <v>44935</v>
      </c>
      <c r="E2571" s="534">
        <v>90</v>
      </c>
      <c r="F2571" s="601">
        <v>0.78984760802468856</v>
      </c>
      <c r="G2571" s="536" t="s">
        <v>699</v>
      </c>
      <c r="H2571">
        <v>8602.25</v>
      </c>
    </row>
    <row r="2572" spans="1:8" ht="13.5" customHeight="1">
      <c r="A2572" s="532">
        <v>44845</v>
      </c>
      <c r="B2572" s="615">
        <v>39000</v>
      </c>
      <c r="C2572" s="615">
        <f t="shared" si="278"/>
        <v>46595.520000000004</v>
      </c>
      <c r="D2572" s="532">
        <f t="shared" si="279"/>
        <v>44935</v>
      </c>
      <c r="E2572" s="534">
        <v>90</v>
      </c>
      <c r="F2572" s="601">
        <v>0.78984752136752157</v>
      </c>
      <c r="G2572" s="536" t="s">
        <v>699</v>
      </c>
      <c r="H2572">
        <v>46595.519999999997</v>
      </c>
    </row>
    <row r="2573" spans="1:8" ht="13.5" customHeight="1">
      <c r="A2573" s="532">
        <v>44845</v>
      </c>
      <c r="B2573" s="615">
        <v>165000</v>
      </c>
      <c r="C2573" s="615">
        <f t="shared" si="278"/>
        <v>197134.9</v>
      </c>
      <c r="D2573" s="532">
        <f t="shared" si="279"/>
        <v>44935</v>
      </c>
      <c r="E2573" s="534">
        <v>90</v>
      </c>
      <c r="F2573" s="601">
        <v>0.78984771043771018</v>
      </c>
      <c r="G2573" s="536" t="s">
        <v>686</v>
      </c>
      <c r="H2573">
        <f>165406.85+31728.05</f>
        <v>197134.9</v>
      </c>
    </row>
    <row r="2574" spans="1:8" ht="13.5" customHeight="1">
      <c r="A2574" s="532">
        <v>44846</v>
      </c>
      <c r="B2574" s="615">
        <v>75000</v>
      </c>
      <c r="C2574" s="615">
        <f t="shared" si="278"/>
        <v>89014.87</v>
      </c>
      <c r="D2574" s="532">
        <f t="shared" si="279"/>
        <v>44936</v>
      </c>
      <c r="E2574" s="534">
        <v>90</v>
      </c>
      <c r="F2574" s="601">
        <v>0.75784111851851865</v>
      </c>
      <c r="G2574" s="536" t="s">
        <v>701</v>
      </c>
      <c r="H2574">
        <f>75184.93+13829.94</f>
        <v>89014.87</v>
      </c>
    </row>
    <row r="2575" spans="1:8" ht="13.5" customHeight="1">
      <c r="A2575" s="532">
        <v>44846</v>
      </c>
      <c r="B2575" s="615">
        <v>30000</v>
      </c>
      <c r="C2575" s="615">
        <f t="shared" si="278"/>
        <v>35605.94</v>
      </c>
      <c r="D2575" s="532">
        <f t="shared" si="279"/>
        <v>44936</v>
      </c>
      <c r="E2575" s="534">
        <v>90</v>
      </c>
      <c r="F2575" s="601">
        <v>0.75784003703703717</v>
      </c>
      <c r="G2575" s="536" t="s">
        <v>698</v>
      </c>
      <c r="H2575">
        <f>30073.97+5531.97</f>
        <v>35605.94</v>
      </c>
    </row>
    <row r="2576" spans="1:8" ht="13.5" customHeight="1">
      <c r="A2576" s="532">
        <v>44846</v>
      </c>
      <c r="B2576" s="615">
        <v>48200</v>
      </c>
      <c r="C2576" s="615">
        <f t="shared" si="278"/>
        <v>57206.89</v>
      </c>
      <c r="D2576" s="532">
        <f t="shared" si="279"/>
        <v>44936</v>
      </c>
      <c r="E2576" s="534">
        <v>90</v>
      </c>
      <c r="F2576" s="601">
        <v>0.75784113646841833</v>
      </c>
      <c r="G2576" s="536" t="s">
        <v>699</v>
      </c>
      <c r="H2576">
        <v>57206.89</v>
      </c>
    </row>
    <row r="2577" spans="1:8" ht="13.5" customHeight="1">
      <c r="A2577" s="532">
        <v>44846</v>
      </c>
      <c r="B2577" s="615">
        <v>9600</v>
      </c>
      <c r="C2577" s="615">
        <f t="shared" si="278"/>
        <v>11393.55</v>
      </c>
      <c r="D2577" s="532">
        <f t="shared" si="279"/>
        <v>44936</v>
      </c>
      <c r="E2577" s="534">
        <v>90</v>
      </c>
      <c r="F2577" s="601">
        <v>0.75769184027777725</v>
      </c>
      <c r="G2577" s="536" t="s">
        <v>703</v>
      </c>
      <c r="H2577">
        <v>11393.55</v>
      </c>
    </row>
    <row r="2578" spans="1:8" ht="13.5" customHeight="1">
      <c r="A2578" s="532">
        <v>44847</v>
      </c>
      <c r="B2578" s="615">
        <v>8500</v>
      </c>
      <c r="C2578" s="615">
        <f t="shared" si="278"/>
        <v>10080.73</v>
      </c>
      <c r="D2578" s="532">
        <f t="shared" si="279"/>
        <v>44937</v>
      </c>
      <c r="E2578" s="534">
        <v>90</v>
      </c>
      <c r="F2578" s="601">
        <v>0.75420450980392151</v>
      </c>
      <c r="G2578" s="536" t="s">
        <v>703</v>
      </c>
      <c r="H2578">
        <v>10080.73</v>
      </c>
    </row>
    <row r="2579" spans="1:8" ht="13.5" customHeight="1">
      <c r="A2579" s="532">
        <v>44847</v>
      </c>
      <c r="B2579" s="615">
        <v>18200</v>
      </c>
      <c r="C2579" s="615">
        <f t="shared" si="278"/>
        <v>21585.87</v>
      </c>
      <c r="D2579" s="532">
        <f t="shared" si="279"/>
        <v>44937</v>
      </c>
      <c r="E2579" s="534">
        <v>90</v>
      </c>
      <c r="F2579" s="601">
        <v>0.75448263125763082</v>
      </c>
      <c r="G2579" s="536" t="s">
        <v>681</v>
      </c>
      <c r="H2579">
        <f>21533.09+52.78</f>
        <v>21585.87</v>
      </c>
    </row>
    <row r="2580" spans="1:8" ht="13.5" customHeight="1">
      <c r="A2580" s="532">
        <v>44847</v>
      </c>
      <c r="B2580" s="615">
        <v>57000</v>
      </c>
      <c r="C2580" s="615">
        <f t="shared" si="278"/>
        <v>67601.94</v>
      </c>
      <c r="D2580" s="532">
        <f t="shared" si="279"/>
        <v>44937</v>
      </c>
      <c r="E2580" s="534">
        <v>90</v>
      </c>
      <c r="F2580" s="601">
        <v>0.75432906432748525</v>
      </c>
      <c r="G2580" s="536" t="s">
        <v>687</v>
      </c>
      <c r="H2580">
        <v>67601.94</v>
      </c>
    </row>
    <row r="2581" spans="1:8" ht="13.5" customHeight="1">
      <c r="A2581" s="532">
        <v>44848</v>
      </c>
      <c r="B2581" s="615">
        <v>43600</v>
      </c>
      <c r="C2581" s="615">
        <f t="shared" si="278"/>
        <v>51672.74</v>
      </c>
      <c r="D2581" s="532">
        <f t="shared" si="279"/>
        <v>44938</v>
      </c>
      <c r="E2581" s="534">
        <v>90</v>
      </c>
      <c r="F2581" s="601">
        <v>0.75090471457696217</v>
      </c>
      <c r="G2581" s="536" t="s">
        <v>698</v>
      </c>
      <c r="H2581">
        <f>43707.51+7965.23</f>
        <v>51672.740000000005</v>
      </c>
    </row>
    <row r="2582" spans="1:8" ht="13.5" customHeight="1">
      <c r="A2582" s="532">
        <v>44851</v>
      </c>
      <c r="B2582" s="615">
        <v>24800</v>
      </c>
      <c r="C2582" s="615">
        <f t="shared" si="278"/>
        <v>29418.630000000005</v>
      </c>
      <c r="D2582" s="532">
        <f t="shared" si="279"/>
        <v>44942</v>
      </c>
      <c r="E2582" s="534">
        <v>91</v>
      </c>
      <c r="F2582" s="601">
        <v>0.74698686192839503</v>
      </c>
      <c r="G2582" s="536" t="s">
        <v>681</v>
      </c>
      <c r="H2582">
        <f>29344.78+73.85</f>
        <v>29418.629999999997</v>
      </c>
    </row>
    <row r="2583" spans="1:8" ht="13.5" customHeight="1">
      <c r="A2583" s="532">
        <v>44851</v>
      </c>
      <c r="B2583" s="615">
        <v>70800</v>
      </c>
      <c r="C2583" s="615">
        <f t="shared" si="278"/>
        <v>83983.760000000038</v>
      </c>
      <c r="D2583" s="532">
        <f t="shared" si="279"/>
        <v>44942</v>
      </c>
      <c r="E2583" s="534">
        <v>91</v>
      </c>
      <c r="F2583" s="601">
        <v>0.74689147575588455</v>
      </c>
      <c r="G2583" s="536" t="s">
        <v>703</v>
      </c>
      <c r="H2583">
        <v>83983.76</v>
      </c>
    </row>
    <row r="2584" spans="1:8" ht="13.5" customHeight="1">
      <c r="A2584" s="532">
        <v>44851</v>
      </c>
      <c r="B2584" s="615">
        <v>30000</v>
      </c>
      <c r="C2584" s="615">
        <f t="shared" si="278"/>
        <v>35586.580000000009</v>
      </c>
      <c r="D2584" s="532">
        <f t="shared" si="279"/>
        <v>44942</v>
      </c>
      <c r="E2584" s="534">
        <v>91</v>
      </c>
      <c r="F2584" s="601">
        <v>0.74692369963370064</v>
      </c>
      <c r="G2584" s="536" t="s">
        <v>698</v>
      </c>
      <c r="H2584">
        <f>30074.79+5511.79</f>
        <v>35586.58</v>
      </c>
    </row>
    <row r="2585" spans="1:8" ht="13.5" customHeight="1">
      <c r="A2585" s="532">
        <v>44851</v>
      </c>
      <c r="B2585" s="615">
        <v>25000</v>
      </c>
      <c r="C2585" s="615">
        <f t="shared" si="278"/>
        <v>29655.410000000018</v>
      </c>
      <c r="D2585" s="532">
        <f t="shared" si="279"/>
        <v>44942</v>
      </c>
      <c r="E2585" s="534">
        <v>91</v>
      </c>
      <c r="F2585" s="601">
        <v>0.7469119340659367</v>
      </c>
      <c r="G2585" s="536" t="s">
        <v>686</v>
      </c>
      <c r="H2585">
        <f>33081.37+5822.05</f>
        <v>38903.420000000006</v>
      </c>
    </row>
    <row r="2586" spans="1:8" ht="13.5" customHeight="1">
      <c r="A2586" s="532">
        <v>44852</v>
      </c>
      <c r="B2586" s="615">
        <v>33000</v>
      </c>
      <c r="C2586" s="615">
        <f t="shared" si="278"/>
        <v>38903.420000000006</v>
      </c>
      <c r="D2586" s="532">
        <f t="shared" si="279"/>
        <v>44942</v>
      </c>
      <c r="E2586" s="534">
        <v>90</v>
      </c>
      <c r="F2586" s="601">
        <v>0.72550447811447882</v>
      </c>
      <c r="G2586" s="536" t="s">
        <v>698</v>
      </c>
      <c r="H2586">
        <f>25062.33+4593.08</f>
        <v>29655.410000000003</v>
      </c>
    </row>
    <row r="2587" spans="1:8" ht="13.5" customHeight="1">
      <c r="A2587" s="532">
        <v>44853</v>
      </c>
      <c r="B2587" s="615">
        <v>69000</v>
      </c>
      <c r="C2587" s="615">
        <f t="shared" si="278"/>
        <v>81568.560000000041</v>
      </c>
      <c r="D2587" s="532">
        <f t="shared" si="279"/>
        <v>44943</v>
      </c>
      <c r="E2587" s="534">
        <v>90</v>
      </c>
      <c r="F2587" s="601">
        <v>0.73873178743961587</v>
      </c>
      <c r="G2587" s="536" t="s">
        <v>703</v>
      </c>
      <c r="H2587">
        <v>81568.56</v>
      </c>
    </row>
    <row r="2588" spans="1:8" ht="13.5" customHeight="1">
      <c r="A2588" s="532">
        <v>44853</v>
      </c>
      <c r="B2588" s="615">
        <v>7100</v>
      </c>
      <c r="C2588" s="615">
        <f t="shared" si="278"/>
        <v>8394.2700000000023</v>
      </c>
      <c r="D2588" s="532">
        <f t="shared" si="279"/>
        <v>44943</v>
      </c>
      <c r="E2588" s="534">
        <v>90</v>
      </c>
      <c r="F2588" s="601">
        <v>0.73929350547730943</v>
      </c>
      <c r="G2588" s="536" t="s">
        <v>681</v>
      </c>
      <c r="H2588">
        <f>8373.34+20.93</f>
        <v>8394.27</v>
      </c>
    </row>
    <row r="2589" spans="1:8" ht="13.5" customHeight="1">
      <c r="A2589" s="532">
        <v>44853</v>
      </c>
      <c r="B2589" s="615">
        <v>62000</v>
      </c>
      <c r="C2589" s="615">
        <f t="shared" si="278"/>
        <v>73293.699999999968</v>
      </c>
      <c r="D2589" s="532">
        <f t="shared" si="279"/>
        <v>44943</v>
      </c>
      <c r="E2589" s="534">
        <v>90</v>
      </c>
      <c r="F2589" s="601">
        <v>0.73874560931899469</v>
      </c>
      <c r="G2589" s="536" t="s">
        <v>698</v>
      </c>
      <c r="H2589">
        <f>62152.88+11140.82</f>
        <v>73293.7</v>
      </c>
    </row>
    <row r="2590" spans="1:8" ht="13.5" customHeight="1">
      <c r="A2590" s="532">
        <v>44853</v>
      </c>
      <c r="B2590" s="615">
        <v>205000</v>
      </c>
      <c r="C2590" s="615">
        <f t="shared" si="278"/>
        <v>242342.09</v>
      </c>
      <c r="D2590" s="532">
        <f t="shared" si="279"/>
        <v>44943</v>
      </c>
      <c r="E2590" s="534">
        <v>90</v>
      </c>
      <c r="F2590" s="601">
        <v>0.73874595392953935</v>
      </c>
      <c r="G2590" s="536" t="s">
        <v>686</v>
      </c>
      <c r="H2590">
        <f>205505.48+36836.61</f>
        <v>242342.09000000003</v>
      </c>
    </row>
    <row r="2591" spans="1:8" ht="13.5" customHeight="1">
      <c r="A2591" s="532">
        <v>44853</v>
      </c>
      <c r="B2591" s="615">
        <v>40000</v>
      </c>
      <c r="C2591" s="615">
        <f t="shared" si="278"/>
        <v>47285.33</v>
      </c>
      <c r="D2591" s="532">
        <f t="shared" si="279"/>
        <v>44943</v>
      </c>
      <c r="E2591" s="534">
        <v>90</v>
      </c>
      <c r="F2591" s="601">
        <v>0.73865151388888883</v>
      </c>
      <c r="G2591" s="536" t="s">
        <v>704</v>
      </c>
      <c r="H2591">
        <v>47285.33</v>
      </c>
    </row>
    <row r="2592" spans="1:8" ht="13.5" customHeight="1">
      <c r="A2592" s="532">
        <v>44853</v>
      </c>
      <c r="B2592" s="615">
        <v>90000</v>
      </c>
      <c r="C2592" s="615">
        <f t="shared" si="278"/>
        <v>106395.29999999997</v>
      </c>
      <c r="D2592" s="532">
        <f t="shared" si="279"/>
        <v>44943</v>
      </c>
      <c r="E2592" s="534">
        <v>90</v>
      </c>
      <c r="F2592" s="601">
        <v>0.73880055555555457</v>
      </c>
      <c r="G2592" s="536" t="s">
        <v>704</v>
      </c>
      <c r="H2592">
        <v>106395.3</v>
      </c>
    </row>
    <row r="2593" spans="1:8" ht="13.5" customHeight="1">
      <c r="A2593" s="532">
        <v>44854</v>
      </c>
      <c r="B2593" s="615">
        <v>24200</v>
      </c>
      <c r="C2593" s="615">
        <f t="shared" si="278"/>
        <v>28598.009999999987</v>
      </c>
      <c r="D2593" s="532">
        <f t="shared" si="279"/>
        <v>44944</v>
      </c>
      <c r="E2593" s="534">
        <v>90</v>
      </c>
      <c r="F2593" s="601">
        <v>0.73704024334251439</v>
      </c>
      <c r="G2593" s="536" t="s">
        <v>703</v>
      </c>
      <c r="H2593">
        <v>28598.01</v>
      </c>
    </row>
    <row r="2594" spans="1:8" ht="13.5" customHeight="1">
      <c r="A2594" s="532">
        <v>44855</v>
      </c>
      <c r="B2594" s="615">
        <v>205500</v>
      </c>
      <c r="C2594" s="615">
        <f t="shared" si="278"/>
        <v>242764.08999999997</v>
      </c>
      <c r="D2594" s="532">
        <f t="shared" si="279"/>
        <v>44945</v>
      </c>
      <c r="E2594" s="534">
        <v>90</v>
      </c>
      <c r="F2594" s="601">
        <v>0.73540918356312446</v>
      </c>
      <c r="G2594" s="536" t="s">
        <v>699</v>
      </c>
      <c r="H2594">
        <v>242764.09</v>
      </c>
    </row>
    <row r="2595" spans="1:8" ht="13.5" customHeight="1">
      <c r="A2595" s="532">
        <v>44855</v>
      </c>
      <c r="B2595" s="615">
        <v>50700</v>
      </c>
      <c r="C2595" s="615">
        <f t="shared" si="278"/>
        <v>59893.619999999995</v>
      </c>
      <c r="D2595" s="532">
        <f t="shared" si="279"/>
        <v>44945</v>
      </c>
      <c r="E2595" s="534">
        <v>90</v>
      </c>
      <c r="F2595" s="601">
        <v>0.73540900723208413</v>
      </c>
      <c r="G2595" s="536" t="s">
        <v>698</v>
      </c>
      <c r="H2595">
        <f>50825.01+9068.61</f>
        <v>59893.62</v>
      </c>
    </row>
    <row r="2596" spans="1:8" ht="13.5" customHeight="1">
      <c r="A2596" s="532">
        <v>44858</v>
      </c>
      <c r="B2596" s="615">
        <v>3600</v>
      </c>
      <c r="C2596" s="615">
        <f t="shared" ref="A2596:C2659" si="280">B2596+(B2596*F2596/365*E2596)*1</f>
        <v>4258.5200000000004</v>
      </c>
      <c r="D2596" s="532">
        <f t="shared" si="279"/>
        <v>44949</v>
      </c>
      <c r="E2596" s="534">
        <v>91</v>
      </c>
      <c r="F2596" s="601">
        <v>0.73369902319902358</v>
      </c>
      <c r="G2596" s="536" t="s">
        <v>681</v>
      </c>
      <c r="H2596">
        <f>4247.03+11.49</f>
        <v>4258.5199999999995</v>
      </c>
    </row>
    <row r="2597" spans="1:8" ht="13.5" customHeight="1">
      <c r="A2597" s="532">
        <v>44858</v>
      </c>
      <c r="B2597" s="615">
        <v>15000</v>
      </c>
      <c r="C2597" s="615">
        <f t="shared" si="280"/>
        <v>17743.16</v>
      </c>
      <c r="D2597" s="532">
        <f t="shared" si="279"/>
        <v>44949</v>
      </c>
      <c r="E2597" s="534">
        <v>91</v>
      </c>
      <c r="F2597" s="601">
        <v>0.73351897435897473</v>
      </c>
      <c r="G2597" s="536" t="s">
        <v>686</v>
      </c>
      <c r="H2597">
        <f>15037.4+2705.76</f>
        <v>17743.16</v>
      </c>
    </row>
    <row r="2598" spans="1:8" ht="13.5" customHeight="1">
      <c r="A2598" s="532">
        <v>44858</v>
      </c>
      <c r="B2598" s="615">
        <v>24000</v>
      </c>
      <c r="C2598" s="615">
        <f t="shared" si="280"/>
        <v>28389.069999999992</v>
      </c>
      <c r="D2598" s="532">
        <f t="shared" si="279"/>
        <v>44949</v>
      </c>
      <c r="E2598" s="534">
        <v>91</v>
      </c>
      <c r="F2598" s="601">
        <v>0.73352131410256283</v>
      </c>
      <c r="G2598" s="536" t="s">
        <v>698</v>
      </c>
      <c r="H2598">
        <f>24059.84+4329.23</f>
        <v>28389.07</v>
      </c>
    </row>
    <row r="2599" spans="1:8" ht="13.5" customHeight="1">
      <c r="A2599" s="532">
        <v>44859</v>
      </c>
      <c r="B2599" s="615">
        <v>12000</v>
      </c>
      <c r="C2599" s="615">
        <f t="shared" si="280"/>
        <v>14112.07</v>
      </c>
      <c r="D2599" s="532">
        <f t="shared" si="279"/>
        <v>44949</v>
      </c>
      <c r="E2599" s="534">
        <v>90</v>
      </c>
      <c r="F2599" s="601">
        <v>0.71380143518518546</v>
      </c>
      <c r="G2599" s="536" t="s">
        <v>704</v>
      </c>
      <c r="H2599">
        <v>11112.07</v>
      </c>
    </row>
    <row r="2600" spans="1:8" ht="13.5" customHeight="1">
      <c r="A2600" s="532">
        <v>44859</v>
      </c>
      <c r="B2600" s="615">
        <v>36000</v>
      </c>
      <c r="C2600" s="615">
        <f t="shared" si="280"/>
        <v>42334.3</v>
      </c>
      <c r="D2600" s="532">
        <f t="shared" si="279"/>
        <v>44949</v>
      </c>
      <c r="E2600" s="534">
        <v>90</v>
      </c>
      <c r="F2600" s="601">
        <v>0.71358626543209902</v>
      </c>
      <c r="G2600" s="536" t="s">
        <v>704</v>
      </c>
      <c r="H2600">
        <v>42334.3</v>
      </c>
    </row>
    <row r="2601" spans="1:8" ht="13.5" customHeight="1">
      <c r="A2601" s="532">
        <v>44860</v>
      </c>
      <c r="B2601" s="615">
        <v>20000</v>
      </c>
      <c r="C2601" s="615">
        <f t="shared" si="280"/>
        <v>23567.21</v>
      </c>
      <c r="D2601" s="532">
        <f t="shared" si="279"/>
        <v>44950</v>
      </c>
      <c r="E2601" s="534">
        <v>90</v>
      </c>
      <c r="F2601" s="601">
        <v>0.72335091666666618</v>
      </c>
      <c r="G2601" s="536" t="s">
        <v>698</v>
      </c>
      <c r="H2601">
        <f>20049.32+3537.89</f>
        <v>23587.21</v>
      </c>
    </row>
    <row r="2602" spans="1:8" ht="13.5" customHeight="1">
      <c r="A2602" s="532">
        <v>44860</v>
      </c>
      <c r="B2602" s="615">
        <v>65100</v>
      </c>
      <c r="C2602" s="615">
        <f t="shared" si="280"/>
        <v>76776.38</v>
      </c>
      <c r="D2602" s="532">
        <f t="shared" si="279"/>
        <v>44950</v>
      </c>
      <c r="E2602" s="534">
        <v>90</v>
      </c>
      <c r="F2602" s="601">
        <v>0.72740718552654071</v>
      </c>
      <c r="G2602" s="536" t="s">
        <v>701</v>
      </c>
      <c r="H2602">
        <f>65260.52+11515.86</f>
        <v>76776.38</v>
      </c>
    </row>
    <row r="2603" spans="1:8" ht="13.5" customHeight="1">
      <c r="A2603" s="532">
        <v>44860</v>
      </c>
      <c r="B2603" s="615">
        <v>132000</v>
      </c>
      <c r="C2603" s="615">
        <f t="shared" si="280"/>
        <v>155675.59999999998</v>
      </c>
      <c r="D2603" s="532">
        <f t="shared" si="279"/>
        <v>44950</v>
      </c>
      <c r="E2603" s="534">
        <v>90</v>
      </c>
      <c r="F2603" s="601">
        <v>0.72740690235690197</v>
      </c>
      <c r="G2603" s="536" t="s">
        <v>686</v>
      </c>
      <c r="H2603">
        <f>132325.48+23350.12</f>
        <v>155675.6</v>
      </c>
    </row>
    <row r="2604" spans="1:8" ht="13.5" customHeight="1">
      <c r="A2604" s="532">
        <v>44860</v>
      </c>
      <c r="B2604" s="615">
        <v>36000</v>
      </c>
      <c r="C2604" s="615">
        <f t="shared" si="280"/>
        <v>42457.19</v>
      </c>
      <c r="D2604" s="532">
        <f t="shared" si="279"/>
        <v>44950</v>
      </c>
      <c r="E2604" s="534">
        <v>90</v>
      </c>
      <c r="F2604" s="601">
        <v>0.72743035493827191</v>
      </c>
      <c r="G2604" s="536" t="s">
        <v>687</v>
      </c>
      <c r="H2604">
        <v>42457.19</v>
      </c>
    </row>
    <row r="2605" spans="1:8" ht="13.5" customHeight="1">
      <c r="A2605" s="532">
        <v>44861</v>
      </c>
      <c r="B2605" s="615">
        <v>70000</v>
      </c>
      <c r="C2605" s="615">
        <f t="shared" si="280"/>
        <v>82531.810000000012</v>
      </c>
      <c r="D2605" s="532">
        <f t="shared" ref="A2605:D2668" si="281">+A2605+E2605</f>
        <v>44951</v>
      </c>
      <c r="E2605" s="534">
        <v>90</v>
      </c>
      <c r="F2605" s="601">
        <v>0.72604930952381019</v>
      </c>
      <c r="G2605" s="536" t="s">
        <v>686</v>
      </c>
      <c r="H2605">
        <f>70172.6+12359.21</f>
        <v>82531.81</v>
      </c>
    </row>
    <row r="2606" spans="1:8" ht="13.5" customHeight="1">
      <c r="A2606" s="532">
        <v>44861</v>
      </c>
      <c r="B2606" s="615">
        <v>3100</v>
      </c>
      <c r="C2606" s="615">
        <f t="shared" si="280"/>
        <v>3655.71</v>
      </c>
      <c r="D2606" s="532">
        <f t="shared" si="281"/>
        <v>44951</v>
      </c>
      <c r="E2606" s="534">
        <v>90</v>
      </c>
      <c r="F2606" s="601">
        <v>0.72700412186379892</v>
      </c>
      <c r="G2606" s="536" t="s">
        <v>681</v>
      </c>
      <c r="H2606">
        <f>3646.26+9.64</f>
        <v>3655.9</v>
      </c>
    </row>
    <row r="2607" spans="1:8" ht="13.5" customHeight="1">
      <c r="A2607" s="532">
        <v>44865</v>
      </c>
      <c r="B2607" s="615">
        <v>95900</v>
      </c>
      <c r="C2607" s="615">
        <f t="shared" si="280"/>
        <v>113174.87</v>
      </c>
      <c r="D2607" s="532">
        <f t="shared" si="281"/>
        <v>44956</v>
      </c>
      <c r="E2607" s="534">
        <v>91</v>
      </c>
      <c r="F2607" s="601">
        <v>0.72251630590473082</v>
      </c>
      <c r="G2607" s="536" t="s">
        <v>681</v>
      </c>
      <c r="H2607">
        <f>IF(E2607&gt;89,(C2607-B2607)/3,(C2607-B2607))</f>
        <v>5758.2899999999981</v>
      </c>
    </row>
    <row r="2608" spans="1:8" ht="13.5" customHeight="1">
      <c r="A2608" s="532">
        <v>44865</v>
      </c>
      <c r="B2608" s="615">
        <v>111000</v>
      </c>
      <c r="C2608" s="615">
        <f t="shared" si="280"/>
        <v>130995.38</v>
      </c>
      <c r="D2608" s="532">
        <f t="shared" si="281"/>
        <v>44956</v>
      </c>
      <c r="E2608" s="534">
        <v>91</v>
      </c>
      <c r="F2608" s="601">
        <v>0.72253377883377867</v>
      </c>
      <c r="G2608" s="536" t="s">
        <v>698</v>
      </c>
      <c r="H2608">
        <f>112894.08+280.79</f>
        <v>113174.87</v>
      </c>
    </row>
    <row r="2609" spans="1:8" ht="13.5" customHeight="1">
      <c r="A2609" s="532">
        <v>44865</v>
      </c>
      <c r="B2609" s="615">
        <v>205000</v>
      </c>
      <c r="C2609" s="615">
        <f t="shared" si="280"/>
        <v>241928.41</v>
      </c>
      <c r="D2609" s="532">
        <f t="shared" si="281"/>
        <v>44956</v>
      </c>
      <c r="E2609" s="534">
        <v>91</v>
      </c>
      <c r="F2609" s="601">
        <v>0.72253388635754501</v>
      </c>
      <c r="G2609" s="536" t="s">
        <v>686</v>
      </c>
      <c r="H2609">
        <f>7256.06+17.43</f>
        <v>7273.4900000000007</v>
      </c>
    </row>
    <row r="2610" spans="1:8" ht="13.5" customHeight="1">
      <c r="A2610" s="532">
        <v>44865</v>
      </c>
      <c r="B2610" s="615">
        <v>97600</v>
      </c>
      <c r="C2610" s="615">
        <f t="shared" si="280"/>
        <v>115181.23</v>
      </c>
      <c r="D2610" s="532">
        <f t="shared" si="281"/>
        <v>44956</v>
      </c>
      <c r="E2610" s="534">
        <v>91</v>
      </c>
      <c r="F2610" s="601">
        <v>0.72252172468924514</v>
      </c>
      <c r="G2610" s="536" t="s">
        <v>703</v>
      </c>
      <c r="H2610">
        <f>IF(E2610&gt;89,(C2610-B2610)/3,(C2610-B2610))</f>
        <v>5860.4099999999989</v>
      </c>
    </row>
    <row r="2611" spans="1:8" ht="13.5" customHeight="1">
      <c r="A2611" s="532">
        <v>44865</v>
      </c>
      <c r="B2611" s="615">
        <v>142000</v>
      </c>
      <c r="C2611" s="615">
        <f t="shared" si="280"/>
        <v>167578.02000000002</v>
      </c>
      <c r="D2611" s="532">
        <f t="shared" si="281"/>
        <v>44956</v>
      </c>
      <c r="E2611" s="534">
        <v>91</v>
      </c>
      <c r="F2611" s="601">
        <v>0.72248702213279725</v>
      </c>
      <c r="G2611" s="536" t="s">
        <v>687</v>
      </c>
      <c r="H2611">
        <f>79996.77+13629.32</f>
        <v>93626.09</v>
      </c>
    </row>
    <row r="2612" spans="1:8" ht="13.5" customHeight="1">
      <c r="A2612" s="532">
        <v>44865</v>
      </c>
      <c r="B2612" s="615">
        <v>435000</v>
      </c>
      <c r="C2612" s="615">
        <f t="shared" si="280"/>
        <v>513360.39000000007</v>
      </c>
      <c r="D2612" s="532">
        <f t="shared" si="281"/>
        <v>44956</v>
      </c>
      <c r="E2612" s="534">
        <v>91</v>
      </c>
      <c r="F2612" s="601">
        <v>0.72253485790072047</v>
      </c>
      <c r="G2612" s="536" t="s">
        <v>704</v>
      </c>
      <c r="H2612">
        <f>111276.74+19718.64</f>
        <v>130995.38</v>
      </c>
    </row>
    <row r="2613" spans="1:8" ht="13.5" customHeight="1">
      <c r="A2613" s="532">
        <v>44866</v>
      </c>
      <c r="B2613" s="615">
        <v>6200</v>
      </c>
      <c r="C2613" s="615">
        <f t="shared" si="280"/>
        <v>7273.49</v>
      </c>
      <c r="D2613" s="532">
        <f t="shared" si="281"/>
        <v>44956</v>
      </c>
      <c r="E2613" s="534">
        <v>90</v>
      </c>
      <c r="F2613" s="601">
        <v>0.7021932795698923</v>
      </c>
      <c r="G2613" s="536" t="s">
        <v>681</v>
      </c>
      <c r="H2613">
        <f>IF(E2613&gt;89,(C2613-B2613)/3,(C2613-B2613))</f>
        <v>357.82999999999993</v>
      </c>
    </row>
    <row r="2614" spans="1:8" ht="13.5" customHeight="1">
      <c r="A2614" s="532">
        <v>44866</v>
      </c>
      <c r="B2614" s="615">
        <v>79800</v>
      </c>
      <c r="C2614" s="615">
        <f t="shared" si="280"/>
        <v>93626.09</v>
      </c>
      <c r="D2614" s="532">
        <f t="shared" si="281"/>
        <v>44956</v>
      </c>
      <c r="E2614" s="534">
        <v>90</v>
      </c>
      <c r="F2614" s="601">
        <v>0.70266260790866031</v>
      </c>
      <c r="G2614" s="536" t="s">
        <v>698</v>
      </c>
      <c r="H2614">
        <f>205511.1+36417.31</f>
        <v>241928.41</v>
      </c>
    </row>
    <row r="2615" spans="1:8" ht="13.5" customHeight="1">
      <c r="A2615" s="532">
        <v>44866</v>
      </c>
      <c r="B2615" s="615">
        <v>37500</v>
      </c>
      <c r="C2615" s="615">
        <f t="shared" si="280"/>
        <v>43996.91</v>
      </c>
      <c r="D2615" s="532">
        <f t="shared" si="281"/>
        <v>44956</v>
      </c>
      <c r="E2615" s="534">
        <v>90</v>
      </c>
      <c r="F2615" s="601">
        <v>0.70262878518518534</v>
      </c>
      <c r="G2615" s="536" t="s">
        <v>703</v>
      </c>
      <c r="H2615">
        <v>115181.23</v>
      </c>
    </row>
    <row r="2616" spans="1:8" ht="13.5" customHeight="1">
      <c r="A2616" s="532">
        <v>44866</v>
      </c>
      <c r="B2616" s="615">
        <v>124000</v>
      </c>
      <c r="C2616" s="615">
        <f t="shared" si="280"/>
        <v>145485.38</v>
      </c>
      <c r="D2616" s="532">
        <f t="shared" si="281"/>
        <v>44956</v>
      </c>
      <c r="E2616" s="534">
        <v>90</v>
      </c>
      <c r="F2616" s="601">
        <v>0.70270284050179199</v>
      </c>
      <c r="G2616" s="536" t="s">
        <v>687</v>
      </c>
      <c r="H2616">
        <v>43996.91</v>
      </c>
    </row>
    <row r="2617" spans="1:8" ht="13.5" customHeight="1">
      <c r="A2617" s="532">
        <v>44866</v>
      </c>
      <c r="B2617" s="615">
        <v>110000</v>
      </c>
      <c r="C2617" s="615">
        <f t="shared" si="280"/>
        <v>129058.05</v>
      </c>
      <c r="D2617" s="532">
        <f t="shared" si="281"/>
        <v>44956</v>
      </c>
      <c r="E2617" s="534">
        <v>90</v>
      </c>
      <c r="F2617" s="601">
        <v>0.70264527777777785</v>
      </c>
      <c r="G2617" s="536" t="s">
        <v>704</v>
      </c>
      <c r="H2617">
        <v>145485.38</v>
      </c>
    </row>
    <row r="2618" spans="1:8" ht="13.5" customHeight="1">
      <c r="A2618" s="532">
        <v>44867</v>
      </c>
      <c r="B2618" s="615">
        <v>175000</v>
      </c>
      <c r="C2618" s="615">
        <f t="shared" si="280"/>
        <v>205908.2</v>
      </c>
      <c r="D2618" s="532">
        <f t="shared" si="281"/>
        <v>44957</v>
      </c>
      <c r="E2618" s="534">
        <v>90</v>
      </c>
      <c r="F2618" s="601">
        <v>0.71628526984127017</v>
      </c>
      <c r="G2618" s="536" t="s">
        <v>686</v>
      </c>
      <c r="H2618">
        <f>175431.51+30476.69</f>
        <v>205908.2</v>
      </c>
    </row>
    <row r="2619" spans="1:8" ht="13.5" customHeight="1">
      <c r="A2619" s="532">
        <v>44867</v>
      </c>
      <c r="B2619" s="615">
        <v>5300</v>
      </c>
      <c r="C2619" s="615">
        <f t="shared" si="280"/>
        <v>6236.29</v>
      </c>
      <c r="D2619" s="532">
        <f t="shared" si="281"/>
        <v>44957</v>
      </c>
      <c r="E2619" s="534">
        <v>90</v>
      </c>
      <c r="F2619" s="601">
        <v>0.71644832285115301</v>
      </c>
      <c r="G2619" s="536" t="s">
        <v>681</v>
      </c>
      <c r="H2619">
        <f>6220.72+15.57</f>
        <v>6236.29</v>
      </c>
    </row>
    <row r="2620" spans="1:8" ht="13.5" customHeight="1">
      <c r="A2620" s="532">
        <v>44868</v>
      </c>
      <c r="B2620" s="615">
        <v>75000</v>
      </c>
      <c r="C2620" s="615">
        <f t="shared" si="280"/>
        <v>88216.960000000006</v>
      </c>
      <c r="D2620" s="532">
        <f t="shared" si="281"/>
        <v>44958</v>
      </c>
      <c r="E2620" s="534">
        <v>90</v>
      </c>
      <c r="F2620" s="601">
        <v>0.71469487407407462</v>
      </c>
      <c r="G2620" s="536" t="s">
        <v>687</v>
      </c>
    </row>
    <row r="2621" spans="1:8" ht="13.5" customHeight="1">
      <c r="A2621" s="532">
        <v>44869</v>
      </c>
      <c r="B2621" s="615">
        <v>16000</v>
      </c>
      <c r="C2621" s="615">
        <f t="shared" si="280"/>
        <v>18813.07</v>
      </c>
      <c r="D2621" s="532">
        <f t="shared" si="281"/>
        <v>44959</v>
      </c>
      <c r="E2621" s="534">
        <v>90</v>
      </c>
      <c r="F2621" s="601">
        <v>0.71303510416666616</v>
      </c>
      <c r="G2621" s="536" t="s">
        <v>698</v>
      </c>
      <c r="H2621">
        <f>IF(E2621&gt;89,(C2621-B2621)/3,(C2621-B2621))</f>
        <v>937.68999999999994</v>
      </c>
    </row>
    <row r="2622" spans="1:8" ht="13.5" customHeight="1">
      <c r="A2622" s="532">
        <v>44869</v>
      </c>
      <c r="B2622" s="615">
        <v>30000</v>
      </c>
      <c r="C2622" s="615">
        <f t="shared" si="280"/>
        <v>35274.519999999997</v>
      </c>
      <c r="D2622" s="532">
        <f t="shared" si="281"/>
        <v>44959</v>
      </c>
      <c r="E2622" s="534">
        <v>90</v>
      </c>
      <c r="F2622" s="601">
        <v>0.71303696296296259</v>
      </c>
      <c r="G2622" s="536" t="s">
        <v>686</v>
      </c>
      <c r="H2622">
        <f>IF(E2622&gt;89,(C2622-B2622)/3,(C2622-B2622))</f>
        <v>1758.1733333333323</v>
      </c>
    </row>
    <row r="2623" spans="1:8" ht="13.5" customHeight="1">
      <c r="A2623" s="532">
        <v>44872</v>
      </c>
      <c r="B2623" s="615">
        <v>37400</v>
      </c>
      <c r="C2623" s="615">
        <f t="shared" si="280"/>
        <v>44031.79</v>
      </c>
      <c r="D2623" s="532">
        <f t="shared" si="281"/>
        <v>44963</v>
      </c>
      <c r="E2623" s="534">
        <v>91</v>
      </c>
      <c r="F2623" s="601">
        <v>0.71123093083387179</v>
      </c>
      <c r="G2623" s="536" t="s">
        <v>701</v>
      </c>
      <c r="H2623">
        <f>80197.26+13441.12</f>
        <v>93638.37999999999</v>
      </c>
    </row>
    <row r="2624" spans="1:8" ht="13.5" customHeight="1">
      <c r="A2624" s="532">
        <v>44872</v>
      </c>
      <c r="B2624" s="615">
        <v>4000</v>
      </c>
      <c r="C2624" s="615">
        <f t="shared" si="280"/>
        <v>4709.71</v>
      </c>
      <c r="D2624" s="532">
        <f t="shared" si="281"/>
        <v>44963</v>
      </c>
      <c r="E2624" s="534">
        <v>91</v>
      </c>
      <c r="F2624" s="601">
        <v>0.71165975274725257</v>
      </c>
      <c r="G2624" s="536" t="s">
        <v>681</v>
      </c>
      <c r="H2624">
        <f>37493.24+6538.55</f>
        <v>44031.79</v>
      </c>
    </row>
    <row r="2625" spans="1:8" ht="13.5" customHeight="1">
      <c r="A2625" s="532">
        <v>44872</v>
      </c>
      <c r="B2625" s="615">
        <v>80000</v>
      </c>
      <c r="C2625" s="615">
        <f t="shared" si="280"/>
        <v>94186.82</v>
      </c>
      <c r="D2625" s="532">
        <f t="shared" si="281"/>
        <v>44963</v>
      </c>
      <c r="E2625" s="534">
        <v>91</v>
      </c>
      <c r="F2625" s="601">
        <v>0.71128973901098935</v>
      </c>
      <c r="G2625" s="536" t="s">
        <v>687</v>
      </c>
      <c r="H2625">
        <f>10024.66+1680.13</f>
        <v>11704.79</v>
      </c>
    </row>
    <row r="2626" spans="1:8" ht="13.5" customHeight="1">
      <c r="A2626" s="532">
        <v>44873</v>
      </c>
      <c r="B2626" s="615">
        <v>79100</v>
      </c>
      <c r="C2626" s="615">
        <f t="shared" si="280"/>
        <v>92584.950000000012</v>
      </c>
      <c r="D2626" s="532">
        <f t="shared" si="281"/>
        <v>44963</v>
      </c>
      <c r="E2626" s="534">
        <v>90</v>
      </c>
      <c r="F2626" s="601">
        <v>0.69139018822868437</v>
      </c>
      <c r="G2626" s="536" t="s">
        <v>701</v>
      </c>
      <c r="H2626">
        <f>80197.26+13441.12</f>
        <v>93638.37999999999</v>
      </c>
    </row>
    <row r="2627" spans="1:8" ht="13.5" customHeight="1">
      <c r="A2627" s="532">
        <v>44873</v>
      </c>
      <c r="B2627" s="615">
        <v>80000</v>
      </c>
      <c r="C2627" s="615">
        <f t="shared" si="280"/>
        <v>93638.37999999999</v>
      </c>
      <c r="D2627" s="532">
        <f t="shared" si="281"/>
        <v>44963</v>
      </c>
      <c r="E2627" s="534">
        <v>90</v>
      </c>
      <c r="F2627" s="601">
        <v>0.691390097222222</v>
      </c>
      <c r="G2627" s="536" t="s">
        <v>701</v>
      </c>
      <c r="H2627">
        <f>2451.8+5.87</f>
        <v>2457.67</v>
      </c>
    </row>
    <row r="2628" spans="1:8" ht="13.5" customHeight="1">
      <c r="A2628" s="532">
        <v>44873</v>
      </c>
      <c r="B2628" s="615">
        <v>10000</v>
      </c>
      <c r="C2628" s="615">
        <f t="shared" si="280"/>
        <v>11704.789999999999</v>
      </c>
      <c r="D2628" s="532">
        <f t="shared" si="281"/>
        <v>44963</v>
      </c>
      <c r="E2628" s="534">
        <v>90</v>
      </c>
      <c r="F2628" s="601">
        <v>0.69138705555555535</v>
      </c>
      <c r="G2628" s="536" t="s">
        <v>686</v>
      </c>
      <c r="H2628">
        <f>4697.96+11.75</f>
        <v>4709.71</v>
      </c>
    </row>
    <row r="2629" spans="1:8" ht="13.5" customHeight="1">
      <c r="A2629" s="532">
        <v>44873</v>
      </c>
      <c r="B2629" s="615">
        <v>80000</v>
      </c>
      <c r="C2629" s="615">
        <f t="shared" si="280"/>
        <v>93638.37999999999</v>
      </c>
      <c r="D2629" s="532">
        <f t="shared" si="281"/>
        <v>44963</v>
      </c>
      <c r="E2629" s="534">
        <v>90</v>
      </c>
      <c r="F2629" s="601">
        <v>0.691390097222222</v>
      </c>
      <c r="G2629" s="536" t="s">
        <v>686</v>
      </c>
      <c r="H2629">
        <v>58390.41</v>
      </c>
    </row>
    <row r="2630" spans="1:8" ht="13.5" customHeight="1">
      <c r="A2630" s="532">
        <v>44873</v>
      </c>
      <c r="B2630" s="615">
        <v>2100</v>
      </c>
      <c r="C2630" s="615">
        <f t="shared" si="280"/>
        <v>2457.67</v>
      </c>
      <c r="D2630" s="532">
        <f t="shared" si="281"/>
        <v>44963</v>
      </c>
      <c r="E2630" s="534">
        <v>90</v>
      </c>
      <c r="F2630" s="601">
        <v>0.69073835978835996</v>
      </c>
      <c r="G2630" s="536" t="s">
        <v>681</v>
      </c>
      <c r="H2630">
        <v>74458.899999999994</v>
      </c>
    </row>
    <row r="2631" spans="1:8" ht="13.5" customHeight="1">
      <c r="A2631" s="532">
        <v>44873</v>
      </c>
      <c r="B2631" s="615">
        <v>25000</v>
      </c>
      <c r="C2631" s="615">
        <f t="shared" si="280"/>
        <v>29282.89</v>
      </c>
      <c r="D2631" s="532">
        <f t="shared" si="281"/>
        <v>44963</v>
      </c>
      <c r="E2631" s="534">
        <v>90</v>
      </c>
      <c r="F2631" s="601">
        <v>0.69477993333333299</v>
      </c>
      <c r="G2631" s="536" t="s">
        <v>687</v>
      </c>
      <c r="H2631">
        <v>94186.82</v>
      </c>
    </row>
    <row r="2632" spans="1:8" ht="13.5" customHeight="1">
      <c r="A2632" s="532">
        <v>44874</v>
      </c>
      <c r="B2632" s="615">
        <v>72000</v>
      </c>
      <c r="C2632" s="615">
        <f t="shared" si="280"/>
        <v>84516.69</v>
      </c>
      <c r="D2632" s="532">
        <f t="shared" si="281"/>
        <v>44964</v>
      </c>
      <c r="E2632" s="534">
        <v>90</v>
      </c>
      <c r="F2632" s="601">
        <v>0.7050296064814815</v>
      </c>
      <c r="G2632" s="536" t="s">
        <v>703</v>
      </c>
      <c r="H2632">
        <v>84516.69</v>
      </c>
    </row>
    <row r="2633" spans="1:8" ht="13.5" customHeight="1">
      <c r="A2633" s="532">
        <v>44875</v>
      </c>
      <c r="B2633" s="615">
        <v>15700</v>
      </c>
      <c r="C2633" s="615">
        <f t="shared" si="280"/>
        <v>18421.869999999995</v>
      </c>
      <c r="D2633" s="532">
        <f t="shared" si="281"/>
        <v>44965</v>
      </c>
      <c r="E2633" s="534">
        <v>90</v>
      </c>
      <c r="F2633" s="601">
        <v>0.70310159235668723</v>
      </c>
      <c r="G2633" s="536" t="s">
        <v>703</v>
      </c>
      <c r="H2633">
        <f>IF(E2633&gt;89,(C2633-B2633)/3,(C2633-B2633))</f>
        <v>907.28999999999849</v>
      </c>
    </row>
    <row r="2634" spans="1:8" ht="13.5" customHeight="1">
      <c r="A2634" s="532">
        <v>44875</v>
      </c>
      <c r="B2634" s="615">
        <v>55000</v>
      </c>
      <c r="C2634" s="615">
        <f t="shared" si="280"/>
        <v>64537.120000000003</v>
      </c>
      <c r="D2634" s="532">
        <f t="shared" si="281"/>
        <v>44965</v>
      </c>
      <c r="E2634" s="534">
        <v>90</v>
      </c>
      <c r="F2634" s="601">
        <v>0.70324218181818199</v>
      </c>
      <c r="G2634" s="536" t="s">
        <v>687</v>
      </c>
      <c r="H2634">
        <v>18421.87</v>
      </c>
    </row>
    <row r="2635" spans="1:8" ht="13.5" customHeight="1">
      <c r="A2635" s="532">
        <v>44876</v>
      </c>
      <c r="B2635" s="615">
        <v>94500</v>
      </c>
      <c r="C2635" s="615">
        <f t="shared" si="280"/>
        <v>110885.02</v>
      </c>
      <c r="D2635" s="532">
        <f t="shared" si="281"/>
        <v>44966</v>
      </c>
      <c r="E2635" s="534">
        <v>90</v>
      </c>
      <c r="F2635" s="601">
        <v>0.70317840094062334</v>
      </c>
      <c r="G2635" s="536" t="s">
        <v>698</v>
      </c>
      <c r="H2635">
        <v>64537.120000000003</v>
      </c>
    </row>
    <row r="2636" spans="1:8" ht="13.5" customHeight="1">
      <c r="A2636" s="532">
        <v>44876</v>
      </c>
      <c r="B2636" s="615">
        <v>100000</v>
      </c>
      <c r="C2636" s="615">
        <f t="shared" si="280"/>
        <v>117306.95</v>
      </c>
      <c r="D2636" s="532">
        <f t="shared" si="281"/>
        <v>44966</v>
      </c>
      <c r="E2636" s="534">
        <v>90</v>
      </c>
      <c r="F2636" s="601">
        <v>0.70189297222222191</v>
      </c>
      <c r="G2636" s="536" t="s">
        <v>687</v>
      </c>
      <c r="H2636">
        <f>IF(E2636&gt;89,(C2636-B2636)/3,(C2636-B2636))</f>
        <v>5768.9833333333327</v>
      </c>
    </row>
    <row r="2637" spans="1:8" ht="13.5" customHeight="1">
      <c r="A2637" s="532">
        <v>44879</v>
      </c>
      <c r="B2637" s="615">
        <v>19300</v>
      </c>
      <c r="C2637" s="615">
        <f t="shared" si="280"/>
        <v>22669.64</v>
      </c>
      <c r="D2637" s="532">
        <f t="shared" si="281"/>
        <v>44970</v>
      </c>
      <c r="E2637" s="534">
        <v>91</v>
      </c>
      <c r="F2637" s="601">
        <v>0.70028958606160674</v>
      </c>
      <c r="G2637" s="536" t="s">
        <v>703</v>
      </c>
      <c r="H2637">
        <v>22669.64</v>
      </c>
    </row>
    <row r="2638" spans="1:8" ht="13.5" customHeight="1">
      <c r="A2638" s="532">
        <v>44879</v>
      </c>
      <c r="B2638" s="615">
        <v>182600</v>
      </c>
      <c r="C2638" s="615">
        <f t="shared" si="280"/>
        <v>213857.11999999991</v>
      </c>
      <c r="D2638" s="532">
        <f t="shared" si="281"/>
        <v>44970</v>
      </c>
      <c r="E2638" s="534">
        <v>91</v>
      </c>
      <c r="F2638" s="601">
        <v>0.68659345473803124</v>
      </c>
      <c r="G2638" s="536" t="s">
        <v>699</v>
      </c>
      <c r="H2638">
        <v>12764.38</v>
      </c>
    </row>
    <row r="2639" spans="1:8" ht="13.5" customHeight="1">
      <c r="A2639" s="532">
        <v>44879</v>
      </c>
      <c r="B2639" s="615">
        <v>94100</v>
      </c>
      <c r="C2639" s="615">
        <f t="shared" si="280"/>
        <v>110530.49</v>
      </c>
      <c r="D2639" s="532">
        <f t="shared" si="281"/>
        <v>44970</v>
      </c>
      <c r="E2639" s="534">
        <v>91</v>
      </c>
      <c r="F2639" s="601">
        <v>0.70034553491142248</v>
      </c>
      <c r="G2639" s="536" t="s">
        <v>698</v>
      </c>
      <c r="H2639">
        <f>IF(E2639&gt;89,(C2639-B2639)/3,(C2639-B2639))</f>
        <v>5476.8300000000017</v>
      </c>
    </row>
    <row r="2640" spans="1:8" ht="13.5" customHeight="1">
      <c r="A2640" s="532">
        <v>44879</v>
      </c>
      <c r="B2640" s="615">
        <v>45000</v>
      </c>
      <c r="C2640" s="615">
        <f t="shared" si="280"/>
        <v>52857.29</v>
      </c>
      <c r="D2640" s="532">
        <f t="shared" si="281"/>
        <v>44970</v>
      </c>
      <c r="E2640" s="534">
        <v>91</v>
      </c>
      <c r="F2640" s="601">
        <v>0.70034452991452989</v>
      </c>
      <c r="G2640" s="536" t="s">
        <v>686</v>
      </c>
      <c r="H2640">
        <v>134005.48000000001</v>
      </c>
    </row>
    <row r="2641" spans="1:8" ht="13.5" customHeight="1">
      <c r="A2641" s="532">
        <v>44879</v>
      </c>
      <c r="B2641" s="615">
        <v>50000</v>
      </c>
      <c r="C2641" s="615">
        <f t="shared" si="280"/>
        <v>58731.72</v>
      </c>
      <c r="D2641" s="532">
        <f t="shared" si="281"/>
        <v>44970</v>
      </c>
      <c r="E2641" s="534">
        <v>91</v>
      </c>
      <c r="F2641" s="601">
        <v>0.70045665934065982</v>
      </c>
      <c r="G2641" s="536" t="s">
        <v>687</v>
      </c>
      <c r="H2641">
        <v>213857.12</v>
      </c>
    </row>
    <row r="2642" spans="1:8" ht="13.5" customHeight="1">
      <c r="A2642" s="532">
        <v>44879</v>
      </c>
      <c r="B2642" s="615">
        <v>82000</v>
      </c>
      <c r="C2642" s="615">
        <f t="shared" si="280"/>
        <v>96317.67</v>
      </c>
      <c r="D2642" s="532">
        <f t="shared" si="281"/>
        <v>44970</v>
      </c>
      <c r="E2642" s="534">
        <v>91</v>
      </c>
      <c r="F2642" s="601">
        <v>0.70034167113374435</v>
      </c>
      <c r="G2642" s="536" t="s">
        <v>687</v>
      </c>
      <c r="H2642">
        <v>51847.839999999997</v>
      </c>
    </row>
    <row r="2643" spans="1:8" ht="13.5" customHeight="1">
      <c r="A2643" s="532">
        <v>44880</v>
      </c>
      <c r="B2643" s="615">
        <v>44400</v>
      </c>
      <c r="C2643" s="615">
        <f t="shared" si="280"/>
        <v>51847.839999999989</v>
      </c>
      <c r="D2643" s="532">
        <f t="shared" si="281"/>
        <v>44970</v>
      </c>
      <c r="E2643" s="534">
        <v>90</v>
      </c>
      <c r="F2643" s="601">
        <v>0.6802956956956947</v>
      </c>
      <c r="G2643" s="536" t="s">
        <v>699</v>
      </c>
      <c r="H2643">
        <f>3600+229.32</f>
        <v>3829.32</v>
      </c>
    </row>
    <row r="2644" spans="1:8" ht="13.5" customHeight="1">
      <c r="A2644" s="532">
        <v>44880</v>
      </c>
      <c r="B2644" s="615">
        <v>30000</v>
      </c>
      <c r="C2644" s="615">
        <f t="shared" si="280"/>
        <v>35032.04</v>
      </c>
      <c r="D2644" s="532">
        <f t="shared" si="281"/>
        <v>44970</v>
      </c>
      <c r="E2644" s="534">
        <v>90</v>
      </c>
      <c r="F2644" s="601">
        <v>0.68025725925925928</v>
      </c>
      <c r="G2644" s="536" t="s">
        <v>698</v>
      </c>
      <c r="H2644">
        <f>IF(E2644&gt;89,(C2644-B2644)/3,(C2644-B2644))</f>
        <v>1677.346666666667</v>
      </c>
    </row>
    <row r="2645" spans="1:8" ht="13.5" customHeight="1">
      <c r="A2645" s="532">
        <v>44881</v>
      </c>
      <c r="B2645" s="615">
        <v>113300</v>
      </c>
      <c r="C2645" s="615">
        <f t="shared" si="280"/>
        <v>132681.51</v>
      </c>
      <c r="D2645" s="532">
        <f t="shared" si="281"/>
        <v>44971</v>
      </c>
      <c r="E2645" s="534">
        <v>90</v>
      </c>
      <c r="F2645" s="601">
        <v>0.6937580808080811</v>
      </c>
      <c r="G2645" s="536" t="s">
        <v>699</v>
      </c>
      <c r="H2645">
        <v>96317.67</v>
      </c>
    </row>
    <row r="2646" spans="1:8" ht="13.5" customHeight="1">
      <c r="A2646" s="532">
        <v>44888</v>
      </c>
      <c r="B2646" s="615">
        <v>60000</v>
      </c>
      <c r="C2646" s="615">
        <f t="shared" si="280"/>
        <v>69785.609999999971</v>
      </c>
      <c r="D2646" s="532">
        <f t="shared" si="281"/>
        <v>44979</v>
      </c>
      <c r="E2646" s="534">
        <v>91</v>
      </c>
      <c r="F2646" s="601">
        <v>0.65416623626373449</v>
      </c>
      <c r="G2646" s="536" t="s">
        <v>687</v>
      </c>
    </row>
    <row r="2647" spans="1:8" ht="13.5" customHeight="1">
      <c r="A2647" s="532">
        <v>44889</v>
      </c>
      <c r="B2647" s="615">
        <v>50000</v>
      </c>
      <c r="C2647" s="615">
        <f t="shared" si="280"/>
        <v>57586.3</v>
      </c>
      <c r="D2647" s="532">
        <f t="shared" si="281"/>
        <v>44979</v>
      </c>
      <c r="E2647" s="534">
        <v>90</v>
      </c>
      <c r="F2647" s="601">
        <v>0.61533322222222264</v>
      </c>
      <c r="G2647" s="536" t="s">
        <v>687</v>
      </c>
    </row>
    <row r="2648" spans="1:8" ht="13.5" customHeight="1">
      <c r="A2648" s="532">
        <v>44890</v>
      </c>
      <c r="B2648" s="615">
        <v>40000</v>
      </c>
      <c r="C2648" s="615">
        <f t="shared" si="280"/>
        <v>46817.169999999991</v>
      </c>
      <c r="D2648" s="532">
        <f t="shared" si="281"/>
        <v>44980</v>
      </c>
      <c r="E2648" s="534">
        <v>90</v>
      </c>
      <c r="F2648" s="601">
        <v>0.69118529166666598</v>
      </c>
      <c r="G2648" s="536" t="s">
        <v>686</v>
      </c>
    </row>
    <row r="2649" spans="1:8" ht="13.5" customHeight="1">
      <c r="A2649" s="532">
        <v>44893</v>
      </c>
      <c r="B2649" s="615">
        <v>100000</v>
      </c>
      <c r="C2649" s="615">
        <f t="shared" si="280"/>
        <v>115172.60273972603</v>
      </c>
      <c r="D2649" s="532">
        <f t="shared" si="281"/>
        <v>44971</v>
      </c>
      <c r="E2649" s="534">
        <v>78</v>
      </c>
      <c r="F2649" s="601">
        <v>0.71</v>
      </c>
      <c r="G2649" s="536" t="s">
        <v>705</v>
      </c>
      <c r="H2649">
        <f>IF(E2649&gt;89,(C2649-B2649)/3,(C2649-B2649))</f>
        <v>15172.602739726033</v>
      </c>
    </row>
    <row r="2650" spans="1:8" ht="13.5" customHeight="1">
      <c r="A2650" s="532">
        <v>44893</v>
      </c>
      <c r="B2650" s="615">
        <v>160000</v>
      </c>
      <c r="C2650" s="615">
        <f t="shared" si="280"/>
        <v>184276.16438356164</v>
      </c>
      <c r="D2650" s="532">
        <f t="shared" si="281"/>
        <v>44971</v>
      </c>
      <c r="E2650" s="534">
        <v>78</v>
      </c>
      <c r="F2650" s="601">
        <v>0.71</v>
      </c>
      <c r="G2650" s="536" t="s">
        <v>706</v>
      </c>
      <c r="H2650">
        <f>IF(E2650&gt;89,(C2650-B2650)/3,(C2650-B2650))</f>
        <v>24276.164383561641</v>
      </c>
    </row>
    <row r="2651" spans="1:8" ht="13.5" customHeight="1">
      <c r="A2651" s="532">
        <v>44893</v>
      </c>
      <c r="B2651" s="615">
        <v>350000</v>
      </c>
      <c r="C2651" s="615">
        <f t="shared" si="280"/>
        <v>404465.75342465751</v>
      </c>
      <c r="D2651" s="532">
        <f t="shared" si="281"/>
        <v>44973</v>
      </c>
      <c r="E2651" s="534">
        <v>80</v>
      </c>
      <c r="F2651" s="601">
        <v>0.71</v>
      </c>
      <c r="G2651" s="536" t="s">
        <v>707</v>
      </c>
      <c r="H2651">
        <f>IF(E2651&gt;89,(C2651-B2651)/3,(C2651-B2651))</f>
        <v>54465.753424657509</v>
      </c>
    </row>
    <row r="2652" spans="1:8" ht="13.5" customHeight="1">
      <c r="A2652" s="532">
        <v>44893</v>
      </c>
      <c r="B2652" s="615">
        <v>28400</v>
      </c>
      <c r="C2652" s="615">
        <f t="shared" si="280"/>
        <v>33313.379999999997</v>
      </c>
      <c r="D2652" s="532">
        <f t="shared" si="281"/>
        <v>44984</v>
      </c>
      <c r="E2652" s="534">
        <v>91</v>
      </c>
      <c r="F2652" s="601">
        <v>0.69392652066243599</v>
      </c>
      <c r="G2652" s="536" t="s">
        <v>261</v>
      </c>
      <c r="H2652">
        <v>33313.379999999997</v>
      </c>
    </row>
    <row r="2653" spans="1:8" ht="13.5" customHeight="1">
      <c r="A2653" s="532">
        <v>44893</v>
      </c>
      <c r="B2653" s="615">
        <v>55600</v>
      </c>
      <c r="C2653" s="615">
        <f t="shared" si="280"/>
        <v>65219.150000000016</v>
      </c>
      <c r="D2653" s="532">
        <f t="shared" si="281"/>
        <v>44984</v>
      </c>
      <c r="E2653" s="534">
        <v>91</v>
      </c>
      <c r="F2653" s="601">
        <v>0.69392634793264396</v>
      </c>
      <c r="G2653" s="536" t="s">
        <v>265</v>
      </c>
      <c r="H2653">
        <f>55738.62+9480.53</f>
        <v>65219.15</v>
      </c>
    </row>
    <row r="2654" spans="1:8" ht="13.5" customHeight="1">
      <c r="A2654" s="532">
        <v>44894</v>
      </c>
      <c r="B2654" s="615">
        <v>140000</v>
      </c>
      <c r="C2654" s="615">
        <f t="shared" si="280"/>
        <v>161513.97260273973</v>
      </c>
      <c r="D2654" s="532">
        <f t="shared" si="281"/>
        <v>44973</v>
      </c>
      <c r="E2654" s="534">
        <v>79</v>
      </c>
      <c r="F2654" s="601">
        <v>0.71</v>
      </c>
      <c r="G2654" s="536" t="s">
        <v>706</v>
      </c>
      <c r="H2654">
        <f>IF(E2654&gt;89,(C2654-B2654)/3,(C2654-B2654))</f>
        <v>21513.972602739726</v>
      </c>
    </row>
    <row r="2655" spans="1:8" ht="13.5" customHeight="1">
      <c r="A2655" s="532">
        <v>44894</v>
      </c>
      <c r="B2655" s="615">
        <v>15600</v>
      </c>
      <c r="C2655" s="615">
        <f t="shared" si="280"/>
        <v>18185.749999999989</v>
      </c>
      <c r="D2655" s="532">
        <f t="shared" si="281"/>
        <v>44984</v>
      </c>
      <c r="E2655" s="534">
        <v>90</v>
      </c>
      <c r="F2655" s="601">
        <v>0.67222133190882905</v>
      </c>
      <c r="G2655" s="536" t="s">
        <v>259</v>
      </c>
      <c r="H2655">
        <f>18141+44.75</f>
        <v>18185.75</v>
      </c>
    </row>
    <row r="2656" spans="1:8" ht="13.5" customHeight="1">
      <c r="A2656" s="532">
        <v>44894</v>
      </c>
      <c r="B2656" s="615">
        <v>20000</v>
      </c>
      <c r="C2656" s="615">
        <f t="shared" si="280"/>
        <v>23315.989999999998</v>
      </c>
      <c r="D2656" s="532">
        <f t="shared" si="281"/>
        <v>44984</v>
      </c>
      <c r="E2656" s="534">
        <v>90</v>
      </c>
      <c r="F2656" s="601">
        <v>0.67240908333333305</v>
      </c>
      <c r="G2656" s="536" t="s">
        <v>256</v>
      </c>
      <c r="H2656">
        <f>20049.32+3266.67</f>
        <v>23315.989999999998</v>
      </c>
    </row>
    <row r="2657" spans="1:10" ht="13.5" customHeight="1">
      <c r="A2657" s="532">
        <v>44894</v>
      </c>
      <c r="B2657" s="615">
        <v>20000</v>
      </c>
      <c r="C2657" s="615">
        <f t="shared" si="280"/>
        <v>23315.989999999998</v>
      </c>
      <c r="D2657" s="532">
        <f t="shared" si="281"/>
        <v>44984</v>
      </c>
      <c r="E2657" s="534">
        <v>90</v>
      </c>
      <c r="F2657" s="601">
        <v>0.67240908333333305</v>
      </c>
      <c r="G2657" s="536" t="s">
        <v>258</v>
      </c>
      <c r="H2657">
        <v>23315.99</v>
      </c>
    </row>
    <row r="2658" spans="1:10" ht="13.5" customHeight="1">
      <c r="A2658" s="532">
        <v>44895</v>
      </c>
      <c r="B2658" s="615">
        <v>90000</v>
      </c>
      <c r="C2658" s="615">
        <f t="shared" si="280"/>
        <v>104705.75342465754</v>
      </c>
      <c r="D2658" s="532">
        <f t="shared" si="281"/>
        <v>44979</v>
      </c>
      <c r="E2658" s="534">
        <v>84</v>
      </c>
      <c r="F2658" s="601">
        <v>0.71</v>
      </c>
      <c r="G2658" s="536" t="s">
        <v>708</v>
      </c>
    </row>
    <row r="2659" spans="1:10" ht="13.5" customHeight="1">
      <c r="A2659" s="532">
        <v>44895</v>
      </c>
      <c r="B2659" s="615">
        <v>95700</v>
      </c>
      <c r="C2659" s="615">
        <f t="shared" si="280"/>
        <v>111523.27397260274</v>
      </c>
      <c r="D2659" s="532">
        <f t="shared" si="281"/>
        <v>44980</v>
      </c>
      <c r="E2659" s="534">
        <v>85</v>
      </c>
      <c r="F2659" s="601">
        <v>0.71</v>
      </c>
      <c r="G2659" s="536" t="s">
        <v>709</v>
      </c>
    </row>
    <row r="2660" spans="1:10" ht="13.5" customHeight="1">
      <c r="A2660" s="532">
        <v>44895</v>
      </c>
      <c r="B2660" s="615">
        <v>78500</v>
      </c>
      <c r="C2660" s="615">
        <f t="shared" ref="A2660:C2723" si="282">B2660+(B2660*F2660/365*E2660)*1</f>
        <v>91632.082191780821</v>
      </c>
      <c r="D2660" s="532">
        <f t="shared" si="281"/>
        <v>44981</v>
      </c>
      <c r="E2660" s="534">
        <v>86</v>
      </c>
      <c r="F2660" s="601">
        <v>0.71</v>
      </c>
      <c r="G2660" s="536" t="s">
        <v>710</v>
      </c>
      <c r="I2660" s="596">
        <f>+B2660</f>
        <v>78500</v>
      </c>
      <c r="J2660" s="596">
        <f>+C2660</f>
        <v>91632.082191780821</v>
      </c>
    </row>
    <row r="2661" spans="1:10" ht="13.5" customHeight="1">
      <c r="A2661" s="532">
        <v>44895</v>
      </c>
      <c r="B2661" s="615">
        <v>100000</v>
      </c>
      <c r="C2661" s="615">
        <f t="shared" si="282"/>
        <v>116728.76712328767</v>
      </c>
      <c r="D2661" s="532">
        <f t="shared" si="281"/>
        <v>44981</v>
      </c>
      <c r="E2661" s="534">
        <v>86</v>
      </c>
      <c r="F2661" s="601">
        <v>0.71</v>
      </c>
      <c r="G2661" s="536" t="s">
        <v>706</v>
      </c>
      <c r="H2661">
        <f>IF(E2661&gt;89,(C2661-B2661)/3,(C2661-B2661))</f>
        <v>16728.767123287675</v>
      </c>
    </row>
    <row r="2662" spans="1:10" ht="13.5" customHeight="1">
      <c r="A2662" s="532">
        <v>44896</v>
      </c>
      <c r="B2662" s="615">
        <v>37500</v>
      </c>
      <c r="C2662" s="615">
        <f t="shared" si="282"/>
        <v>43700.342465753427</v>
      </c>
      <c r="D2662" s="532">
        <f t="shared" si="281"/>
        <v>44981</v>
      </c>
      <c r="E2662" s="534">
        <v>85</v>
      </c>
      <c r="F2662" s="601">
        <v>0.71</v>
      </c>
      <c r="G2662" s="536" t="s">
        <v>710</v>
      </c>
      <c r="H2662">
        <f>IF(E2662&gt;89,(C2662-B2662)/3,(C2662-B2662))</f>
        <v>6200.3424657534269</v>
      </c>
      <c r="I2662" s="596">
        <f>+B2662</f>
        <v>37500</v>
      </c>
      <c r="J2662" s="596">
        <f>+C2662</f>
        <v>43700.342465753427</v>
      </c>
    </row>
    <row r="2663" spans="1:10" ht="13.5" customHeight="1">
      <c r="A2663" s="532">
        <v>44897</v>
      </c>
      <c r="B2663" s="615">
        <v>28200</v>
      </c>
      <c r="C2663" s="615">
        <f t="shared" si="282"/>
        <v>32807.80273972603</v>
      </c>
      <c r="D2663" s="532">
        <f t="shared" si="281"/>
        <v>44981</v>
      </c>
      <c r="E2663" s="534">
        <v>84</v>
      </c>
      <c r="F2663" s="601">
        <v>0.71</v>
      </c>
      <c r="G2663" s="536" t="s">
        <v>710</v>
      </c>
      <c r="I2663" s="596">
        <f>+B2663</f>
        <v>28200</v>
      </c>
      <c r="J2663" s="596">
        <f>+C2663</f>
        <v>32807.80273972603</v>
      </c>
    </row>
    <row r="2664" spans="1:10" ht="13.5" customHeight="1">
      <c r="A2664" s="532">
        <v>44897</v>
      </c>
      <c r="B2664" s="615">
        <v>50000</v>
      </c>
      <c r="C2664" s="615">
        <f t="shared" si="282"/>
        <v>58169.863013698632</v>
      </c>
      <c r="D2664" s="532">
        <f t="shared" si="281"/>
        <v>44981</v>
      </c>
      <c r="E2664" s="534">
        <v>84</v>
      </c>
      <c r="F2664" s="601">
        <v>0.71</v>
      </c>
      <c r="G2664" s="536" t="s">
        <v>706</v>
      </c>
      <c r="H2664">
        <f>IF(E2664&gt;89,(C2664-B2664)/3,(C2664-B2664))</f>
        <v>8169.8630136986321</v>
      </c>
    </row>
    <row r="2665" spans="1:10" ht="13.5" customHeight="1">
      <c r="A2665" s="532">
        <v>44897</v>
      </c>
      <c r="B2665" s="615">
        <v>65000</v>
      </c>
      <c r="C2665" s="615">
        <f t="shared" si="282"/>
        <v>76101.25</v>
      </c>
      <c r="D2665" s="532">
        <f t="shared" si="281"/>
        <v>44987</v>
      </c>
      <c r="E2665" s="534">
        <v>90</v>
      </c>
      <c r="F2665" s="601">
        <v>0.69264209401709398</v>
      </c>
      <c r="G2665" s="536" t="s">
        <v>256</v>
      </c>
      <c r="H2665">
        <f>65160.27+10940.98</f>
        <v>76101.25</v>
      </c>
    </row>
    <row r="2666" spans="1:10" ht="13.5" customHeight="1">
      <c r="A2666" s="532">
        <v>44900</v>
      </c>
      <c r="B2666" s="615">
        <v>225000</v>
      </c>
      <c r="C2666" s="615">
        <f t="shared" si="282"/>
        <v>256074.65753424657</v>
      </c>
      <c r="D2666" s="532">
        <f t="shared" si="281"/>
        <v>44971</v>
      </c>
      <c r="E2666" s="534">
        <v>71</v>
      </c>
      <c r="F2666" s="601">
        <v>0.71</v>
      </c>
      <c r="G2666" s="536" t="s">
        <v>708</v>
      </c>
      <c r="H2666">
        <f>IF(E2666&gt;89,(C2666-B2666)/3,(C2666-B2666))</f>
        <v>31074.657534246566</v>
      </c>
    </row>
    <row r="2667" spans="1:10" ht="13.5" customHeight="1">
      <c r="A2667" s="532">
        <v>44900</v>
      </c>
      <c r="B2667" s="615">
        <v>18000</v>
      </c>
      <c r="C2667" s="615">
        <f t="shared" si="282"/>
        <v>20766.082191780821</v>
      </c>
      <c r="D2667" s="532">
        <f t="shared" si="281"/>
        <v>44979</v>
      </c>
      <c r="E2667" s="534">
        <v>79</v>
      </c>
      <c r="F2667" s="601">
        <v>0.71</v>
      </c>
      <c r="G2667" s="536" t="s">
        <v>705</v>
      </c>
      <c r="H2667">
        <f>IF(E2667&gt;89,(C2667-B2667)/3,(C2667-B2667))</f>
        <v>2766.0821917808207</v>
      </c>
    </row>
    <row r="2668" spans="1:10" ht="13.5" customHeight="1">
      <c r="A2668" s="532">
        <v>44900</v>
      </c>
      <c r="B2668" s="615">
        <v>24000</v>
      </c>
      <c r="C2668" s="615">
        <f t="shared" si="282"/>
        <v>27688.109589041094</v>
      </c>
      <c r="D2668" s="532">
        <f t="shared" si="281"/>
        <v>44979</v>
      </c>
      <c r="E2668" s="534">
        <v>79</v>
      </c>
      <c r="F2668" s="601">
        <v>0.71</v>
      </c>
      <c r="G2668" s="536" t="s">
        <v>705</v>
      </c>
      <c r="H2668">
        <v>91632.08</v>
      </c>
    </row>
    <row r="2669" spans="1:10" ht="13.5" customHeight="1">
      <c r="A2669" s="532">
        <v>44900</v>
      </c>
      <c r="B2669" s="615">
        <v>130000</v>
      </c>
      <c r="C2669" s="615">
        <f t="shared" si="282"/>
        <v>150483.01369863015</v>
      </c>
      <c r="D2669" s="532">
        <f t="shared" ref="A2669:D2732" si="283">+A2669+E2669</f>
        <v>44981</v>
      </c>
      <c r="E2669" s="534">
        <v>81</v>
      </c>
      <c r="F2669" s="601">
        <v>0.71</v>
      </c>
      <c r="G2669" s="536" t="s">
        <v>707</v>
      </c>
    </row>
    <row r="2670" spans="1:10" ht="13.5" customHeight="1">
      <c r="A2670" s="532">
        <v>44900</v>
      </c>
      <c r="B2670" s="615">
        <v>47700</v>
      </c>
      <c r="C2670" s="615">
        <f t="shared" si="282"/>
        <v>55965.360000000015</v>
      </c>
      <c r="D2670" s="532">
        <f t="shared" si="283"/>
        <v>44991</v>
      </c>
      <c r="E2670" s="534">
        <v>91</v>
      </c>
      <c r="F2670" s="601">
        <v>0.69501610339346298</v>
      </c>
      <c r="G2670" s="536" t="s">
        <v>259</v>
      </c>
      <c r="H2670">
        <f>55827.07+138.29</f>
        <v>55965.36</v>
      </c>
    </row>
    <row r="2671" spans="1:10" ht="13.5" customHeight="1">
      <c r="A2671" s="532">
        <v>44901</v>
      </c>
      <c r="B2671" s="615">
        <v>50000</v>
      </c>
      <c r="C2671" s="615">
        <f t="shared" si="282"/>
        <v>57586.301369863017</v>
      </c>
      <c r="D2671" s="532">
        <f t="shared" si="283"/>
        <v>44979</v>
      </c>
      <c r="E2671" s="534">
        <v>78</v>
      </c>
      <c r="F2671" s="601">
        <v>0.71</v>
      </c>
      <c r="G2671" s="536" t="s">
        <v>708</v>
      </c>
    </row>
    <row r="2672" spans="1:10" ht="13.5" customHeight="1">
      <c r="A2672" s="532">
        <v>44901</v>
      </c>
      <c r="B2672" s="615">
        <v>18200</v>
      </c>
      <c r="C2672" s="615">
        <f t="shared" si="282"/>
        <v>21032.219178082192</v>
      </c>
      <c r="D2672" s="532">
        <f t="shared" si="283"/>
        <v>44981</v>
      </c>
      <c r="E2672" s="534">
        <v>80</v>
      </c>
      <c r="F2672" s="601">
        <v>0.71</v>
      </c>
      <c r="G2672" s="536" t="s">
        <v>711</v>
      </c>
    </row>
    <row r="2673" spans="1:8" ht="13.5" customHeight="1">
      <c r="A2673" s="532">
        <v>44901</v>
      </c>
      <c r="B2673" s="615">
        <v>145000</v>
      </c>
      <c r="C2673" s="615">
        <f t="shared" si="282"/>
        <v>167564.38356164383</v>
      </c>
      <c r="D2673" s="532">
        <f t="shared" si="283"/>
        <v>44981</v>
      </c>
      <c r="E2673" s="534">
        <v>80</v>
      </c>
      <c r="F2673" s="601">
        <v>0.71</v>
      </c>
      <c r="G2673" s="536" t="s">
        <v>707</v>
      </c>
    </row>
    <row r="2674" spans="1:8" ht="13.5" customHeight="1">
      <c r="A2674" s="532">
        <v>44902</v>
      </c>
      <c r="B2674" s="615">
        <v>75000</v>
      </c>
      <c r="C2674" s="615">
        <f t="shared" si="282"/>
        <v>86525.34246575342</v>
      </c>
      <c r="D2674" s="532">
        <f t="shared" si="283"/>
        <v>44981</v>
      </c>
      <c r="E2674" s="534">
        <v>79</v>
      </c>
      <c r="F2674" s="601">
        <v>0.71</v>
      </c>
      <c r="G2674" s="536" t="s">
        <v>707</v>
      </c>
    </row>
    <row r="2675" spans="1:8" ht="13.5" customHeight="1">
      <c r="A2675" s="532">
        <v>44907</v>
      </c>
      <c r="B2675" s="615">
        <v>200000</v>
      </c>
      <c r="C2675" s="615">
        <f t="shared" si="282"/>
        <v>224898.63013698629</v>
      </c>
      <c r="D2675" s="532">
        <f t="shared" si="283"/>
        <v>44971</v>
      </c>
      <c r="E2675" s="534">
        <v>64</v>
      </c>
      <c r="F2675" s="601">
        <v>0.71</v>
      </c>
      <c r="G2675" s="536" t="s">
        <v>707</v>
      </c>
      <c r="H2675">
        <f>IF(E2675&gt;89,(C2675-B2675)/3,(C2675-B2675))</f>
        <v>24898.630136986292</v>
      </c>
    </row>
    <row r="2676" spans="1:8" ht="13.5" customHeight="1">
      <c r="A2676" s="532">
        <v>44907</v>
      </c>
      <c r="B2676" s="615">
        <v>65000</v>
      </c>
      <c r="C2676" s="615">
        <f t="shared" si="282"/>
        <v>73092.054794520547</v>
      </c>
      <c r="D2676" s="532">
        <f t="shared" si="283"/>
        <v>44971</v>
      </c>
      <c r="E2676" s="534">
        <v>64</v>
      </c>
      <c r="F2676" s="601">
        <v>0.71</v>
      </c>
      <c r="G2676" s="536" t="s">
        <v>711</v>
      </c>
      <c r="H2676">
        <f>IF(E2676&gt;89,(C2676-B2676)/3,(C2676-B2676))</f>
        <v>8092.0547945205471</v>
      </c>
    </row>
    <row r="2677" spans="1:8" ht="13.5" customHeight="1">
      <c r="A2677" s="532">
        <v>44907</v>
      </c>
      <c r="B2677" s="615">
        <v>60300</v>
      </c>
      <c r="C2677" s="615">
        <f t="shared" si="282"/>
        <v>68862.600000000006</v>
      </c>
      <c r="D2677" s="532">
        <f t="shared" si="283"/>
        <v>44980</v>
      </c>
      <c r="E2677" s="534">
        <v>73</v>
      </c>
      <c r="F2677" s="601">
        <v>0.71</v>
      </c>
      <c r="G2677" s="536" t="s">
        <v>709</v>
      </c>
    </row>
    <row r="2678" spans="1:8" ht="13.5" customHeight="1">
      <c r="A2678" s="532">
        <v>44908</v>
      </c>
      <c r="B2678" s="615">
        <v>40000</v>
      </c>
      <c r="C2678" s="615">
        <f t="shared" si="282"/>
        <v>44901.917808219179</v>
      </c>
      <c r="D2678" s="532">
        <f t="shared" si="283"/>
        <v>44971</v>
      </c>
      <c r="E2678" s="534">
        <v>63</v>
      </c>
      <c r="F2678" s="601">
        <v>0.71</v>
      </c>
      <c r="G2678" s="536" t="s">
        <v>705</v>
      </c>
      <c r="H2678">
        <f>IF(E2678&gt;89,(C2678-B2678)/3,(C2678-B2678))</f>
        <v>4901.9178082191793</v>
      </c>
    </row>
    <row r="2679" spans="1:8" ht="13.5" customHeight="1">
      <c r="A2679" s="532">
        <v>44908</v>
      </c>
      <c r="B2679" s="615">
        <v>64000</v>
      </c>
      <c r="C2679" s="615">
        <f t="shared" si="282"/>
        <v>72963.506849315076</v>
      </c>
      <c r="D2679" s="532">
        <f t="shared" si="283"/>
        <v>44980</v>
      </c>
      <c r="E2679" s="534">
        <v>72</v>
      </c>
      <c r="F2679" s="601">
        <v>0.71</v>
      </c>
      <c r="G2679" s="536" t="s">
        <v>709</v>
      </c>
    </row>
    <row r="2680" spans="1:8" ht="13.5" customHeight="1">
      <c r="A2680" s="532">
        <v>44908</v>
      </c>
      <c r="B2680" s="615">
        <v>40000</v>
      </c>
      <c r="C2680" s="615">
        <f t="shared" si="282"/>
        <v>46659.939999999995</v>
      </c>
      <c r="D2680" s="532">
        <f t="shared" si="283"/>
        <v>44998</v>
      </c>
      <c r="E2680" s="534">
        <v>90</v>
      </c>
      <c r="F2680" s="601">
        <v>0.67524391666666628</v>
      </c>
      <c r="G2680" s="536" t="s">
        <v>256</v>
      </c>
      <c r="H2680">
        <f>40098.63+6561.31</f>
        <v>46659.939999999995</v>
      </c>
    </row>
    <row r="2681" spans="1:8" ht="13.5" customHeight="1">
      <c r="A2681" s="532">
        <v>44910</v>
      </c>
      <c r="B2681" s="615">
        <v>120000</v>
      </c>
      <c r="C2681" s="615">
        <f t="shared" si="282"/>
        <v>134005.4794520548</v>
      </c>
      <c r="D2681" s="532">
        <f t="shared" si="283"/>
        <v>44970</v>
      </c>
      <c r="E2681" s="534">
        <v>60</v>
      </c>
      <c r="F2681" s="601">
        <v>0.71</v>
      </c>
      <c r="G2681" s="536" t="s">
        <v>709</v>
      </c>
      <c r="H2681">
        <f>94334.61+16195.88</f>
        <v>110530.49</v>
      </c>
    </row>
    <row r="2682" spans="1:8" ht="13.5" customHeight="1">
      <c r="A2682" s="532">
        <v>44921</v>
      </c>
      <c r="B2682" s="615">
        <v>370500</v>
      </c>
      <c r="C2682" s="615">
        <f t="shared" si="282"/>
        <v>393339.0410958904</v>
      </c>
      <c r="D2682" s="532">
        <f t="shared" si="283"/>
        <v>44951</v>
      </c>
      <c r="E2682" s="534">
        <v>30</v>
      </c>
      <c r="F2682" s="601">
        <v>0.75</v>
      </c>
      <c r="G2682" s="536" t="s">
        <v>695</v>
      </c>
    </row>
    <row r="2683" spans="1:8" ht="13.5" customHeight="1">
      <c r="A2683" s="532">
        <v>44921</v>
      </c>
      <c r="B2683" s="615">
        <v>21800</v>
      </c>
      <c r="C2683" s="615">
        <f t="shared" si="282"/>
        <v>23143.835616438355</v>
      </c>
      <c r="D2683" s="532">
        <f t="shared" si="283"/>
        <v>44951</v>
      </c>
      <c r="E2683" s="534">
        <v>30</v>
      </c>
      <c r="F2683" s="601">
        <v>0.75</v>
      </c>
      <c r="G2683" s="536" t="s">
        <v>553</v>
      </c>
      <c r="H2683">
        <v>23143.84</v>
      </c>
    </row>
    <row r="2684" spans="1:8" ht="13.5" customHeight="1">
      <c r="A2684" s="532">
        <v>44921</v>
      </c>
      <c r="B2684" s="615">
        <v>68400</v>
      </c>
      <c r="C2684" s="615">
        <f t="shared" si="282"/>
        <v>72616.438356164377</v>
      </c>
      <c r="D2684" s="532">
        <f t="shared" si="283"/>
        <v>44951</v>
      </c>
      <c r="E2684" s="534">
        <v>30</v>
      </c>
      <c r="F2684" s="601">
        <v>0.75</v>
      </c>
      <c r="G2684" s="536" t="s">
        <v>697</v>
      </c>
      <c r="H2684" t="s">
        <v>712</v>
      </c>
    </row>
    <row r="2685" spans="1:8" ht="13.5" customHeight="1">
      <c r="A2685" s="532">
        <v>44921</v>
      </c>
      <c r="B2685" s="615">
        <v>30000</v>
      </c>
      <c r="C2685" s="615">
        <f t="shared" si="282"/>
        <v>31849.31506849315</v>
      </c>
      <c r="D2685" s="532">
        <f t="shared" si="283"/>
        <v>44951</v>
      </c>
      <c r="E2685" s="534">
        <v>30</v>
      </c>
      <c r="F2685" s="601">
        <v>0.75</v>
      </c>
      <c r="G2685" s="536" t="s">
        <v>120</v>
      </c>
      <c r="H2685">
        <v>31849.32</v>
      </c>
    </row>
    <row r="2686" spans="1:8" ht="13.5" customHeight="1">
      <c r="A2686" s="532">
        <v>44922</v>
      </c>
      <c r="B2686" s="615">
        <v>30000</v>
      </c>
      <c r="C2686" s="615">
        <f t="shared" si="282"/>
        <v>31849.31506849315</v>
      </c>
      <c r="D2686" s="532">
        <f t="shared" si="283"/>
        <v>44952</v>
      </c>
      <c r="E2686" s="534">
        <v>30</v>
      </c>
      <c r="F2686" s="601">
        <v>0.75</v>
      </c>
      <c r="G2686" s="536" t="s">
        <v>695</v>
      </c>
      <c r="H2686">
        <f t="shared" ref="A2686:H2692" si="284">IF(E2686&gt;89,(C2686-B2686)/3,(C2686-B2686))</f>
        <v>1849.3150684931497</v>
      </c>
    </row>
    <row r="2687" spans="1:8" ht="13.5" customHeight="1">
      <c r="A2687" s="532">
        <v>44922</v>
      </c>
      <c r="B2687" s="615">
        <v>104600</v>
      </c>
      <c r="C2687" s="615">
        <f t="shared" si="282"/>
        <v>111047.94520547945</v>
      </c>
      <c r="D2687" s="532">
        <f t="shared" si="283"/>
        <v>44952</v>
      </c>
      <c r="E2687" s="534">
        <v>30</v>
      </c>
      <c r="F2687" s="601">
        <v>0.75</v>
      </c>
      <c r="G2687" s="536" t="s">
        <v>680</v>
      </c>
      <c r="H2687">
        <f t="shared" si="284"/>
        <v>6447.9452054794529</v>
      </c>
    </row>
    <row r="2688" spans="1:8" ht="13.5" customHeight="1">
      <c r="A2688" s="532">
        <v>44922</v>
      </c>
      <c r="B2688" s="615">
        <v>340000</v>
      </c>
      <c r="C2688" s="615">
        <f t="shared" si="282"/>
        <v>360958.90410958906</v>
      </c>
      <c r="D2688" s="532">
        <f t="shared" si="283"/>
        <v>44952</v>
      </c>
      <c r="E2688" s="534">
        <v>30</v>
      </c>
      <c r="F2688" s="601">
        <v>0.75</v>
      </c>
      <c r="G2688" s="536" t="s">
        <v>276</v>
      </c>
      <c r="H2688">
        <f t="shared" si="284"/>
        <v>20958.904109589057</v>
      </c>
    </row>
    <row r="2689" spans="1:8" ht="13.5" customHeight="1">
      <c r="A2689" s="532">
        <v>44923</v>
      </c>
      <c r="B2689" s="615">
        <v>60000</v>
      </c>
      <c r="C2689" s="615">
        <f t="shared" si="282"/>
        <v>63698.630136986299</v>
      </c>
      <c r="D2689" s="532">
        <f t="shared" si="283"/>
        <v>44953</v>
      </c>
      <c r="E2689" s="534">
        <v>30</v>
      </c>
      <c r="F2689" s="601">
        <v>0.75</v>
      </c>
      <c r="G2689" s="536" t="s">
        <v>276</v>
      </c>
      <c r="H2689">
        <f t="shared" si="284"/>
        <v>3698.6301369862995</v>
      </c>
    </row>
    <row r="2690" spans="1:8" ht="13.5" customHeight="1">
      <c r="A2690" s="532">
        <v>44923</v>
      </c>
      <c r="B2690" s="615">
        <v>40000</v>
      </c>
      <c r="C2690" s="615">
        <f t="shared" si="282"/>
        <v>42465.753424657538</v>
      </c>
      <c r="D2690" s="532">
        <f t="shared" si="283"/>
        <v>44953</v>
      </c>
      <c r="E2690" s="534">
        <v>30</v>
      </c>
      <c r="F2690" s="601">
        <v>0.75</v>
      </c>
      <c r="G2690" s="536" t="s">
        <v>276</v>
      </c>
      <c r="H2690">
        <f t="shared" si="284"/>
        <v>2465.7534246575378</v>
      </c>
    </row>
    <row r="2691" spans="1:8" ht="13.5" customHeight="1">
      <c r="A2691" s="532">
        <v>44923</v>
      </c>
      <c r="B2691" s="615">
        <v>300000</v>
      </c>
      <c r="C2691" s="615">
        <f t="shared" si="282"/>
        <v>318493.15068493149</v>
      </c>
      <c r="D2691" s="532">
        <f t="shared" si="283"/>
        <v>44953</v>
      </c>
      <c r="E2691" s="534">
        <v>30</v>
      </c>
      <c r="F2691" s="601">
        <v>0.75</v>
      </c>
      <c r="G2691" s="536" t="s">
        <v>540</v>
      </c>
      <c r="H2691">
        <f t="shared" si="284"/>
        <v>18493.15068493149</v>
      </c>
    </row>
    <row r="2692" spans="1:8" ht="13.5" customHeight="1">
      <c r="A2692" s="532">
        <v>44923</v>
      </c>
      <c r="B2692" s="615">
        <v>950000</v>
      </c>
      <c r="C2692" s="615">
        <f t="shared" si="282"/>
        <v>1008561.6438356164</v>
      </c>
      <c r="D2692" s="532">
        <f t="shared" si="283"/>
        <v>44953</v>
      </c>
      <c r="E2692" s="534">
        <v>30</v>
      </c>
      <c r="F2692" s="601">
        <v>0.75</v>
      </c>
      <c r="G2692" s="536" t="s">
        <v>120</v>
      </c>
      <c r="H2692">
        <f t="shared" si="284"/>
        <v>58561.643835616414</v>
      </c>
    </row>
    <row r="2693" spans="1:8" ht="13.5" customHeight="1">
      <c r="A2693" s="532">
        <v>44924</v>
      </c>
      <c r="B2693" s="615">
        <v>2900</v>
      </c>
      <c r="C2693" s="615">
        <f t="shared" si="282"/>
        <v>3090.6849315068494</v>
      </c>
      <c r="D2693" s="532">
        <f t="shared" si="283"/>
        <v>44956</v>
      </c>
      <c r="E2693" s="534">
        <v>32</v>
      </c>
      <c r="F2693" s="601">
        <v>0.75</v>
      </c>
      <c r="G2693" s="536" t="s">
        <v>697</v>
      </c>
      <c r="H2693">
        <v>167578.01999999999</v>
      </c>
    </row>
    <row r="2694" spans="1:8" ht="13.5" customHeight="1">
      <c r="A2694" s="532">
        <v>44924</v>
      </c>
      <c r="B2694" s="615">
        <v>8200</v>
      </c>
      <c r="C2694" s="615">
        <f t="shared" si="282"/>
        <v>8739.17808219178</v>
      </c>
      <c r="D2694" s="532">
        <f t="shared" si="283"/>
        <v>44956</v>
      </c>
      <c r="E2694" s="534">
        <v>32</v>
      </c>
      <c r="F2694" s="601">
        <v>0.75</v>
      </c>
      <c r="G2694" s="536" t="s">
        <v>695</v>
      </c>
      <c r="H2694">
        <v>287198.63</v>
      </c>
    </row>
    <row r="2695" spans="1:8" ht="13.5" customHeight="1">
      <c r="A2695" s="532">
        <v>44924</v>
      </c>
      <c r="B2695" s="615">
        <v>30000</v>
      </c>
      <c r="C2695" s="615">
        <f t="shared" si="282"/>
        <v>31972.602739726026</v>
      </c>
      <c r="D2695" s="532">
        <f t="shared" si="283"/>
        <v>44956</v>
      </c>
      <c r="E2695" s="534">
        <v>32</v>
      </c>
      <c r="F2695" s="601">
        <v>0.75</v>
      </c>
      <c r="G2695" s="536" t="s">
        <v>276</v>
      </c>
      <c r="H2695">
        <v>513360.39</v>
      </c>
    </row>
    <row r="2696" spans="1:8" ht="13.5" customHeight="1">
      <c r="A2696" s="532">
        <v>44925</v>
      </c>
      <c r="B2696" s="615">
        <v>270000</v>
      </c>
      <c r="C2696" s="615">
        <f t="shared" si="282"/>
        <v>287198.63013698632</v>
      </c>
      <c r="D2696" s="532">
        <f t="shared" si="283"/>
        <v>44956</v>
      </c>
      <c r="E2696" s="534">
        <v>31</v>
      </c>
      <c r="F2696" s="601">
        <v>0.75</v>
      </c>
      <c r="G2696" s="536" t="s">
        <v>540</v>
      </c>
      <c r="H2696">
        <v>129058.05</v>
      </c>
    </row>
    <row r="2697" spans="1:8" ht="13.5" customHeight="1">
      <c r="A2697" s="532">
        <v>44928</v>
      </c>
      <c r="B2697" s="615">
        <v>115000</v>
      </c>
      <c r="C2697" s="615">
        <f t="shared" si="282"/>
        <v>122089.04109589041</v>
      </c>
      <c r="D2697" s="532">
        <f t="shared" si="283"/>
        <v>44958</v>
      </c>
      <c r="E2697" s="534">
        <v>30</v>
      </c>
      <c r="F2697" s="601">
        <v>0.75</v>
      </c>
      <c r="G2697" s="536" t="s">
        <v>276</v>
      </c>
    </row>
    <row r="2698" spans="1:8" ht="13.5" customHeight="1">
      <c r="A2698" s="532">
        <v>44928</v>
      </c>
      <c r="B2698" s="615">
        <v>225800</v>
      </c>
      <c r="C2698" s="615">
        <f t="shared" si="282"/>
        <v>239719.17808219179</v>
      </c>
      <c r="D2698" s="532">
        <f t="shared" si="283"/>
        <v>44958</v>
      </c>
      <c r="E2698" s="534">
        <v>30</v>
      </c>
      <c r="F2698" s="601">
        <v>0.75</v>
      </c>
      <c r="G2698" s="536" t="s">
        <v>553</v>
      </c>
    </row>
    <row r="2699" spans="1:8" ht="13.5" customHeight="1">
      <c r="A2699" s="532">
        <v>44928</v>
      </c>
      <c r="B2699" s="615">
        <v>10000</v>
      </c>
      <c r="C2699" s="615">
        <f t="shared" si="282"/>
        <v>10616.438356164384</v>
      </c>
      <c r="D2699" s="532">
        <f t="shared" si="283"/>
        <v>44958</v>
      </c>
      <c r="E2699" s="534">
        <v>30</v>
      </c>
      <c r="F2699" s="601">
        <v>0.75</v>
      </c>
      <c r="G2699" s="536" t="s">
        <v>697</v>
      </c>
    </row>
    <row r="2700" spans="1:8" ht="13.5" customHeight="1">
      <c r="A2700" s="532">
        <v>44928</v>
      </c>
      <c r="B2700" s="615">
        <v>71000</v>
      </c>
      <c r="C2700" s="615">
        <f t="shared" si="282"/>
        <v>75376.712328767127</v>
      </c>
      <c r="D2700" s="532">
        <f t="shared" si="283"/>
        <v>44958</v>
      </c>
      <c r="E2700" s="534">
        <v>30</v>
      </c>
      <c r="F2700" s="601">
        <v>0.75</v>
      </c>
      <c r="G2700" s="536" t="s">
        <v>696</v>
      </c>
    </row>
    <row r="2701" spans="1:8" ht="13.5" customHeight="1">
      <c r="A2701" s="532">
        <v>44928</v>
      </c>
      <c r="B2701" s="615">
        <v>216800</v>
      </c>
      <c r="C2701" s="615">
        <f t="shared" si="282"/>
        <v>230164.38356164383</v>
      </c>
      <c r="D2701" s="532">
        <f t="shared" si="283"/>
        <v>44958</v>
      </c>
      <c r="E2701" s="534">
        <v>30</v>
      </c>
      <c r="F2701" s="601">
        <v>0.75</v>
      </c>
      <c r="G2701" s="536" t="s">
        <v>695</v>
      </c>
      <c r="H2701">
        <f>16039.45+2773.62</f>
        <v>18813.07</v>
      </c>
    </row>
    <row r="2702" spans="1:8" ht="13.5" customHeight="1">
      <c r="A2702" s="532">
        <v>44928</v>
      </c>
      <c r="B2702" s="615">
        <v>70000</v>
      </c>
      <c r="C2702" s="615">
        <f t="shared" si="282"/>
        <v>74315.068493150684</v>
      </c>
      <c r="D2702" s="532">
        <f t="shared" si="283"/>
        <v>44958</v>
      </c>
      <c r="E2702" s="534">
        <v>30</v>
      </c>
      <c r="F2702" s="601">
        <v>0.75</v>
      </c>
      <c r="G2702" s="536" t="s">
        <v>120</v>
      </c>
      <c r="H2702">
        <f>30073.97+5200.55</f>
        <v>35274.520000000004</v>
      </c>
    </row>
    <row r="2703" spans="1:8" ht="13.5" customHeight="1">
      <c r="A2703" s="532">
        <v>44929</v>
      </c>
      <c r="B2703" s="615">
        <v>52000</v>
      </c>
      <c r="C2703" s="615">
        <f t="shared" si="282"/>
        <v>55205.479452054795</v>
      </c>
      <c r="D2703" s="532">
        <f t="shared" si="283"/>
        <v>44959</v>
      </c>
      <c r="E2703" s="534">
        <v>30</v>
      </c>
      <c r="F2703" s="601">
        <v>0.75</v>
      </c>
      <c r="G2703" s="536" t="s">
        <v>276</v>
      </c>
    </row>
    <row r="2704" spans="1:8" ht="13.5" customHeight="1">
      <c r="A2704" s="532">
        <v>44929</v>
      </c>
      <c r="B2704" s="615">
        <v>155000</v>
      </c>
      <c r="C2704" s="615">
        <f t="shared" si="282"/>
        <v>164554.79452054793</v>
      </c>
      <c r="D2704" s="532">
        <f t="shared" si="283"/>
        <v>44959</v>
      </c>
      <c r="E2704" s="534">
        <v>30</v>
      </c>
      <c r="F2704" s="601">
        <v>0.75</v>
      </c>
      <c r="G2704" s="536" t="s">
        <v>276</v>
      </c>
      <c r="H2704">
        <v>88216.960000000006</v>
      </c>
    </row>
    <row r="2705" spans="1:8" ht="13.5" customHeight="1">
      <c r="A2705" s="532">
        <v>44929</v>
      </c>
      <c r="B2705" s="615">
        <v>65700</v>
      </c>
      <c r="C2705" s="615">
        <f t="shared" si="282"/>
        <v>69750</v>
      </c>
      <c r="D2705" s="532">
        <f t="shared" si="283"/>
        <v>44959</v>
      </c>
      <c r="E2705" s="534">
        <v>30</v>
      </c>
      <c r="F2705" s="601">
        <v>0.75</v>
      </c>
      <c r="G2705" s="536" t="s">
        <v>553</v>
      </c>
      <c r="H2705">
        <f t="shared" ref="A2705:H2710" si="285">IF(E2705&gt;89,(C2705-B2705)/3,(C2705-B2705))</f>
        <v>4050</v>
      </c>
    </row>
    <row r="2706" spans="1:8" ht="13.5" customHeight="1">
      <c r="A2706" s="532">
        <v>44929</v>
      </c>
      <c r="B2706" s="615">
        <v>20000</v>
      </c>
      <c r="C2706" s="615">
        <f t="shared" si="282"/>
        <v>21232.876712328769</v>
      </c>
      <c r="D2706" s="532">
        <f t="shared" si="283"/>
        <v>44959</v>
      </c>
      <c r="E2706" s="534">
        <v>30</v>
      </c>
      <c r="F2706" s="601">
        <v>0.75</v>
      </c>
      <c r="G2706" s="536" t="s">
        <v>120</v>
      </c>
      <c r="H2706">
        <f t="shared" si="285"/>
        <v>1232.8767123287689</v>
      </c>
    </row>
    <row r="2707" spans="1:8" ht="13.5" customHeight="1">
      <c r="A2707" s="532">
        <v>44930</v>
      </c>
      <c r="B2707" s="615">
        <v>85000</v>
      </c>
      <c r="C2707" s="615">
        <f t="shared" si="282"/>
        <v>90239.726027397264</v>
      </c>
      <c r="D2707" s="532">
        <f t="shared" si="283"/>
        <v>44960</v>
      </c>
      <c r="E2707" s="534">
        <v>30</v>
      </c>
      <c r="F2707" s="601">
        <v>0.75</v>
      </c>
      <c r="G2707" s="536" t="s">
        <v>276</v>
      </c>
      <c r="H2707">
        <f t="shared" si="285"/>
        <v>5239.7260273972643</v>
      </c>
    </row>
    <row r="2708" spans="1:8" ht="13.5" customHeight="1">
      <c r="A2708" s="532">
        <v>44930</v>
      </c>
      <c r="B2708" s="615">
        <v>85000</v>
      </c>
      <c r="C2708" s="615">
        <f t="shared" si="282"/>
        <v>90239.726027397264</v>
      </c>
      <c r="D2708" s="532">
        <f t="shared" si="283"/>
        <v>44960</v>
      </c>
      <c r="E2708" s="534">
        <v>30</v>
      </c>
      <c r="F2708" s="601">
        <v>0.75</v>
      </c>
      <c r="G2708" s="536" t="s">
        <v>276</v>
      </c>
      <c r="H2708">
        <f t="shared" si="285"/>
        <v>5239.7260273972643</v>
      </c>
    </row>
    <row r="2709" spans="1:8" ht="13.5" customHeight="1">
      <c r="A2709" s="532">
        <v>44930</v>
      </c>
      <c r="B2709" s="615">
        <v>92900</v>
      </c>
      <c r="C2709" s="615">
        <f t="shared" si="282"/>
        <v>98626.712328767127</v>
      </c>
      <c r="D2709" s="532">
        <f t="shared" si="283"/>
        <v>44960</v>
      </c>
      <c r="E2709" s="534">
        <v>30</v>
      </c>
      <c r="F2709" s="601">
        <v>0.75</v>
      </c>
      <c r="G2709" s="536" t="s">
        <v>695</v>
      </c>
      <c r="H2709">
        <f t="shared" si="285"/>
        <v>5726.7123287671275</v>
      </c>
    </row>
    <row r="2710" spans="1:8" ht="13.5" customHeight="1">
      <c r="A2710" s="532">
        <v>44930</v>
      </c>
      <c r="B2710" s="615">
        <v>11900</v>
      </c>
      <c r="C2710" s="615">
        <f t="shared" si="282"/>
        <v>12633.561643835616</v>
      </c>
      <c r="D2710" s="532">
        <f t="shared" si="283"/>
        <v>44960</v>
      </c>
      <c r="E2710" s="534">
        <v>30</v>
      </c>
      <c r="F2710" s="601">
        <v>0.75</v>
      </c>
      <c r="G2710" s="536" t="s">
        <v>696</v>
      </c>
      <c r="H2710">
        <f t="shared" si="285"/>
        <v>733.56164383561554</v>
      </c>
    </row>
    <row r="2711" spans="1:8" ht="13.5" customHeight="1">
      <c r="A2711" s="532">
        <v>44930</v>
      </c>
      <c r="B2711" s="615">
        <v>55000</v>
      </c>
      <c r="C2711" s="615">
        <f t="shared" si="282"/>
        <v>58390.410958904111</v>
      </c>
      <c r="D2711" s="532">
        <f t="shared" si="283"/>
        <v>44960</v>
      </c>
      <c r="E2711" s="534">
        <v>30</v>
      </c>
      <c r="F2711" s="601">
        <v>0.75</v>
      </c>
      <c r="G2711" s="536" t="s">
        <v>120</v>
      </c>
      <c r="H2711">
        <f>79295.04+13289.91</f>
        <v>92584.95</v>
      </c>
    </row>
    <row r="2712" spans="1:8" ht="13.5" customHeight="1">
      <c r="A2712" s="532">
        <v>44932</v>
      </c>
      <c r="B2712" s="615">
        <v>70000</v>
      </c>
      <c r="C2712" s="615">
        <f t="shared" si="282"/>
        <v>74458.904109589042</v>
      </c>
      <c r="D2712" s="532">
        <f t="shared" si="283"/>
        <v>44963</v>
      </c>
      <c r="E2712" s="534">
        <v>31</v>
      </c>
      <c r="F2712" s="601">
        <v>0.75</v>
      </c>
      <c r="G2712" s="536" t="s">
        <v>120</v>
      </c>
      <c r="H2712">
        <v>29262.89</v>
      </c>
    </row>
    <row r="2713" spans="1:8" ht="13.5" customHeight="1">
      <c r="A2713" s="532">
        <v>44935</v>
      </c>
      <c r="B2713" s="615">
        <v>75900</v>
      </c>
      <c r="C2713" s="615">
        <f t="shared" si="282"/>
        <v>80578.767123287675</v>
      </c>
      <c r="D2713" s="532">
        <f t="shared" si="283"/>
        <v>44965</v>
      </c>
      <c r="E2713" s="534">
        <v>30</v>
      </c>
      <c r="F2713" s="601">
        <v>0.75</v>
      </c>
      <c r="G2713" s="536" t="s">
        <v>553</v>
      </c>
      <c r="H2713">
        <f>IF(E2713&gt;89,(C2713-B2713)/3,(C2713-B2713))</f>
        <v>4678.7671232876746</v>
      </c>
    </row>
    <row r="2714" spans="1:8" ht="13.5" customHeight="1">
      <c r="A2714" s="532">
        <v>44935</v>
      </c>
      <c r="B2714" s="615">
        <v>55200</v>
      </c>
      <c r="C2714" s="615">
        <f t="shared" si="282"/>
        <v>58602.739726027401</v>
      </c>
      <c r="D2714" s="532">
        <f t="shared" si="283"/>
        <v>44965</v>
      </c>
      <c r="E2714" s="534">
        <v>30</v>
      </c>
      <c r="F2714" s="601">
        <v>0.75</v>
      </c>
      <c r="G2714" s="536" t="s">
        <v>696</v>
      </c>
      <c r="H2714">
        <f>IF(E2714&gt;89,(C2714-B2714)/3,(C2714-B2714))</f>
        <v>3402.739726027401</v>
      </c>
    </row>
    <row r="2715" spans="1:8" ht="13.5" customHeight="1">
      <c r="A2715" s="532">
        <v>44935</v>
      </c>
      <c r="B2715" s="615">
        <v>77700</v>
      </c>
      <c r="C2715" s="615">
        <f t="shared" si="282"/>
        <v>82489.726027397264</v>
      </c>
      <c r="D2715" s="532">
        <f t="shared" si="283"/>
        <v>44965</v>
      </c>
      <c r="E2715" s="534">
        <v>30</v>
      </c>
      <c r="F2715" s="601">
        <v>0.75</v>
      </c>
      <c r="G2715" s="536" t="s">
        <v>680</v>
      </c>
      <c r="H2715">
        <f>IF(E2715&gt;89,(C2715-B2715)/3,(C2715-B2715))</f>
        <v>4789.7260273972643</v>
      </c>
    </row>
    <row r="2716" spans="1:8" ht="13.5" customHeight="1">
      <c r="A2716" s="532">
        <v>44935</v>
      </c>
      <c r="B2716" s="615">
        <v>170000</v>
      </c>
      <c r="C2716" s="615">
        <f t="shared" si="282"/>
        <v>180479.45205479453</v>
      </c>
      <c r="D2716" s="532">
        <f t="shared" si="283"/>
        <v>44965</v>
      </c>
      <c r="E2716" s="534">
        <v>30</v>
      </c>
      <c r="F2716" s="601">
        <v>0.75</v>
      </c>
      <c r="G2716" s="536" t="s">
        <v>276</v>
      </c>
      <c r="H2716">
        <f>94733.01+16122.01</f>
        <v>110855.01999999999</v>
      </c>
    </row>
    <row r="2717" spans="1:8" ht="13.5" customHeight="1">
      <c r="A2717" s="532">
        <v>44936</v>
      </c>
      <c r="B2717" s="615">
        <v>57200</v>
      </c>
      <c r="C2717" s="615">
        <f t="shared" si="282"/>
        <v>60726.027397260274</v>
      </c>
      <c r="D2717" s="532">
        <f t="shared" si="283"/>
        <v>44966</v>
      </c>
      <c r="E2717" s="534">
        <v>30</v>
      </c>
      <c r="F2717" s="601">
        <v>0.75</v>
      </c>
      <c r="G2717" s="536" t="s">
        <v>696</v>
      </c>
      <c r="H2717">
        <f>IF(E2717&gt;89,(C2717-B2717)/3,(C2717-B2717))</f>
        <v>3526.0273972602736</v>
      </c>
    </row>
    <row r="2718" spans="1:8" ht="13.5" customHeight="1">
      <c r="A2718" s="532">
        <v>44936</v>
      </c>
      <c r="B2718" s="615">
        <v>11400</v>
      </c>
      <c r="C2718" s="615">
        <f t="shared" si="282"/>
        <v>12102.739726027397</v>
      </c>
      <c r="D2718" s="532">
        <f t="shared" si="283"/>
        <v>44966</v>
      </c>
      <c r="E2718" s="534">
        <v>30</v>
      </c>
      <c r="F2718" s="601">
        <v>0.75</v>
      </c>
      <c r="G2718" s="536" t="s">
        <v>553</v>
      </c>
      <c r="H2718">
        <f>IF(E2718&gt;89,(C2718-B2718)/3,(C2718-B2718))</f>
        <v>702.73972602739741</v>
      </c>
    </row>
    <row r="2719" spans="1:8" ht="13.5" customHeight="1">
      <c r="A2719" s="532">
        <v>44936</v>
      </c>
      <c r="B2719" s="615">
        <v>89000</v>
      </c>
      <c r="C2719" s="615">
        <f t="shared" si="282"/>
        <v>94486.301369863009</v>
      </c>
      <c r="D2719" s="532">
        <f t="shared" si="283"/>
        <v>44966</v>
      </c>
      <c r="E2719" s="534">
        <v>30</v>
      </c>
      <c r="F2719" s="601">
        <v>0.75</v>
      </c>
      <c r="G2719" s="536" t="s">
        <v>680</v>
      </c>
      <c r="H2719">
        <v>117306.95</v>
      </c>
    </row>
    <row r="2720" spans="1:8" ht="13.5" customHeight="1">
      <c r="A2720" s="532">
        <v>44937</v>
      </c>
      <c r="B2720" s="615">
        <v>90000</v>
      </c>
      <c r="C2720" s="615">
        <f t="shared" si="282"/>
        <v>95547.945205479453</v>
      </c>
      <c r="D2720" s="532">
        <f t="shared" si="283"/>
        <v>44967</v>
      </c>
      <c r="E2720" s="534">
        <v>30</v>
      </c>
      <c r="F2720" s="601">
        <v>0.75</v>
      </c>
      <c r="G2720" s="536" t="s">
        <v>680</v>
      </c>
      <c r="H2720">
        <f>IF(E2720&gt;89,(C2720-B2720)/3,(C2720-B2720))</f>
        <v>5547.9452054794529</v>
      </c>
    </row>
    <row r="2721" spans="1:8" ht="13.5" customHeight="1">
      <c r="A2721" s="532">
        <v>44937</v>
      </c>
      <c r="B2721" s="615">
        <v>10100</v>
      </c>
      <c r="C2721" s="615">
        <f t="shared" si="282"/>
        <v>10722.602739726028</v>
      </c>
      <c r="D2721" s="532">
        <f t="shared" si="283"/>
        <v>44967</v>
      </c>
      <c r="E2721" s="534">
        <v>30</v>
      </c>
      <c r="F2721" s="601">
        <v>0.75</v>
      </c>
      <c r="G2721" s="536" t="s">
        <v>553</v>
      </c>
      <c r="H2721">
        <f>IF(E2721&gt;89,(C2721-B2721)/3,(C2721-B2721))</f>
        <v>622.60273972602772</v>
      </c>
    </row>
    <row r="2722" spans="1:8" ht="13.5" customHeight="1">
      <c r="A2722" s="532">
        <v>44937</v>
      </c>
      <c r="B2722" s="615">
        <v>30000</v>
      </c>
      <c r="C2722" s="615">
        <f t="shared" si="282"/>
        <v>31849.31506849315</v>
      </c>
      <c r="D2722" s="532">
        <f t="shared" si="283"/>
        <v>44967</v>
      </c>
      <c r="E2722" s="534">
        <v>30</v>
      </c>
      <c r="F2722" s="601">
        <v>0.75</v>
      </c>
      <c r="G2722" s="536" t="s">
        <v>120</v>
      </c>
      <c r="H2722">
        <f>IF(E2722&gt;89,(C2722-B2722)/3,(C2722-B2722))</f>
        <v>1849.3150684931497</v>
      </c>
    </row>
    <row r="2723" spans="1:8" ht="13.5" customHeight="1">
      <c r="A2723" s="532">
        <v>44937</v>
      </c>
      <c r="B2723" s="615">
        <v>21700</v>
      </c>
      <c r="C2723" s="615">
        <f t="shared" si="282"/>
        <v>23037.671232876713</v>
      </c>
      <c r="D2723" s="532">
        <f t="shared" si="283"/>
        <v>44967</v>
      </c>
      <c r="E2723" s="534">
        <v>30</v>
      </c>
      <c r="F2723" s="601">
        <v>0.75</v>
      </c>
      <c r="G2723" s="536" t="s">
        <v>697</v>
      </c>
      <c r="H2723">
        <f>IF(E2723&gt;89,(C2723-B2723)/3,(C2723-B2723))</f>
        <v>1337.6712328767135</v>
      </c>
    </row>
    <row r="2724" spans="1:8" ht="13.5" customHeight="1">
      <c r="A2724" s="532">
        <v>44937</v>
      </c>
      <c r="B2724" s="615">
        <v>115000</v>
      </c>
      <c r="C2724" s="615">
        <f t="shared" ref="A2724:C2787" si="286">B2724+(B2724*F2724/365*E2724)*1</f>
        <v>122089.04109589041</v>
      </c>
      <c r="D2724" s="532">
        <f t="shared" si="283"/>
        <v>44967</v>
      </c>
      <c r="E2724" s="534">
        <v>30</v>
      </c>
      <c r="F2724" s="601">
        <v>0.75</v>
      </c>
      <c r="G2724" s="536" t="s">
        <v>697</v>
      </c>
      <c r="H2724">
        <f>IF(E2724&gt;89,(C2724-B2724)/3,(C2724-B2724))</f>
        <v>7089.0410958904104</v>
      </c>
    </row>
    <row r="2725" spans="1:8" ht="13.5" customHeight="1">
      <c r="A2725" s="532">
        <v>44939</v>
      </c>
      <c r="B2725" s="615">
        <v>12000</v>
      </c>
      <c r="C2725" s="615">
        <f t="shared" si="286"/>
        <v>12764.383561643835</v>
      </c>
      <c r="D2725" s="532">
        <f t="shared" si="283"/>
        <v>44970</v>
      </c>
      <c r="E2725" s="534">
        <v>31</v>
      </c>
      <c r="F2725" s="601">
        <v>0.75</v>
      </c>
      <c r="G2725" s="536" t="s">
        <v>553</v>
      </c>
      <c r="H2725">
        <f>30073.97+4958.07</f>
        <v>35032.04</v>
      </c>
    </row>
    <row r="2726" spans="1:8" ht="13.5" customHeight="1">
      <c r="A2726" s="532">
        <v>44939</v>
      </c>
      <c r="B2726" s="615">
        <v>11100</v>
      </c>
      <c r="C2726" s="615">
        <f t="shared" si="286"/>
        <v>11807.054794520547</v>
      </c>
      <c r="D2726" s="532">
        <f t="shared" si="283"/>
        <v>44970</v>
      </c>
      <c r="E2726" s="534">
        <v>31</v>
      </c>
      <c r="F2726" s="601">
        <v>0.75</v>
      </c>
      <c r="G2726" s="536" t="s">
        <v>696</v>
      </c>
      <c r="H2726">
        <f>45112.19+7745.1</f>
        <v>52857.29</v>
      </c>
    </row>
    <row r="2727" spans="1:8" ht="13.5" customHeight="1">
      <c r="A2727" s="532">
        <v>44939</v>
      </c>
      <c r="B2727" s="615">
        <v>3600</v>
      </c>
      <c r="C2727" s="615">
        <f t="shared" si="286"/>
        <v>3829.3150684931506</v>
      </c>
      <c r="D2727" s="532">
        <f t="shared" si="283"/>
        <v>44970</v>
      </c>
      <c r="E2727" s="534">
        <v>31</v>
      </c>
      <c r="F2727" s="601">
        <v>0.75</v>
      </c>
      <c r="G2727" s="536" t="s">
        <v>697</v>
      </c>
      <c r="H2727">
        <v>132681.51</v>
      </c>
    </row>
    <row r="2728" spans="1:8" ht="13.5" customHeight="1">
      <c r="A2728" s="532">
        <v>44939</v>
      </c>
      <c r="B2728" s="615">
        <v>105000</v>
      </c>
      <c r="C2728" s="615">
        <f t="shared" si="286"/>
        <v>111688.35616438356</v>
      </c>
      <c r="D2728" s="532">
        <f t="shared" si="283"/>
        <v>44970</v>
      </c>
      <c r="E2728" s="534">
        <v>31</v>
      </c>
      <c r="F2728" s="601">
        <v>0.75</v>
      </c>
      <c r="G2728" s="536" t="s">
        <v>695</v>
      </c>
      <c r="H2728">
        <v>58731.72</v>
      </c>
    </row>
    <row r="2729" spans="1:8" ht="13.5" customHeight="1">
      <c r="A2729" s="532">
        <v>44942</v>
      </c>
      <c r="B2729" s="615">
        <v>8800</v>
      </c>
      <c r="C2729" s="615">
        <f t="shared" si="286"/>
        <v>9342.465753424658</v>
      </c>
      <c r="D2729" s="532">
        <f t="shared" si="283"/>
        <v>44972</v>
      </c>
      <c r="E2729" s="534">
        <v>30</v>
      </c>
      <c r="F2729" s="601">
        <v>0.75</v>
      </c>
      <c r="G2729" s="536" t="s">
        <v>697</v>
      </c>
      <c r="H2729">
        <f t="shared" ref="A2729:H2737" si="287">IF(E2729&gt;89,(C2729-B2729)/3,(C2729-B2729))</f>
        <v>542.46575342465803</v>
      </c>
    </row>
    <row r="2730" spans="1:8" ht="13.5" customHeight="1">
      <c r="A2730" s="532">
        <v>44942</v>
      </c>
      <c r="B2730" s="615">
        <v>83900</v>
      </c>
      <c r="C2730" s="615">
        <f t="shared" si="286"/>
        <v>89071.917808219179</v>
      </c>
      <c r="D2730" s="532">
        <f t="shared" si="283"/>
        <v>44972</v>
      </c>
      <c r="E2730" s="534">
        <v>30</v>
      </c>
      <c r="F2730" s="601">
        <v>0.75</v>
      </c>
      <c r="G2730" s="536" t="s">
        <v>553</v>
      </c>
      <c r="H2730">
        <f t="shared" si="287"/>
        <v>5171.9178082191793</v>
      </c>
    </row>
    <row r="2731" spans="1:8" ht="13.5" customHeight="1">
      <c r="A2731" s="532">
        <v>44942</v>
      </c>
      <c r="B2731" s="615">
        <v>90000</v>
      </c>
      <c r="C2731" s="615">
        <f t="shared" si="286"/>
        <v>95547.945205479453</v>
      </c>
      <c r="D2731" s="532">
        <f t="shared" si="283"/>
        <v>44972</v>
      </c>
      <c r="E2731" s="534">
        <v>30</v>
      </c>
      <c r="F2731" s="601">
        <v>0.75</v>
      </c>
      <c r="G2731" s="536" t="s">
        <v>276</v>
      </c>
      <c r="H2731">
        <f t="shared" si="287"/>
        <v>5547.9452054794529</v>
      </c>
    </row>
    <row r="2732" spans="1:8" ht="13.5" customHeight="1">
      <c r="A2732" s="532">
        <v>44943</v>
      </c>
      <c r="B2732" s="615">
        <v>81600</v>
      </c>
      <c r="C2732" s="615">
        <f t="shared" si="286"/>
        <v>86630.136986301368</v>
      </c>
      <c r="D2732" s="532">
        <f t="shared" si="283"/>
        <v>44973</v>
      </c>
      <c r="E2732" s="534">
        <v>30</v>
      </c>
      <c r="F2732" s="601">
        <v>0.75</v>
      </c>
      <c r="G2732" s="536" t="s">
        <v>553</v>
      </c>
      <c r="H2732">
        <f t="shared" si="287"/>
        <v>5030.1369863013679</v>
      </c>
    </row>
    <row r="2733" spans="1:8" ht="13.5" customHeight="1">
      <c r="A2733" s="532">
        <v>44943</v>
      </c>
      <c r="B2733" s="615">
        <v>8400</v>
      </c>
      <c r="C2733" s="615">
        <f t="shared" si="286"/>
        <v>8917.8082191780813</v>
      </c>
      <c r="D2733" s="532">
        <f t="shared" ref="A2733:D2796" si="288">+A2733+E2733</f>
        <v>44973</v>
      </c>
      <c r="E2733" s="534">
        <v>30</v>
      </c>
      <c r="F2733" s="601">
        <v>0.75</v>
      </c>
      <c r="G2733" s="536" t="s">
        <v>697</v>
      </c>
      <c r="H2733">
        <f t="shared" si="287"/>
        <v>517.80821917808134</v>
      </c>
    </row>
    <row r="2734" spans="1:8" ht="13.5" customHeight="1">
      <c r="A2734" s="532">
        <v>44943</v>
      </c>
      <c r="B2734" s="615">
        <v>241000</v>
      </c>
      <c r="C2734" s="615">
        <f t="shared" si="286"/>
        <v>255856.16438356164</v>
      </c>
      <c r="D2734" s="532">
        <f t="shared" si="288"/>
        <v>44973</v>
      </c>
      <c r="E2734" s="534">
        <v>30</v>
      </c>
      <c r="F2734" s="601">
        <v>0.75</v>
      </c>
      <c r="G2734" s="536" t="s">
        <v>276</v>
      </c>
      <c r="H2734">
        <f t="shared" si="287"/>
        <v>14856.164383561641</v>
      </c>
    </row>
    <row r="2735" spans="1:8" ht="13.5" customHeight="1">
      <c r="A2735" s="532">
        <v>44943</v>
      </c>
      <c r="B2735" s="615">
        <v>169300</v>
      </c>
      <c r="C2735" s="615">
        <f t="shared" si="286"/>
        <v>179736.30136986301</v>
      </c>
      <c r="D2735" s="532">
        <f t="shared" si="288"/>
        <v>44973</v>
      </c>
      <c r="E2735" s="534">
        <v>30</v>
      </c>
      <c r="F2735" s="601">
        <v>0.75</v>
      </c>
      <c r="G2735" s="536" t="s">
        <v>695</v>
      </c>
      <c r="H2735">
        <f t="shared" si="287"/>
        <v>10436.301369863009</v>
      </c>
    </row>
    <row r="2736" spans="1:8" ht="13.5" customHeight="1">
      <c r="A2736" s="532">
        <v>44943</v>
      </c>
      <c r="B2736" s="615">
        <v>105000</v>
      </c>
      <c r="C2736" s="615">
        <f t="shared" si="286"/>
        <v>111472.60273972603</v>
      </c>
      <c r="D2736" s="532">
        <f t="shared" si="288"/>
        <v>44973</v>
      </c>
      <c r="E2736" s="534">
        <v>30</v>
      </c>
      <c r="F2736" s="601">
        <v>0.75</v>
      </c>
      <c r="G2736" s="536" t="s">
        <v>540</v>
      </c>
      <c r="H2736">
        <f t="shared" si="287"/>
        <v>6472.6027397260332</v>
      </c>
    </row>
    <row r="2737" spans="1:10" ht="13.5" customHeight="1">
      <c r="A2737" s="532">
        <v>44943</v>
      </c>
      <c r="B2737" s="615">
        <v>45000</v>
      </c>
      <c r="C2737" s="615">
        <f t="shared" si="286"/>
        <v>47773.972602739726</v>
      </c>
      <c r="D2737" s="532">
        <f t="shared" si="288"/>
        <v>44973</v>
      </c>
      <c r="E2737" s="534">
        <v>30</v>
      </c>
      <c r="F2737" s="601">
        <v>0.75</v>
      </c>
      <c r="G2737" s="536" t="s">
        <v>120</v>
      </c>
      <c r="H2737">
        <f t="shared" si="287"/>
        <v>2773.9726027397264</v>
      </c>
    </row>
    <row r="2738" spans="1:10" ht="13.5" customHeight="1">
      <c r="A2738" s="532">
        <v>44945</v>
      </c>
      <c r="B2738" s="615">
        <v>301400</v>
      </c>
      <c r="C2738" s="615">
        <f t="shared" si="286"/>
        <v>322456.71232876711</v>
      </c>
      <c r="D2738" s="532">
        <f t="shared" si="288"/>
        <v>44979</v>
      </c>
      <c r="E2738" s="534">
        <v>34</v>
      </c>
      <c r="F2738" s="601">
        <v>0.75</v>
      </c>
      <c r="G2738" s="536" t="s">
        <v>696</v>
      </c>
      <c r="H2738">
        <v>43700.34</v>
      </c>
    </row>
    <row r="2739" spans="1:10" ht="13.5" customHeight="1">
      <c r="A2739" s="532">
        <v>44949</v>
      </c>
      <c r="B2739" s="615">
        <v>160000</v>
      </c>
      <c r="C2739" s="615">
        <f t="shared" si="286"/>
        <v>169863.01369863015</v>
      </c>
      <c r="D2739" s="532">
        <f t="shared" si="288"/>
        <v>44979</v>
      </c>
      <c r="E2739" s="534">
        <v>30</v>
      </c>
      <c r="F2739" s="601">
        <v>0.75</v>
      </c>
      <c r="G2739" s="536" t="s">
        <v>276</v>
      </c>
      <c r="H2739">
        <f>IF(E2739&gt;89,(C2739-B2739)/3,(C2739-B2739))</f>
        <v>9863.0136986301513</v>
      </c>
    </row>
    <row r="2740" spans="1:10" ht="13.5" customHeight="1">
      <c r="A2740" s="532">
        <v>44949</v>
      </c>
      <c r="B2740" s="615">
        <v>65200</v>
      </c>
      <c r="C2740" s="615">
        <f t="shared" si="286"/>
        <v>69219.178082191778</v>
      </c>
      <c r="D2740" s="532">
        <f t="shared" si="288"/>
        <v>44979</v>
      </c>
      <c r="E2740" s="534">
        <v>30</v>
      </c>
      <c r="F2740" s="601">
        <v>0.75</v>
      </c>
      <c r="G2740" s="536" t="s">
        <v>695</v>
      </c>
      <c r="H2740">
        <f>IF(E2740&gt;89,(C2740-B2740)/3,(C2740-B2740))</f>
        <v>4019.1780821917782</v>
      </c>
    </row>
    <row r="2741" spans="1:10" ht="13.5" customHeight="1">
      <c r="A2741" s="532">
        <v>44949</v>
      </c>
      <c r="B2741" s="615">
        <v>32000</v>
      </c>
      <c r="C2741" s="615">
        <f t="shared" si="286"/>
        <v>33972.602739726026</v>
      </c>
      <c r="D2741" s="532">
        <f t="shared" si="288"/>
        <v>44979</v>
      </c>
      <c r="E2741" s="534">
        <v>30</v>
      </c>
      <c r="F2741" s="601">
        <v>0.75</v>
      </c>
      <c r="G2741" s="536" t="s">
        <v>696</v>
      </c>
      <c r="H2741">
        <f>IF(E2741&gt;89,(C2741-B2741)/3,(C2741-B2741))</f>
        <v>1972.6027397260259</v>
      </c>
    </row>
    <row r="2742" spans="1:10" ht="13.5" customHeight="1">
      <c r="A2742" s="532">
        <v>44949</v>
      </c>
      <c r="B2742" s="615">
        <v>45000</v>
      </c>
      <c r="C2742" s="615">
        <f t="shared" si="286"/>
        <v>47773.972602739726</v>
      </c>
      <c r="D2742" s="532">
        <f t="shared" si="288"/>
        <v>44979</v>
      </c>
      <c r="E2742" s="534">
        <v>30</v>
      </c>
      <c r="F2742" s="601">
        <v>0.75</v>
      </c>
      <c r="G2742" s="536" t="s">
        <v>120</v>
      </c>
      <c r="H2742">
        <f>IF(E2742&gt;89,(C2742-B2742)/3,(C2742-B2742))</f>
        <v>2773.9726027397264</v>
      </c>
    </row>
    <row r="2743" spans="1:10" ht="13.5" customHeight="1">
      <c r="A2743" s="532">
        <v>44949</v>
      </c>
      <c r="B2743" s="615">
        <v>20000</v>
      </c>
      <c r="C2743" s="615">
        <f t="shared" si="286"/>
        <v>21232.876712328769</v>
      </c>
      <c r="D2743" s="532">
        <f t="shared" si="288"/>
        <v>44979</v>
      </c>
      <c r="E2743" s="534">
        <v>30</v>
      </c>
      <c r="F2743" s="601">
        <v>0.75</v>
      </c>
      <c r="G2743" s="536" t="s">
        <v>540</v>
      </c>
    </row>
    <row r="2744" spans="1:10" ht="13.5" customHeight="1">
      <c r="A2744" s="532">
        <v>44949</v>
      </c>
      <c r="B2744" s="615">
        <v>22100</v>
      </c>
      <c r="C2744" s="615">
        <f t="shared" si="286"/>
        <v>23462.328767123287</v>
      </c>
      <c r="D2744" s="532">
        <f t="shared" si="288"/>
        <v>44979</v>
      </c>
      <c r="E2744" s="534">
        <v>30</v>
      </c>
      <c r="F2744" s="601">
        <v>0.75</v>
      </c>
      <c r="G2744" s="536" t="s">
        <v>553</v>
      </c>
    </row>
    <row r="2745" spans="1:10" ht="13.5" customHeight="1">
      <c r="A2745" s="532">
        <v>44950</v>
      </c>
      <c r="B2745" s="615">
        <v>80000</v>
      </c>
      <c r="C2745" s="615">
        <f t="shared" si="286"/>
        <v>84931.506849315076</v>
      </c>
      <c r="D2745" s="532">
        <f t="shared" si="288"/>
        <v>44980</v>
      </c>
      <c r="E2745" s="534">
        <v>30</v>
      </c>
      <c r="F2745" s="601">
        <v>0.75</v>
      </c>
      <c r="G2745" s="536" t="s">
        <v>276</v>
      </c>
      <c r="H2745">
        <f>IF(E2745&gt;89,(C2745-B2745)/3,(C2745-B2745))</f>
        <v>4931.5068493150757</v>
      </c>
    </row>
    <row r="2746" spans="1:10" ht="13.5" customHeight="1">
      <c r="A2746" s="532">
        <v>44950</v>
      </c>
      <c r="B2746" s="615">
        <v>9900</v>
      </c>
      <c r="C2746" s="615">
        <f t="shared" si="286"/>
        <v>10510.273972602739</v>
      </c>
      <c r="D2746" s="532">
        <f t="shared" si="288"/>
        <v>44980</v>
      </c>
      <c r="E2746" s="534">
        <v>30</v>
      </c>
      <c r="F2746" s="601">
        <v>0.75</v>
      </c>
      <c r="G2746" s="536" t="s">
        <v>697</v>
      </c>
      <c r="H2746">
        <f>IF(E2746&gt;89,(C2746-B2746)/3,(C2746-B2746))</f>
        <v>610.27397260273938</v>
      </c>
    </row>
    <row r="2747" spans="1:10" ht="13.5" customHeight="1">
      <c r="A2747" s="532">
        <v>44950</v>
      </c>
      <c r="B2747" s="615">
        <v>40000</v>
      </c>
      <c r="C2747" s="615">
        <f t="shared" si="286"/>
        <v>42465.753424657538</v>
      </c>
      <c r="D2747" s="532">
        <f t="shared" si="288"/>
        <v>44980</v>
      </c>
      <c r="E2747" s="534">
        <v>30</v>
      </c>
      <c r="F2747" s="601">
        <v>0.75</v>
      </c>
      <c r="G2747" s="536" t="s">
        <v>120</v>
      </c>
      <c r="H2747">
        <v>32807.800000000003</v>
      </c>
    </row>
    <row r="2748" spans="1:10" ht="13.5" customHeight="1">
      <c r="A2748" s="532">
        <v>44951</v>
      </c>
      <c r="B2748" s="615">
        <v>50000</v>
      </c>
      <c r="C2748" s="615">
        <f t="shared" si="286"/>
        <v>53082.191780821915</v>
      </c>
      <c r="D2748" s="532">
        <f t="shared" si="288"/>
        <v>44981</v>
      </c>
      <c r="E2748" s="534">
        <v>30</v>
      </c>
      <c r="F2748" s="601">
        <v>0.75</v>
      </c>
      <c r="G2748" s="536" t="s">
        <v>276</v>
      </c>
    </row>
    <row r="2749" spans="1:10" ht="13.5" customHeight="1">
      <c r="A2749" s="532">
        <v>44951</v>
      </c>
      <c r="B2749" s="615">
        <v>377000</v>
      </c>
      <c r="C2749" s="615">
        <f t="shared" si="286"/>
        <v>400239.72602739726</v>
      </c>
      <c r="D2749" s="532">
        <f t="shared" si="288"/>
        <v>44981</v>
      </c>
      <c r="E2749" s="534">
        <v>30</v>
      </c>
      <c r="F2749" s="601">
        <v>0.75</v>
      </c>
      <c r="G2749" s="536" t="s">
        <v>695</v>
      </c>
      <c r="H2749">
        <f t="shared" ref="A2749:H2772" si="289">IF(E2749&gt;89,(C2749-B2749)/3,(C2749-B2749))</f>
        <v>23239.726027397264</v>
      </c>
    </row>
    <row r="2750" spans="1:10" ht="13.5" customHeight="1">
      <c r="A2750" s="532">
        <v>44951</v>
      </c>
      <c r="B2750" s="615">
        <v>76800</v>
      </c>
      <c r="C2750" s="615">
        <f t="shared" si="286"/>
        <v>81534.246575342462</v>
      </c>
      <c r="D2750" s="532">
        <f t="shared" si="288"/>
        <v>44981</v>
      </c>
      <c r="E2750" s="534">
        <v>30</v>
      </c>
      <c r="F2750" s="601">
        <v>0.75</v>
      </c>
      <c r="G2750" s="536" t="s">
        <v>701</v>
      </c>
      <c r="H2750">
        <f t="shared" si="289"/>
        <v>4734.2465753424622</v>
      </c>
    </row>
    <row r="2751" spans="1:10" ht="13.5" customHeight="1">
      <c r="A2751" s="532">
        <v>44951</v>
      </c>
      <c r="B2751" s="615">
        <v>3725</v>
      </c>
      <c r="C2751" s="615">
        <f t="shared" si="286"/>
        <v>3954.6232876712329</v>
      </c>
      <c r="D2751" s="532">
        <f t="shared" si="288"/>
        <v>44981</v>
      </c>
      <c r="E2751" s="534">
        <v>30</v>
      </c>
      <c r="F2751" s="601">
        <v>0.75</v>
      </c>
      <c r="G2751" s="536" t="s">
        <v>697</v>
      </c>
      <c r="H2751">
        <f t="shared" si="289"/>
        <v>229.6232876712329</v>
      </c>
    </row>
    <row r="2752" spans="1:10" ht="13.5" customHeight="1">
      <c r="A2752" s="532">
        <v>44951</v>
      </c>
      <c r="B2752" s="615">
        <v>23200</v>
      </c>
      <c r="C2752" s="615">
        <f t="shared" si="286"/>
        <v>24630.136986301372</v>
      </c>
      <c r="D2752" s="532">
        <f t="shared" si="288"/>
        <v>44981</v>
      </c>
      <c r="E2752" s="534">
        <v>30</v>
      </c>
      <c r="F2752" s="601">
        <v>0.75</v>
      </c>
      <c r="G2752" s="536" t="s">
        <v>553</v>
      </c>
      <c r="H2752">
        <f t="shared" si="289"/>
        <v>1430.1369863013715</v>
      </c>
      <c r="I2752" s="596">
        <f>+B2752</f>
        <v>23200</v>
      </c>
      <c r="J2752" s="596">
        <f>+C2752</f>
        <v>24630.136986301372</v>
      </c>
    </row>
    <row r="2753" spans="1:8" ht="13.5" customHeight="1">
      <c r="A2753" s="532">
        <v>44951</v>
      </c>
      <c r="B2753" s="615">
        <v>72616.44</v>
      </c>
      <c r="C2753" s="615">
        <f t="shared" si="286"/>
        <v>77092.795890410955</v>
      </c>
      <c r="D2753" s="532">
        <f t="shared" si="288"/>
        <v>44981</v>
      </c>
      <c r="E2753" s="534">
        <v>30</v>
      </c>
      <c r="F2753" s="601">
        <v>0.75</v>
      </c>
      <c r="G2753" s="536" t="s">
        <v>697</v>
      </c>
      <c r="H2753">
        <f t="shared" si="289"/>
        <v>4476.3558904109523</v>
      </c>
    </row>
    <row r="2754" spans="1:8" ht="13.5" customHeight="1">
      <c r="A2754" s="532">
        <v>44951</v>
      </c>
      <c r="B2754" s="615">
        <v>35000</v>
      </c>
      <c r="C2754" s="615">
        <f t="shared" si="286"/>
        <v>37157.534246575342</v>
      </c>
      <c r="D2754" s="532">
        <f t="shared" si="288"/>
        <v>44981</v>
      </c>
      <c r="E2754" s="534">
        <v>30</v>
      </c>
      <c r="F2754" s="601">
        <v>0.75</v>
      </c>
      <c r="G2754" s="536" t="s">
        <v>120</v>
      </c>
      <c r="H2754">
        <f t="shared" si="289"/>
        <v>2157.534246575342</v>
      </c>
    </row>
    <row r="2755" spans="1:8" ht="13.5" customHeight="1">
      <c r="A2755" s="532">
        <v>44952</v>
      </c>
      <c r="B2755" s="615">
        <v>111000</v>
      </c>
      <c r="C2755" s="615">
        <f t="shared" si="286"/>
        <v>118298.63013698631</v>
      </c>
      <c r="D2755" s="532">
        <f t="shared" si="288"/>
        <v>44984</v>
      </c>
      <c r="E2755" s="534">
        <v>32</v>
      </c>
      <c r="F2755" s="601">
        <v>0.75</v>
      </c>
      <c r="G2755" s="536" t="s">
        <v>265</v>
      </c>
      <c r="H2755">
        <f t="shared" si="289"/>
        <v>7298.6301369863068</v>
      </c>
    </row>
    <row r="2756" spans="1:8" ht="13.5" customHeight="1">
      <c r="A2756" s="532">
        <v>44952</v>
      </c>
      <c r="B2756" s="615">
        <v>365000</v>
      </c>
      <c r="C2756" s="615">
        <f t="shared" si="286"/>
        <v>389000</v>
      </c>
      <c r="D2756" s="532">
        <f t="shared" si="288"/>
        <v>44984</v>
      </c>
      <c r="E2756" s="534">
        <v>32</v>
      </c>
      <c r="F2756" s="601">
        <v>0.75</v>
      </c>
      <c r="G2756" s="536" t="s">
        <v>256</v>
      </c>
      <c r="H2756">
        <f t="shared" si="289"/>
        <v>24000</v>
      </c>
    </row>
    <row r="2757" spans="1:8" ht="13.5" customHeight="1">
      <c r="A2757" s="532">
        <v>44953</v>
      </c>
      <c r="B2757" s="615">
        <v>60000</v>
      </c>
      <c r="C2757" s="615">
        <f t="shared" si="286"/>
        <v>63821.917808219179</v>
      </c>
      <c r="D2757" s="532">
        <f t="shared" si="288"/>
        <v>44984</v>
      </c>
      <c r="E2757" s="534">
        <v>31</v>
      </c>
      <c r="F2757" s="601">
        <v>0.75</v>
      </c>
      <c r="G2757" s="536" t="s">
        <v>256</v>
      </c>
      <c r="H2757">
        <f t="shared" si="289"/>
        <v>3821.9178082191793</v>
      </c>
    </row>
    <row r="2758" spans="1:8" ht="13.5" customHeight="1">
      <c r="A2758" s="532">
        <v>44953</v>
      </c>
      <c r="B2758" s="615">
        <v>18000</v>
      </c>
      <c r="C2758" s="615">
        <f t="shared" si="286"/>
        <v>19146.575342465752</v>
      </c>
      <c r="D2758" s="532">
        <f t="shared" si="288"/>
        <v>44984</v>
      </c>
      <c r="E2758" s="534">
        <v>31</v>
      </c>
      <c r="F2758" s="601">
        <v>0.75</v>
      </c>
      <c r="G2758" s="536" t="s">
        <v>257</v>
      </c>
      <c r="H2758">
        <f t="shared" si="289"/>
        <v>1146.5753424657523</v>
      </c>
    </row>
    <row r="2759" spans="1:8" ht="13.5" customHeight="1">
      <c r="A2759" s="532">
        <v>44953</v>
      </c>
      <c r="B2759" s="615">
        <v>1025000</v>
      </c>
      <c r="C2759" s="615">
        <f t="shared" si="286"/>
        <v>1090291.0958904109</v>
      </c>
      <c r="D2759" s="532">
        <f t="shared" si="288"/>
        <v>44984</v>
      </c>
      <c r="E2759" s="534">
        <v>31</v>
      </c>
      <c r="F2759" s="601">
        <v>0.75</v>
      </c>
      <c r="G2759" s="536" t="s">
        <v>258</v>
      </c>
      <c r="H2759">
        <f t="shared" si="289"/>
        <v>65291.095890410943</v>
      </c>
    </row>
    <row r="2760" spans="1:8" ht="13.5" customHeight="1">
      <c r="A2760" s="532">
        <v>44953</v>
      </c>
      <c r="B2760" s="615">
        <v>315000</v>
      </c>
      <c r="C2760" s="615">
        <f t="shared" si="286"/>
        <v>335065.0684931507</v>
      </c>
      <c r="D2760" s="532">
        <f t="shared" si="288"/>
        <v>44984</v>
      </c>
      <c r="E2760" s="534">
        <v>31</v>
      </c>
      <c r="F2760" s="601">
        <v>0.75</v>
      </c>
      <c r="G2760" s="536" t="s">
        <v>262</v>
      </c>
      <c r="H2760">
        <f t="shared" si="289"/>
        <v>20065.068493150698</v>
      </c>
    </row>
    <row r="2761" spans="1:8" ht="13.5" customHeight="1">
      <c r="A2761" s="532">
        <v>44956</v>
      </c>
      <c r="B2761" s="615">
        <v>159100</v>
      </c>
      <c r="C2761" s="615">
        <f t="shared" si="286"/>
        <v>168907.53424657535</v>
      </c>
      <c r="D2761" s="532">
        <f t="shared" si="288"/>
        <v>44986</v>
      </c>
      <c r="E2761" s="534">
        <v>30</v>
      </c>
      <c r="F2761" s="601">
        <v>0.75</v>
      </c>
      <c r="G2761" s="536" t="s">
        <v>260</v>
      </c>
      <c r="H2761">
        <f t="shared" si="289"/>
        <v>9807.5342465753492</v>
      </c>
    </row>
    <row r="2762" spans="1:8" ht="13.5" customHeight="1">
      <c r="A2762" s="532">
        <v>44956</v>
      </c>
      <c r="B2762" s="615">
        <v>400000</v>
      </c>
      <c r="C2762" s="615">
        <f t="shared" si="286"/>
        <v>424657.53424657532</v>
      </c>
      <c r="D2762" s="532">
        <f t="shared" si="288"/>
        <v>44986</v>
      </c>
      <c r="E2762" s="534">
        <v>30</v>
      </c>
      <c r="F2762" s="601">
        <v>0.75</v>
      </c>
      <c r="G2762" s="536" t="s">
        <v>256</v>
      </c>
      <c r="H2762">
        <f t="shared" si="289"/>
        <v>24657.53424657532</v>
      </c>
    </row>
    <row r="2763" spans="1:8" ht="13.5" customHeight="1">
      <c r="A2763" s="532">
        <v>44956</v>
      </c>
      <c r="B2763" s="615">
        <v>110000</v>
      </c>
      <c r="C2763" s="615">
        <f t="shared" si="286"/>
        <v>116780.82191780822</v>
      </c>
      <c r="D2763" s="532">
        <f t="shared" si="288"/>
        <v>44986</v>
      </c>
      <c r="E2763" s="534">
        <v>30</v>
      </c>
      <c r="F2763" s="601">
        <v>0.75</v>
      </c>
      <c r="G2763" s="536" t="s">
        <v>257</v>
      </c>
      <c r="H2763">
        <f t="shared" si="289"/>
        <v>6780.8219178082218</v>
      </c>
    </row>
    <row r="2764" spans="1:8" ht="13.5" customHeight="1">
      <c r="A2764" s="532">
        <v>44956</v>
      </c>
      <c r="B2764" s="615">
        <v>315000</v>
      </c>
      <c r="C2764" s="615">
        <f t="shared" si="286"/>
        <v>334417.80821917806</v>
      </c>
      <c r="D2764" s="532">
        <f t="shared" si="288"/>
        <v>44986</v>
      </c>
      <c r="E2764" s="534">
        <v>30</v>
      </c>
      <c r="F2764" s="601">
        <v>0.75</v>
      </c>
      <c r="G2764" s="536" t="s">
        <v>258</v>
      </c>
      <c r="H2764">
        <f t="shared" si="289"/>
        <v>19417.808219178056</v>
      </c>
    </row>
    <row r="2765" spans="1:8" ht="13.5" customHeight="1">
      <c r="A2765" s="532">
        <v>44956</v>
      </c>
      <c r="B2765" s="615">
        <v>930000</v>
      </c>
      <c r="C2765" s="615">
        <f t="shared" si="286"/>
        <v>987328.76712328766</v>
      </c>
      <c r="D2765" s="532">
        <f t="shared" si="288"/>
        <v>44986</v>
      </c>
      <c r="E2765" s="534">
        <v>30</v>
      </c>
      <c r="F2765" s="601">
        <v>0.75</v>
      </c>
      <c r="G2765" s="536" t="s">
        <v>262</v>
      </c>
      <c r="H2765">
        <f t="shared" si="289"/>
        <v>57328.76712328766</v>
      </c>
    </row>
    <row r="2766" spans="1:8" ht="13.5" customHeight="1">
      <c r="A2766" s="532">
        <v>44957</v>
      </c>
      <c r="B2766" s="615">
        <v>34000</v>
      </c>
      <c r="C2766" s="615">
        <f t="shared" si="286"/>
        <v>36095.890410958906</v>
      </c>
      <c r="D2766" s="532">
        <f t="shared" si="288"/>
        <v>44987</v>
      </c>
      <c r="E2766" s="534">
        <v>30</v>
      </c>
      <c r="F2766" s="601">
        <v>0.75</v>
      </c>
      <c r="G2766" s="536" t="s">
        <v>256</v>
      </c>
      <c r="H2766">
        <f t="shared" si="289"/>
        <v>2095.8904109589057</v>
      </c>
    </row>
    <row r="2767" spans="1:8" ht="13.5" customHeight="1">
      <c r="A2767" s="532">
        <v>44957</v>
      </c>
      <c r="B2767" s="615">
        <v>75000</v>
      </c>
      <c r="C2767" s="615">
        <f t="shared" si="286"/>
        <v>79623.287671232873</v>
      </c>
      <c r="D2767" s="532">
        <f t="shared" si="288"/>
        <v>44987</v>
      </c>
      <c r="E2767" s="534">
        <v>30</v>
      </c>
      <c r="F2767" s="601">
        <v>0.75</v>
      </c>
      <c r="G2767" s="536" t="s">
        <v>256</v>
      </c>
      <c r="H2767">
        <f t="shared" si="289"/>
        <v>4623.2876712328725</v>
      </c>
    </row>
    <row r="2768" spans="1:8" ht="13.5" customHeight="1">
      <c r="A2768" s="532">
        <v>44958</v>
      </c>
      <c r="B2768" s="615">
        <v>160000</v>
      </c>
      <c r="C2768" s="615">
        <f t="shared" si="286"/>
        <v>169863.01369863015</v>
      </c>
      <c r="D2768" s="532">
        <f t="shared" si="288"/>
        <v>44988</v>
      </c>
      <c r="E2768" s="534">
        <v>30</v>
      </c>
      <c r="F2768" s="601">
        <v>0.75</v>
      </c>
      <c r="G2768" s="536" t="s">
        <v>256</v>
      </c>
      <c r="H2768">
        <f t="shared" si="289"/>
        <v>9863.0136986301513</v>
      </c>
    </row>
    <row r="2769" spans="1:8" ht="13.5" customHeight="1">
      <c r="A2769" s="532">
        <v>44958</v>
      </c>
      <c r="B2769" s="615">
        <v>10000</v>
      </c>
      <c r="C2769" s="615">
        <f t="shared" si="286"/>
        <v>10616.438356164384</v>
      </c>
      <c r="D2769" s="532">
        <f t="shared" si="288"/>
        <v>44988</v>
      </c>
      <c r="E2769" s="534">
        <v>30</v>
      </c>
      <c r="F2769" s="601">
        <v>0.75</v>
      </c>
      <c r="G2769" s="536" t="s">
        <v>256</v>
      </c>
      <c r="H2769">
        <f t="shared" si="289"/>
        <v>616.43835616438446</v>
      </c>
    </row>
    <row r="2770" spans="1:8" ht="13.5" customHeight="1">
      <c r="A2770" s="532">
        <v>44958</v>
      </c>
      <c r="B2770" s="615">
        <v>230900</v>
      </c>
      <c r="C2770" s="615">
        <f t="shared" si="286"/>
        <v>245133.56164383562</v>
      </c>
      <c r="D2770" s="532">
        <f t="shared" si="288"/>
        <v>44988</v>
      </c>
      <c r="E2770" s="534">
        <v>30</v>
      </c>
      <c r="F2770" s="601">
        <v>0.75</v>
      </c>
      <c r="G2770" s="536" t="s">
        <v>257</v>
      </c>
      <c r="H2770">
        <f t="shared" si="289"/>
        <v>14233.561643835623</v>
      </c>
    </row>
    <row r="2771" spans="1:8" ht="13.5" customHeight="1">
      <c r="A2771" s="532">
        <v>44958</v>
      </c>
      <c r="B2771" s="615">
        <v>305500</v>
      </c>
      <c r="C2771" s="615">
        <f t="shared" si="286"/>
        <v>324332.19178082194</v>
      </c>
      <c r="D2771" s="532">
        <f t="shared" si="288"/>
        <v>44988</v>
      </c>
      <c r="E2771" s="534">
        <v>30</v>
      </c>
      <c r="F2771" s="601">
        <v>0.75</v>
      </c>
      <c r="G2771" s="536" t="s">
        <v>260</v>
      </c>
      <c r="H2771">
        <f t="shared" si="289"/>
        <v>18832.191780821944</v>
      </c>
    </row>
    <row r="2772" spans="1:8" ht="13.5" customHeight="1">
      <c r="A2772" s="532">
        <v>44958</v>
      </c>
      <c r="B2772" s="615">
        <v>75300</v>
      </c>
      <c r="C2772" s="615">
        <f t="shared" si="286"/>
        <v>79941.780821917811</v>
      </c>
      <c r="D2772" s="532">
        <f t="shared" si="288"/>
        <v>44988</v>
      </c>
      <c r="E2772" s="534">
        <v>30</v>
      </c>
      <c r="F2772" s="601">
        <v>0.75</v>
      </c>
      <c r="G2772" s="536" t="s">
        <v>261</v>
      </c>
      <c r="H2772">
        <f t="shared" si="289"/>
        <v>4641.7808219178114</v>
      </c>
    </row>
    <row r="2773" spans="1:8" ht="13.5" customHeight="1">
      <c r="A2773" s="532">
        <v>44958</v>
      </c>
      <c r="B2773" s="615">
        <v>16800</v>
      </c>
      <c r="C2773" s="615">
        <f t="shared" si="286"/>
        <v>17835.616438356163</v>
      </c>
      <c r="D2773" s="532">
        <f t="shared" si="288"/>
        <v>44988</v>
      </c>
      <c r="E2773" s="534">
        <v>30</v>
      </c>
      <c r="F2773" s="601">
        <v>0.75</v>
      </c>
      <c r="G2773" s="536" t="s">
        <v>259</v>
      </c>
      <c r="H2773">
        <f>16800+1035.62</f>
        <v>17835.62</v>
      </c>
    </row>
    <row r="2774" spans="1:8" ht="13.5" customHeight="1">
      <c r="A2774" s="532">
        <v>44958</v>
      </c>
      <c r="B2774" s="615">
        <v>130000</v>
      </c>
      <c r="C2774" s="615">
        <f t="shared" si="286"/>
        <v>138013.69863013699</v>
      </c>
      <c r="D2774" s="532">
        <f t="shared" si="288"/>
        <v>44988</v>
      </c>
      <c r="E2774" s="534">
        <v>30</v>
      </c>
      <c r="F2774" s="601">
        <v>0.75</v>
      </c>
      <c r="G2774" s="536" t="s">
        <v>262</v>
      </c>
      <c r="H2774">
        <f t="shared" ref="A2774:H2805" si="290">IF(E2774&gt;89,(C2774-B2774)/3,(C2774-B2774))</f>
        <v>8013.6986301369907</v>
      </c>
    </row>
    <row r="2775" spans="1:8" ht="13.5" customHeight="1">
      <c r="A2775" s="532">
        <v>44958</v>
      </c>
      <c r="B2775" s="615">
        <v>175000</v>
      </c>
      <c r="C2775" s="615">
        <f t="shared" si="286"/>
        <v>185787.67123287672</v>
      </c>
      <c r="D2775" s="532">
        <f t="shared" si="288"/>
        <v>44988</v>
      </c>
      <c r="E2775" s="534">
        <v>30</v>
      </c>
      <c r="F2775" s="601">
        <v>0.75</v>
      </c>
      <c r="G2775" s="536" t="s">
        <v>258</v>
      </c>
      <c r="H2775">
        <f t="shared" si="290"/>
        <v>10787.671232876717</v>
      </c>
    </row>
    <row r="2776" spans="1:8" ht="13.5" customHeight="1">
      <c r="A2776" s="532">
        <v>44959</v>
      </c>
      <c r="B2776" s="615">
        <v>69700</v>
      </c>
      <c r="C2776" s="615">
        <f t="shared" si="286"/>
        <v>74283.013698630137</v>
      </c>
      <c r="D2776" s="532">
        <f t="shared" si="288"/>
        <v>44991</v>
      </c>
      <c r="E2776" s="534">
        <v>32</v>
      </c>
      <c r="F2776" s="601">
        <v>0.75</v>
      </c>
      <c r="G2776" s="536" t="s">
        <v>260</v>
      </c>
      <c r="H2776">
        <f t="shared" si="290"/>
        <v>4583.0136986301368</v>
      </c>
    </row>
    <row r="2777" spans="1:8" ht="13.5" customHeight="1">
      <c r="A2777" s="532">
        <v>44959</v>
      </c>
      <c r="B2777" s="615">
        <v>10000</v>
      </c>
      <c r="C2777" s="615">
        <f t="shared" si="286"/>
        <v>10657.534246575342</v>
      </c>
      <c r="D2777" s="532">
        <f t="shared" si="288"/>
        <v>44991</v>
      </c>
      <c r="E2777" s="534">
        <v>32</v>
      </c>
      <c r="F2777" s="601">
        <v>0.75</v>
      </c>
      <c r="G2777" s="536" t="s">
        <v>257</v>
      </c>
      <c r="H2777">
        <f t="shared" si="290"/>
        <v>657.53424657534197</v>
      </c>
    </row>
    <row r="2778" spans="1:8" ht="13.5" customHeight="1">
      <c r="A2778" s="532">
        <v>44959</v>
      </c>
      <c r="B2778" s="615">
        <v>20000</v>
      </c>
      <c r="C2778" s="615">
        <f t="shared" si="286"/>
        <v>21273.972602739726</v>
      </c>
      <c r="D2778" s="532">
        <f t="shared" si="288"/>
        <v>44990</v>
      </c>
      <c r="E2778" s="534">
        <v>31</v>
      </c>
      <c r="F2778" s="601">
        <v>0.75</v>
      </c>
      <c r="G2778" s="536" t="s">
        <v>256</v>
      </c>
      <c r="H2778">
        <f t="shared" si="290"/>
        <v>1273.9726027397264</v>
      </c>
    </row>
    <row r="2779" spans="1:8" ht="13.5" customHeight="1">
      <c r="A2779" s="532">
        <v>44959</v>
      </c>
      <c r="B2779" s="615">
        <v>259500</v>
      </c>
      <c r="C2779" s="615">
        <f t="shared" si="286"/>
        <v>276563.01369863015</v>
      </c>
      <c r="D2779" s="532">
        <f t="shared" si="288"/>
        <v>44991</v>
      </c>
      <c r="E2779" s="534">
        <v>32</v>
      </c>
      <c r="F2779" s="601">
        <v>0.75</v>
      </c>
      <c r="G2779" s="536" t="s">
        <v>256</v>
      </c>
      <c r="H2779">
        <f t="shared" si="290"/>
        <v>17063.013698630151</v>
      </c>
    </row>
    <row r="2780" spans="1:8" ht="13.5" customHeight="1">
      <c r="A2780" s="532">
        <v>44959</v>
      </c>
      <c r="B2780" s="615">
        <v>10300</v>
      </c>
      <c r="C2780" s="615">
        <f t="shared" si="286"/>
        <v>10977.260273972603</v>
      </c>
      <c r="D2780" s="532">
        <f t="shared" si="288"/>
        <v>44991</v>
      </c>
      <c r="E2780" s="534">
        <v>32</v>
      </c>
      <c r="F2780" s="601">
        <v>0.75</v>
      </c>
      <c r="G2780" s="536" t="s">
        <v>261</v>
      </c>
      <c r="H2780">
        <f t="shared" si="290"/>
        <v>677.26027397260259</v>
      </c>
    </row>
    <row r="2781" spans="1:8" ht="13.5" customHeight="1">
      <c r="A2781" s="532">
        <v>44959</v>
      </c>
      <c r="B2781" s="615">
        <v>40000</v>
      </c>
      <c r="C2781" s="615">
        <f t="shared" si="286"/>
        <v>42630.136986301368</v>
      </c>
      <c r="D2781" s="532">
        <f t="shared" si="288"/>
        <v>44991</v>
      </c>
      <c r="E2781" s="534">
        <v>32</v>
      </c>
      <c r="F2781" s="601">
        <v>0.75</v>
      </c>
      <c r="G2781" s="536" t="s">
        <v>258</v>
      </c>
      <c r="H2781">
        <f t="shared" si="290"/>
        <v>2630.1369863013679</v>
      </c>
    </row>
    <row r="2782" spans="1:8" ht="13.5" customHeight="1">
      <c r="A2782" s="532">
        <v>44960</v>
      </c>
      <c r="B2782" s="615">
        <v>39000</v>
      </c>
      <c r="C2782" s="615">
        <f t="shared" si="286"/>
        <v>41484.246575342462</v>
      </c>
      <c r="D2782" s="532">
        <f t="shared" si="288"/>
        <v>44991</v>
      </c>
      <c r="E2782" s="534">
        <v>31</v>
      </c>
      <c r="F2782" s="601">
        <v>0.75</v>
      </c>
      <c r="G2782" s="536" t="s">
        <v>257</v>
      </c>
      <c r="H2782">
        <f t="shared" si="290"/>
        <v>2484.2465753424622</v>
      </c>
    </row>
    <row r="2783" spans="1:8" ht="13.5" customHeight="1">
      <c r="A2783" s="532">
        <v>44960</v>
      </c>
      <c r="B2783" s="615">
        <v>150000</v>
      </c>
      <c r="C2783" s="615">
        <f t="shared" si="286"/>
        <v>159554.79452054793</v>
      </c>
      <c r="D2783" s="532">
        <f t="shared" si="288"/>
        <v>44991</v>
      </c>
      <c r="E2783" s="534">
        <v>31</v>
      </c>
      <c r="F2783" s="601">
        <v>0.75</v>
      </c>
      <c r="G2783" s="536" t="s">
        <v>257</v>
      </c>
      <c r="H2783">
        <f t="shared" si="290"/>
        <v>9554.7945205479336</v>
      </c>
    </row>
    <row r="2784" spans="1:8" ht="13.5" customHeight="1">
      <c r="A2784" s="532">
        <v>44960</v>
      </c>
      <c r="B2784" s="615">
        <v>150000</v>
      </c>
      <c r="C2784" s="615">
        <f t="shared" si="286"/>
        <v>159554.79452054793</v>
      </c>
      <c r="D2784" s="532">
        <f t="shared" si="288"/>
        <v>44991</v>
      </c>
      <c r="E2784" s="534">
        <v>31</v>
      </c>
      <c r="F2784" s="601">
        <v>0.75</v>
      </c>
      <c r="G2784" s="536" t="s">
        <v>256</v>
      </c>
      <c r="H2784">
        <f t="shared" si="290"/>
        <v>9554.7945205479336</v>
      </c>
    </row>
    <row r="2785" spans="1:8" ht="13.5" customHeight="1">
      <c r="A2785" s="532">
        <v>44960</v>
      </c>
      <c r="B2785" s="615">
        <v>12600</v>
      </c>
      <c r="C2785" s="615">
        <f t="shared" si="286"/>
        <v>13402.602739726028</v>
      </c>
      <c r="D2785" s="532">
        <f t="shared" si="288"/>
        <v>44991</v>
      </c>
      <c r="E2785" s="534">
        <v>31</v>
      </c>
      <c r="F2785" s="601">
        <v>0.75</v>
      </c>
      <c r="G2785" s="536" t="s">
        <v>261</v>
      </c>
      <c r="H2785">
        <f t="shared" si="290"/>
        <v>802.60273972602772</v>
      </c>
    </row>
    <row r="2786" spans="1:8" ht="13.5" customHeight="1">
      <c r="A2786" s="532">
        <v>44960</v>
      </c>
      <c r="B2786" s="615">
        <v>50000</v>
      </c>
      <c r="C2786" s="615">
        <f t="shared" si="286"/>
        <v>53184.931506849316</v>
      </c>
      <c r="D2786" s="532">
        <f t="shared" si="288"/>
        <v>44991</v>
      </c>
      <c r="E2786" s="534">
        <v>31</v>
      </c>
      <c r="F2786" s="601">
        <v>0.75</v>
      </c>
      <c r="G2786" s="536" t="s">
        <v>258</v>
      </c>
      <c r="H2786">
        <f t="shared" si="290"/>
        <v>3184.9315068493161</v>
      </c>
    </row>
    <row r="2787" spans="1:8" ht="13.5" customHeight="1">
      <c r="A2787" s="532">
        <v>44960</v>
      </c>
      <c r="B2787" s="615">
        <v>10000</v>
      </c>
      <c r="C2787" s="615">
        <f t="shared" si="286"/>
        <v>10636.986301369863</v>
      </c>
      <c r="D2787" s="532">
        <f t="shared" si="288"/>
        <v>44991</v>
      </c>
      <c r="E2787" s="534">
        <v>31</v>
      </c>
      <c r="F2787" s="601">
        <v>0.75</v>
      </c>
      <c r="G2787" s="536" t="s">
        <v>262</v>
      </c>
      <c r="H2787">
        <f t="shared" si="290"/>
        <v>636.98630136986321</v>
      </c>
    </row>
    <row r="2788" spans="1:8" ht="13.5" customHeight="1">
      <c r="A2788" s="532">
        <v>44963</v>
      </c>
      <c r="B2788" s="615">
        <v>215200</v>
      </c>
      <c r="C2788" s="615">
        <f t="shared" ref="A2788:C2851" si="291">B2788+(B2788*F2788/365*E2788)*1</f>
        <v>228465.75342465754</v>
      </c>
      <c r="D2788" s="532">
        <f t="shared" si="288"/>
        <v>44993</v>
      </c>
      <c r="E2788" s="534">
        <v>30</v>
      </c>
      <c r="F2788" s="601">
        <v>0.75</v>
      </c>
      <c r="G2788" s="536" t="s">
        <v>265</v>
      </c>
      <c r="H2788">
        <f t="shared" si="290"/>
        <v>13265.753424657538</v>
      </c>
    </row>
    <row r="2789" spans="1:8" ht="13.5" customHeight="1">
      <c r="A2789" s="532">
        <v>44963</v>
      </c>
      <c r="B2789" s="615">
        <v>200000</v>
      </c>
      <c r="C2789" s="615">
        <f t="shared" si="291"/>
        <v>212328.76712328766</v>
      </c>
      <c r="D2789" s="532">
        <f t="shared" si="288"/>
        <v>44993</v>
      </c>
      <c r="E2789" s="534">
        <v>30</v>
      </c>
      <c r="F2789" s="601">
        <v>0.75</v>
      </c>
      <c r="G2789" s="536" t="s">
        <v>262</v>
      </c>
      <c r="H2789">
        <f t="shared" si="290"/>
        <v>12328.76712328766</v>
      </c>
    </row>
    <row r="2790" spans="1:8" ht="13.5" customHeight="1">
      <c r="A2790" s="532">
        <v>44964</v>
      </c>
      <c r="B2790" s="615">
        <v>84500</v>
      </c>
      <c r="C2790" s="615">
        <f t="shared" si="291"/>
        <v>89708.904109589042</v>
      </c>
      <c r="D2790" s="532">
        <f t="shared" si="288"/>
        <v>44994</v>
      </c>
      <c r="E2790" s="534">
        <v>30</v>
      </c>
      <c r="F2790" s="601">
        <v>0.75</v>
      </c>
      <c r="G2790" s="536" t="s">
        <v>260</v>
      </c>
      <c r="H2790">
        <f t="shared" si="290"/>
        <v>5208.9041095890425</v>
      </c>
    </row>
    <row r="2791" spans="1:8" ht="13.5" customHeight="1">
      <c r="A2791" s="532">
        <v>44964</v>
      </c>
      <c r="B2791" s="615">
        <v>50000</v>
      </c>
      <c r="C2791" s="615">
        <f t="shared" si="291"/>
        <v>53082.191780821915</v>
      </c>
      <c r="D2791" s="532">
        <f t="shared" si="288"/>
        <v>44994</v>
      </c>
      <c r="E2791" s="534">
        <v>30</v>
      </c>
      <c r="F2791" s="601">
        <v>0.75</v>
      </c>
      <c r="G2791" s="536" t="s">
        <v>258</v>
      </c>
      <c r="H2791">
        <f t="shared" si="290"/>
        <v>3082.191780821915</v>
      </c>
    </row>
    <row r="2792" spans="1:8" ht="13.5" customHeight="1">
      <c r="A2792" s="532">
        <v>44965</v>
      </c>
      <c r="B2792" s="615">
        <v>190000</v>
      </c>
      <c r="C2792" s="615">
        <f t="shared" si="291"/>
        <v>201712.32876712328</v>
      </c>
      <c r="D2792" s="532">
        <f t="shared" si="288"/>
        <v>44995</v>
      </c>
      <c r="E2792" s="534">
        <v>30</v>
      </c>
      <c r="F2792" s="601">
        <v>0.75</v>
      </c>
      <c r="G2792" s="536" t="s">
        <v>256</v>
      </c>
      <c r="H2792">
        <f t="shared" si="290"/>
        <v>11712.328767123283</v>
      </c>
    </row>
    <row r="2793" spans="1:8" ht="13.5" customHeight="1">
      <c r="A2793" s="532">
        <v>44965</v>
      </c>
      <c r="B2793" s="615">
        <v>110000</v>
      </c>
      <c r="C2793" s="615">
        <f t="shared" si="291"/>
        <v>116780.82191780822</v>
      </c>
      <c r="D2793" s="532">
        <f t="shared" si="288"/>
        <v>44995</v>
      </c>
      <c r="E2793" s="534">
        <v>30</v>
      </c>
      <c r="F2793" s="601">
        <v>0.75</v>
      </c>
      <c r="G2793" s="536" t="s">
        <v>258</v>
      </c>
      <c r="H2793">
        <f t="shared" si="290"/>
        <v>6780.8219178082218</v>
      </c>
    </row>
    <row r="2794" spans="1:8" ht="13.5" customHeight="1">
      <c r="A2794" s="532">
        <v>44965</v>
      </c>
      <c r="B2794" s="615">
        <v>58600</v>
      </c>
      <c r="C2794" s="615">
        <f t="shared" si="291"/>
        <v>62212.32876712329</v>
      </c>
      <c r="D2794" s="532">
        <f t="shared" si="288"/>
        <v>44995</v>
      </c>
      <c r="E2794" s="534">
        <v>30</v>
      </c>
      <c r="F2794" s="601">
        <v>0.75</v>
      </c>
      <c r="G2794" s="536" t="s">
        <v>261</v>
      </c>
      <c r="H2794">
        <f t="shared" si="290"/>
        <v>3612.3287671232902</v>
      </c>
    </row>
    <row r="2795" spans="1:8" ht="13.5" customHeight="1">
      <c r="A2795" s="532">
        <v>44965</v>
      </c>
      <c r="B2795" s="615">
        <v>99000</v>
      </c>
      <c r="C2795" s="615">
        <f t="shared" si="291"/>
        <v>105102.7397260274</v>
      </c>
      <c r="D2795" s="532">
        <f t="shared" si="288"/>
        <v>44995</v>
      </c>
      <c r="E2795" s="534">
        <v>30</v>
      </c>
      <c r="F2795" s="601">
        <v>0.75</v>
      </c>
      <c r="G2795" s="536" t="s">
        <v>260</v>
      </c>
      <c r="H2795">
        <f t="shared" si="290"/>
        <v>6102.739726027401</v>
      </c>
    </row>
    <row r="2796" spans="1:8" ht="13.5" customHeight="1">
      <c r="A2796" s="532">
        <v>44965</v>
      </c>
      <c r="B2796" s="615">
        <v>82500</v>
      </c>
      <c r="C2796" s="615">
        <f t="shared" si="291"/>
        <v>87585.61643835617</v>
      </c>
      <c r="D2796" s="532">
        <f t="shared" si="288"/>
        <v>44995</v>
      </c>
      <c r="E2796" s="534">
        <v>30</v>
      </c>
      <c r="F2796" s="601">
        <v>0.75</v>
      </c>
      <c r="G2796" s="536" t="s">
        <v>265</v>
      </c>
      <c r="H2796">
        <f t="shared" si="290"/>
        <v>5085.61643835617</v>
      </c>
    </row>
    <row r="2797" spans="1:8" ht="13.5" customHeight="1">
      <c r="A2797" s="532">
        <v>44966</v>
      </c>
      <c r="B2797" s="615">
        <v>205300</v>
      </c>
      <c r="C2797" s="615">
        <f t="shared" si="291"/>
        <v>218799.17808219179</v>
      </c>
      <c r="D2797" s="532">
        <f t="shared" ref="A2797:D2842" si="292">+A2797+E2797</f>
        <v>44998</v>
      </c>
      <c r="E2797" s="534">
        <v>32</v>
      </c>
      <c r="F2797" s="601">
        <v>0.75</v>
      </c>
      <c r="G2797" s="536" t="s">
        <v>257</v>
      </c>
      <c r="H2797">
        <f t="shared" si="290"/>
        <v>13499.178082191793</v>
      </c>
    </row>
    <row r="2798" spans="1:8" ht="13.5" customHeight="1">
      <c r="A2798" s="532">
        <v>44966</v>
      </c>
      <c r="B2798" s="615">
        <v>94500</v>
      </c>
      <c r="C2798" s="615">
        <f t="shared" si="291"/>
        <v>100713.69863013699</v>
      </c>
      <c r="D2798" s="532">
        <f t="shared" si="292"/>
        <v>44998</v>
      </c>
      <c r="E2798" s="534">
        <v>32</v>
      </c>
      <c r="F2798" s="601">
        <v>0.75</v>
      </c>
      <c r="G2798" s="536" t="s">
        <v>265</v>
      </c>
      <c r="H2798">
        <f t="shared" si="290"/>
        <v>6213.6986301369907</v>
      </c>
    </row>
    <row r="2799" spans="1:8" ht="13.5" customHeight="1">
      <c r="A2799" s="532">
        <v>44966</v>
      </c>
      <c r="B2799" s="615">
        <v>60700</v>
      </c>
      <c r="C2799" s="615">
        <f t="shared" si="291"/>
        <v>64691.232876712325</v>
      </c>
      <c r="D2799" s="532">
        <f t="shared" si="292"/>
        <v>44998</v>
      </c>
      <c r="E2799" s="534">
        <v>32</v>
      </c>
      <c r="F2799" s="601">
        <v>0.75</v>
      </c>
      <c r="G2799" s="536" t="s">
        <v>261</v>
      </c>
      <c r="H2799">
        <f t="shared" si="290"/>
        <v>3991.2328767123254</v>
      </c>
    </row>
    <row r="2800" spans="1:8" ht="13.5" customHeight="1">
      <c r="A2800" s="532">
        <v>44966</v>
      </c>
      <c r="B2800" s="615">
        <v>12100</v>
      </c>
      <c r="C2800" s="615">
        <f t="shared" si="291"/>
        <v>12895.616438356165</v>
      </c>
      <c r="D2800" s="532">
        <f t="shared" si="292"/>
        <v>44998</v>
      </c>
      <c r="E2800" s="534">
        <v>32</v>
      </c>
      <c r="F2800" s="601">
        <v>0.75</v>
      </c>
      <c r="G2800" s="536" t="s">
        <v>260</v>
      </c>
      <c r="H2800">
        <f t="shared" si="290"/>
        <v>795.61643835616451</v>
      </c>
    </row>
    <row r="2801" spans="1:8" ht="13.5" customHeight="1">
      <c r="A2801" s="532">
        <v>44966</v>
      </c>
      <c r="B2801" s="615">
        <v>120000</v>
      </c>
      <c r="C2801" s="615">
        <f t="shared" si="291"/>
        <v>127890.4109589041</v>
      </c>
      <c r="D2801" s="532">
        <f t="shared" si="292"/>
        <v>44998</v>
      </c>
      <c r="E2801" s="534">
        <v>32</v>
      </c>
      <c r="F2801" s="601">
        <v>0.75</v>
      </c>
      <c r="G2801" s="536" t="s">
        <v>258</v>
      </c>
      <c r="H2801">
        <f t="shared" si="290"/>
        <v>7890.4109589041036</v>
      </c>
    </row>
    <row r="2802" spans="1:8" ht="13.5" customHeight="1">
      <c r="A2802" s="532">
        <v>44967</v>
      </c>
      <c r="B2802" s="615">
        <v>85000</v>
      </c>
      <c r="C2802" s="615">
        <f t="shared" si="291"/>
        <v>90414.38356164383</v>
      </c>
      <c r="D2802" s="532">
        <f t="shared" si="292"/>
        <v>44998</v>
      </c>
      <c r="E2802" s="534">
        <v>31</v>
      </c>
      <c r="F2802" s="601">
        <v>0.75</v>
      </c>
      <c r="G2802" s="536" t="s">
        <v>256</v>
      </c>
      <c r="H2802">
        <f t="shared" si="290"/>
        <v>5414.38356164383</v>
      </c>
    </row>
    <row r="2803" spans="1:8" ht="13.5" customHeight="1">
      <c r="A2803" s="532">
        <v>44967</v>
      </c>
      <c r="B2803" s="615">
        <v>95600</v>
      </c>
      <c r="C2803" s="615">
        <f t="shared" si="291"/>
        <v>101689.5890410959</v>
      </c>
      <c r="D2803" s="532">
        <f t="shared" si="292"/>
        <v>44998</v>
      </c>
      <c r="E2803" s="534">
        <v>31</v>
      </c>
      <c r="F2803" s="601">
        <v>0.75</v>
      </c>
      <c r="G2803" s="536" t="s">
        <v>265</v>
      </c>
      <c r="H2803">
        <f t="shared" si="290"/>
        <v>6089.5890410958964</v>
      </c>
    </row>
    <row r="2804" spans="1:8" ht="13.5" customHeight="1">
      <c r="A2804" s="532">
        <v>44967</v>
      </c>
      <c r="B2804" s="615">
        <v>10700</v>
      </c>
      <c r="C2804" s="615">
        <f t="shared" si="291"/>
        <v>11381.575342465754</v>
      </c>
      <c r="D2804" s="532">
        <f t="shared" si="292"/>
        <v>44998</v>
      </c>
      <c r="E2804" s="534">
        <v>31</v>
      </c>
      <c r="F2804" s="601">
        <v>0.75</v>
      </c>
      <c r="G2804" s="536" t="s">
        <v>260</v>
      </c>
      <c r="H2804">
        <f t="shared" si="290"/>
        <v>681.57534246575415</v>
      </c>
    </row>
    <row r="2805" spans="1:8" ht="13.5" customHeight="1">
      <c r="A2805" s="532">
        <v>44967</v>
      </c>
      <c r="B2805" s="615">
        <v>23000</v>
      </c>
      <c r="C2805" s="615">
        <f t="shared" si="291"/>
        <v>24465.068493150684</v>
      </c>
      <c r="D2805" s="532">
        <f t="shared" si="292"/>
        <v>44998</v>
      </c>
      <c r="E2805" s="534">
        <v>31</v>
      </c>
      <c r="F2805" s="601">
        <v>0.75</v>
      </c>
      <c r="G2805" s="536" t="s">
        <v>259</v>
      </c>
      <c r="H2805">
        <f t="shared" si="290"/>
        <v>1465.0684931506839</v>
      </c>
    </row>
    <row r="2806" spans="1:8" ht="13.5" customHeight="1">
      <c r="A2806" s="532">
        <v>44967</v>
      </c>
      <c r="B2806" s="615">
        <v>180000</v>
      </c>
      <c r="C2806" s="615">
        <f t="shared" si="291"/>
        <v>191465.75342465754</v>
      </c>
      <c r="D2806" s="532">
        <f t="shared" si="292"/>
        <v>44998</v>
      </c>
      <c r="E2806" s="534">
        <v>31</v>
      </c>
      <c r="F2806" s="601">
        <v>0.75</v>
      </c>
      <c r="G2806" s="536" t="s">
        <v>258</v>
      </c>
      <c r="H2806">
        <f t="shared" ref="A2806:H2842" si="293">IF(E2806&gt;89,(C2806-B2806)/3,(C2806-B2806))</f>
        <v>11465.753424657538</v>
      </c>
    </row>
    <row r="2807" spans="1:8" ht="13.5" customHeight="1">
      <c r="A2807" s="532">
        <v>44970</v>
      </c>
      <c r="B2807" s="615">
        <v>3900</v>
      </c>
      <c r="C2807" s="615">
        <f t="shared" si="291"/>
        <v>4140.41095890411</v>
      </c>
      <c r="D2807" s="532">
        <f t="shared" si="292"/>
        <v>45000</v>
      </c>
      <c r="E2807" s="534">
        <v>30</v>
      </c>
      <c r="F2807" s="601">
        <v>0.75</v>
      </c>
      <c r="G2807" s="536" t="s">
        <v>259</v>
      </c>
      <c r="H2807">
        <f t="shared" si="293"/>
        <v>240.41095890410998</v>
      </c>
    </row>
    <row r="2808" spans="1:8" ht="13.5" customHeight="1">
      <c r="A2808" s="532">
        <v>44970</v>
      </c>
      <c r="B2808" s="615">
        <v>80000</v>
      </c>
      <c r="C2808" s="615">
        <f t="shared" si="291"/>
        <v>84931.506849315076</v>
      </c>
      <c r="D2808" s="532">
        <f t="shared" si="292"/>
        <v>45000</v>
      </c>
      <c r="E2808" s="534">
        <v>30</v>
      </c>
      <c r="F2808" s="601">
        <v>0.75</v>
      </c>
      <c r="G2808" s="536" t="s">
        <v>257</v>
      </c>
      <c r="H2808">
        <f t="shared" si="293"/>
        <v>4931.5068493150757</v>
      </c>
    </row>
    <row r="2809" spans="1:8" ht="13.5" customHeight="1">
      <c r="A2809" s="532">
        <v>44970</v>
      </c>
      <c r="B2809" s="615">
        <v>257300</v>
      </c>
      <c r="C2809" s="615">
        <f t="shared" si="291"/>
        <v>273160.9589041096</v>
      </c>
      <c r="D2809" s="532">
        <f t="shared" si="292"/>
        <v>45000</v>
      </c>
      <c r="E2809" s="534">
        <v>30</v>
      </c>
      <c r="F2809" s="601">
        <v>0.75</v>
      </c>
      <c r="G2809" s="536" t="s">
        <v>257</v>
      </c>
      <c r="H2809">
        <f t="shared" si="293"/>
        <v>15860.958904109604</v>
      </c>
    </row>
    <row r="2810" spans="1:8" ht="13.5" customHeight="1">
      <c r="A2810" s="532">
        <v>44970</v>
      </c>
      <c r="B2810" s="615">
        <v>90000</v>
      </c>
      <c r="C2810" s="615">
        <f t="shared" si="291"/>
        <v>95547.945205479453</v>
      </c>
      <c r="D2810" s="532">
        <f t="shared" si="292"/>
        <v>45000</v>
      </c>
      <c r="E2810" s="534">
        <v>30</v>
      </c>
      <c r="F2810" s="601">
        <v>0.75</v>
      </c>
      <c r="G2810" s="536" t="s">
        <v>265</v>
      </c>
      <c r="H2810">
        <f t="shared" si="293"/>
        <v>5547.9452054794529</v>
      </c>
    </row>
    <row r="2811" spans="1:8" ht="13.5" customHeight="1">
      <c r="A2811" s="532">
        <v>44970</v>
      </c>
      <c r="B2811" s="615">
        <v>30000</v>
      </c>
      <c r="C2811" s="615">
        <f t="shared" si="291"/>
        <v>31849.31506849315</v>
      </c>
      <c r="D2811" s="532">
        <f t="shared" si="292"/>
        <v>45000</v>
      </c>
      <c r="E2811" s="534">
        <v>30</v>
      </c>
      <c r="F2811" s="601">
        <v>0.75</v>
      </c>
      <c r="G2811" s="536" t="s">
        <v>261</v>
      </c>
      <c r="H2811">
        <f t="shared" si="293"/>
        <v>1849.3150684931497</v>
      </c>
    </row>
    <row r="2812" spans="1:8" ht="13.5" customHeight="1">
      <c r="A2812" s="532">
        <v>44970</v>
      </c>
      <c r="B2812" s="615">
        <v>411600</v>
      </c>
      <c r="C2812" s="615">
        <f t="shared" si="291"/>
        <v>436972.60273972602</v>
      </c>
      <c r="D2812" s="532">
        <f t="shared" si="292"/>
        <v>45000</v>
      </c>
      <c r="E2812" s="534">
        <v>30</v>
      </c>
      <c r="F2812" s="601">
        <v>0.75</v>
      </c>
      <c r="G2812" s="536" t="s">
        <v>261</v>
      </c>
      <c r="H2812">
        <f t="shared" si="293"/>
        <v>25372.602739726019</v>
      </c>
    </row>
    <row r="2813" spans="1:8" ht="13.5" customHeight="1">
      <c r="A2813" s="532">
        <v>44970</v>
      </c>
      <c r="B2813" s="615">
        <v>49500</v>
      </c>
      <c r="C2813" s="615">
        <f t="shared" si="291"/>
        <v>52551.369863013701</v>
      </c>
      <c r="D2813" s="532">
        <f t="shared" si="292"/>
        <v>45000</v>
      </c>
      <c r="E2813" s="534">
        <v>30</v>
      </c>
      <c r="F2813" s="601">
        <v>0.75</v>
      </c>
      <c r="G2813" s="536" t="s">
        <v>260</v>
      </c>
      <c r="H2813">
        <f t="shared" si="293"/>
        <v>3051.3698630137005</v>
      </c>
    </row>
    <row r="2814" spans="1:8" ht="13.5" customHeight="1">
      <c r="A2814" s="532">
        <v>44970</v>
      </c>
      <c r="B2814" s="615">
        <v>55000</v>
      </c>
      <c r="C2814" s="615">
        <f t="shared" si="291"/>
        <v>58390.410958904111</v>
      </c>
      <c r="D2814" s="532">
        <f t="shared" si="292"/>
        <v>45000</v>
      </c>
      <c r="E2814" s="534">
        <v>30</v>
      </c>
      <c r="F2814" s="601">
        <v>0.75</v>
      </c>
      <c r="G2814" s="536" t="s">
        <v>256</v>
      </c>
      <c r="H2814">
        <f t="shared" si="293"/>
        <v>3390.4109589041109</v>
      </c>
    </row>
    <row r="2815" spans="1:8" ht="13.5" customHeight="1">
      <c r="A2815" s="532">
        <v>44970</v>
      </c>
      <c r="B2815" s="615">
        <v>155000</v>
      </c>
      <c r="C2815" s="615">
        <f t="shared" si="291"/>
        <v>164554.79452054793</v>
      </c>
      <c r="D2815" s="532">
        <f t="shared" si="292"/>
        <v>45000</v>
      </c>
      <c r="E2815" s="534">
        <v>30</v>
      </c>
      <c r="F2815" s="601">
        <v>0.75</v>
      </c>
      <c r="G2815" s="536" t="s">
        <v>258</v>
      </c>
      <c r="H2815">
        <f t="shared" si="293"/>
        <v>9554.7945205479336</v>
      </c>
    </row>
    <row r="2816" spans="1:8" ht="13.5" customHeight="1">
      <c r="A2816" s="532">
        <v>44971</v>
      </c>
      <c r="B2816" s="615">
        <v>110000</v>
      </c>
      <c r="C2816" s="615">
        <f t="shared" si="291"/>
        <v>116780.82191780822</v>
      </c>
      <c r="D2816" s="532">
        <f t="shared" si="292"/>
        <v>45001</v>
      </c>
      <c r="E2816" s="534">
        <v>30</v>
      </c>
      <c r="F2816" s="601">
        <v>0.75</v>
      </c>
      <c r="G2816" s="536" t="s">
        <v>262</v>
      </c>
      <c r="H2816">
        <f t="shared" si="293"/>
        <v>6780.8219178082218</v>
      </c>
    </row>
    <row r="2817" spans="1:8" ht="13.5" customHeight="1">
      <c r="A2817" s="532">
        <v>44972</v>
      </c>
      <c r="B2817" s="615">
        <v>11900</v>
      </c>
      <c r="C2817" s="615">
        <f t="shared" si="291"/>
        <v>12633.561643835616</v>
      </c>
      <c r="D2817" s="532">
        <f t="shared" si="292"/>
        <v>45002</v>
      </c>
      <c r="E2817" s="534">
        <v>30</v>
      </c>
      <c r="F2817" s="601">
        <v>0.75</v>
      </c>
      <c r="G2817" s="536" t="s">
        <v>261</v>
      </c>
      <c r="H2817">
        <f t="shared" si="293"/>
        <v>733.56164383561554</v>
      </c>
    </row>
    <row r="2818" spans="1:8" ht="13.5" customHeight="1">
      <c r="A2818" s="532">
        <v>44972</v>
      </c>
      <c r="B2818" s="615">
        <v>35000</v>
      </c>
      <c r="C2818" s="615">
        <f t="shared" si="291"/>
        <v>37157.534246575342</v>
      </c>
      <c r="D2818" s="532">
        <f t="shared" si="292"/>
        <v>45002</v>
      </c>
      <c r="E2818" s="534">
        <v>30</v>
      </c>
      <c r="F2818" s="601">
        <v>0.75</v>
      </c>
      <c r="G2818" s="536" t="s">
        <v>259</v>
      </c>
      <c r="H2818">
        <f t="shared" si="293"/>
        <v>2157.534246575342</v>
      </c>
    </row>
    <row r="2819" spans="1:8" ht="13.5" customHeight="1">
      <c r="A2819" s="532">
        <v>44972</v>
      </c>
      <c r="B2819" s="615">
        <v>65300</v>
      </c>
      <c r="C2819" s="615">
        <f t="shared" si="291"/>
        <v>69325.34246575342</v>
      </c>
      <c r="D2819" s="532">
        <f t="shared" si="292"/>
        <v>45002</v>
      </c>
      <c r="E2819" s="534">
        <v>30</v>
      </c>
      <c r="F2819" s="601">
        <v>0.75</v>
      </c>
      <c r="G2819" s="536" t="s">
        <v>257</v>
      </c>
      <c r="H2819">
        <f t="shared" si="293"/>
        <v>4025.3424657534197</v>
      </c>
    </row>
    <row r="2820" spans="1:8" ht="13.5" customHeight="1">
      <c r="A2820" s="532">
        <v>44972</v>
      </c>
      <c r="B2820" s="615">
        <v>73000</v>
      </c>
      <c r="C2820" s="615">
        <f t="shared" si="291"/>
        <v>77500</v>
      </c>
      <c r="D2820" s="532">
        <f t="shared" si="292"/>
        <v>45002</v>
      </c>
      <c r="E2820" s="534">
        <v>30</v>
      </c>
      <c r="F2820" s="601">
        <v>0.75</v>
      </c>
      <c r="G2820" s="536" t="s">
        <v>265</v>
      </c>
      <c r="H2820">
        <f t="shared" si="293"/>
        <v>4500</v>
      </c>
    </row>
    <row r="2821" spans="1:8" ht="13.5" customHeight="1">
      <c r="A2821" s="532">
        <v>44973</v>
      </c>
      <c r="B2821" s="615">
        <v>179700</v>
      </c>
      <c r="C2821" s="615">
        <f t="shared" si="291"/>
        <v>191515.89041095891</v>
      </c>
      <c r="D2821" s="532">
        <f t="shared" si="292"/>
        <v>45005</v>
      </c>
      <c r="E2821" s="534">
        <v>32</v>
      </c>
      <c r="F2821" s="601">
        <v>0.75</v>
      </c>
      <c r="G2821" s="536" t="s">
        <v>257</v>
      </c>
      <c r="H2821">
        <f t="shared" si="293"/>
        <v>11815.890410958906</v>
      </c>
    </row>
    <row r="2822" spans="1:8" ht="13.5" customHeight="1">
      <c r="A2822" s="532">
        <v>44973</v>
      </c>
      <c r="B2822" s="615">
        <v>400000</v>
      </c>
      <c r="C2822" s="615">
        <f t="shared" si="291"/>
        <v>426301.36986301368</v>
      </c>
      <c r="D2822" s="532">
        <f t="shared" si="292"/>
        <v>45005</v>
      </c>
      <c r="E2822" s="534">
        <v>32</v>
      </c>
      <c r="F2822" s="601">
        <v>0.75</v>
      </c>
      <c r="G2822" s="536" t="s">
        <v>256</v>
      </c>
      <c r="H2822">
        <f t="shared" si="293"/>
        <v>26301.369863013679</v>
      </c>
    </row>
    <row r="2823" spans="1:8" ht="13.5" customHeight="1">
      <c r="A2823" s="532">
        <v>44973</v>
      </c>
      <c r="B2823" s="615">
        <v>250000</v>
      </c>
      <c r="C2823" s="615">
        <f t="shared" si="291"/>
        <v>266438.35616438359</v>
      </c>
      <c r="D2823" s="532">
        <f t="shared" si="292"/>
        <v>45005</v>
      </c>
      <c r="E2823" s="534">
        <v>32</v>
      </c>
      <c r="F2823" s="601">
        <v>0.75</v>
      </c>
      <c r="G2823" s="536" t="s">
        <v>256</v>
      </c>
      <c r="H2823">
        <f t="shared" si="293"/>
        <v>16438.356164383586</v>
      </c>
    </row>
    <row r="2824" spans="1:8" ht="13.5" customHeight="1">
      <c r="A2824" s="532">
        <v>44973</v>
      </c>
      <c r="B2824" s="615">
        <v>86700</v>
      </c>
      <c r="C2824" s="615">
        <f t="shared" si="291"/>
        <v>92400.821917808222</v>
      </c>
      <c r="D2824" s="532">
        <f t="shared" si="292"/>
        <v>45005</v>
      </c>
      <c r="E2824" s="534">
        <v>32</v>
      </c>
      <c r="F2824" s="601">
        <v>0.75</v>
      </c>
      <c r="G2824" s="536" t="s">
        <v>260</v>
      </c>
      <c r="H2824">
        <f t="shared" si="293"/>
        <v>5700.8219178082218</v>
      </c>
    </row>
    <row r="2825" spans="1:8" ht="13.5" customHeight="1">
      <c r="A2825" s="532">
        <v>44973</v>
      </c>
      <c r="B2825" s="615">
        <v>265000</v>
      </c>
      <c r="C2825" s="615">
        <f t="shared" si="291"/>
        <v>282424.65753424657</v>
      </c>
      <c r="D2825" s="532">
        <f t="shared" si="292"/>
        <v>45005</v>
      </c>
      <c r="E2825" s="534">
        <v>32</v>
      </c>
      <c r="F2825" s="601">
        <v>0.75</v>
      </c>
      <c r="G2825" s="536" t="s">
        <v>262</v>
      </c>
      <c r="H2825">
        <f t="shared" si="293"/>
        <v>17424.657534246566</v>
      </c>
    </row>
    <row r="2826" spans="1:8" ht="13.5" customHeight="1">
      <c r="A2826" s="532">
        <v>44973</v>
      </c>
      <c r="B2826" s="615">
        <v>45000</v>
      </c>
      <c r="C2826" s="615">
        <f t="shared" si="291"/>
        <v>47958.904109589042</v>
      </c>
      <c r="D2826" s="532">
        <f t="shared" si="292"/>
        <v>45005</v>
      </c>
      <c r="E2826" s="534">
        <v>32</v>
      </c>
      <c r="F2826" s="601">
        <v>0.75</v>
      </c>
      <c r="G2826" s="536" t="s">
        <v>258</v>
      </c>
      <c r="H2826">
        <f t="shared" si="293"/>
        <v>2958.9041095890425</v>
      </c>
    </row>
    <row r="2827" spans="1:8" ht="13.5" customHeight="1">
      <c r="A2827" s="532">
        <v>44979</v>
      </c>
      <c r="B2827" s="615">
        <v>69200</v>
      </c>
      <c r="C2827" s="615">
        <f t="shared" si="291"/>
        <v>73892.328767123283</v>
      </c>
      <c r="D2827" s="532">
        <f t="shared" si="292"/>
        <v>45012</v>
      </c>
      <c r="E2827" s="534">
        <v>33</v>
      </c>
      <c r="F2827" s="601">
        <v>0.75</v>
      </c>
      <c r="G2827" s="536" t="s">
        <v>257</v>
      </c>
      <c r="H2827">
        <f t="shared" si="293"/>
        <v>4692.3287671232829</v>
      </c>
    </row>
    <row r="2828" spans="1:8" ht="13.5" customHeight="1">
      <c r="A2828" s="532">
        <v>44979</v>
      </c>
      <c r="B2828" s="615">
        <v>25000</v>
      </c>
      <c r="C2828" s="615">
        <f t="shared" si="291"/>
        <v>26695.205479452055</v>
      </c>
      <c r="D2828" s="532">
        <f t="shared" si="292"/>
        <v>45012</v>
      </c>
      <c r="E2828" s="534">
        <v>33</v>
      </c>
      <c r="F2828" s="601">
        <v>0.75</v>
      </c>
      <c r="G2828" s="536" t="s">
        <v>262</v>
      </c>
      <c r="H2828">
        <f t="shared" si="293"/>
        <v>1695.2054794520554</v>
      </c>
    </row>
    <row r="2829" spans="1:8" ht="13.5" customHeight="1">
      <c r="A2829" s="532">
        <v>44979</v>
      </c>
      <c r="B2829" s="615">
        <v>23400</v>
      </c>
      <c r="C2829" s="615">
        <f t="shared" si="291"/>
        <v>24986.712328767124</v>
      </c>
      <c r="D2829" s="532">
        <f t="shared" si="292"/>
        <v>45012</v>
      </c>
      <c r="E2829" s="534">
        <v>33</v>
      </c>
      <c r="F2829" s="601">
        <v>0.75</v>
      </c>
      <c r="G2829" s="536" t="s">
        <v>260</v>
      </c>
      <c r="H2829">
        <f t="shared" si="293"/>
        <v>1586.7123287671238</v>
      </c>
    </row>
    <row r="2830" spans="1:8" ht="13.5" customHeight="1">
      <c r="A2830" s="532">
        <v>44979</v>
      </c>
      <c r="B2830" s="615">
        <v>340000</v>
      </c>
      <c r="C2830" s="615">
        <f t="shared" si="291"/>
        <v>363054.79452054796</v>
      </c>
      <c r="D2830" s="532">
        <f t="shared" si="292"/>
        <v>45012</v>
      </c>
      <c r="E2830" s="534">
        <v>33</v>
      </c>
      <c r="F2830" s="601">
        <v>0.75</v>
      </c>
      <c r="G2830" s="536" t="s">
        <v>258</v>
      </c>
      <c r="H2830">
        <f t="shared" si="293"/>
        <v>23054.794520547963</v>
      </c>
    </row>
    <row r="2831" spans="1:8" ht="13.5" customHeight="1">
      <c r="A2831" s="532">
        <v>44979</v>
      </c>
      <c r="B2831" s="615">
        <v>356500</v>
      </c>
      <c r="C2831" s="615">
        <f t="shared" si="291"/>
        <v>380673.63013698632</v>
      </c>
      <c r="D2831" s="532">
        <f t="shared" si="292"/>
        <v>45012</v>
      </c>
      <c r="E2831" s="534">
        <v>33</v>
      </c>
      <c r="F2831" s="601">
        <v>0.75</v>
      </c>
      <c r="G2831" s="536" t="s">
        <v>261</v>
      </c>
      <c r="H2831">
        <f t="shared" si="293"/>
        <v>24173.630136986321</v>
      </c>
    </row>
    <row r="2832" spans="1:8" ht="13.5" customHeight="1">
      <c r="A2832" s="532">
        <v>44979</v>
      </c>
      <c r="B2832" s="615">
        <v>175000</v>
      </c>
      <c r="C2832" s="615">
        <f t="shared" si="291"/>
        <v>186866.43835616438</v>
      </c>
      <c r="D2832" s="532">
        <f t="shared" si="292"/>
        <v>45012</v>
      </c>
      <c r="E2832" s="534">
        <v>33</v>
      </c>
      <c r="F2832" s="601">
        <v>0.75</v>
      </c>
      <c r="G2832" s="536" t="s">
        <v>256</v>
      </c>
      <c r="H2832">
        <f t="shared" si="293"/>
        <v>11866.438356164377</v>
      </c>
    </row>
    <row r="2833" spans="1:8" ht="13.5" customHeight="1">
      <c r="A2833" s="532">
        <v>44980</v>
      </c>
      <c r="B2833" s="615">
        <v>45000</v>
      </c>
      <c r="C2833" s="615">
        <f t="shared" si="291"/>
        <v>47958.904109589042</v>
      </c>
      <c r="D2833" s="532">
        <f t="shared" si="292"/>
        <v>45012</v>
      </c>
      <c r="E2833" s="534">
        <v>32</v>
      </c>
      <c r="F2833" s="601">
        <v>0.75</v>
      </c>
      <c r="G2833" s="536" t="s">
        <v>258</v>
      </c>
      <c r="H2833">
        <f t="shared" si="293"/>
        <v>2958.9041095890425</v>
      </c>
    </row>
    <row r="2834" spans="1:8" ht="13.5" customHeight="1">
      <c r="A2834" s="532">
        <v>44980</v>
      </c>
      <c r="B2834" s="615">
        <v>220000</v>
      </c>
      <c r="C2834" s="615">
        <f t="shared" si="291"/>
        <v>234465.75342465754</v>
      </c>
      <c r="D2834" s="532">
        <f t="shared" si="292"/>
        <v>45012</v>
      </c>
      <c r="E2834" s="534">
        <v>32</v>
      </c>
      <c r="F2834" s="601">
        <v>0.75</v>
      </c>
      <c r="G2834" s="536" t="s">
        <v>261</v>
      </c>
      <c r="H2834">
        <f t="shared" si="293"/>
        <v>14465.753424657538</v>
      </c>
    </row>
    <row r="2835" spans="1:8" ht="13.5" customHeight="1">
      <c r="A2835" s="532">
        <v>44980</v>
      </c>
      <c r="B2835" s="615">
        <v>130000</v>
      </c>
      <c r="C2835" s="615">
        <f t="shared" si="291"/>
        <v>138547.94520547945</v>
      </c>
      <c r="D2835" s="532">
        <f t="shared" si="292"/>
        <v>45012</v>
      </c>
      <c r="E2835" s="534">
        <v>32</v>
      </c>
      <c r="F2835" s="601">
        <v>0.75</v>
      </c>
      <c r="G2835" s="536" t="s">
        <v>256</v>
      </c>
      <c r="H2835">
        <f t="shared" si="293"/>
        <v>8547.9452054794529</v>
      </c>
    </row>
    <row r="2836" spans="1:8" ht="13.5" customHeight="1">
      <c r="A2836" s="532">
        <v>44981</v>
      </c>
      <c r="B2836" s="615">
        <v>408800</v>
      </c>
      <c r="C2836" s="615">
        <f t="shared" si="291"/>
        <v>434840</v>
      </c>
      <c r="D2836" s="532">
        <f t="shared" si="292"/>
        <v>45012</v>
      </c>
      <c r="E2836" s="534">
        <v>31</v>
      </c>
      <c r="F2836" s="601">
        <v>0.75</v>
      </c>
      <c r="G2836" s="536" t="s">
        <v>257</v>
      </c>
      <c r="H2836">
        <f t="shared" si="293"/>
        <v>26040</v>
      </c>
    </row>
    <row r="2837" spans="1:8" ht="13.5" customHeight="1">
      <c r="A2837" s="532">
        <v>44981</v>
      </c>
      <c r="B2837" s="615">
        <v>180000</v>
      </c>
      <c r="C2837" s="615">
        <f t="shared" si="291"/>
        <v>191465.75342465754</v>
      </c>
      <c r="D2837" s="532">
        <f t="shared" si="292"/>
        <v>45012</v>
      </c>
      <c r="E2837" s="534">
        <v>31</v>
      </c>
      <c r="F2837" s="601">
        <v>0.75</v>
      </c>
      <c r="G2837" s="536" t="s">
        <v>262</v>
      </c>
      <c r="H2837">
        <f t="shared" si="293"/>
        <v>11465.753424657538</v>
      </c>
    </row>
    <row r="2838" spans="1:8" ht="13.5" customHeight="1">
      <c r="A2838" s="532">
        <v>44981</v>
      </c>
      <c r="B2838" s="615">
        <v>81600</v>
      </c>
      <c r="C2838" s="615">
        <f t="shared" si="291"/>
        <v>86797.808219178085</v>
      </c>
      <c r="D2838" s="532">
        <f t="shared" si="292"/>
        <v>45012</v>
      </c>
      <c r="E2838" s="534">
        <v>31</v>
      </c>
      <c r="F2838" s="601">
        <v>0.75</v>
      </c>
      <c r="G2838" s="536" t="s">
        <v>265</v>
      </c>
      <c r="H2838">
        <f t="shared" si="293"/>
        <v>5197.808219178085</v>
      </c>
    </row>
    <row r="2839" spans="1:8" ht="13.5" customHeight="1">
      <c r="A2839" s="532">
        <v>44981</v>
      </c>
      <c r="B2839" s="615">
        <v>21000</v>
      </c>
      <c r="C2839" s="615">
        <f t="shared" si="291"/>
        <v>22337.671232876713</v>
      </c>
      <c r="D2839" s="532">
        <f t="shared" si="292"/>
        <v>45012</v>
      </c>
      <c r="E2839" s="534">
        <v>31</v>
      </c>
      <c r="F2839" s="601">
        <v>0.75</v>
      </c>
      <c r="G2839" s="536" t="s">
        <v>265</v>
      </c>
      <c r="H2839">
        <f t="shared" si="293"/>
        <v>1337.6712328767135</v>
      </c>
    </row>
    <row r="2840" spans="1:8" ht="13.5" customHeight="1">
      <c r="A2840" s="532">
        <v>44981</v>
      </c>
      <c r="B2840" s="615">
        <v>192800</v>
      </c>
      <c r="C2840" s="615">
        <f t="shared" si="291"/>
        <v>205081.09589041097</v>
      </c>
      <c r="D2840" s="532">
        <f t="shared" si="292"/>
        <v>45012</v>
      </c>
      <c r="E2840" s="534">
        <v>31</v>
      </c>
      <c r="F2840" s="601">
        <v>0.75</v>
      </c>
      <c r="G2840" s="536" t="s">
        <v>260</v>
      </c>
      <c r="H2840">
        <f t="shared" si="293"/>
        <v>12281.095890410972</v>
      </c>
    </row>
    <row r="2841" spans="1:8" ht="13.5" customHeight="1">
      <c r="A2841" s="532">
        <v>44981</v>
      </c>
      <c r="B2841" s="615">
        <v>17500</v>
      </c>
      <c r="C2841" s="615">
        <f t="shared" si="291"/>
        <v>18614.726027397261</v>
      </c>
      <c r="D2841" s="532">
        <f t="shared" si="292"/>
        <v>45012</v>
      </c>
      <c r="E2841" s="534">
        <v>31</v>
      </c>
      <c r="F2841" s="601">
        <v>0.75</v>
      </c>
      <c r="G2841" s="536" t="s">
        <v>261</v>
      </c>
      <c r="H2841">
        <f t="shared" si="293"/>
        <v>1114.7260273972606</v>
      </c>
    </row>
    <row r="2842" spans="1:8" ht="13.5" customHeight="1">
      <c r="A2842" s="532">
        <v>44981</v>
      </c>
      <c r="B2842" s="615">
        <v>405000</v>
      </c>
      <c r="C2842" s="615">
        <f t="shared" si="291"/>
        <v>430797.94520547945</v>
      </c>
      <c r="D2842" s="532">
        <f t="shared" si="292"/>
        <v>45012</v>
      </c>
      <c r="E2842" s="534">
        <v>31</v>
      </c>
      <c r="F2842" s="601">
        <v>0.75</v>
      </c>
      <c r="G2842" s="536" t="s">
        <v>256</v>
      </c>
      <c r="H2842">
        <f t="shared" si="293"/>
        <v>25797.945205479453</v>
      </c>
    </row>
    <row r="2843" spans="1:8" ht="13.5" customHeight="1">
      <c r="A2843" s="532">
        <v>44981</v>
      </c>
      <c r="B2843" s="615">
        <v>50000</v>
      </c>
      <c r="C2843" s="615">
        <f t="shared" si="291"/>
        <v>53184.931506849316</v>
      </c>
      <c r="D2843" s="532">
        <v>45012</v>
      </c>
      <c r="E2843" s="534">
        <v>31</v>
      </c>
      <c r="F2843" s="601">
        <v>0.75</v>
      </c>
      <c r="G2843" s="536" t="s">
        <v>256</v>
      </c>
      <c r="H2843">
        <v>8547.9452054794529</v>
      </c>
    </row>
    <row r="2844" spans="1:8" ht="13.5" customHeight="1">
      <c r="A2844" s="532">
        <v>44981</v>
      </c>
      <c r="B2844" s="615">
        <v>15000</v>
      </c>
      <c r="C2844" s="615">
        <f t="shared" si="291"/>
        <v>15955.479452054795</v>
      </c>
      <c r="D2844" s="532">
        <f t="shared" ref="A2844:D2907" si="294">+A2844+E2844</f>
        <v>45012</v>
      </c>
      <c r="E2844" s="534">
        <v>31</v>
      </c>
      <c r="F2844" s="601">
        <v>0.75</v>
      </c>
      <c r="G2844" s="536" t="s">
        <v>259</v>
      </c>
      <c r="H2844">
        <f t="shared" ref="A2844:H2875" si="295">IF(E2844&gt;89,(C2844-B2844)/3,(C2844-B2844))</f>
        <v>955.47945205479482</v>
      </c>
    </row>
    <row r="2845" spans="1:8" ht="13.5" customHeight="1">
      <c r="A2845" s="532">
        <v>44981</v>
      </c>
      <c r="B2845" s="615">
        <v>77092.800000000003</v>
      </c>
      <c r="C2845" s="615">
        <f t="shared" si="291"/>
        <v>82003.505753424659</v>
      </c>
      <c r="D2845" s="532">
        <f t="shared" si="294"/>
        <v>45012</v>
      </c>
      <c r="E2845" s="534">
        <v>31</v>
      </c>
      <c r="F2845" s="601">
        <v>0.75</v>
      </c>
      <c r="G2845" s="536" t="s">
        <v>259</v>
      </c>
      <c r="H2845">
        <f t="shared" si="295"/>
        <v>4910.705753424656</v>
      </c>
    </row>
    <row r="2846" spans="1:8" ht="13.5" customHeight="1">
      <c r="A2846" s="532">
        <v>44984</v>
      </c>
      <c r="B2846" s="615">
        <v>1110000</v>
      </c>
      <c r="C2846" s="615">
        <f t="shared" si="291"/>
        <v>1178424.6575342466</v>
      </c>
      <c r="D2846" s="532">
        <f t="shared" si="294"/>
        <v>45014</v>
      </c>
      <c r="E2846" s="534">
        <v>30</v>
      </c>
      <c r="F2846" s="601">
        <v>0.75</v>
      </c>
      <c r="G2846" s="536" t="s">
        <v>258</v>
      </c>
      <c r="H2846">
        <f t="shared" si="295"/>
        <v>68424.657534246566</v>
      </c>
    </row>
    <row r="2847" spans="1:8" ht="13.5" customHeight="1">
      <c r="A2847" s="532">
        <v>44984</v>
      </c>
      <c r="B2847" s="615">
        <v>330000</v>
      </c>
      <c r="C2847" s="615">
        <f t="shared" si="291"/>
        <v>350342.46575342468</v>
      </c>
      <c r="D2847" s="532">
        <f t="shared" si="294"/>
        <v>45014</v>
      </c>
      <c r="E2847" s="534">
        <v>30</v>
      </c>
      <c r="F2847" s="601">
        <v>0.75</v>
      </c>
      <c r="G2847" s="536" t="s">
        <v>262</v>
      </c>
      <c r="H2847">
        <f t="shared" si="295"/>
        <v>20342.46575342468</v>
      </c>
    </row>
    <row r="2848" spans="1:8" ht="13.5" customHeight="1">
      <c r="A2848" s="532">
        <v>44984</v>
      </c>
      <c r="B2848" s="615">
        <v>183500</v>
      </c>
      <c r="C2848" s="615">
        <f t="shared" si="291"/>
        <v>194811.64383561644</v>
      </c>
      <c r="D2848" s="532">
        <f t="shared" si="294"/>
        <v>45014</v>
      </c>
      <c r="E2848" s="534">
        <v>30</v>
      </c>
      <c r="F2848" s="601">
        <v>0.75</v>
      </c>
      <c r="G2848" s="536" t="s">
        <v>265</v>
      </c>
      <c r="H2848">
        <f t="shared" si="295"/>
        <v>11311.643835616444</v>
      </c>
    </row>
    <row r="2849" spans="1:8" ht="13.5" customHeight="1">
      <c r="A2849" s="532">
        <v>44984</v>
      </c>
      <c r="B2849" s="615">
        <v>18200</v>
      </c>
      <c r="C2849" s="615">
        <f t="shared" si="291"/>
        <v>19321.917808219179</v>
      </c>
      <c r="D2849" s="532">
        <f t="shared" si="294"/>
        <v>45014</v>
      </c>
      <c r="E2849" s="534">
        <v>30</v>
      </c>
      <c r="F2849" s="601">
        <v>0.75</v>
      </c>
      <c r="G2849" s="536" t="s">
        <v>259</v>
      </c>
      <c r="H2849">
        <f t="shared" si="295"/>
        <v>1121.9178082191793</v>
      </c>
    </row>
    <row r="2850" spans="1:8" ht="13.5" customHeight="1">
      <c r="A2850" s="532">
        <v>44984</v>
      </c>
      <c r="B2850" s="615">
        <v>500000</v>
      </c>
      <c r="C2850" s="615">
        <f t="shared" si="291"/>
        <v>530821.91780821921</v>
      </c>
      <c r="D2850" s="532">
        <f t="shared" si="294"/>
        <v>45014</v>
      </c>
      <c r="E2850" s="534">
        <v>30</v>
      </c>
      <c r="F2850" s="601">
        <v>0.75</v>
      </c>
      <c r="G2850" s="536" t="s">
        <v>256</v>
      </c>
      <c r="H2850">
        <f t="shared" si="295"/>
        <v>30821.917808219208</v>
      </c>
    </row>
    <row r="2851" spans="1:8" ht="13.5" customHeight="1">
      <c r="A2851" s="532">
        <v>44984</v>
      </c>
      <c r="B2851" s="615">
        <v>33300</v>
      </c>
      <c r="C2851" s="615">
        <f t="shared" si="291"/>
        <v>35352.739726027401</v>
      </c>
      <c r="D2851" s="532">
        <f t="shared" si="294"/>
        <v>45014</v>
      </c>
      <c r="E2851" s="534">
        <v>30</v>
      </c>
      <c r="F2851" s="601">
        <v>0.75</v>
      </c>
      <c r="G2851" s="536" t="s">
        <v>261</v>
      </c>
      <c r="H2851">
        <f t="shared" si="295"/>
        <v>2052.739726027401</v>
      </c>
    </row>
    <row r="2852" spans="1:8" ht="13.5" customHeight="1">
      <c r="A2852" s="532">
        <v>44985</v>
      </c>
      <c r="B2852" s="615">
        <v>90000</v>
      </c>
      <c r="C2852" s="615">
        <f t="shared" ref="A2852:C2915" si="296">B2852+(B2852*F2852/365*E2852)*1</f>
        <v>95547.945205479453</v>
      </c>
      <c r="D2852" s="532">
        <f t="shared" si="294"/>
        <v>45015</v>
      </c>
      <c r="E2852" s="534">
        <v>30</v>
      </c>
      <c r="F2852" s="601">
        <v>0.75</v>
      </c>
      <c r="G2852" s="536" t="s">
        <v>256</v>
      </c>
      <c r="H2852">
        <f t="shared" si="295"/>
        <v>5547.9452054794529</v>
      </c>
    </row>
    <row r="2853" spans="1:8" ht="13.5" customHeight="1">
      <c r="A2853" s="532">
        <v>44986</v>
      </c>
      <c r="B2853" s="615">
        <v>1230000</v>
      </c>
      <c r="C2853" s="615">
        <f t="shared" si="296"/>
        <v>1305821.9178082191</v>
      </c>
      <c r="D2853" s="532">
        <f t="shared" si="294"/>
        <v>45016</v>
      </c>
      <c r="E2853" s="534">
        <v>30</v>
      </c>
      <c r="F2853" s="601">
        <v>0.75</v>
      </c>
      <c r="G2853" s="536" t="s">
        <v>262</v>
      </c>
      <c r="H2853">
        <f t="shared" si="295"/>
        <v>75821.917808219092</v>
      </c>
    </row>
    <row r="2854" spans="1:8" ht="13.5" customHeight="1">
      <c r="A2854" s="532">
        <v>44986</v>
      </c>
      <c r="B2854" s="615">
        <v>335000</v>
      </c>
      <c r="C2854" s="615">
        <f t="shared" si="296"/>
        <v>355650.68493150687</v>
      </c>
      <c r="D2854" s="532">
        <f t="shared" si="294"/>
        <v>45016</v>
      </c>
      <c r="E2854" s="534">
        <v>30</v>
      </c>
      <c r="F2854" s="601">
        <v>0.75</v>
      </c>
      <c r="G2854" s="536" t="s">
        <v>258</v>
      </c>
      <c r="H2854">
        <f t="shared" si="295"/>
        <v>20650.684931506868</v>
      </c>
    </row>
    <row r="2855" spans="1:8" ht="13.5" customHeight="1">
      <c r="A2855" s="532">
        <v>44986</v>
      </c>
      <c r="B2855" s="615">
        <v>40000</v>
      </c>
      <c r="C2855" s="615">
        <f t="shared" si="296"/>
        <v>42465.753424657538</v>
      </c>
      <c r="D2855" s="532">
        <f t="shared" si="294"/>
        <v>45016</v>
      </c>
      <c r="E2855" s="534">
        <v>30</v>
      </c>
      <c r="F2855" s="601">
        <v>0.75</v>
      </c>
      <c r="G2855" s="536" t="s">
        <v>258</v>
      </c>
      <c r="H2855">
        <f t="shared" si="295"/>
        <v>2465.7534246575378</v>
      </c>
    </row>
    <row r="2856" spans="1:8" ht="13.5" customHeight="1">
      <c r="A2856" s="532">
        <v>44986</v>
      </c>
      <c r="B2856" s="615">
        <v>355000</v>
      </c>
      <c r="C2856" s="615">
        <f t="shared" si="296"/>
        <v>376883.56164383562</v>
      </c>
      <c r="D2856" s="532">
        <f t="shared" si="294"/>
        <v>45016</v>
      </c>
      <c r="E2856" s="534">
        <v>30</v>
      </c>
      <c r="F2856" s="601">
        <v>0.75</v>
      </c>
      <c r="G2856" s="536" t="s">
        <v>256</v>
      </c>
      <c r="H2856">
        <f t="shared" si="295"/>
        <v>21883.561643835623</v>
      </c>
    </row>
    <row r="2857" spans="1:8" ht="13.5" customHeight="1">
      <c r="A2857" s="532">
        <v>44986</v>
      </c>
      <c r="B2857" s="615">
        <v>65700</v>
      </c>
      <c r="C2857" s="615">
        <f t="shared" si="296"/>
        <v>69750</v>
      </c>
      <c r="D2857" s="532">
        <f t="shared" si="294"/>
        <v>45016</v>
      </c>
      <c r="E2857" s="534">
        <v>30</v>
      </c>
      <c r="F2857" s="601">
        <v>0.75</v>
      </c>
      <c r="G2857" s="536" t="s">
        <v>260</v>
      </c>
      <c r="H2857">
        <f t="shared" si="295"/>
        <v>4050</v>
      </c>
    </row>
    <row r="2858" spans="1:8" ht="13.5" customHeight="1">
      <c r="A2858" s="532">
        <v>44986</v>
      </c>
      <c r="B2858" s="615">
        <v>168900</v>
      </c>
      <c r="C2858" s="615">
        <f t="shared" si="296"/>
        <v>179311.64383561644</v>
      </c>
      <c r="D2858" s="532">
        <f t="shared" si="294"/>
        <v>45016</v>
      </c>
      <c r="E2858" s="534">
        <v>30</v>
      </c>
      <c r="F2858" s="601">
        <v>0.75</v>
      </c>
      <c r="G2858" s="536" t="s">
        <v>260</v>
      </c>
      <c r="H2858">
        <f t="shared" si="295"/>
        <v>10411.643835616444</v>
      </c>
    </row>
    <row r="2859" spans="1:8" ht="13.5" customHeight="1">
      <c r="A2859" s="532">
        <v>44986</v>
      </c>
      <c r="B2859" s="615">
        <v>116800</v>
      </c>
      <c r="C2859" s="615">
        <f t="shared" si="296"/>
        <v>124000</v>
      </c>
      <c r="D2859" s="532">
        <f t="shared" si="294"/>
        <v>45016</v>
      </c>
      <c r="E2859" s="534">
        <v>30</v>
      </c>
      <c r="F2859" s="601">
        <v>0.75</v>
      </c>
      <c r="G2859" s="536" t="s">
        <v>257</v>
      </c>
      <c r="H2859">
        <f t="shared" si="295"/>
        <v>7200</v>
      </c>
    </row>
    <row r="2860" spans="1:8" ht="13.5" customHeight="1">
      <c r="A2860" s="532">
        <v>44987</v>
      </c>
      <c r="B2860" s="615">
        <v>190000</v>
      </c>
      <c r="C2860" s="615">
        <f t="shared" si="296"/>
        <v>202493.15068493152</v>
      </c>
      <c r="D2860" s="532">
        <f t="shared" si="294"/>
        <v>45019</v>
      </c>
      <c r="E2860" s="534">
        <v>32</v>
      </c>
      <c r="F2860" s="601">
        <v>0.75</v>
      </c>
      <c r="G2860" s="536" t="s">
        <v>256</v>
      </c>
      <c r="H2860">
        <f t="shared" si="295"/>
        <v>12493.150684931519</v>
      </c>
    </row>
    <row r="2861" spans="1:8" ht="13.5" customHeight="1">
      <c r="A2861" s="532">
        <v>44987</v>
      </c>
      <c r="B2861" s="615">
        <v>105000</v>
      </c>
      <c r="C2861" s="615">
        <f t="shared" si="296"/>
        <v>111904.10958904109</v>
      </c>
      <c r="D2861" s="532">
        <f t="shared" si="294"/>
        <v>45019</v>
      </c>
      <c r="E2861" s="534">
        <v>32</v>
      </c>
      <c r="F2861" s="601">
        <v>0.75</v>
      </c>
      <c r="G2861" s="536" t="s">
        <v>256</v>
      </c>
      <c r="H2861">
        <f t="shared" si="295"/>
        <v>6904.1095890410943</v>
      </c>
    </row>
    <row r="2862" spans="1:8" ht="13.5" customHeight="1">
      <c r="A2862" s="532">
        <v>44988</v>
      </c>
      <c r="B2862" s="615">
        <v>180000</v>
      </c>
      <c r="C2862" s="615">
        <f t="shared" si="296"/>
        <v>191465.75342465754</v>
      </c>
      <c r="D2862" s="532">
        <f t="shared" si="294"/>
        <v>45019</v>
      </c>
      <c r="E2862" s="534">
        <v>31</v>
      </c>
      <c r="F2862" s="601">
        <v>0.75</v>
      </c>
      <c r="G2862" s="536" t="s">
        <v>256</v>
      </c>
      <c r="H2862">
        <f t="shared" si="295"/>
        <v>11465.753424657538</v>
      </c>
    </row>
    <row r="2863" spans="1:8" ht="13.5" customHeight="1">
      <c r="A2863" s="532">
        <v>44988</v>
      </c>
      <c r="B2863" s="615">
        <v>79900</v>
      </c>
      <c r="C2863" s="615">
        <f t="shared" si="296"/>
        <v>84989.520547945198</v>
      </c>
      <c r="D2863" s="532">
        <f t="shared" si="294"/>
        <v>45019</v>
      </c>
      <c r="E2863" s="534">
        <v>31</v>
      </c>
      <c r="F2863" s="601">
        <v>0.75</v>
      </c>
      <c r="G2863" s="536" t="s">
        <v>261</v>
      </c>
      <c r="H2863">
        <f t="shared" si="295"/>
        <v>5089.5205479451979</v>
      </c>
    </row>
    <row r="2864" spans="1:8" ht="13.5" customHeight="1">
      <c r="A2864" s="532">
        <v>44988</v>
      </c>
      <c r="B2864" s="615">
        <v>17900</v>
      </c>
      <c r="C2864" s="615">
        <f t="shared" si="296"/>
        <v>19040.205479452055</v>
      </c>
      <c r="D2864" s="532">
        <f t="shared" si="294"/>
        <v>45019</v>
      </c>
      <c r="E2864" s="534">
        <v>31</v>
      </c>
      <c r="F2864" s="601">
        <v>0.75</v>
      </c>
      <c r="G2864" s="536" t="s">
        <v>259</v>
      </c>
      <c r="H2864">
        <f t="shared" si="295"/>
        <v>1140.2054794520554</v>
      </c>
    </row>
    <row r="2865" spans="1:8" ht="13.5" customHeight="1">
      <c r="A2865" s="532">
        <v>44988</v>
      </c>
      <c r="B2865" s="615">
        <v>160000</v>
      </c>
      <c r="C2865" s="615">
        <f t="shared" si="296"/>
        <v>170191.78082191781</v>
      </c>
      <c r="D2865" s="532">
        <f t="shared" si="294"/>
        <v>45019</v>
      </c>
      <c r="E2865" s="534">
        <v>31</v>
      </c>
      <c r="F2865" s="601">
        <v>0.75</v>
      </c>
      <c r="G2865" s="536" t="s">
        <v>258</v>
      </c>
      <c r="H2865">
        <f t="shared" si="295"/>
        <v>10191.780821917811</v>
      </c>
    </row>
    <row r="2866" spans="1:8" ht="13.5" customHeight="1">
      <c r="A2866" s="532">
        <v>44988</v>
      </c>
      <c r="B2866" s="615">
        <v>30000</v>
      </c>
      <c r="C2866" s="615">
        <f t="shared" si="296"/>
        <v>31910.95890410959</v>
      </c>
      <c r="D2866" s="532">
        <f t="shared" si="294"/>
        <v>45019</v>
      </c>
      <c r="E2866" s="534">
        <v>31</v>
      </c>
      <c r="F2866" s="601">
        <v>0.75</v>
      </c>
      <c r="G2866" s="536" t="s">
        <v>258</v>
      </c>
      <c r="H2866">
        <f t="shared" si="295"/>
        <v>1910.9589041095896</v>
      </c>
    </row>
    <row r="2867" spans="1:8" ht="13.5" customHeight="1">
      <c r="A2867" s="532">
        <v>44988</v>
      </c>
      <c r="B2867" s="615">
        <v>324400</v>
      </c>
      <c r="C2867" s="615">
        <f t="shared" si="296"/>
        <v>345063.83561643836</v>
      </c>
      <c r="D2867" s="532">
        <f t="shared" si="294"/>
        <v>45019</v>
      </c>
      <c r="E2867" s="534">
        <v>31</v>
      </c>
      <c r="F2867" s="601">
        <v>0.75</v>
      </c>
      <c r="G2867" s="536" t="s">
        <v>260</v>
      </c>
      <c r="H2867">
        <f t="shared" si="295"/>
        <v>20663.835616438359</v>
      </c>
    </row>
    <row r="2868" spans="1:8" ht="13.5" customHeight="1">
      <c r="A2868" s="532">
        <v>44988</v>
      </c>
      <c r="B2868" s="615">
        <v>245100</v>
      </c>
      <c r="C2868" s="615">
        <f t="shared" si="296"/>
        <v>260712.53424657535</v>
      </c>
      <c r="D2868" s="532">
        <f t="shared" si="294"/>
        <v>45019</v>
      </c>
      <c r="E2868" s="534">
        <v>31</v>
      </c>
      <c r="F2868" s="601">
        <v>0.75</v>
      </c>
      <c r="G2868" s="536" t="s">
        <v>257</v>
      </c>
      <c r="H2868">
        <f t="shared" si="295"/>
        <v>15612.534246575349</v>
      </c>
    </row>
    <row r="2869" spans="1:8" ht="13.5" customHeight="1">
      <c r="A2869" s="532">
        <v>44988</v>
      </c>
      <c r="B2869" s="615">
        <v>50000</v>
      </c>
      <c r="C2869" s="615">
        <f t="shared" si="296"/>
        <v>53184.931506849316</v>
      </c>
      <c r="D2869" s="532">
        <f t="shared" si="294"/>
        <v>45019</v>
      </c>
      <c r="E2869" s="534">
        <v>31</v>
      </c>
      <c r="F2869" s="601">
        <v>0.75</v>
      </c>
      <c r="G2869" s="536" t="s">
        <v>257</v>
      </c>
      <c r="H2869">
        <f t="shared" si="295"/>
        <v>3184.9315068493161</v>
      </c>
    </row>
    <row r="2870" spans="1:8" ht="13.5" customHeight="1">
      <c r="A2870" s="532">
        <v>44991</v>
      </c>
      <c r="B2870" s="615">
        <v>24400</v>
      </c>
      <c r="C2870" s="615">
        <f t="shared" si="296"/>
        <v>25904.109589041094</v>
      </c>
      <c r="D2870" s="532">
        <f t="shared" si="294"/>
        <v>45021</v>
      </c>
      <c r="E2870" s="534">
        <v>30</v>
      </c>
      <c r="F2870" s="601">
        <v>0.75</v>
      </c>
      <c r="G2870" s="536" t="s">
        <v>261</v>
      </c>
      <c r="H2870">
        <f t="shared" si="295"/>
        <v>1504.1095890410943</v>
      </c>
    </row>
    <row r="2871" spans="1:8" ht="13.5" customHeight="1">
      <c r="A2871" s="532">
        <v>44991</v>
      </c>
      <c r="B2871" s="615">
        <v>74200</v>
      </c>
      <c r="C2871" s="615">
        <f t="shared" si="296"/>
        <v>78773.972602739726</v>
      </c>
      <c r="D2871" s="532">
        <f t="shared" si="294"/>
        <v>45021</v>
      </c>
      <c r="E2871" s="534">
        <v>30</v>
      </c>
      <c r="F2871" s="601">
        <v>0.75</v>
      </c>
      <c r="G2871" s="536" t="s">
        <v>260</v>
      </c>
      <c r="H2871">
        <f t="shared" si="295"/>
        <v>4573.9726027397264</v>
      </c>
    </row>
    <row r="2872" spans="1:8" ht="13.5" customHeight="1">
      <c r="A2872" s="532">
        <v>44991</v>
      </c>
      <c r="B2872" s="615">
        <v>47000</v>
      </c>
      <c r="C2872" s="615">
        <f t="shared" si="296"/>
        <v>49897.260273972599</v>
      </c>
      <c r="D2872" s="532">
        <f t="shared" si="294"/>
        <v>45021</v>
      </c>
      <c r="E2872" s="534">
        <v>30</v>
      </c>
      <c r="F2872" s="601">
        <v>0.75</v>
      </c>
      <c r="G2872" s="536" t="s">
        <v>259</v>
      </c>
      <c r="H2872">
        <f t="shared" si="295"/>
        <v>2897.260273972599</v>
      </c>
    </row>
    <row r="2873" spans="1:8" ht="13.5" customHeight="1">
      <c r="A2873" s="532">
        <v>44991</v>
      </c>
      <c r="B2873" s="615">
        <v>460000</v>
      </c>
      <c r="C2873" s="615">
        <f t="shared" si="296"/>
        <v>488356.16438356164</v>
      </c>
      <c r="D2873" s="532">
        <f t="shared" si="294"/>
        <v>45021</v>
      </c>
      <c r="E2873" s="534">
        <v>30</v>
      </c>
      <c r="F2873" s="601">
        <v>0.75</v>
      </c>
      <c r="G2873" s="536" t="s">
        <v>256</v>
      </c>
      <c r="H2873">
        <f t="shared" si="295"/>
        <v>28356.164383561641</v>
      </c>
    </row>
    <row r="2874" spans="1:8" ht="13.5" customHeight="1">
      <c r="A2874" s="532">
        <v>44991</v>
      </c>
      <c r="B2874" s="615">
        <v>90000</v>
      </c>
      <c r="C2874" s="615">
        <f t="shared" si="296"/>
        <v>95547.945205479453</v>
      </c>
      <c r="D2874" s="532">
        <f t="shared" si="294"/>
        <v>45021</v>
      </c>
      <c r="E2874" s="534">
        <v>30</v>
      </c>
      <c r="F2874" s="601">
        <v>0.75</v>
      </c>
      <c r="G2874" s="536" t="s">
        <v>258</v>
      </c>
      <c r="H2874">
        <f t="shared" si="295"/>
        <v>5547.9452054794529</v>
      </c>
    </row>
    <row r="2875" spans="1:8" ht="13.5" customHeight="1">
      <c r="A2875" s="532">
        <v>44991</v>
      </c>
      <c r="B2875" s="615">
        <v>289800</v>
      </c>
      <c r="C2875" s="615">
        <f t="shared" si="296"/>
        <v>307664.38356164383</v>
      </c>
      <c r="D2875" s="532">
        <f t="shared" si="294"/>
        <v>45021</v>
      </c>
      <c r="E2875" s="534">
        <v>30</v>
      </c>
      <c r="F2875" s="601">
        <v>0.75</v>
      </c>
      <c r="G2875" s="536" t="s">
        <v>257</v>
      </c>
      <c r="H2875">
        <f t="shared" si="295"/>
        <v>17864.38356164383</v>
      </c>
    </row>
    <row r="2876" spans="1:8" ht="13.5" customHeight="1">
      <c r="A2876" s="532">
        <v>44992</v>
      </c>
      <c r="B2876" s="615">
        <v>10000</v>
      </c>
      <c r="C2876" s="615">
        <f t="shared" si="296"/>
        <v>10698.630136986301</v>
      </c>
      <c r="D2876" s="532">
        <f t="shared" si="294"/>
        <v>45026</v>
      </c>
      <c r="E2876" s="534">
        <v>34</v>
      </c>
      <c r="F2876" s="601">
        <v>0.75</v>
      </c>
      <c r="G2876" s="536" t="s">
        <v>256</v>
      </c>
      <c r="H2876">
        <f t="shared" ref="A2876:H2907" si="297">IF(E2876&gt;89,(C2876-B2876)/3,(C2876-B2876))</f>
        <v>698.6301369863013</v>
      </c>
    </row>
    <row r="2877" spans="1:8" ht="13.5" customHeight="1">
      <c r="A2877" s="532">
        <v>44992</v>
      </c>
      <c r="B2877" s="615">
        <v>25000</v>
      </c>
      <c r="C2877" s="615">
        <f t="shared" si="296"/>
        <v>26746.575342465752</v>
      </c>
      <c r="D2877" s="532">
        <f t="shared" si="294"/>
        <v>45026</v>
      </c>
      <c r="E2877" s="534">
        <v>34</v>
      </c>
      <c r="F2877" s="601">
        <v>0.75</v>
      </c>
      <c r="G2877" s="536" t="s">
        <v>261</v>
      </c>
      <c r="H2877">
        <f t="shared" si="297"/>
        <v>1746.5753424657523</v>
      </c>
    </row>
    <row r="2878" spans="1:8" ht="13.5" customHeight="1">
      <c r="A2878" s="532">
        <v>44992</v>
      </c>
      <c r="B2878" s="615">
        <v>15000</v>
      </c>
      <c r="C2878" s="615">
        <f t="shared" si="296"/>
        <v>16047.945205479453</v>
      </c>
      <c r="D2878" s="532">
        <f t="shared" si="294"/>
        <v>45026</v>
      </c>
      <c r="E2878" s="534">
        <v>34</v>
      </c>
      <c r="F2878" s="601">
        <v>0.75</v>
      </c>
      <c r="G2878" s="536" t="s">
        <v>258</v>
      </c>
      <c r="H2878">
        <f t="shared" si="297"/>
        <v>1047.9452054794529</v>
      </c>
    </row>
    <row r="2879" spans="1:8" ht="13.5" customHeight="1">
      <c r="A2879" s="532">
        <v>44993</v>
      </c>
      <c r="B2879" s="615">
        <v>75000</v>
      </c>
      <c r="C2879" s="615">
        <f t="shared" si="296"/>
        <v>80085.61643835617</v>
      </c>
      <c r="D2879" s="532">
        <f t="shared" si="294"/>
        <v>45026</v>
      </c>
      <c r="E2879" s="534">
        <v>33</v>
      </c>
      <c r="F2879" s="601">
        <v>0.75</v>
      </c>
      <c r="G2879" s="536" t="s">
        <v>256</v>
      </c>
      <c r="H2879">
        <f t="shared" si="297"/>
        <v>5085.61643835617</v>
      </c>
    </row>
    <row r="2880" spans="1:8" ht="13.5" customHeight="1">
      <c r="A2880" s="532">
        <v>44993</v>
      </c>
      <c r="B2880" s="615">
        <v>228500</v>
      </c>
      <c r="C2880" s="615">
        <f t="shared" si="296"/>
        <v>243994.17808219179</v>
      </c>
      <c r="D2880" s="532">
        <f t="shared" si="294"/>
        <v>45026</v>
      </c>
      <c r="E2880" s="534">
        <v>33</v>
      </c>
      <c r="F2880" s="601">
        <v>0.75</v>
      </c>
      <c r="G2880" s="536" t="s">
        <v>265</v>
      </c>
      <c r="H2880">
        <f t="shared" si="297"/>
        <v>15494.178082191793</v>
      </c>
    </row>
    <row r="2881" spans="1:8" ht="13.5" customHeight="1">
      <c r="A2881" s="532">
        <v>44993</v>
      </c>
      <c r="B2881" s="615">
        <v>240000</v>
      </c>
      <c r="C2881" s="615">
        <f t="shared" si="296"/>
        <v>256273.97260273973</v>
      </c>
      <c r="D2881" s="532">
        <f t="shared" si="294"/>
        <v>45026</v>
      </c>
      <c r="E2881" s="534">
        <v>33</v>
      </c>
      <c r="F2881" s="601">
        <v>0.75</v>
      </c>
      <c r="G2881" s="536" t="s">
        <v>258</v>
      </c>
      <c r="H2881">
        <f t="shared" si="297"/>
        <v>16273.972602739726</v>
      </c>
    </row>
    <row r="2882" spans="1:8" ht="13.5" customHeight="1">
      <c r="A2882" s="532">
        <v>44994</v>
      </c>
      <c r="B2882" s="615">
        <v>127000</v>
      </c>
      <c r="C2882" s="615">
        <f t="shared" si="296"/>
        <v>135350.68493150684</v>
      </c>
      <c r="D2882" s="532">
        <f t="shared" si="294"/>
        <v>45026</v>
      </c>
      <c r="E2882" s="534">
        <v>32</v>
      </c>
      <c r="F2882" s="601">
        <v>0.75</v>
      </c>
      <c r="G2882" s="536" t="s">
        <v>258</v>
      </c>
      <c r="H2882">
        <f t="shared" si="297"/>
        <v>8350.6849315068393</v>
      </c>
    </row>
    <row r="2883" spans="1:8" ht="13.5" customHeight="1">
      <c r="A2883" s="532">
        <v>44994</v>
      </c>
      <c r="B2883" s="615">
        <v>89700</v>
      </c>
      <c r="C2883" s="615">
        <f t="shared" si="296"/>
        <v>95598.082191780821</v>
      </c>
      <c r="D2883" s="532">
        <f t="shared" si="294"/>
        <v>45026</v>
      </c>
      <c r="E2883" s="534">
        <v>32</v>
      </c>
      <c r="F2883" s="601">
        <v>0.75</v>
      </c>
      <c r="G2883" s="536" t="s">
        <v>260</v>
      </c>
      <c r="H2883">
        <f t="shared" si="297"/>
        <v>5898.0821917808207</v>
      </c>
    </row>
    <row r="2884" spans="1:8" ht="13.5" customHeight="1">
      <c r="A2884" s="532">
        <v>44995</v>
      </c>
      <c r="B2884" s="615">
        <v>165000</v>
      </c>
      <c r="C2884" s="615">
        <f t="shared" si="296"/>
        <v>175510.27397260274</v>
      </c>
      <c r="D2884" s="532">
        <f t="shared" si="294"/>
        <v>45026</v>
      </c>
      <c r="E2884" s="534">
        <v>31</v>
      </c>
      <c r="F2884" s="601">
        <v>0.75</v>
      </c>
      <c r="G2884" s="536" t="s">
        <v>256</v>
      </c>
      <c r="H2884">
        <f t="shared" si="297"/>
        <v>10510.273972602736</v>
      </c>
    </row>
    <row r="2885" spans="1:8" ht="13.5" customHeight="1">
      <c r="A2885" s="532">
        <v>44995</v>
      </c>
      <c r="B2885" s="615">
        <v>87600</v>
      </c>
      <c r="C2885" s="615">
        <f t="shared" si="296"/>
        <v>93180</v>
      </c>
      <c r="D2885" s="532">
        <f t="shared" si="294"/>
        <v>45026</v>
      </c>
      <c r="E2885" s="534">
        <v>31</v>
      </c>
      <c r="F2885" s="601">
        <v>0.75</v>
      </c>
      <c r="G2885" s="536" t="s">
        <v>265</v>
      </c>
      <c r="H2885">
        <f t="shared" si="297"/>
        <v>5580</v>
      </c>
    </row>
    <row r="2886" spans="1:8" ht="13.5" customHeight="1">
      <c r="A2886" s="532">
        <v>44995</v>
      </c>
      <c r="B2886" s="615">
        <v>62200</v>
      </c>
      <c r="C2886" s="615">
        <f t="shared" si="296"/>
        <v>66162.054794520547</v>
      </c>
      <c r="D2886" s="532">
        <f t="shared" si="294"/>
        <v>45026</v>
      </c>
      <c r="E2886" s="534">
        <v>31</v>
      </c>
      <c r="F2886" s="601">
        <v>0.75</v>
      </c>
      <c r="G2886" s="536" t="s">
        <v>261</v>
      </c>
      <c r="H2886">
        <f t="shared" si="297"/>
        <v>3962.0547945205471</v>
      </c>
    </row>
    <row r="2887" spans="1:8" ht="13.5" customHeight="1">
      <c r="A2887" s="532">
        <v>44995</v>
      </c>
      <c r="B2887" s="615">
        <v>120000</v>
      </c>
      <c r="C2887" s="615">
        <f t="shared" si="296"/>
        <v>127643.83561643836</v>
      </c>
      <c r="D2887" s="532">
        <f t="shared" si="294"/>
        <v>45026</v>
      </c>
      <c r="E2887" s="534">
        <v>31</v>
      </c>
      <c r="F2887" s="601">
        <v>0.75</v>
      </c>
      <c r="G2887" s="536" t="s">
        <v>258</v>
      </c>
      <c r="H2887">
        <f t="shared" si="297"/>
        <v>7643.8356164383586</v>
      </c>
    </row>
    <row r="2888" spans="1:8" ht="13.5" customHeight="1">
      <c r="A2888" s="532">
        <v>44995</v>
      </c>
      <c r="B2888" s="615">
        <v>105100</v>
      </c>
      <c r="C2888" s="615">
        <f t="shared" si="296"/>
        <v>111794.72602739726</v>
      </c>
      <c r="D2888" s="532">
        <f t="shared" si="294"/>
        <v>45026</v>
      </c>
      <c r="E2888" s="534">
        <v>31</v>
      </c>
      <c r="F2888" s="601">
        <v>0.75</v>
      </c>
      <c r="G2888" s="536" t="s">
        <v>260</v>
      </c>
      <c r="H2888">
        <f t="shared" si="297"/>
        <v>6694.7260273972643</v>
      </c>
    </row>
    <row r="2889" spans="1:8" ht="13.5" customHeight="1">
      <c r="A2889" s="532">
        <v>44998</v>
      </c>
      <c r="B2889" s="615">
        <v>219100</v>
      </c>
      <c r="C2889" s="615">
        <f t="shared" si="296"/>
        <v>232606.16438356164</v>
      </c>
      <c r="D2889" s="532">
        <f t="shared" si="294"/>
        <v>45028</v>
      </c>
      <c r="E2889" s="534">
        <v>30</v>
      </c>
      <c r="F2889" s="601">
        <v>0.75</v>
      </c>
      <c r="G2889" s="536" t="s">
        <v>257</v>
      </c>
      <c r="H2889">
        <f t="shared" si="297"/>
        <v>13506.164383561641</v>
      </c>
    </row>
    <row r="2890" spans="1:8" ht="13.5" customHeight="1">
      <c r="A2890" s="532">
        <v>44998</v>
      </c>
      <c r="B2890" s="615">
        <v>194000</v>
      </c>
      <c r="C2890" s="615">
        <f t="shared" si="296"/>
        <v>205958.90410958903</v>
      </c>
      <c r="D2890" s="532">
        <f t="shared" si="294"/>
        <v>45028</v>
      </c>
      <c r="E2890" s="534">
        <v>30</v>
      </c>
      <c r="F2890" s="601">
        <v>0.75</v>
      </c>
      <c r="G2890" s="536" t="s">
        <v>265</v>
      </c>
      <c r="H2890">
        <f t="shared" si="297"/>
        <v>11958.904109589028</v>
      </c>
    </row>
    <row r="2891" spans="1:8" ht="13.5" customHeight="1">
      <c r="A2891" s="532">
        <v>44998</v>
      </c>
      <c r="B2891" s="615">
        <v>64700</v>
      </c>
      <c r="C2891" s="615">
        <f t="shared" si="296"/>
        <v>68688.356164383556</v>
      </c>
      <c r="D2891" s="532">
        <f t="shared" si="294"/>
        <v>45028</v>
      </c>
      <c r="E2891" s="534">
        <v>30</v>
      </c>
      <c r="F2891" s="601">
        <v>0.75</v>
      </c>
      <c r="G2891" s="536" t="s">
        <v>261</v>
      </c>
      <c r="H2891">
        <f t="shared" si="297"/>
        <v>3988.3561643835565</v>
      </c>
    </row>
    <row r="2892" spans="1:8" ht="13.5" customHeight="1">
      <c r="A2892" s="532">
        <v>44998</v>
      </c>
      <c r="B2892" s="615">
        <v>39300</v>
      </c>
      <c r="C2892" s="615">
        <f t="shared" si="296"/>
        <v>41722.602739726026</v>
      </c>
      <c r="D2892" s="532">
        <f t="shared" si="294"/>
        <v>45028</v>
      </c>
      <c r="E2892" s="534">
        <v>30</v>
      </c>
      <c r="F2892" s="601">
        <v>0.75</v>
      </c>
      <c r="G2892" s="536" t="s">
        <v>260</v>
      </c>
      <c r="H2892">
        <f t="shared" si="297"/>
        <v>2422.6027397260259</v>
      </c>
    </row>
    <row r="2893" spans="1:8" ht="13.5" customHeight="1">
      <c r="A2893" s="532">
        <v>44998</v>
      </c>
      <c r="B2893" s="615">
        <v>300000</v>
      </c>
      <c r="C2893" s="615">
        <f t="shared" si="296"/>
        <v>318493.15068493149</v>
      </c>
      <c r="D2893" s="532">
        <f t="shared" si="294"/>
        <v>45028</v>
      </c>
      <c r="E2893" s="534">
        <v>30</v>
      </c>
      <c r="F2893" s="601">
        <v>0.75</v>
      </c>
      <c r="G2893" s="536" t="s">
        <v>258</v>
      </c>
      <c r="H2893">
        <f t="shared" si="297"/>
        <v>18493.15068493149</v>
      </c>
    </row>
    <row r="2894" spans="1:8" ht="13.5" customHeight="1">
      <c r="A2894" s="532">
        <v>44998</v>
      </c>
      <c r="B2894" s="615">
        <v>90000</v>
      </c>
      <c r="C2894" s="615">
        <f t="shared" si="296"/>
        <v>95547.945205479453</v>
      </c>
      <c r="D2894" s="532">
        <f t="shared" si="294"/>
        <v>45028</v>
      </c>
      <c r="E2894" s="534">
        <v>30</v>
      </c>
      <c r="F2894" s="601">
        <v>0.75</v>
      </c>
      <c r="G2894" s="536" t="s">
        <v>265</v>
      </c>
      <c r="H2894">
        <f t="shared" si="297"/>
        <v>5547.9452054794529</v>
      </c>
    </row>
    <row r="2895" spans="1:8" ht="13.5" customHeight="1">
      <c r="A2895" s="532">
        <v>45000</v>
      </c>
      <c r="B2895" s="615">
        <v>150000</v>
      </c>
      <c r="C2895" s="615">
        <f t="shared" si="296"/>
        <v>159246.57534246575</v>
      </c>
      <c r="D2895" s="532">
        <f t="shared" si="294"/>
        <v>45030</v>
      </c>
      <c r="E2895" s="534">
        <v>30</v>
      </c>
      <c r="F2895" s="601">
        <v>0.75</v>
      </c>
      <c r="G2895" s="536" t="s">
        <v>258</v>
      </c>
      <c r="H2895">
        <f t="shared" si="297"/>
        <v>9246.5753424657451</v>
      </c>
    </row>
    <row r="2896" spans="1:8" ht="13.5" customHeight="1">
      <c r="A2896" s="532">
        <v>45000</v>
      </c>
      <c r="B2896" s="615">
        <v>468800</v>
      </c>
      <c r="C2896" s="615">
        <f t="shared" si="296"/>
        <v>497698.63013698632</v>
      </c>
      <c r="D2896" s="532">
        <f t="shared" si="294"/>
        <v>45030</v>
      </c>
      <c r="E2896" s="534">
        <v>30</v>
      </c>
      <c r="F2896" s="601">
        <v>0.75</v>
      </c>
      <c r="G2896" s="536" t="s">
        <v>261</v>
      </c>
      <c r="H2896">
        <f t="shared" si="297"/>
        <v>28898.630136986321</v>
      </c>
    </row>
    <row r="2897" spans="1:11" ht="13.5" customHeight="1">
      <c r="A2897" s="532">
        <v>45000</v>
      </c>
      <c r="B2897" s="615">
        <v>95500</v>
      </c>
      <c r="C2897" s="615">
        <f t="shared" si="296"/>
        <v>101386.98630136986</v>
      </c>
      <c r="D2897" s="532">
        <f t="shared" si="294"/>
        <v>45030</v>
      </c>
      <c r="E2897" s="534">
        <v>30</v>
      </c>
      <c r="F2897" s="601">
        <v>0.75</v>
      </c>
      <c r="G2897" s="536" t="s">
        <v>265</v>
      </c>
      <c r="H2897">
        <f t="shared" si="297"/>
        <v>5886.9863013698632</v>
      </c>
    </row>
    <row r="2898" spans="1:11" ht="13.5" customHeight="1">
      <c r="A2898" s="532">
        <v>45000</v>
      </c>
      <c r="B2898" s="615">
        <v>52600</v>
      </c>
      <c r="C2898" s="615">
        <f t="shared" si="296"/>
        <v>55842.465753424658</v>
      </c>
      <c r="D2898" s="532">
        <f t="shared" si="294"/>
        <v>45030</v>
      </c>
      <c r="E2898" s="534">
        <v>30</v>
      </c>
      <c r="F2898" s="601">
        <v>0.75</v>
      </c>
      <c r="G2898" s="536" t="s">
        <v>260</v>
      </c>
      <c r="H2898">
        <f t="shared" si="297"/>
        <v>3242.465753424658</v>
      </c>
    </row>
    <row r="2899" spans="1:11" ht="13.5" customHeight="1">
      <c r="A2899" s="532">
        <v>45000</v>
      </c>
      <c r="B2899" s="615">
        <v>218600</v>
      </c>
      <c r="C2899" s="615">
        <f t="shared" si="296"/>
        <v>232075.34246575343</v>
      </c>
      <c r="D2899" s="532">
        <f t="shared" si="294"/>
        <v>45030</v>
      </c>
      <c r="E2899" s="534">
        <v>30</v>
      </c>
      <c r="F2899" s="601">
        <v>0.75</v>
      </c>
      <c r="G2899" s="536" t="s">
        <v>257</v>
      </c>
      <c r="H2899">
        <f t="shared" si="297"/>
        <v>13475.342465753434</v>
      </c>
      <c r="I2899">
        <f>SUM(C2895:C2899)</f>
        <v>1046250</v>
      </c>
      <c r="J2899">
        <v>887003</v>
      </c>
      <c r="K2899">
        <f>+I2899-J2899</f>
        <v>159247</v>
      </c>
    </row>
    <row r="2900" spans="1:11" ht="13.5" customHeight="1">
      <c r="A2900" s="532">
        <v>45001</v>
      </c>
      <c r="B2900" s="615">
        <v>110000</v>
      </c>
      <c r="C2900" s="615">
        <f t="shared" si="296"/>
        <v>117232.87671232877</v>
      </c>
      <c r="D2900" s="532">
        <f t="shared" si="294"/>
        <v>45033</v>
      </c>
      <c r="E2900" s="534">
        <v>32</v>
      </c>
      <c r="F2900" s="601">
        <v>0.75</v>
      </c>
      <c r="G2900" s="536" t="s">
        <v>262</v>
      </c>
      <c r="H2900">
        <f t="shared" si="297"/>
        <v>7232.8767123287689</v>
      </c>
    </row>
    <row r="2901" spans="1:11" ht="13.5" customHeight="1">
      <c r="A2901" s="532">
        <v>45001</v>
      </c>
      <c r="B2901" s="615">
        <v>14800</v>
      </c>
      <c r="C2901" s="615">
        <f t="shared" si="296"/>
        <v>15773.150684931506</v>
      </c>
      <c r="D2901" s="532">
        <f t="shared" si="294"/>
        <v>45033</v>
      </c>
      <c r="E2901" s="534">
        <v>32</v>
      </c>
      <c r="F2901" s="601">
        <v>0.75</v>
      </c>
      <c r="G2901" s="536" t="s">
        <v>259</v>
      </c>
      <c r="H2901">
        <f t="shared" si="297"/>
        <v>973.15068493150648</v>
      </c>
    </row>
    <row r="2902" spans="1:11" ht="13.5" customHeight="1">
      <c r="A2902" s="532">
        <v>45001</v>
      </c>
      <c r="B2902" s="615">
        <v>77500</v>
      </c>
      <c r="C2902" s="615">
        <f t="shared" si="296"/>
        <v>82595.890410958906</v>
      </c>
      <c r="D2902" s="532">
        <f t="shared" si="294"/>
        <v>45033</v>
      </c>
      <c r="E2902" s="534">
        <v>32</v>
      </c>
      <c r="F2902" s="601">
        <v>0.75</v>
      </c>
      <c r="G2902" s="536" t="s">
        <v>261</v>
      </c>
      <c r="H2902">
        <f t="shared" si="297"/>
        <v>5095.8904109589057</v>
      </c>
    </row>
    <row r="2903" spans="1:11" ht="13.5" customHeight="1">
      <c r="A2903" s="532">
        <v>45001</v>
      </c>
      <c r="B2903" s="615">
        <v>20000</v>
      </c>
      <c r="C2903" s="615">
        <f t="shared" si="296"/>
        <v>21315.068493150684</v>
      </c>
      <c r="D2903" s="532">
        <f t="shared" si="294"/>
        <v>45033</v>
      </c>
      <c r="E2903" s="534">
        <v>32</v>
      </c>
      <c r="F2903" s="601">
        <v>0.75</v>
      </c>
      <c r="G2903" s="536" t="s">
        <v>256</v>
      </c>
      <c r="H2903">
        <f t="shared" si="297"/>
        <v>1315.0684931506839</v>
      </c>
    </row>
    <row r="2904" spans="1:11" ht="13.5" customHeight="1">
      <c r="A2904" s="532">
        <v>45002</v>
      </c>
      <c r="B2904" s="615">
        <v>28000</v>
      </c>
      <c r="C2904" s="615">
        <f t="shared" si="296"/>
        <v>29854.904109589042</v>
      </c>
      <c r="D2904" s="532">
        <f t="shared" si="294"/>
        <v>45033</v>
      </c>
      <c r="E2904" s="534">
        <v>31</v>
      </c>
      <c r="F2904" s="601">
        <v>0.78</v>
      </c>
      <c r="G2904" s="536" t="s">
        <v>259</v>
      </c>
      <c r="H2904">
        <f t="shared" si="297"/>
        <v>1854.9041095890425</v>
      </c>
    </row>
    <row r="2905" spans="1:11" ht="13.5" customHeight="1">
      <c r="A2905" s="532">
        <v>45002</v>
      </c>
      <c r="B2905" s="615">
        <v>109300</v>
      </c>
      <c r="C2905" s="615">
        <f t="shared" si="296"/>
        <v>116540.75068493151</v>
      </c>
      <c r="D2905" s="532">
        <f t="shared" si="294"/>
        <v>45033</v>
      </c>
      <c r="E2905" s="534">
        <v>31</v>
      </c>
      <c r="F2905" s="601">
        <v>0.78</v>
      </c>
      <c r="G2905" s="536" t="s">
        <v>257</v>
      </c>
      <c r="H2905">
        <f t="shared" si="297"/>
        <v>7240.7506849315105</v>
      </c>
    </row>
    <row r="2906" spans="1:11" ht="13.5" customHeight="1">
      <c r="A2906" s="532">
        <v>45002</v>
      </c>
      <c r="B2906" s="615">
        <v>77500</v>
      </c>
      <c r="C2906" s="615">
        <f t="shared" si="296"/>
        <v>82634.109589041094</v>
      </c>
      <c r="D2906" s="532">
        <f t="shared" si="294"/>
        <v>45033</v>
      </c>
      <c r="E2906" s="534">
        <v>31</v>
      </c>
      <c r="F2906" s="601">
        <v>0.78</v>
      </c>
      <c r="G2906" s="536" t="s">
        <v>265</v>
      </c>
      <c r="H2906">
        <f t="shared" si="297"/>
        <v>5134.1095890410943</v>
      </c>
    </row>
    <row r="2907" spans="1:11" ht="13.5" customHeight="1">
      <c r="A2907" s="532">
        <v>45002</v>
      </c>
      <c r="B2907" s="615">
        <v>12700</v>
      </c>
      <c r="C2907" s="615">
        <f t="shared" si="296"/>
        <v>13541.331506849316</v>
      </c>
      <c r="D2907" s="532">
        <f t="shared" si="294"/>
        <v>45033</v>
      </c>
      <c r="E2907" s="534">
        <v>31</v>
      </c>
      <c r="F2907" s="601">
        <v>0.78</v>
      </c>
      <c r="G2907" s="536" t="s">
        <v>261</v>
      </c>
      <c r="H2907">
        <f t="shared" si="297"/>
        <v>841.3315068493157</v>
      </c>
      <c r="I2907">
        <f>SUM(C2900:C2907)</f>
        <v>479488.08219178085</v>
      </c>
      <c r="J2907">
        <v>465946</v>
      </c>
      <c r="K2907">
        <f>+I2907-J2907</f>
        <v>13542.08219178085</v>
      </c>
    </row>
    <row r="2908" spans="1:11" ht="13.5" customHeight="1">
      <c r="A2908" s="532">
        <v>45005</v>
      </c>
      <c r="B2908" s="615">
        <v>150000</v>
      </c>
      <c r="C2908" s="615">
        <f t="shared" si="296"/>
        <v>159616.43835616438</v>
      </c>
      <c r="D2908" s="532">
        <f t="shared" ref="A2908:D2971" si="298">+A2908+E2908</f>
        <v>45035</v>
      </c>
      <c r="E2908" s="534">
        <v>30</v>
      </c>
      <c r="F2908" s="601">
        <v>0.78</v>
      </c>
      <c r="G2908" s="536" t="s">
        <v>257</v>
      </c>
      <c r="H2908">
        <f t="shared" ref="A2908:H2925" si="299">IF(E2908&gt;89,(C2908-B2908)/3,(C2908-B2908))</f>
        <v>9616.4383561643772</v>
      </c>
    </row>
    <row r="2909" spans="1:11" ht="13.5" customHeight="1">
      <c r="A2909" s="532">
        <v>45005</v>
      </c>
      <c r="B2909" s="615">
        <v>285000</v>
      </c>
      <c r="C2909" s="615">
        <f t="shared" si="296"/>
        <v>303271.23287671234</v>
      </c>
      <c r="D2909" s="532">
        <f t="shared" si="298"/>
        <v>45035</v>
      </c>
      <c r="E2909" s="534">
        <v>30</v>
      </c>
      <c r="F2909" s="601">
        <v>0.78</v>
      </c>
      <c r="G2909" s="536" t="s">
        <v>262</v>
      </c>
      <c r="H2909">
        <f t="shared" si="299"/>
        <v>18271.23287671234</v>
      </c>
    </row>
    <row r="2910" spans="1:11" ht="13.5" customHeight="1">
      <c r="A2910" s="532">
        <v>45005</v>
      </c>
      <c r="B2910" s="615">
        <v>52000</v>
      </c>
      <c r="C2910" s="615">
        <f t="shared" si="296"/>
        <v>55333.698630136983</v>
      </c>
      <c r="D2910" s="532">
        <f t="shared" si="298"/>
        <v>45035</v>
      </c>
      <c r="E2910" s="534">
        <v>30</v>
      </c>
      <c r="F2910" s="601">
        <v>0.78</v>
      </c>
      <c r="G2910" s="536" t="s">
        <v>258</v>
      </c>
      <c r="H2910">
        <f t="shared" si="299"/>
        <v>3333.6986301369834</v>
      </c>
    </row>
    <row r="2911" spans="1:11" ht="13.5" customHeight="1">
      <c r="A2911" s="532">
        <v>45005</v>
      </c>
      <c r="B2911" s="615">
        <v>92400</v>
      </c>
      <c r="C2911" s="615">
        <f t="shared" si="296"/>
        <v>98323.726027397264</v>
      </c>
      <c r="D2911" s="532">
        <f t="shared" si="298"/>
        <v>45035</v>
      </c>
      <c r="E2911" s="534">
        <v>30</v>
      </c>
      <c r="F2911" s="601">
        <v>0.78</v>
      </c>
      <c r="G2911" s="536" t="s">
        <v>260</v>
      </c>
      <c r="H2911">
        <f t="shared" si="299"/>
        <v>5923.7260273972643</v>
      </c>
    </row>
    <row r="2912" spans="1:11" ht="13.5" customHeight="1">
      <c r="A2912" s="532">
        <v>45005</v>
      </c>
      <c r="B2912" s="615">
        <v>650000</v>
      </c>
      <c r="C2912" s="615">
        <f t="shared" si="296"/>
        <v>691671.23287671234</v>
      </c>
      <c r="D2912" s="532">
        <f t="shared" si="298"/>
        <v>45035</v>
      </c>
      <c r="E2912" s="534">
        <v>30</v>
      </c>
      <c r="F2912" s="601">
        <v>0.78</v>
      </c>
      <c r="G2912" s="536" t="s">
        <v>256</v>
      </c>
      <c r="H2912">
        <f t="shared" si="299"/>
        <v>41671.23287671234</v>
      </c>
    </row>
    <row r="2913" spans="1:11" ht="13.5" customHeight="1">
      <c r="A2913" s="532">
        <v>45005</v>
      </c>
      <c r="B2913" s="615">
        <v>40000</v>
      </c>
      <c r="C2913" s="615">
        <f t="shared" si="296"/>
        <v>42564.383561643837</v>
      </c>
      <c r="D2913" s="532">
        <f t="shared" si="298"/>
        <v>45035</v>
      </c>
      <c r="E2913" s="534">
        <v>30</v>
      </c>
      <c r="F2913" s="601">
        <v>0.78</v>
      </c>
      <c r="G2913" s="536" t="s">
        <v>256</v>
      </c>
      <c r="H2913">
        <f t="shared" si="299"/>
        <v>2564.3835616438373</v>
      </c>
      <c r="I2913">
        <f>SUM(C2909:C2913)</f>
        <v>1191164.2739726026</v>
      </c>
      <c r="J2913">
        <v>1047509</v>
      </c>
      <c r="K2913">
        <f>+I2913-J2913</f>
        <v>143655.27397260256</v>
      </c>
    </row>
    <row r="2914" spans="1:11" ht="13.5" customHeight="1">
      <c r="A2914" s="532">
        <v>45007</v>
      </c>
      <c r="B2914" s="615">
        <v>79000</v>
      </c>
      <c r="C2914" s="615">
        <f t="shared" si="296"/>
        <v>84064.65753424658</v>
      </c>
      <c r="D2914" s="532">
        <f t="shared" si="298"/>
        <v>45037</v>
      </c>
      <c r="E2914" s="534">
        <v>30</v>
      </c>
      <c r="F2914" s="601">
        <v>0.78</v>
      </c>
      <c r="G2914" s="536" t="s">
        <v>261</v>
      </c>
      <c r="H2914">
        <f t="shared" si="299"/>
        <v>5064.6575342465803</v>
      </c>
    </row>
    <row r="2915" spans="1:11" ht="13.5" customHeight="1">
      <c r="A2915" s="532">
        <v>45007</v>
      </c>
      <c r="B2915" s="615">
        <v>19000</v>
      </c>
      <c r="C2915" s="615">
        <f t="shared" si="296"/>
        <v>20218.082191780821</v>
      </c>
      <c r="D2915" s="532">
        <f t="shared" si="298"/>
        <v>45037</v>
      </c>
      <c r="E2915" s="534">
        <v>30</v>
      </c>
      <c r="F2915" s="601">
        <v>0.78</v>
      </c>
      <c r="G2915" s="536" t="s">
        <v>257</v>
      </c>
      <c r="H2915">
        <f t="shared" si="299"/>
        <v>1218.0821917808207</v>
      </c>
    </row>
    <row r="2916" spans="1:11" ht="13.5" customHeight="1">
      <c r="A2916" s="532">
        <v>45007</v>
      </c>
      <c r="B2916" s="615">
        <v>85000</v>
      </c>
      <c r="C2916" s="615">
        <f t="shared" ref="A2916:C2979" si="300">B2916+(B2916*F2916/365*E2916)*1</f>
        <v>90449.315068493146</v>
      </c>
      <c r="D2916" s="532">
        <f t="shared" si="298"/>
        <v>45037</v>
      </c>
      <c r="E2916" s="534">
        <v>30</v>
      </c>
      <c r="F2916" s="601">
        <v>0.78</v>
      </c>
      <c r="G2916" s="536" t="s">
        <v>256</v>
      </c>
      <c r="H2916">
        <f t="shared" si="299"/>
        <v>5449.3150684931461</v>
      </c>
    </row>
    <row r="2917" spans="1:11" ht="13.5" customHeight="1">
      <c r="A2917" s="532">
        <v>45012</v>
      </c>
      <c r="B2917" s="615">
        <v>59200</v>
      </c>
      <c r="C2917" s="615">
        <f t="shared" si="300"/>
        <v>62995.28767123288</v>
      </c>
      <c r="D2917" s="532">
        <f t="shared" si="298"/>
        <v>45042</v>
      </c>
      <c r="E2917" s="534">
        <v>30</v>
      </c>
      <c r="F2917" s="601">
        <v>0.78</v>
      </c>
      <c r="G2917" s="536" t="s">
        <v>265</v>
      </c>
      <c r="H2917">
        <f t="shared" si="299"/>
        <v>3795.2876712328798</v>
      </c>
    </row>
    <row r="2918" spans="1:11" ht="13.5" customHeight="1">
      <c r="A2918" s="532">
        <v>45012</v>
      </c>
      <c r="B2918" s="615">
        <v>115000</v>
      </c>
      <c r="C2918" s="615">
        <f t="shared" si="300"/>
        <v>122372.60273972603</v>
      </c>
      <c r="D2918" s="532">
        <f t="shared" si="298"/>
        <v>45042</v>
      </c>
      <c r="E2918" s="534">
        <v>30</v>
      </c>
      <c r="F2918" s="601">
        <v>0.78</v>
      </c>
      <c r="G2918" s="536" t="s">
        <v>260</v>
      </c>
      <c r="H2918">
        <f t="shared" si="299"/>
        <v>7372.6027397260332</v>
      </c>
    </row>
    <row r="2919" spans="1:11" ht="13.5" customHeight="1">
      <c r="A2919" s="532">
        <v>45012</v>
      </c>
      <c r="B2919" s="615">
        <v>98800</v>
      </c>
      <c r="C2919" s="615">
        <f t="shared" si="300"/>
        <v>105134.02739726027</v>
      </c>
      <c r="D2919" s="532">
        <f t="shared" si="298"/>
        <v>45042</v>
      </c>
      <c r="E2919" s="534">
        <v>30</v>
      </c>
      <c r="F2919" s="601">
        <v>0.78</v>
      </c>
      <c r="G2919" s="536" t="s">
        <v>259</v>
      </c>
      <c r="H2919">
        <f t="shared" si="299"/>
        <v>6334.0273972602736</v>
      </c>
    </row>
    <row r="2920" spans="1:11" ht="13.5" customHeight="1">
      <c r="A2920" s="532">
        <v>45012</v>
      </c>
      <c r="B2920" s="615">
        <v>110000</v>
      </c>
      <c r="C2920" s="615">
        <f t="shared" si="300"/>
        <v>117052.05479452055</v>
      </c>
      <c r="D2920" s="532">
        <f t="shared" si="298"/>
        <v>45042</v>
      </c>
      <c r="E2920" s="534">
        <v>30</v>
      </c>
      <c r="F2920" s="601">
        <v>0.78</v>
      </c>
      <c r="G2920" s="536" t="s">
        <v>262</v>
      </c>
      <c r="H2920">
        <f t="shared" si="299"/>
        <v>7052.0547945205471</v>
      </c>
    </row>
    <row r="2921" spans="1:11" ht="13.5" customHeight="1">
      <c r="A2921" s="532">
        <v>45012</v>
      </c>
      <c r="B2921" s="615">
        <v>318700</v>
      </c>
      <c r="C2921" s="615">
        <f t="shared" si="300"/>
        <v>339131.72602739726</v>
      </c>
      <c r="D2921" s="532">
        <f t="shared" si="298"/>
        <v>45042</v>
      </c>
      <c r="E2921" s="534">
        <v>30</v>
      </c>
      <c r="F2921" s="601">
        <v>0.78</v>
      </c>
      <c r="G2921" s="536" t="s">
        <v>261</v>
      </c>
      <c r="H2921">
        <f t="shared" si="299"/>
        <v>20431.726027397264</v>
      </c>
    </row>
    <row r="2922" spans="1:11" ht="13.5" customHeight="1">
      <c r="A2922" s="532">
        <v>45012</v>
      </c>
      <c r="B2922" s="615">
        <v>205000</v>
      </c>
      <c r="C2922" s="615">
        <f t="shared" si="300"/>
        <v>218142.46575342465</v>
      </c>
      <c r="D2922" s="532">
        <f t="shared" si="298"/>
        <v>45042</v>
      </c>
      <c r="E2922" s="534">
        <v>30</v>
      </c>
      <c r="F2922" s="601">
        <v>0.78</v>
      </c>
      <c r="G2922" s="536" t="s">
        <v>258</v>
      </c>
      <c r="H2922">
        <f t="shared" si="299"/>
        <v>13142.465753424651</v>
      </c>
    </row>
    <row r="2923" spans="1:11" ht="13.5" customHeight="1">
      <c r="A2923" s="532">
        <v>45012</v>
      </c>
      <c r="B2923" s="615">
        <v>210000</v>
      </c>
      <c r="C2923" s="615">
        <f t="shared" si="300"/>
        <v>223463.01369863015</v>
      </c>
      <c r="D2923" s="532">
        <f t="shared" si="298"/>
        <v>45042</v>
      </c>
      <c r="E2923" s="534">
        <v>30</v>
      </c>
      <c r="F2923" s="601">
        <v>0.78</v>
      </c>
      <c r="G2923" s="536" t="s">
        <v>257</v>
      </c>
      <c r="H2923">
        <f t="shared" si="299"/>
        <v>13463.013698630151</v>
      </c>
    </row>
    <row r="2924" spans="1:11" ht="13.5" customHeight="1">
      <c r="A2924" s="532">
        <v>45012</v>
      </c>
      <c r="B2924" s="615">
        <v>400000</v>
      </c>
      <c r="C2924" s="615">
        <f t="shared" si="300"/>
        <v>425643.83561643836</v>
      </c>
      <c r="D2924" s="532">
        <f t="shared" si="298"/>
        <v>45042</v>
      </c>
      <c r="E2924" s="534">
        <v>30</v>
      </c>
      <c r="F2924" s="601">
        <v>0.78</v>
      </c>
      <c r="G2924" s="536" t="s">
        <v>256</v>
      </c>
      <c r="H2924">
        <f t="shared" si="299"/>
        <v>25643.835616438359</v>
      </c>
    </row>
    <row r="2925" spans="1:11" ht="13.5" customHeight="1">
      <c r="A2925" s="532">
        <v>45012</v>
      </c>
      <c r="B2925" s="615">
        <v>50000</v>
      </c>
      <c r="C2925" s="615">
        <f t="shared" si="300"/>
        <v>62601.069999999992</v>
      </c>
      <c r="D2925" s="532">
        <f t="shared" si="298"/>
        <v>45103</v>
      </c>
      <c r="E2925" s="534">
        <v>91</v>
      </c>
      <c r="F2925" s="601">
        <v>1.0108550659340654</v>
      </c>
      <c r="G2925" s="536" t="s">
        <v>713</v>
      </c>
      <c r="H2925">
        <f t="shared" si="299"/>
        <v>4200.3566666666638</v>
      </c>
      <c r="I2925">
        <f>50124.66+12476.41</f>
        <v>62601.070000000007</v>
      </c>
    </row>
    <row r="2926" spans="1:11" ht="13.5" customHeight="1">
      <c r="A2926" s="532">
        <v>45012</v>
      </c>
      <c r="B2926" s="615">
        <v>110000</v>
      </c>
      <c r="C2926" s="615">
        <f t="shared" si="300"/>
        <v>137719.76999999999</v>
      </c>
      <c r="D2926" s="532">
        <f t="shared" si="298"/>
        <v>45103</v>
      </c>
      <c r="E2926" s="534">
        <v>91</v>
      </c>
      <c r="F2926" s="653">
        <v>1.0107608441558436</v>
      </c>
      <c r="G2926" s="536" t="s">
        <v>714</v>
      </c>
      <c r="H2926">
        <v>137722.35</v>
      </c>
    </row>
    <row r="2927" spans="1:11" ht="13.5" customHeight="1">
      <c r="A2927" s="532">
        <v>45012</v>
      </c>
      <c r="B2927" s="615">
        <v>115000</v>
      </c>
      <c r="C2927" s="615">
        <f t="shared" si="300"/>
        <v>143982.16000000003</v>
      </c>
      <c r="D2927" s="532">
        <f t="shared" si="298"/>
        <v>45103</v>
      </c>
      <c r="E2927" s="534">
        <v>91</v>
      </c>
      <c r="F2927" s="601">
        <v>1.0108445676063074</v>
      </c>
      <c r="G2927" s="536" t="s">
        <v>715</v>
      </c>
      <c r="H2927">
        <f t="shared" ref="A2927:H2939" si="301">IF(E2927&gt;89,(C2927-B2927)/3,(C2927-B2927))</f>
        <v>9660.7200000000103</v>
      </c>
      <c r="I2927">
        <v>143982.16</v>
      </c>
    </row>
    <row r="2928" spans="1:11" ht="13.5" customHeight="1">
      <c r="A2928" s="532">
        <v>45012</v>
      </c>
      <c r="B2928" s="615">
        <v>205000</v>
      </c>
      <c r="C2928" s="615">
        <f t="shared" si="300"/>
        <v>256664.38699999999</v>
      </c>
      <c r="D2928" s="532">
        <f t="shared" si="298"/>
        <v>45103</v>
      </c>
      <c r="E2928" s="534">
        <v>91</v>
      </c>
      <c r="F2928" s="601">
        <v>1.0108550659340654</v>
      </c>
      <c r="G2928" s="536" t="s">
        <v>716</v>
      </c>
      <c r="H2928">
        <f t="shared" si="301"/>
        <v>17221.462333333329</v>
      </c>
    </row>
    <row r="2929" spans="1:10" ht="13.5" customHeight="1">
      <c r="A2929" s="532">
        <v>45012</v>
      </c>
      <c r="B2929" s="615">
        <v>250000</v>
      </c>
      <c r="C2929" s="615">
        <f t="shared" si="300"/>
        <v>313005.34999999998</v>
      </c>
      <c r="D2929" s="532">
        <f t="shared" si="298"/>
        <v>45103</v>
      </c>
      <c r="E2929" s="534">
        <v>91</v>
      </c>
      <c r="F2929" s="601">
        <v>1.0108550659340652</v>
      </c>
      <c r="G2929" s="536" t="s">
        <v>717</v>
      </c>
      <c r="H2929">
        <f t="shared" si="301"/>
        <v>21001.783333333326</v>
      </c>
      <c r="I2929">
        <f>250623.29+62382.06</f>
        <v>313005.34999999998</v>
      </c>
    </row>
    <row r="2930" spans="1:10" ht="13.5" customHeight="1">
      <c r="A2930" s="532">
        <v>45012</v>
      </c>
      <c r="B2930" s="615">
        <v>315000</v>
      </c>
      <c r="C2930" s="615">
        <f t="shared" si="300"/>
        <v>394386.74</v>
      </c>
      <c r="D2930" s="532">
        <f t="shared" si="298"/>
        <v>45103</v>
      </c>
      <c r="E2930" s="534">
        <v>91</v>
      </c>
      <c r="F2930" s="601">
        <v>1.0108550532007672</v>
      </c>
      <c r="G2930" s="536" t="s">
        <v>718</v>
      </c>
      <c r="H2930">
        <f t="shared" si="301"/>
        <v>26462.246666666662</v>
      </c>
      <c r="I2930">
        <v>394386.74</v>
      </c>
    </row>
    <row r="2931" spans="1:10" ht="13.5" customHeight="1">
      <c r="A2931" s="532">
        <v>45012</v>
      </c>
      <c r="B2931" s="615">
        <v>420000</v>
      </c>
      <c r="C2931" s="615">
        <f t="shared" si="300"/>
        <v>525848.98</v>
      </c>
      <c r="D2931" s="532">
        <f t="shared" si="298"/>
        <v>45103</v>
      </c>
      <c r="E2931" s="534">
        <v>91</v>
      </c>
      <c r="F2931" s="601">
        <v>1.0108549895342751</v>
      </c>
      <c r="G2931" s="536" t="s">
        <v>719</v>
      </c>
      <c r="H2931">
        <f t="shared" si="301"/>
        <v>35282.993333333325</v>
      </c>
      <c r="I2931">
        <v>525848.98</v>
      </c>
    </row>
    <row r="2932" spans="1:10" ht="13.5" customHeight="1">
      <c r="A2932" s="532">
        <v>45013</v>
      </c>
      <c r="B2932" s="615">
        <v>75900</v>
      </c>
      <c r="C2932" s="615">
        <f t="shared" si="300"/>
        <v>80765.917808219179</v>
      </c>
      <c r="D2932" s="532">
        <f t="shared" si="298"/>
        <v>45043</v>
      </c>
      <c r="E2932" s="534">
        <v>30</v>
      </c>
      <c r="F2932" s="601">
        <v>0.78</v>
      </c>
      <c r="G2932" s="536" t="s">
        <v>257</v>
      </c>
      <c r="H2932">
        <f t="shared" si="301"/>
        <v>4865.9178082191793</v>
      </c>
    </row>
    <row r="2933" spans="1:10" ht="13.5" customHeight="1">
      <c r="A2933" s="532">
        <v>45013</v>
      </c>
      <c r="B2933" s="615">
        <v>10000</v>
      </c>
      <c r="C2933" s="615">
        <f t="shared" si="300"/>
        <v>10641.095890410959</v>
      </c>
      <c r="D2933" s="532">
        <f t="shared" si="298"/>
        <v>45043</v>
      </c>
      <c r="E2933" s="534">
        <v>30</v>
      </c>
      <c r="F2933" s="601">
        <v>0.78</v>
      </c>
      <c r="G2933" s="536" t="s">
        <v>256</v>
      </c>
      <c r="H2933">
        <f t="shared" si="301"/>
        <v>641.09589041095933</v>
      </c>
    </row>
    <row r="2934" spans="1:10" ht="13.5" customHeight="1">
      <c r="A2934" s="532">
        <v>45014</v>
      </c>
      <c r="B2934" s="615">
        <v>29800</v>
      </c>
      <c r="C2934" s="615">
        <f t="shared" si="300"/>
        <v>31710.465753424658</v>
      </c>
      <c r="D2934" s="532">
        <f t="shared" si="298"/>
        <v>45044</v>
      </c>
      <c r="E2934" s="534">
        <v>30</v>
      </c>
      <c r="F2934" s="601">
        <v>0.78</v>
      </c>
      <c r="G2934" s="536" t="s">
        <v>259</v>
      </c>
      <c r="H2934">
        <f t="shared" si="301"/>
        <v>1910.465753424658</v>
      </c>
    </row>
    <row r="2935" spans="1:10" ht="13.5" customHeight="1">
      <c r="A2935" s="532">
        <v>45014</v>
      </c>
      <c r="B2935" s="615">
        <v>100000</v>
      </c>
      <c r="C2935" s="615">
        <f t="shared" si="300"/>
        <v>106410.95890410959</v>
      </c>
      <c r="D2935" s="532">
        <f t="shared" si="298"/>
        <v>45044</v>
      </c>
      <c r="E2935" s="534">
        <v>30</v>
      </c>
      <c r="F2935" s="601">
        <v>0.78</v>
      </c>
      <c r="G2935" s="536" t="s">
        <v>265</v>
      </c>
      <c r="H2935">
        <f t="shared" si="301"/>
        <v>6410.9589041095896</v>
      </c>
    </row>
    <row r="2936" spans="1:10" ht="13.5" customHeight="1">
      <c r="A2936" s="532">
        <v>45014</v>
      </c>
      <c r="B2936" s="615">
        <v>200000</v>
      </c>
      <c r="C2936" s="615">
        <f t="shared" si="300"/>
        <v>212821.91780821918</v>
      </c>
      <c r="D2936" s="532">
        <f t="shared" si="298"/>
        <v>45044</v>
      </c>
      <c r="E2936" s="534">
        <v>30</v>
      </c>
      <c r="F2936" s="601">
        <v>0.78</v>
      </c>
      <c r="G2936" s="536" t="s">
        <v>262</v>
      </c>
      <c r="H2936">
        <f t="shared" si="301"/>
        <v>12821.917808219179</v>
      </c>
    </row>
    <row r="2937" spans="1:10" ht="13.5" customHeight="1">
      <c r="A2937" s="532">
        <v>45014</v>
      </c>
      <c r="B2937" s="615">
        <v>30000</v>
      </c>
      <c r="C2937" s="615">
        <f t="shared" si="300"/>
        <v>31923.287671232876</v>
      </c>
      <c r="D2937" s="532">
        <f t="shared" si="298"/>
        <v>45044</v>
      </c>
      <c r="E2937" s="534">
        <v>30</v>
      </c>
      <c r="F2937" s="601">
        <v>0.78</v>
      </c>
      <c r="G2937" s="536" t="s">
        <v>261</v>
      </c>
      <c r="H2937">
        <f t="shared" si="301"/>
        <v>1923.2876712328762</v>
      </c>
    </row>
    <row r="2938" spans="1:10" ht="13.5" customHeight="1">
      <c r="A2938" s="532">
        <v>45014</v>
      </c>
      <c r="B2938" s="615">
        <v>685000</v>
      </c>
      <c r="C2938" s="615">
        <f t="shared" si="300"/>
        <v>728915.06849315064</v>
      </c>
      <c r="D2938" s="532">
        <f t="shared" si="298"/>
        <v>45044</v>
      </c>
      <c r="E2938" s="534">
        <v>30</v>
      </c>
      <c r="F2938" s="601">
        <v>0.78</v>
      </c>
      <c r="G2938" s="536" t="s">
        <v>258</v>
      </c>
      <c r="H2938">
        <f t="shared" si="301"/>
        <v>43915.06849315064</v>
      </c>
    </row>
    <row r="2939" spans="1:10" ht="13.5" customHeight="1">
      <c r="A2939" s="532">
        <v>45014</v>
      </c>
      <c r="B2939" s="615">
        <v>280000</v>
      </c>
      <c r="C2939" s="615">
        <f t="shared" si="300"/>
        <v>297950.68493150687</v>
      </c>
      <c r="D2939" s="532">
        <f t="shared" si="298"/>
        <v>45044</v>
      </c>
      <c r="E2939" s="534">
        <v>30</v>
      </c>
      <c r="F2939" s="601">
        <v>0.78</v>
      </c>
      <c r="G2939" s="536" t="s">
        <v>256</v>
      </c>
      <c r="H2939">
        <f t="shared" si="301"/>
        <v>17950.684931506868</v>
      </c>
    </row>
    <row r="2940" spans="1:10" ht="13.5" customHeight="1">
      <c r="A2940" s="532">
        <v>45014</v>
      </c>
      <c r="B2940" s="615">
        <v>25000</v>
      </c>
      <c r="C2940" s="615">
        <f t="shared" si="300"/>
        <v>31212.619863013701</v>
      </c>
      <c r="D2940" s="532">
        <f t="shared" si="298"/>
        <v>45104</v>
      </c>
      <c r="E2940" s="534">
        <v>90</v>
      </c>
      <c r="F2940" s="601">
        <v>1.007825</v>
      </c>
      <c r="G2940" s="536" t="s">
        <v>718</v>
      </c>
      <c r="H2940">
        <v>31212.62</v>
      </c>
      <c r="I2940">
        <v>31228.9</v>
      </c>
      <c r="J2940">
        <f>+C2940-H2940</f>
        <v>-1.3698629845748655E-4</v>
      </c>
    </row>
    <row r="2941" spans="1:10" ht="13.5" customHeight="1">
      <c r="A2941" s="532">
        <v>45014</v>
      </c>
      <c r="B2941" s="615">
        <v>94800</v>
      </c>
      <c r="C2941" s="615">
        <f t="shared" si="300"/>
        <v>118358.25452054794</v>
      </c>
      <c r="D2941" s="532">
        <f t="shared" si="298"/>
        <v>45104</v>
      </c>
      <c r="E2941" s="534">
        <v>90</v>
      </c>
      <c r="F2941" s="601">
        <v>1.007825</v>
      </c>
      <c r="G2941" s="536" t="s">
        <v>713</v>
      </c>
      <c r="H2941">
        <f>95033.75+23324.51</f>
        <v>118358.26</v>
      </c>
      <c r="I2941">
        <v>118378.99</v>
      </c>
      <c r="J2941">
        <f>+C2941-H2941</f>
        <v>-5.479452054714784E-3</v>
      </c>
    </row>
    <row r="2942" spans="1:10" ht="13.5" customHeight="1">
      <c r="A2942" s="532">
        <v>45014</v>
      </c>
      <c r="B2942" s="615">
        <v>150000</v>
      </c>
      <c r="C2942" s="615">
        <f t="shared" si="300"/>
        <v>187275.71917808219</v>
      </c>
      <c r="D2942" s="532">
        <f t="shared" si="298"/>
        <v>45104</v>
      </c>
      <c r="E2942" s="534">
        <v>90</v>
      </c>
      <c r="F2942" s="601">
        <v>1.007825</v>
      </c>
      <c r="G2942" s="536" t="s">
        <v>714</v>
      </c>
      <c r="H2942">
        <f>+C2942</f>
        <v>187275.71917808219</v>
      </c>
      <c r="I2942">
        <v>191112.5</v>
      </c>
      <c r="J2942">
        <f>+C2942-H2942</f>
        <v>0</v>
      </c>
    </row>
    <row r="2943" spans="1:10" ht="13.5" customHeight="1">
      <c r="A2943" s="532">
        <v>45014</v>
      </c>
      <c r="B2943" s="615">
        <v>250000</v>
      </c>
      <c r="C2943" s="615">
        <f t="shared" si="300"/>
        <v>312126.19863013696</v>
      </c>
      <c r="D2943" s="532">
        <f t="shared" si="298"/>
        <v>45104</v>
      </c>
      <c r="E2943" s="534">
        <v>90</v>
      </c>
      <c r="F2943" s="601">
        <v>1.007825</v>
      </c>
      <c r="G2943" s="536" t="s">
        <v>719</v>
      </c>
      <c r="H2943">
        <f>250616.44+61509.81</f>
        <v>312126.25</v>
      </c>
      <c r="I2943">
        <v>317902.39</v>
      </c>
      <c r="J2943">
        <f>+C2943-H2943</f>
        <v>-5.1369863038416952E-2</v>
      </c>
    </row>
    <row r="2944" spans="1:10" ht="13.5" customHeight="1">
      <c r="A2944" s="532">
        <v>45014</v>
      </c>
      <c r="B2944" s="615">
        <v>500000</v>
      </c>
      <c r="C2944" s="615">
        <f t="shared" si="300"/>
        <v>624252.39726027392</v>
      </c>
      <c r="D2944" s="532">
        <f t="shared" si="298"/>
        <v>45104</v>
      </c>
      <c r="E2944" s="534">
        <v>90</v>
      </c>
      <c r="F2944" s="601">
        <v>1.007825</v>
      </c>
      <c r="G2944" s="536" t="s">
        <v>716</v>
      </c>
      <c r="H2944">
        <f>+C2944</f>
        <v>624252.39726027392</v>
      </c>
      <c r="I2944">
        <v>627566.72</v>
      </c>
      <c r="J2944">
        <f>+C2944-H2944</f>
        <v>0</v>
      </c>
    </row>
    <row r="2945" spans="1:9" ht="13.5" customHeight="1">
      <c r="A2945" s="532">
        <v>45015</v>
      </c>
      <c r="B2945" s="615">
        <v>17000</v>
      </c>
      <c r="C2945" s="615">
        <f t="shared" si="300"/>
        <v>18198.849315068492</v>
      </c>
      <c r="D2945" s="532">
        <f t="shared" si="298"/>
        <v>45048</v>
      </c>
      <c r="E2945" s="534">
        <v>33</v>
      </c>
      <c r="F2945" s="601">
        <v>0.78</v>
      </c>
      <c r="G2945" s="536" t="s">
        <v>258</v>
      </c>
      <c r="H2945">
        <f>IF(E2945&gt;89,(C2945-B2945)/3,(C2945-B2945))</f>
        <v>1198.8493150684917</v>
      </c>
    </row>
    <row r="2946" spans="1:9" ht="13.5" customHeight="1">
      <c r="A2946" s="532">
        <v>45015</v>
      </c>
      <c r="B2946" s="615">
        <v>50000</v>
      </c>
      <c r="C2946" s="615">
        <f t="shared" si="300"/>
        <v>53526.027397260274</v>
      </c>
      <c r="D2946" s="532">
        <f t="shared" si="298"/>
        <v>45048</v>
      </c>
      <c r="E2946" s="534">
        <v>33</v>
      </c>
      <c r="F2946" s="601">
        <v>0.78</v>
      </c>
      <c r="G2946" s="536" t="s">
        <v>256</v>
      </c>
      <c r="H2946">
        <f>IF(E2946&gt;89,(C2946-B2946)/3,(C2946-B2946))</f>
        <v>3526.0273972602736</v>
      </c>
    </row>
    <row r="2947" spans="1:9" ht="13.5" customHeight="1">
      <c r="A2947" s="532">
        <v>45015</v>
      </c>
      <c r="B2947" s="615">
        <v>48000</v>
      </c>
      <c r="C2947" s="615">
        <f t="shared" si="300"/>
        <v>59954.65</v>
      </c>
      <c r="D2947" s="532">
        <f t="shared" si="298"/>
        <v>45105</v>
      </c>
      <c r="E2947" s="534">
        <v>90</v>
      </c>
      <c r="F2947" s="601">
        <v>1.0100572337962963</v>
      </c>
      <c r="G2947" s="536" t="s">
        <v>719</v>
      </c>
      <c r="H2947">
        <f>48118.36+11836.29</f>
        <v>59954.65</v>
      </c>
      <c r="I2947">
        <v>62857.09</v>
      </c>
    </row>
    <row r="2948" spans="1:9" ht="13.5" customHeight="1">
      <c r="A2948" s="532">
        <v>45016</v>
      </c>
      <c r="B2948" s="615">
        <v>200000</v>
      </c>
      <c r="C2948" s="615">
        <f t="shared" si="300"/>
        <v>213676.71232876711</v>
      </c>
      <c r="D2948" s="532">
        <f t="shared" si="298"/>
        <v>45048</v>
      </c>
      <c r="E2948" s="534">
        <v>32</v>
      </c>
      <c r="F2948" s="601">
        <v>0.78</v>
      </c>
      <c r="G2948" s="536" t="s">
        <v>258</v>
      </c>
      <c r="H2948">
        <f t="shared" ref="A2948:H2953" si="302">IF(E2948&gt;89,(C2948-B2948)/3,(C2948-B2948))</f>
        <v>13676.712328767113</v>
      </c>
    </row>
    <row r="2949" spans="1:9" ht="13.5" customHeight="1">
      <c r="A2949" s="532">
        <v>45016</v>
      </c>
      <c r="B2949" s="615">
        <v>200000</v>
      </c>
      <c r="C2949" s="615">
        <f t="shared" si="300"/>
        <v>213676.71232876711</v>
      </c>
      <c r="D2949" s="532">
        <f t="shared" si="298"/>
        <v>45048</v>
      </c>
      <c r="E2949" s="534">
        <v>32</v>
      </c>
      <c r="F2949" s="601">
        <v>0.78</v>
      </c>
      <c r="G2949" s="536" t="s">
        <v>256</v>
      </c>
      <c r="H2949">
        <f t="shared" si="302"/>
        <v>13676.712328767113</v>
      </c>
    </row>
    <row r="2950" spans="1:9" ht="13.5" customHeight="1">
      <c r="A2950" s="532">
        <v>45016</v>
      </c>
      <c r="B2950" s="615">
        <v>129100</v>
      </c>
      <c r="C2950" s="615">
        <f t="shared" si="300"/>
        <v>137928.31780821917</v>
      </c>
      <c r="D2950" s="532">
        <f t="shared" si="298"/>
        <v>45048</v>
      </c>
      <c r="E2950" s="534">
        <v>32</v>
      </c>
      <c r="F2950" s="601">
        <v>0.78</v>
      </c>
      <c r="G2950" s="536" t="s">
        <v>260</v>
      </c>
      <c r="H2950">
        <f t="shared" si="302"/>
        <v>8828.3178082191735</v>
      </c>
    </row>
    <row r="2951" spans="1:9" ht="13.5" customHeight="1">
      <c r="A2951" s="532">
        <v>45016</v>
      </c>
      <c r="B2951" s="615">
        <v>60000</v>
      </c>
      <c r="C2951" s="615">
        <f t="shared" si="300"/>
        <v>64103.013698630137</v>
      </c>
      <c r="D2951" s="532">
        <f t="shared" si="298"/>
        <v>45048</v>
      </c>
      <c r="E2951" s="534">
        <v>32</v>
      </c>
      <c r="F2951" s="601">
        <v>0.78</v>
      </c>
      <c r="G2951" s="536" t="s">
        <v>257</v>
      </c>
      <c r="H2951">
        <f t="shared" si="302"/>
        <v>4103.0136986301368</v>
      </c>
    </row>
    <row r="2952" spans="1:9" ht="13.5" customHeight="1">
      <c r="A2952" s="532">
        <v>45016</v>
      </c>
      <c r="B2952" s="615">
        <v>4000</v>
      </c>
      <c r="C2952" s="615">
        <f t="shared" si="300"/>
        <v>4273.5342465753429</v>
      </c>
      <c r="D2952" s="532">
        <f t="shared" si="298"/>
        <v>45048</v>
      </c>
      <c r="E2952" s="534">
        <v>32</v>
      </c>
      <c r="F2952" s="601">
        <v>0.78</v>
      </c>
      <c r="G2952" s="536" t="s">
        <v>257</v>
      </c>
      <c r="H2952">
        <f t="shared" si="302"/>
        <v>273.53424657534288</v>
      </c>
    </row>
    <row r="2953" spans="1:9" ht="13.5" customHeight="1">
      <c r="A2953" s="532">
        <v>45016</v>
      </c>
      <c r="B2953" s="615">
        <v>700000</v>
      </c>
      <c r="C2953" s="615">
        <f t="shared" si="300"/>
        <v>747868.49315068498</v>
      </c>
      <c r="D2953" s="532">
        <f t="shared" si="298"/>
        <v>45048</v>
      </c>
      <c r="E2953" s="534">
        <v>32</v>
      </c>
      <c r="F2953" s="601">
        <v>0.78</v>
      </c>
      <c r="G2953" s="536" t="s">
        <v>262</v>
      </c>
      <c r="H2953">
        <f t="shared" si="302"/>
        <v>47868.493150684983</v>
      </c>
    </row>
    <row r="2954" spans="1:9" ht="13.5" customHeight="1">
      <c r="A2954" s="532">
        <v>45016</v>
      </c>
      <c r="B2954" s="615">
        <v>50000</v>
      </c>
      <c r="C2954" s="615">
        <f t="shared" si="300"/>
        <v>62479.794520547948</v>
      </c>
      <c r="D2954" s="532">
        <f t="shared" si="298"/>
        <v>45106</v>
      </c>
      <c r="E2954" s="534">
        <v>90</v>
      </c>
      <c r="F2954" s="601">
        <v>1.0122500000000001</v>
      </c>
      <c r="G2954" s="536" t="s">
        <v>715</v>
      </c>
      <c r="H2954">
        <v>62479.8</v>
      </c>
    </row>
    <row r="2955" spans="1:9" ht="13.5" customHeight="1">
      <c r="A2955" s="532">
        <v>45016</v>
      </c>
      <c r="B2955" s="615">
        <v>70000</v>
      </c>
      <c r="C2955" s="615">
        <f t="shared" si="300"/>
        <v>87471.902191780828</v>
      </c>
      <c r="D2955" s="532">
        <f t="shared" si="298"/>
        <v>45106</v>
      </c>
      <c r="E2955" s="534">
        <v>90</v>
      </c>
      <c r="F2955" s="601">
        <v>1.0122610000000001</v>
      </c>
      <c r="G2955" s="536" t="s">
        <v>715</v>
      </c>
      <c r="H2955">
        <v>87471.9</v>
      </c>
    </row>
    <row r="2956" spans="1:9" ht="13.5" customHeight="1">
      <c r="A2956" s="532">
        <v>45016</v>
      </c>
      <c r="B2956" s="615">
        <v>60000</v>
      </c>
      <c r="C2956" s="615">
        <f t="shared" si="300"/>
        <v>74976.19726027397</v>
      </c>
      <c r="D2956" s="532">
        <f t="shared" si="298"/>
        <v>45106</v>
      </c>
      <c r="E2956" s="534">
        <v>90</v>
      </c>
      <c r="F2956" s="601">
        <v>1.0122800000000001</v>
      </c>
      <c r="G2956" s="536" t="s">
        <v>717</v>
      </c>
      <c r="H2956">
        <f>60147.95+14828.24</f>
        <v>74976.19</v>
      </c>
    </row>
    <row r="2957" spans="1:9" ht="13.5" customHeight="1">
      <c r="A2957" s="532">
        <v>45016</v>
      </c>
      <c r="B2957" s="615">
        <v>175000</v>
      </c>
      <c r="C2957" s="615">
        <f t="shared" si="300"/>
        <v>218680.5321917808</v>
      </c>
      <c r="D2957" s="532">
        <f t="shared" si="298"/>
        <v>45106</v>
      </c>
      <c r="E2957" s="534">
        <v>90</v>
      </c>
      <c r="F2957" s="601">
        <v>1.0122789999999999</v>
      </c>
      <c r="G2957" s="536" t="s">
        <v>719</v>
      </c>
      <c r="H2957">
        <f>175431.51+43249.04</f>
        <v>218680.55000000002</v>
      </c>
      <c r="I2957">
        <v>221537.64</v>
      </c>
    </row>
    <row r="2958" spans="1:9" ht="13.5" customHeight="1">
      <c r="A2958" s="532">
        <v>45016</v>
      </c>
      <c r="B2958" s="615">
        <v>198000</v>
      </c>
      <c r="C2958" s="615">
        <f t="shared" si="300"/>
        <v>247419.98630136988</v>
      </c>
      <c r="D2958" s="532">
        <f t="shared" si="298"/>
        <v>45106</v>
      </c>
      <c r="E2958" s="534">
        <v>90</v>
      </c>
      <c r="F2958" s="601">
        <v>1.0122500000000001</v>
      </c>
      <c r="G2958" s="536" t="s">
        <v>716</v>
      </c>
      <c r="H2958">
        <f t="shared" ref="A2958:H2967" si="303">IF(E2958&gt;89,(C2958-B2958)/3,(C2958-B2958))</f>
        <v>16473.328767123294</v>
      </c>
    </row>
    <row r="2959" spans="1:9" ht="13.5" customHeight="1">
      <c r="A2959" s="532">
        <v>45016</v>
      </c>
      <c r="B2959" s="615">
        <v>600000</v>
      </c>
      <c r="C2959" s="615">
        <f t="shared" si="300"/>
        <v>749757.53424657532</v>
      </c>
      <c r="D2959" s="532">
        <f t="shared" si="298"/>
        <v>45106</v>
      </c>
      <c r="E2959" s="534">
        <v>90</v>
      </c>
      <c r="F2959" s="601">
        <v>1.0122500000000001</v>
      </c>
      <c r="G2959" s="536" t="s">
        <v>714</v>
      </c>
      <c r="H2959">
        <f t="shared" si="303"/>
        <v>49919.178082191771</v>
      </c>
    </row>
    <row r="2960" spans="1:9" ht="13.5" customHeight="1">
      <c r="A2960" s="532">
        <v>45019</v>
      </c>
      <c r="B2960" s="615">
        <v>45400</v>
      </c>
      <c r="C2960" s="615">
        <f t="shared" si="300"/>
        <v>48310.575342465752</v>
      </c>
      <c r="D2960" s="532">
        <f t="shared" si="298"/>
        <v>45049</v>
      </c>
      <c r="E2960" s="534">
        <v>30</v>
      </c>
      <c r="F2960" s="601">
        <v>0.78</v>
      </c>
      <c r="G2960" s="536" t="s">
        <v>261</v>
      </c>
      <c r="H2960">
        <f t="shared" si="303"/>
        <v>2910.5753424657523</v>
      </c>
    </row>
    <row r="2961" spans="1:8" ht="13.5" customHeight="1">
      <c r="A2961" s="532">
        <v>45019</v>
      </c>
      <c r="B2961" s="615">
        <v>10000</v>
      </c>
      <c r="C2961" s="615">
        <f t="shared" si="300"/>
        <v>10641.095890410959</v>
      </c>
      <c r="D2961" s="532">
        <f t="shared" si="298"/>
        <v>45049</v>
      </c>
      <c r="E2961" s="534">
        <v>30</v>
      </c>
      <c r="F2961" s="601">
        <v>0.78</v>
      </c>
      <c r="G2961" s="536" t="s">
        <v>261</v>
      </c>
      <c r="H2961">
        <f t="shared" si="303"/>
        <v>641.09589041095933</v>
      </c>
    </row>
    <row r="2962" spans="1:8" ht="13.5" customHeight="1">
      <c r="A2962" s="532">
        <v>45019</v>
      </c>
      <c r="B2962" s="615">
        <v>175000</v>
      </c>
      <c r="C2962" s="615">
        <f t="shared" si="300"/>
        <v>186219.17808219179</v>
      </c>
      <c r="D2962" s="532">
        <f t="shared" si="298"/>
        <v>45049</v>
      </c>
      <c r="E2962" s="534">
        <v>30</v>
      </c>
      <c r="F2962" s="601">
        <v>0.78</v>
      </c>
      <c r="G2962" s="536" t="s">
        <v>260</v>
      </c>
      <c r="H2962">
        <f t="shared" si="303"/>
        <v>11219.178082191793</v>
      </c>
    </row>
    <row r="2963" spans="1:8" ht="13.5" customHeight="1">
      <c r="A2963" s="532">
        <v>45019</v>
      </c>
      <c r="B2963" s="615">
        <v>163900</v>
      </c>
      <c r="C2963" s="615">
        <f t="shared" si="300"/>
        <v>174407.56164383562</v>
      </c>
      <c r="D2963" s="532">
        <f t="shared" si="298"/>
        <v>45049</v>
      </c>
      <c r="E2963" s="534">
        <v>30</v>
      </c>
      <c r="F2963" s="601">
        <v>0.78</v>
      </c>
      <c r="G2963" s="536" t="s">
        <v>257</v>
      </c>
      <c r="H2963">
        <f t="shared" si="303"/>
        <v>10507.561643835623</v>
      </c>
    </row>
    <row r="2964" spans="1:8" ht="13.5" customHeight="1">
      <c r="A2964" s="532">
        <v>45019</v>
      </c>
      <c r="B2964" s="615">
        <v>50000</v>
      </c>
      <c r="C2964" s="615">
        <f t="shared" si="300"/>
        <v>53205.479452054795</v>
      </c>
      <c r="D2964" s="532">
        <f t="shared" si="298"/>
        <v>45049</v>
      </c>
      <c r="E2964" s="534">
        <v>30</v>
      </c>
      <c r="F2964" s="601">
        <v>0.78</v>
      </c>
      <c r="G2964" s="536" t="s">
        <v>262</v>
      </c>
      <c r="H2964">
        <f t="shared" si="303"/>
        <v>3205.4794520547948</v>
      </c>
    </row>
    <row r="2965" spans="1:8" ht="13.5" customHeight="1">
      <c r="A2965" s="532">
        <v>45019</v>
      </c>
      <c r="B2965" s="615">
        <v>100000</v>
      </c>
      <c r="C2965" s="615">
        <f t="shared" si="300"/>
        <v>106410.95890410959</v>
      </c>
      <c r="D2965" s="532">
        <f t="shared" si="298"/>
        <v>45049</v>
      </c>
      <c r="E2965" s="534">
        <v>30</v>
      </c>
      <c r="F2965" s="601">
        <v>0.78</v>
      </c>
      <c r="G2965" s="536" t="s">
        <v>258</v>
      </c>
      <c r="H2965">
        <f t="shared" si="303"/>
        <v>6410.9589041095896</v>
      </c>
    </row>
    <row r="2966" spans="1:8" ht="13.5" customHeight="1">
      <c r="A2966" s="532">
        <v>45019</v>
      </c>
      <c r="B2966" s="615">
        <v>38000</v>
      </c>
      <c r="C2966" s="615">
        <f t="shared" si="300"/>
        <v>40436.164383561641</v>
      </c>
      <c r="D2966" s="532">
        <f t="shared" si="298"/>
        <v>45049</v>
      </c>
      <c r="E2966" s="534">
        <v>30</v>
      </c>
      <c r="F2966" s="601">
        <v>0.78</v>
      </c>
      <c r="G2966" s="536" t="s">
        <v>256</v>
      </c>
      <c r="H2966">
        <f t="shared" si="303"/>
        <v>2436.1643835616414</v>
      </c>
    </row>
    <row r="2967" spans="1:8" ht="13.5" customHeight="1">
      <c r="A2967" s="532">
        <v>45019</v>
      </c>
      <c r="B2967" s="615">
        <v>19000</v>
      </c>
      <c r="C2967" s="615">
        <f t="shared" si="300"/>
        <v>20299.287671232876</v>
      </c>
      <c r="D2967" s="532">
        <f t="shared" si="298"/>
        <v>45051</v>
      </c>
      <c r="E2967" s="534">
        <v>32</v>
      </c>
      <c r="F2967" s="601">
        <v>0.78</v>
      </c>
      <c r="G2967" s="536" t="s">
        <v>259</v>
      </c>
      <c r="H2967">
        <f t="shared" si="303"/>
        <v>1299.2876712328762</v>
      </c>
    </row>
    <row r="2968" spans="1:8" ht="13.5" customHeight="1">
      <c r="A2968" s="532">
        <v>45019</v>
      </c>
      <c r="B2968" s="615">
        <v>200000</v>
      </c>
      <c r="C2968" s="615">
        <f t="shared" si="300"/>
        <v>250659.97424657532</v>
      </c>
      <c r="D2968" s="532">
        <f t="shared" si="298"/>
        <v>45110</v>
      </c>
      <c r="E2968" s="534">
        <v>91</v>
      </c>
      <c r="F2968" s="601">
        <v>1.0159830000000001</v>
      </c>
      <c r="G2968" s="536" t="s">
        <v>719</v>
      </c>
      <c r="H2968">
        <f>200498.63+50161.32</f>
        <v>250659.95</v>
      </c>
    </row>
    <row r="2969" spans="1:8" ht="13.5" customHeight="1">
      <c r="A2969" s="532">
        <v>45019</v>
      </c>
      <c r="B2969" s="615">
        <v>200000</v>
      </c>
      <c r="C2969" s="615">
        <f t="shared" si="300"/>
        <v>250659.97424657532</v>
      </c>
      <c r="D2969" s="532">
        <f t="shared" si="298"/>
        <v>45110</v>
      </c>
      <c r="E2969" s="534">
        <v>91</v>
      </c>
      <c r="F2969" s="601">
        <v>1.0159830000000001</v>
      </c>
      <c r="G2969" s="536" t="s">
        <v>719</v>
      </c>
      <c r="H2969">
        <f>200498.63+50161.32</f>
        <v>250659.95</v>
      </c>
    </row>
    <row r="2970" spans="1:8" ht="13.5" customHeight="1">
      <c r="A2970" s="532">
        <v>45019</v>
      </c>
      <c r="B2970" s="615">
        <v>150000</v>
      </c>
      <c r="C2970" s="615">
        <f t="shared" si="300"/>
        <v>187994.94328767122</v>
      </c>
      <c r="D2970" s="532">
        <f t="shared" si="298"/>
        <v>45110</v>
      </c>
      <c r="E2970" s="534">
        <v>91</v>
      </c>
      <c r="F2970" s="601">
        <v>1.0159819999999999</v>
      </c>
      <c r="G2970" s="536" t="s">
        <v>717</v>
      </c>
      <c r="H2970">
        <f>150373.97+37620.99</f>
        <v>187994.96</v>
      </c>
    </row>
    <row r="2971" spans="1:8" ht="13.5" customHeight="1">
      <c r="A2971" s="532">
        <v>45019</v>
      </c>
      <c r="B2971" s="615">
        <v>10000</v>
      </c>
      <c r="C2971" s="615">
        <f t="shared" si="300"/>
        <v>12533.001205479452</v>
      </c>
      <c r="D2971" s="532">
        <f t="shared" si="298"/>
        <v>45110</v>
      </c>
      <c r="E2971" s="534">
        <v>91</v>
      </c>
      <c r="F2971" s="601">
        <v>1.015984</v>
      </c>
      <c r="G2971" s="536" t="s">
        <v>718</v>
      </c>
      <c r="H2971">
        <v>12533</v>
      </c>
    </row>
    <row r="2972" spans="1:8" ht="13.5" customHeight="1">
      <c r="A2972" s="532">
        <v>45019</v>
      </c>
      <c r="B2972" s="615">
        <v>40000</v>
      </c>
      <c r="C2972" s="615">
        <f t="shared" si="300"/>
        <v>50131.994849315066</v>
      </c>
      <c r="D2972" s="532">
        <f t="shared" ref="A2972:D3035" si="304">+A2972+E2972</f>
        <v>45110</v>
      </c>
      <c r="E2972" s="534">
        <v>91</v>
      </c>
      <c r="F2972" s="601">
        <v>1.0159830000000001</v>
      </c>
      <c r="G2972" s="536" t="s">
        <v>718</v>
      </c>
      <c r="H2972">
        <v>50131.99</v>
      </c>
    </row>
    <row r="2973" spans="1:8" ht="13.5" customHeight="1">
      <c r="A2973" s="532">
        <v>45019</v>
      </c>
      <c r="B2973" s="615">
        <v>170000</v>
      </c>
      <c r="C2973" s="615">
        <f t="shared" si="300"/>
        <v>213060.59665753425</v>
      </c>
      <c r="D2973" s="532">
        <f t="shared" si="304"/>
        <v>45110</v>
      </c>
      <c r="E2973" s="534">
        <v>91</v>
      </c>
      <c r="F2973" s="601">
        <v>1.0159739999999999</v>
      </c>
      <c r="G2973" s="536" t="s">
        <v>715</v>
      </c>
      <c r="H2973">
        <v>213060.59</v>
      </c>
    </row>
    <row r="2974" spans="1:8" ht="13.5" customHeight="1">
      <c r="A2974" s="532">
        <v>45019</v>
      </c>
      <c r="B2974" s="615">
        <v>50000</v>
      </c>
      <c r="C2974" s="615">
        <f t="shared" si="300"/>
        <v>62664.25808219178</v>
      </c>
      <c r="D2974" s="532">
        <f t="shared" si="304"/>
        <v>45110</v>
      </c>
      <c r="E2974" s="534">
        <v>91</v>
      </c>
      <c r="F2974" s="601">
        <v>1.015924</v>
      </c>
      <c r="G2974" s="536" t="s">
        <v>714</v>
      </c>
      <c r="H2974">
        <v>62664.26</v>
      </c>
    </row>
    <row r="2975" spans="1:8" ht="13.5" customHeight="1">
      <c r="A2975" s="532">
        <v>45019</v>
      </c>
      <c r="B2975" s="615">
        <v>95000</v>
      </c>
      <c r="C2975" s="615">
        <f t="shared" si="300"/>
        <v>119064.00883561643</v>
      </c>
      <c r="D2975" s="532">
        <f t="shared" si="304"/>
        <v>45110</v>
      </c>
      <c r="E2975" s="534">
        <v>91</v>
      </c>
      <c r="F2975" s="601">
        <v>1.016005</v>
      </c>
      <c r="G2975" s="536" t="s">
        <v>716</v>
      </c>
      <c r="H2975">
        <v>119064</v>
      </c>
    </row>
    <row r="2976" spans="1:8" ht="13.5" customHeight="1">
      <c r="A2976" s="532">
        <v>45020</v>
      </c>
      <c r="B2976" s="615">
        <v>35800</v>
      </c>
      <c r="C2976" s="615">
        <f t="shared" si="300"/>
        <v>38095.123287671231</v>
      </c>
      <c r="D2976" s="532">
        <f t="shared" si="304"/>
        <v>45050</v>
      </c>
      <c r="E2976" s="534">
        <v>30</v>
      </c>
      <c r="F2976" s="601">
        <v>0.78</v>
      </c>
      <c r="G2976" s="536" t="s">
        <v>260</v>
      </c>
      <c r="H2976">
        <f>IF(E2976&gt;89,(C2976-B2976)/3,(C2976-B2976))</f>
        <v>2295.1232876712311</v>
      </c>
    </row>
    <row r="2977" spans="1:8" ht="13.5" customHeight="1">
      <c r="A2977" s="532">
        <v>45020</v>
      </c>
      <c r="B2977" s="615">
        <v>40000</v>
      </c>
      <c r="C2977" s="615">
        <f t="shared" si="300"/>
        <v>42564.383561643837</v>
      </c>
      <c r="D2977" s="532">
        <f t="shared" si="304"/>
        <v>45050</v>
      </c>
      <c r="E2977" s="534">
        <v>30</v>
      </c>
      <c r="F2977" s="601">
        <v>0.78</v>
      </c>
      <c r="G2977" s="536" t="s">
        <v>258</v>
      </c>
      <c r="H2977">
        <f>IF(E2977&gt;89,(C2977-B2977)/3,(C2977-B2977))</f>
        <v>2564.3835616438373</v>
      </c>
    </row>
    <row r="2978" spans="1:8" ht="13.5" customHeight="1">
      <c r="A2978" s="532">
        <v>45020</v>
      </c>
      <c r="B2978" s="615">
        <v>30000</v>
      </c>
      <c r="C2978" s="615">
        <f t="shared" si="300"/>
        <v>37366.990684931508</v>
      </c>
      <c r="D2978" s="532">
        <f t="shared" si="304"/>
        <v>45110</v>
      </c>
      <c r="E2978" s="534">
        <v>90</v>
      </c>
      <c r="F2978" s="601">
        <v>0.99590800000000002</v>
      </c>
      <c r="G2978" s="536" t="s">
        <v>715</v>
      </c>
      <c r="H2978">
        <v>37366.99</v>
      </c>
    </row>
    <row r="2979" spans="1:8" ht="13.5" customHeight="1">
      <c r="A2979" s="532">
        <v>45020</v>
      </c>
      <c r="B2979" s="615">
        <v>40000</v>
      </c>
      <c r="C2979" s="615">
        <f t="shared" si="300"/>
        <v>49823.512328767123</v>
      </c>
      <c r="D2979" s="532">
        <f t="shared" si="304"/>
        <v>45110</v>
      </c>
      <c r="E2979" s="534">
        <v>90</v>
      </c>
      <c r="F2979" s="601">
        <v>0.99599499999999996</v>
      </c>
      <c r="G2979" s="536" t="s">
        <v>716</v>
      </c>
      <c r="H2979">
        <v>49823.51</v>
      </c>
    </row>
    <row r="2980" spans="1:8" ht="13.5" customHeight="1">
      <c r="A2980" s="532">
        <v>45021</v>
      </c>
      <c r="B2980" s="615">
        <v>39900</v>
      </c>
      <c r="C2980" s="615">
        <f t="shared" ref="A2980:C3043" si="305">B2980+(B2980*F2980/365*E2980)*1</f>
        <v>42457.972602739726</v>
      </c>
      <c r="D2980" s="532">
        <f t="shared" si="304"/>
        <v>45051</v>
      </c>
      <c r="E2980" s="534">
        <v>30</v>
      </c>
      <c r="F2980" s="601">
        <v>0.78</v>
      </c>
      <c r="G2980" s="536" t="s">
        <v>259</v>
      </c>
      <c r="H2980">
        <f t="shared" ref="A2980:H2987" si="306">IF(E2980&gt;89,(C2980-B2980)/3,(C2980-B2980))</f>
        <v>2557.9726027397264</v>
      </c>
    </row>
    <row r="2981" spans="1:8" ht="13.5" customHeight="1">
      <c r="A2981" s="532">
        <v>45021</v>
      </c>
      <c r="B2981" s="615">
        <v>13900</v>
      </c>
      <c r="C2981" s="615">
        <f t="shared" si="305"/>
        <v>14791.123287671233</v>
      </c>
      <c r="D2981" s="532">
        <f t="shared" si="304"/>
        <v>45051</v>
      </c>
      <c r="E2981" s="534">
        <v>30</v>
      </c>
      <c r="F2981" s="601">
        <v>0.78</v>
      </c>
      <c r="G2981" s="536" t="s">
        <v>261</v>
      </c>
      <c r="H2981">
        <f t="shared" si="306"/>
        <v>891.1232876712329</v>
      </c>
    </row>
    <row r="2982" spans="1:8" ht="13.5" customHeight="1">
      <c r="A2982" s="532">
        <v>45021</v>
      </c>
      <c r="B2982" s="615">
        <v>20000</v>
      </c>
      <c r="C2982" s="615">
        <f t="shared" si="305"/>
        <v>21282.191780821919</v>
      </c>
      <c r="D2982" s="532">
        <f t="shared" si="304"/>
        <v>45051</v>
      </c>
      <c r="E2982" s="534">
        <v>30</v>
      </c>
      <c r="F2982" s="601">
        <v>0.78</v>
      </c>
      <c r="G2982" s="536" t="s">
        <v>261</v>
      </c>
      <c r="H2982">
        <f t="shared" si="306"/>
        <v>1282.1917808219187</v>
      </c>
    </row>
    <row r="2983" spans="1:8" ht="13.5" customHeight="1">
      <c r="A2983" s="532">
        <v>45021</v>
      </c>
      <c r="B2983" s="615">
        <v>38700</v>
      </c>
      <c r="C2983" s="615">
        <f t="shared" si="305"/>
        <v>41181.04109589041</v>
      </c>
      <c r="D2983" s="532">
        <f t="shared" si="304"/>
        <v>45051</v>
      </c>
      <c r="E2983" s="534">
        <v>30</v>
      </c>
      <c r="F2983" s="601">
        <v>0.78</v>
      </c>
      <c r="G2983" s="536" t="s">
        <v>260</v>
      </c>
      <c r="H2983">
        <f t="shared" si="306"/>
        <v>2481.0410958904104</v>
      </c>
    </row>
    <row r="2984" spans="1:8" ht="13.5" customHeight="1">
      <c r="A2984" s="532">
        <v>45021</v>
      </c>
      <c r="B2984" s="615">
        <v>40000</v>
      </c>
      <c r="C2984" s="615">
        <f t="shared" si="305"/>
        <v>42564.383561643837</v>
      </c>
      <c r="D2984" s="532">
        <f t="shared" si="304"/>
        <v>45051</v>
      </c>
      <c r="E2984" s="534">
        <v>30</v>
      </c>
      <c r="F2984" s="601">
        <v>0.78</v>
      </c>
      <c r="G2984" s="536" t="s">
        <v>258</v>
      </c>
      <c r="H2984">
        <f t="shared" si="306"/>
        <v>2564.3835616438373</v>
      </c>
    </row>
    <row r="2985" spans="1:8" ht="13.5" customHeight="1">
      <c r="A2985" s="532">
        <v>45021</v>
      </c>
      <c r="B2985" s="615">
        <v>127700</v>
      </c>
      <c r="C2985" s="615">
        <f t="shared" si="305"/>
        <v>135886.79452054793</v>
      </c>
      <c r="D2985" s="532">
        <f t="shared" si="304"/>
        <v>45051</v>
      </c>
      <c r="E2985" s="534">
        <v>30</v>
      </c>
      <c r="F2985" s="601">
        <v>0.78</v>
      </c>
      <c r="G2985" s="536" t="s">
        <v>257</v>
      </c>
      <c r="H2985">
        <f t="shared" si="306"/>
        <v>8186.7945205479336</v>
      </c>
    </row>
    <row r="2986" spans="1:8" ht="13.5" customHeight="1">
      <c r="A2986" s="532">
        <v>45021</v>
      </c>
      <c r="B2986" s="615">
        <v>250000</v>
      </c>
      <c r="C2986" s="615">
        <f t="shared" si="305"/>
        <v>266027.39726027398</v>
      </c>
      <c r="D2986" s="532">
        <f t="shared" si="304"/>
        <v>45051</v>
      </c>
      <c r="E2986" s="534">
        <v>30</v>
      </c>
      <c r="F2986" s="601">
        <v>0.78</v>
      </c>
      <c r="G2986" s="536" t="s">
        <v>256</v>
      </c>
      <c r="H2986">
        <f t="shared" si="306"/>
        <v>16027.397260273981</v>
      </c>
    </row>
    <row r="2987" spans="1:8" ht="13.5" customHeight="1">
      <c r="A2987" s="532">
        <v>45021</v>
      </c>
      <c r="B2987" s="615">
        <v>40000</v>
      </c>
      <c r="C2987" s="615">
        <f t="shared" si="305"/>
        <v>42564.383561643837</v>
      </c>
      <c r="D2987" s="532">
        <f t="shared" si="304"/>
        <v>45051</v>
      </c>
      <c r="E2987" s="534">
        <v>30</v>
      </c>
      <c r="F2987" s="601">
        <v>0.78</v>
      </c>
      <c r="G2987" s="536" t="s">
        <v>256</v>
      </c>
      <c r="H2987">
        <f t="shared" si="306"/>
        <v>2564.3835616438373</v>
      </c>
    </row>
    <row r="2988" spans="1:8" ht="13.5" customHeight="1">
      <c r="A2988" s="532">
        <v>45021</v>
      </c>
      <c r="B2988" s="615">
        <v>12000</v>
      </c>
      <c r="C2988" s="615">
        <f t="shared" si="305"/>
        <v>15028.118794520549</v>
      </c>
      <c r="D2988" s="532">
        <f t="shared" si="304"/>
        <v>45111</v>
      </c>
      <c r="E2988" s="534">
        <v>90</v>
      </c>
      <c r="F2988" s="601">
        <v>1.0233920000000001</v>
      </c>
      <c r="G2988" s="536" t="s">
        <v>718</v>
      </c>
      <c r="H2988">
        <v>15028.12</v>
      </c>
    </row>
    <row r="2989" spans="1:8" ht="13.5" customHeight="1">
      <c r="A2989" s="532">
        <v>45021</v>
      </c>
      <c r="B2989" s="615">
        <v>40000</v>
      </c>
      <c r="C2989" s="615">
        <f t="shared" si="305"/>
        <v>50093.413698630138</v>
      </c>
      <c r="D2989" s="532">
        <f t="shared" si="304"/>
        <v>45111</v>
      </c>
      <c r="E2989" s="534">
        <v>90</v>
      </c>
      <c r="F2989" s="601">
        <v>1.02336</v>
      </c>
      <c r="G2989" s="536" t="s">
        <v>715</v>
      </c>
      <c r="H2989">
        <v>50093.41</v>
      </c>
    </row>
    <row r="2990" spans="1:8" ht="13.5" customHeight="1">
      <c r="A2990" s="532">
        <v>45021</v>
      </c>
      <c r="B2990" s="615">
        <v>180000</v>
      </c>
      <c r="C2990" s="615">
        <f t="shared" si="305"/>
        <v>225421.82630136987</v>
      </c>
      <c r="D2990" s="532">
        <f t="shared" si="304"/>
        <v>45111</v>
      </c>
      <c r="E2990" s="534">
        <v>90</v>
      </c>
      <c r="F2990" s="601">
        <v>1.023393</v>
      </c>
      <c r="G2990" s="536" t="s">
        <v>717</v>
      </c>
      <c r="H2990">
        <f>180443.84+44977.99</f>
        <v>225421.83</v>
      </c>
    </row>
    <row r="2991" spans="1:8" ht="13.5" customHeight="1">
      <c r="A2991" s="532">
        <v>45021</v>
      </c>
      <c r="B2991" s="615">
        <v>300000</v>
      </c>
      <c r="C2991" s="615">
        <f t="shared" si="305"/>
        <v>375703.04383561644</v>
      </c>
      <c r="D2991" s="532">
        <f t="shared" si="304"/>
        <v>45111</v>
      </c>
      <c r="E2991" s="534">
        <v>90</v>
      </c>
      <c r="F2991" s="601">
        <v>1.023393</v>
      </c>
      <c r="G2991" s="536" t="s">
        <v>719</v>
      </c>
      <c r="H2991">
        <f>300739.73+74963.33</f>
        <v>375703.06</v>
      </c>
    </row>
    <row r="2992" spans="1:8" ht="13.5" customHeight="1">
      <c r="A2992" s="532">
        <v>45021</v>
      </c>
      <c r="B2992" s="615">
        <v>50000</v>
      </c>
      <c r="C2992" s="615">
        <f t="shared" si="305"/>
        <v>62621.797260273976</v>
      </c>
      <c r="D2992" s="532">
        <f t="shared" si="304"/>
        <v>45111</v>
      </c>
      <c r="E2992" s="534">
        <v>90</v>
      </c>
      <c r="F2992" s="601">
        <v>1.023768</v>
      </c>
      <c r="G2992" s="536" t="s">
        <v>716</v>
      </c>
      <c r="H2992">
        <v>62621.8</v>
      </c>
    </row>
    <row r="2993" spans="1:9" ht="13.5" customHeight="1">
      <c r="A2993" s="532">
        <v>45026</v>
      </c>
      <c r="B2993" s="615">
        <v>107400</v>
      </c>
      <c r="C2993" s="615">
        <f t="shared" si="305"/>
        <v>114285.36986301369</v>
      </c>
      <c r="D2993" s="532">
        <f t="shared" si="304"/>
        <v>45056</v>
      </c>
      <c r="E2993" s="534">
        <v>30</v>
      </c>
      <c r="F2993" s="601">
        <v>0.78</v>
      </c>
      <c r="G2993" s="536" t="s">
        <v>260</v>
      </c>
      <c r="H2993">
        <f>IF(E2993&gt;89,(C2993-B2993)/3,(C2993-B2993))</f>
        <v>6885.3698630136932</v>
      </c>
    </row>
    <row r="2994" spans="1:9" ht="13.5" customHeight="1">
      <c r="A2994" s="532">
        <v>45026</v>
      </c>
      <c r="B2994" s="615">
        <v>52900</v>
      </c>
      <c r="C2994" s="615">
        <f t="shared" si="305"/>
        <v>56291.397260273974</v>
      </c>
      <c r="D2994" s="532">
        <f t="shared" si="304"/>
        <v>45056</v>
      </c>
      <c r="E2994" s="534">
        <v>30</v>
      </c>
      <c r="F2994" s="601">
        <v>0.78</v>
      </c>
      <c r="G2994" s="536" t="s">
        <v>261</v>
      </c>
      <c r="H2994">
        <f>IF(E2994&gt;89,(C2994-B2994)/3,(C2994-B2994))</f>
        <v>3391.3972602739741</v>
      </c>
    </row>
    <row r="2995" spans="1:9" ht="13.5" customHeight="1">
      <c r="A2995" s="532">
        <v>45026</v>
      </c>
      <c r="B2995" s="615">
        <v>125800</v>
      </c>
      <c r="C2995" s="615">
        <f t="shared" si="305"/>
        <v>133864.98630136985</v>
      </c>
      <c r="D2995" s="532">
        <f t="shared" si="304"/>
        <v>45056</v>
      </c>
      <c r="E2995" s="534">
        <v>30</v>
      </c>
      <c r="F2995" s="601">
        <v>0.78</v>
      </c>
      <c r="G2995" s="536" t="s">
        <v>265</v>
      </c>
      <c r="H2995">
        <f>IF(E2995&gt;89,(C2995-B2995)/3,(C2995-B2995))</f>
        <v>8064.9863013698487</v>
      </c>
    </row>
    <row r="2996" spans="1:9" ht="13.5" customHeight="1">
      <c r="A2996" s="532">
        <v>45026</v>
      </c>
      <c r="B2996" s="615">
        <v>100000</v>
      </c>
      <c r="C2996" s="615">
        <f t="shared" si="305"/>
        <v>106410.95890410959</v>
      </c>
      <c r="D2996" s="532">
        <f t="shared" si="304"/>
        <v>45056</v>
      </c>
      <c r="E2996" s="534">
        <v>30</v>
      </c>
      <c r="F2996" s="601">
        <v>0.78</v>
      </c>
      <c r="G2996" s="536" t="s">
        <v>256</v>
      </c>
      <c r="H2996">
        <f>IF(E2996&gt;89,(C2996-B2996)/3,(C2996-B2996))</f>
        <v>6410.9589041095896</v>
      </c>
    </row>
    <row r="2997" spans="1:9" ht="13.5" customHeight="1">
      <c r="A2997" s="532">
        <v>45026</v>
      </c>
      <c r="B2997" s="615">
        <v>45000</v>
      </c>
      <c r="C2997" s="615">
        <f t="shared" si="305"/>
        <v>56809.744397260278</v>
      </c>
      <c r="D2997" s="532">
        <f t="shared" si="304"/>
        <v>45117</v>
      </c>
      <c r="E2997" s="534">
        <v>91</v>
      </c>
      <c r="F2997" s="601">
        <v>1.0526390000000001</v>
      </c>
      <c r="G2997" s="536" t="s">
        <v>718</v>
      </c>
      <c r="H2997">
        <v>56809.75</v>
      </c>
    </row>
    <row r="2998" spans="1:9" ht="13.5" customHeight="1">
      <c r="A2998" s="532">
        <v>45026</v>
      </c>
      <c r="B2998" s="615">
        <v>100000</v>
      </c>
      <c r="C2998" s="615">
        <f t="shared" si="305"/>
        <v>126243.55232876712</v>
      </c>
      <c r="D2998" s="532">
        <f t="shared" si="304"/>
        <v>45117</v>
      </c>
      <c r="E2998" s="534">
        <v>91</v>
      </c>
      <c r="F2998" s="601">
        <v>1.0526260000000001</v>
      </c>
      <c r="G2998" s="536" t="s">
        <v>715</v>
      </c>
      <c r="H2998">
        <v>126243.54</v>
      </c>
    </row>
    <row r="2999" spans="1:9" ht="13.5" customHeight="1">
      <c r="A2999" s="532">
        <v>45026</v>
      </c>
      <c r="B2999" s="615">
        <v>100000</v>
      </c>
      <c r="C2999" s="615">
        <f t="shared" si="305"/>
        <v>126243.90136986302</v>
      </c>
      <c r="D2999" s="532">
        <f t="shared" si="304"/>
        <v>45117</v>
      </c>
      <c r="E2999" s="534">
        <v>91</v>
      </c>
      <c r="F2999" s="601">
        <v>1.05264</v>
      </c>
      <c r="G2999" s="536" t="s">
        <v>713</v>
      </c>
      <c r="H2999">
        <f>100249.32+25994.59</f>
        <v>126243.91</v>
      </c>
    </row>
    <row r="3000" spans="1:9" ht="13.5" customHeight="1">
      <c r="A3000" s="532">
        <v>45027</v>
      </c>
      <c r="B3000" s="615">
        <v>56400</v>
      </c>
      <c r="C3000" s="615">
        <f t="shared" si="305"/>
        <v>60015.780821917811</v>
      </c>
      <c r="D3000" s="532">
        <f t="shared" si="304"/>
        <v>45057</v>
      </c>
      <c r="E3000" s="534">
        <v>30</v>
      </c>
      <c r="F3000" s="601">
        <v>0.78</v>
      </c>
      <c r="G3000" s="536" t="s">
        <v>257</v>
      </c>
      <c r="H3000">
        <f>IF(E3000&gt;89,(C3000-B3000)/3,(C3000-B3000))</f>
        <v>3615.7808219178114</v>
      </c>
    </row>
    <row r="3001" spans="1:9" ht="13.5" customHeight="1">
      <c r="A3001" s="532">
        <v>45027</v>
      </c>
      <c r="B3001" s="615">
        <v>25000</v>
      </c>
      <c r="C3001" s="615">
        <f t="shared" si="305"/>
        <v>26602.739726027397</v>
      </c>
      <c r="D3001" s="532">
        <f t="shared" si="304"/>
        <v>45057</v>
      </c>
      <c r="E3001" s="534">
        <v>30</v>
      </c>
      <c r="F3001" s="601">
        <v>0.78</v>
      </c>
      <c r="G3001" s="536" t="s">
        <v>261</v>
      </c>
      <c r="H3001">
        <f>IF(E3001&gt;89,(C3001-B3001)/3,(C3001-B3001))</f>
        <v>1602.7397260273974</v>
      </c>
    </row>
    <row r="3002" spans="1:9" ht="13.5" customHeight="1">
      <c r="A3002" s="532">
        <v>45027</v>
      </c>
      <c r="B3002" s="615">
        <v>50000</v>
      </c>
      <c r="C3002" s="615">
        <f t="shared" si="305"/>
        <v>62472.82876712329</v>
      </c>
      <c r="D3002" s="532">
        <f t="shared" si="304"/>
        <v>45117</v>
      </c>
      <c r="E3002" s="534">
        <v>90</v>
      </c>
      <c r="F3002" s="601">
        <v>1.0116849999999999</v>
      </c>
      <c r="G3002" s="536" t="s">
        <v>717</v>
      </c>
      <c r="H3002">
        <f>50123.29+12349.54</f>
        <v>62472.83</v>
      </c>
    </row>
    <row r="3003" spans="1:9" ht="13.5" customHeight="1">
      <c r="A3003" s="532">
        <v>45028</v>
      </c>
      <c r="B3003" s="615">
        <v>85000</v>
      </c>
      <c r="C3003" s="615">
        <f t="shared" si="305"/>
        <v>90449.315068493146</v>
      </c>
      <c r="D3003" s="532">
        <f t="shared" si="304"/>
        <v>45058</v>
      </c>
      <c r="E3003" s="534">
        <v>30</v>
      </c>
      <c r="F3003" s="601">
        <v>0.78</v>
      </c>
      <c r="G3003" s="536" t="s">
        <v>256</v>
      </c>
      <c r="H3003">
        <f t="shared" ref="A3003:H3008" si="307">IF(E3003&gt;89,(C3003-B3003)/3,(C3003-B3003))</f>
        <v>5449.3150684931461</v>
      </c>
    </row>
    <row r="3004" spans="1:9" ht="13.5" customHeight="1">
      <c r="A3004" s="532">
        <v>45028</v>
      </c>
      <c r="B3004" s="615">
        <v>21800</v>
      </c>
      <c r="C3004" s="615">
        <f t="shared" si="305"/>
        <v>23197.589041095889</v>
      </c>
      <c r="D3004" s="532">
        <f t="shared" si="304"/>
        <v>45058</v>
      </c>
      <c r="E3004" s="534">
        <v>30</v>
      </c>
      <c r="F3004" s="601">
        <v>0.78</v>
      </c>
      <c r="G3004" s="536" t="s">
        <v>260</v>
      </c>
      <c r="H3004">
        <f t="shared" si="307"/>
        <v>1397.5890410958891</v>
      </c>
    </row>
    <row r="3005" spans="1:9" ht="13.5" customHeight="1">
      <c r="A3005" s="532">
        <v>45028</v>
      </c>
      <c r="B3005" s="615">
        <v>38700</v>
      </c>
      <c r="C3005" s="615">
        <f t="shared" si="305"/>
        <v>41181.04109589041</v>
      </c>
      <c r="D3005" s="532">
        <f t="shared" si="304"/>
        <v>45058</v>
      </c>
      <c r="E3005" s="534">
        <v>30</v>
      </c>
      <c r="F3005" s="601">
        <v>0.78</v>
      </c>
      <c r="G3005" s="536" t="s">
        <v>261</v>
      </c>
      <c r="H3005">
        <f t="shared" si="307"/>
        <v>2481.0410958904104</v>
      </c>
    </row>
    <row r="3006" spans="1:9" ht="13.5" customHeight="1">
      <c r="A3006" s="532">
        <v>45028</v>
      </c>
      <c r="B3006" s="615">
        <v>202000</v>
      </c>
      <c r="C3006" s="615">
        <f t="shared" si="305"/>
        <v>214950.13698630137</v>
      </c>
      <c r="D3006" s="532">
        <f t="shared" si="304"/>
        <v>45058</v>
      </c>
      <c r="E3006" s="534">
        <v>30</v>
      </c>
      <c r="F3006" s="601">
        <v>0.78</v>
      </c>
      <c r="G3006" s="536" t="s">
        <v>258</v>
      </c>
      <c r="H3006">
        <f t="shared" si="307"/>
        <v>12950.136986301368</v>
      </c>
    </row>
    <row r="3007" spans="1:9" ht="13.5" customHeight="1">
      <c r="A3007" s="532">
        <v>45028</v>
      </c>
      <c r="B3007" s="615">
        <v>77600</v>
      </c>
      <c r="C3007" s="615">
        <f t="shared" si="305"/>
        <v>82574.904109589042</v>
      </c>
      <c r="D3007" s="532">
        <f t="shared" si="304"/>
        <v>45058</v>
      </c>
      <c r="E3007" s="534">
        <v>30</v>
      </c>
      <c r="F3007" s="601">
        <v>0.78</v>
      </c>
      <c r="G3007" s="536" t="s">
        <v>257</v>
      </c>
      <c r="H3007">
        <f t="shared" si="307"/>
        <v>4974.9041095890425</v>
      </c>
    </row>
    <row r="3008" spans="1:9" ht="13.5" customHeight="1">
      <c r="A3008" s="532">
        <v>45028</v>
      </c>
      <c r="B3008" s="615">
        <v>101500</v>
      </c>
      <c r="C3008" s="615">
        <f t="shared" si="305"/>
        <v>108007.12328767123</v>
      </c>
      <c r="D3008" s="532">
        <f t="shared" si="304"/>
        <v>45058</v>
      </c>
      <c r="E3008" s="534">
        <v>30</v>
      </c>
      <c r="F3008" s="601">
        <v>0.78</v>
      </c>
      <c r="G3008" s="536" t="s">
        <v>265</v>
      </c>
      <c r="H3008">
        <f t="shared" si="307"/>
        <v>6507.1232876712311</v>
      </c>
      <c r="I3008">
        <f>SUM(C3003:C3008)</f>
        <v>560360.10958904109</v>
      </c>
    </row>
    <row r="3009" spans="1:10" ht="13.5" customHeight="1">
      <c r="A3009" s="532">
        <v>45028</v>
      </c>
      <c r="B3009" s="615">
        <v>20000</v>
      </c>
      <c r="C3009" s="615">
        <f t="shared" si="305"/>
        <v>25125.620821917808</v>
      </c>
      <c r="D3009" s="532">
        <f t="shared" si="304"/>
        <v>45118</v>
      </c>
      <c r="E3009" s="534">
        <v>90</v>
      </c>
      <c r="F3009" s="601">
        <v>1.0393619999999999</v>
      </c>
      <c r="G3009" s="536" t="s">
        <v>715</v>
      </c>
      <c r="H3009">
        <v>25125.62</v>
      </c>
    </row>
    <row r="3010" spans="1:10" ht="13.5" customHeight="1">
      <c r="A3010" s="532">
        <v>45028</v>
      </c>
      <c r="B3010" s="615">
        <v>30000</v>
      </c>
      <c r="C3010" s="615">
        <f t="shared" si="305"/>
        <v>35473.972602739726</v>
      </c>
      <c r="D3010" s="532">
        <f t="shared" si="304"/>
        <v>45118</v>
      </c>
      <c r="E3010" s="534">
        <v>90</v>
      </c>
      <c r="F3010" s="601">
        <v>0.74</v>
      </c>
      <c r="G3010" s="536" t="s">
        <v>718</v>
      </c>
      <c r="H3010">
        <v>37688.910000000003</v>
      </c>
    </row>
    <row r="3011" spans="1:10" ht="13.5" customHeight="1">
      <c r="A3011" s="532">
        <v>45028</v>
      </c>
      <c r="B3011" s="615">
        <v>75000</v>
      </c>
      <c r="C3011" s="615">
        <f t="shared" si="305"/>
        <v>94222.280136986301</v>
      </c>
      <c r="D3011" s="532">
        <f t="shared" si="304"/>
        <v>45118</v>
      </c>
      <c r="E3011" s="534">
        <v>90</v>
      </c>
      <c r="F3011" s="601">
        <v>1.0394270000000001</v>
      </c>
      <c r="G3011" s="536" t="s">
        <v>717</v>
      </c>
      <c r="H3011">
        <f>75184.93+19037.35</f>
        <v>94222.28</v>
      </c>
    </row>
    <row r="3012" spans="1:10" ht="13.5" customHeight="1">
      <c r="A3012" s="532">
        <v>45028</v>
      </c>
      <c r="B3012" s="615">
        <v>80000</v>
      </c>
      <c r="C3012" s="615">
        <f t="shared" si="305"/>
        <v>100503.76547945206</v>
      </c>
      <c r="D3012" s="532">
        <f t="shared" si="304"/>
        <v>45118</v>
      </c>
      <c r="E3012" s="534">
        <v>90</v>
      </c>
      <c r="F3012" s="601">
        <v>1.0394270000000001</v>
      </c>
      <c r="G3012" s="536" t="s">
        <v>719</v>
      </c>
      <c r="H3012">
        <f>80197.26+20306.5</f>
        <v>100503.76</v>
      </c>
    </row>
    <row r="3013" spans="1:10" ht="13.5" customHeight="1">
      <c r="A3013" s="532">
        <v>45028</v>
      </c>
      <c r="B3013" s="615">
        <v>190000</v>
      </c>
      <c r="C3013" s="615">
        <f t="shared" si="305"/>
        <v>238695.92767123287</v>
      </c>
      <c r="D3013" s="532">
        <f t="shared" si="304"/>
        <v>45118</v>
      </c>
      <c r="E3013" s="534">
        <v>90</v>
      </c>
      <c r="F3013" s="601">
        <v>1.0394159999999999</v>
      </c>
      <c r="G3013" s="536" t="s">
        <v>716</v>
      </c>
      <c r="H3013">
        <v>238695.91</v>
      </c>
      <c r="I3013">
        <v>242035.51</v>
      </c>
    </row>
    <row r="3014" spans="1:10" ht="13.5" customHeight="1">
      <c r="A3014" s="532">
        <v>45028</v>
      </c>
      <c r="B3014" s="615">
        <v>100000</v>
      </c>
      <c r="C3014" s="615">
        <f t="shared" si="305"/>
        <v>125629.70684931507</v>
      </c>
      <c r="D3014" s="532">
        <f t="shared" si="304"/>
        <v>45118</v>
      </c>
      <c r="E3014" s="534">
        <v>90</v>
      </c>
      <c r="F3014" s="601">
        <v>1.0394270000000001</v>
      </c>
      <c r="G3014" s="536" t="s">
        <v>713</v>
      </c>
      <c r="H3014">
        <f>100246.58+25383.13</f>
        <v>125629.71</v>
      </c>
      <c r="I3014">
        <v>126293.73</v>
      </c>
    </row>
    <row r="3015" spans="1:10" ht="13.5" customHeight="1">
      <c r="A3015" s="532">
        <v>45029</v>
      </c>
      <c r="B3015" s="615">
        <v>15000</v>
      </c>
      <c r="C3015" s="615">
        <f t="shared" si="305"/>
        <v>16025.753424657534</v>
      </c>
      <c r="D3015" s="532">
        <f t="shared" si="304"/>
        <v>45061</v>
      </c>
      <c r="E3015" s="534">
        <v>32</v>
      </c>
      <c r="F3015" s="601">
        <v>0.78</v>
      </c>
      <c r="G3015" s="536" t="s">
        <v>260</v>
      </c>
      <c r="H3015">
        <f>IF(E3015&gt;89,(C3015-B3015)/3,(C3015-B3015))</f>
        <v>1025.7534246575342</v>
      </c>
    </row>
    <row r="3016" spans="1:10" ht="13.5" customHeight="1">
      <c r="A3016" s="532">
        <v>45030</v>
      </c>
      <c r="B3016" s="615">
        <v>2100</v>
      </c>
      <c r="C3016" s="615">
        <f t="shared" si="305"/>
        <v>2239.1178082191782</v>
      </c>
      <c r="D3016" s="532">
        <f t="shared" si="304"/>
        <v>45061</v>
      </c>
      <c r="E3016" s="534">
        <v>31</v>
      </c>
      <c r="F3016" s="601">
        <v>0.78</v>
      </c>
      <c r="G3016" s="536" t="s">
        <v>259</v>
      </c>
      <c r="H3016">
        <f>IF(E3016&gt;89,(C3016-B3016)/3,(C3016-B3016))</f>
        <v>139.11780821917819</v>
      </c>
    </row>
    <row r="3017" spans="1:10" ht="13.5" customHeight="1">
      <c r="A3017" s="532">
        <v>45030</v>
      </c>
      <c r="B3017" s="615">
        <v>55800</v>
      </c>
      <c r="C3017" s="615">
        <f t="shared" si="305"/>
        <v>70159.769210958912</v>
      </c>
      <c r="D3017" s="532">
        <f t="shared" si="304"/>
        <v>45120</v>
      </c>
      <c r="E3017" s="534">
        <v>90</v>
      </c>
      <c r="F3017" s="601">
        <v>1.043671</v>
      </c>
      <c r="G3017" s="536" t="s">
        <v>715</v>
      </c>
      <c r="H3017">
        <v>70159.48</v>
      </c>
      <c r="J3017">
        <f>+H3017-C3017</f>
        <v>-0.28921095891564619</v>
      </c>
    </row>
    <row r="3018" spans="1:10" ht="13.5" customHeight="1">
      <c r="A3018" s="532">
        <v>45030</v>
      </c>
      <c r="B3018" s="615">
        <v>223400</v>
      </c>
      <c r="C3018" s="615">
        <f t="shared" si="305"/>
        <v>280890.54555068491</v>
      </c>
      <c r="D3018" s="532">
        <f t="shared" si="304"/>
        <v>45120</v>
      </c>
      <c r="E3018" s="534">
        <v>90</v>
      </c>
      <c r="F3018" s="601">
        <v>1.043671</v>
      </c>
      <c r="G3018" s="536" t="s">
        <v>713</v>
      </c>
      <c r="H3018">
        <f>223950.85+56939.69</f>
        <v>280890.54000000004</v>
      </c>
      <c r="I3018">
        <v>280921.44</v>
      </c>
      <c r="J3018">
        <f>+H3018-C3018</f>
        <v>-5.5506848730146885E-3</v>
      </c>
    </row>
    <row r="3019" spans="1:10" ht="13.5" customHeight="1">
      <c r="A3019" s="532">
        <v>45030</v>
      </c>
      <c r="B3019" s="615">
        <v>497700</v>
      </c>
      <c r="C3019" s="615">
        <f t="shared" si="305"/>
        <v>625779.87699452054</v>
      </c>
      <c r="D3019" s="532">
        <f t="shared" si="304"/>
        <v>45120</v>
      </c>
      <c r="E3019" s="534">
        <v>90</v>
      </c>
      <c r="F3019" s="601">
        <v>1.043671</v>
      </c>
      <c r="G3019" s="536" t="s">
        <v>718</v>
      </c>
      <c r="H3019">
        <v>625779.88</v>
      </c>
      <c r="I3019">
        <v>625848.84</v>
      </c>
      <c r="J3019">
        <f>+H3019-C3019</f>
        <v>3.0054794624447823E-3</v>
      </c>
    </row>
    <row r="3020" spans="1:10" ht="13.5" customHeight="1">
      <c r="A3020" s="532">
        <v>45030</v>
      </c>
      <c r="B3020" s="615">
        <v>326500</v>
      </c>
      <c r="C3020" s="615">
        <f t="shared" si="305"/>
        <v>410522.66393150686</v>
      </c>
      <c r="D3020" s="532">
        <f t="shared" si="304"/>
        <v>45120</v>
      </c>
      <c r="E3020" s="534">
        <v>90</v>
      </c>
      <c r="F3020" s="653">
        <v>1.043671</v>
      </c>
      <c r="G3020" s="536" t="s">
        <v>717</v>
      </c>
      <c r="H3020">
        <f>327305.07+83217.59</f>
        <v>410522.66000000003</v>
      </c>
      <c r="J3020">
        <f>+H3020-C3020</f>
        <v>-3.9315068279393017E-3</v>
      </c>
    </row>
    <row r="3021" spans="1:10" ht="13.5" customHeight="1">
      <c r="A3021" s="532">
        <v>45030</v>
      </c>
      <c r="B3021" s="615">
        <v>130000</v>
      </c>
      <c r="C3021" s="615">
        <f t="shared" si="305"/>
        <v>163454.94794520549</v>
      </c>
      <c r="D3021" s="532">
        <f t="shared" si="304"/>
        <v>45120</v>
      </c>
      <c r="E3021" s="534">
        <v>90</v>
      </c>
      <c r="F3021" s="653">
        <v>1.0436799999999999</v>
      </c>
      <c r="G3021" s="536" t="s">
        <v>716</v>
      </c>
      <c r="H3021">
        <v>163454.95000000001</v>
      </c>
      <c r="I3021">
        <v>165490.46</v>
      </c>
      <c r="J3021">
        <f>+H3021-C3021</f>
        <v>2.0547945168800652E-3</v>
      </c>
    </row>
    <row r="3022" spans="1:10" ht="13.5" customHeight="1">
      <c r="A3022" s="532">
        <v>45033</v>
      </c>
      <c r="B3022" s="615">
        <v>18500</v>
      </c>
      <c r="C3022" s="615">
        <f t="shared" si="305"/>
        <v>19686.027397260274</v>
      </c>
      <c r="D3022" s="532">
        <f t="shared" si="304"/>
        <v>45063</v>
      </c>
      <c r="E3022" s="534">
        <v>30</v>
      </c>
      <c r="F3022" s="601">
        <v>0.78</v>
      </c>
      <c r="G3022" s="536" t="s">
        <v>259</v>
      </c>
      <c r="H3022">
        <f>IF(E3022&gt;89,(C3022-B3022)/3,(C3022-B3022))</f>
        <v>1186.0273972602736</v>
      </c>
    </row>
    <row r="3023" spans="1:10" ht="13.5" customHeight="1">
      <c r="A3023" s="532">
        <v>45033</v>
      </c>
      <c r="B3023" s="615">
        <v>18500</v>
      </c>
      <c r="C3023" s="615">
        <f t="shared" si="305"/>
        <v>19686.027397260274</v>
      </c>
      <c r="D3023" s="532">
        <f t="shared" si="304"/>
        <v>45063</v>
      </c>
      <c r="E3023" s="534">
        <v>30</v>
      </c>
      <c r="F3023" s="601">
        <v>0.78</v>
      </c>
      <c r="G3023" s="536" t="s">
        <v>259</v>
      </c>
      <c r="H3023">
        <f>IF(E3023&gt;89,(C3023-B3023)/3,(C3023-B3023))</f>
        <v>1186.0273972602736</v>
      </c>
    </row>
    <row r="3024" spans="1:10" ht="13.5" customHeight="1">
      <c r="A3024" s="532">
        <v>45033</v>
      </c>
      <c r="B3024" s="615">
        <v>44300</v>
      </c>
      <c r="C3024" s="615">
        <f t="shared" si="305"/>
        <v>55868.163256712331</v>
      </c>
      <c r="D3024" s="532">
        <f t="shared" si="304"/>
        <v>45124</v>
      </c>
      <c r="E3024" s="534">
        <v>91</v>
      </c>
      <c r="F3024" s="653">
        <v>1.047399</v>
      </c>
      <c r="G3024" s="536" t="s">
        <v>717</v>
      </c>
      <c r="H3024">
        <f>44410.45+11457.71</f>
        <v>55868.159999999996</v>
      </c>
    </row>
    <row r="3025" spans="1:9" ht="13.5" customHeight="1">
      <c r="A3025" s="532">
        <v>45033</v>
      </c>
      <c r="B3025" s="615">
        <v>55000</v>
      </c>
      <c r="C3025" s="615">
        <f t="shared" si="305"/>
        <v>69362.265726027399</v>
      </c>
      <c r="D3025" s="532">
        <f t="shared" si="304"/>
        <v>45124</v>
      </c>
      <c r="E3025" s="534">
        <v>91</v>
      </c>
      <c r="F3025" s="653">
        <v>1.0473980000000001</v>
      </c>
      <c r="G3025" s="536" t="s">
        <v>719</v>
      </c>
      <c r="H3025">
        <f>55137.12+14225.14</f>
        <v>69362.260000000009</v>
      </c>
    </row>
    <row r="3026" spans="1:9" ht="13.5" customHeight="1">
      <c r="A3026" s="532">
        <v>45033</v>
      </c>
      <c r="B3026" s="615">
        <v>40000</v>
      </c>
      <c r="C3026" s="615">
        <f t="shared" si="305"/>
        <v>50443.59</v>
      </c>
      <c r="D3026" s="532">
        <f t="shared" si="304"/>
        <v>45124</v>
      </c>
      <c r="E3026" s="534">
        <v>91</v>
      </c>
      <c r="F3026" s="653">
        <v>1.0472281181318674</v>
      </c>
      <c r="G3026" s="536" t="s">
        <v>716</v>
      </c>
      <c r="H3026" s="193">
        <v>50443.59</v>
      </c>
    </row>
    <row r="3027" spans="1:9" ht="13.5" customHeight="1">
      <c r="A3027" s="532">
        <v>45035</v>
      </c>
      <c r="B3027" s="615">
        <v>179600</v>
      </c>
      <c r="C3027" s="615">
        <f t="shared" si="305"/>
        <v>225760.5754958904</v>
      </c>
      <c r="D3027" s="532">
        <f t="shared" si="304"/>
        <v>45125</v>
      </c>
      <c r="E3027" s="534">
        <v>90</v>
      </c>
      <c r="F3027" s="653">
        <v>1.042354</v>
      </c>
      <c r="G3027" s="536" t="s">
        <v>717</v>
      </c>
      <c r="H3027">
        <f>180042.85+45717.74</f>
        <v>225760.59</v>
      </c>
    </row>
    <row r="3028" spans="1:9" ht="13.5" customHeight="1">
      <c r="A3028" s="532">
        <v>45035</v>
      </c>
      <c r="B3028" s="615">
        <v>300000</v>
      </c>
      <c r="C3028" s="615">
        <f t="shared" si="305"/>
        <v>377105.71232876711</v>
      </c>
      <c r="D3028" s="532">
        <f t="shared" si="304"/>
        <v>45125</v>
      </c>
      <c r="E3028" s="534">
        <v>90</v>
      </c>
      <c r="F3028" s="653">
        <v>1.0423549999999999</v>
      </c>
      <c r="G3028" s="536" t="s">
        <v>719</v>
      </c>
      <c r="H3028">
        <f>300739.73+76365.95</f>
        <v>377105.68</v>
      </c>
    </row>
    <row r="3029" spans="1:9" ht="13.5" customHeight="1">
      <c r="A3029" s="532">
        <v>45035</v>
      </c>
      <c r="B3029" s="615">
        <v>300000</v>
      </c>
      <c r="C3029" s="615">
        <f t="shared" si="305"/>
        <v>377105.5</v>
      </c>
      <c r="D3029" s="532">
        <f t="shared" si="304"/>
        <v>45125</v>
      </c>
      <c r="E3029" s="534">
        <v>90</v>
      </c>
      <c r="F3029" s="653">
        <v>1.0423521296296296</v>
      </c>
      <c r="G3029" s="536" t="s">
        <v>714</v>
      </c>
      <c r="H3029">
        <v>377105.5</v>
      </c>
    </row>
    <row r="3030" spans="1:9" ht="13.5" customHeight="1">
      <c r="A3030" s="532">
        <v>45037</v>
      </c>
      <c r="B3030" s="615">
        <v>84000</v>
      </c>
      <c r="C3030" s="615">
        <f t="shared" si="305"/>
        <v>89778.739726027401</v>
      </c>
      <c r="D3030" s="532">
        <f t="shared" si="304"/>
        <v>45068</v>
      </c>
      <c r="E3030" s="534">
        <v>31</v>
      </c>
      <c r="F3030" s="601">
        <v>0.81</v>
      </c>
      <c r="G3030" s="536" t="s">
        <v>261</v>
      </c>
    </row>
    <row r="3031" spans="1:9" ht="13.5" customHeight="1">
      <c r="A3031" s="532">
        <v>45037</v>
      </c>
      <c r="B3031" s="615">
        <v>100000</v>
      </c>
      <c r="C3031" s="615">
        <f t="shared" si="305"/>
        <v>125555.11000000002</v>
      </c>
      <c r="D3031" s="532">
        <f t="shared" si="304"/>
        <v>45127</v>
      </c>
      <c r="E3031" s="534">
        <v>90</v>
      </c>
      <c r="F3031" s="653">
        <v>1.0364016833333336</v>
      </c>
      <c r="G3031" s="536" t="s">
        <v>719</v>
      </c>
      <c r="H3031">
        <f>100246.58+25308.53</f>
        <v>125555.11</v>
      </c>
    </row>
    <row r="3032" spans="1:9" ht="13.5" customHeight="1">
      <c r="A3032" s="532">
        <v>45040</v>
      </c>
      <c r="B3032" s="615">
        <v>70000</v>
      </c>
      <c r="C3032" s="615">
        <f t="shared" si="305"/>
        <v>88003.18</v>
      </c>
      <c r="D3032" s="532">
        <f t="shared" si="304"/>
        <v>45131</v>
      </c>
      <c r="E3032" s="534">
        <v>91</v>
      </c>
      <c r="F3032" s="653">
        <v>1.0315793877551016</v>
      </c>
      <c r="G3032" s="536" t="s">
        <v>719</v>
      </c>
      <c r="H3032">
        <f>70174.52+17828.66</f>
        <v>88003.180000000008</v>
      </c>
      <c r="I3032">
        <f>+H3032-C3032</f>
        <v>0</v>
      </c>
    </row>
    <row r="3033" spans="1:9" ht="13.5" customHeight="1">
      <c r="A3033" s="532">
        <v>45040</v>
      </c>
      <c r="B3033" s="615">
        <v>70000</v>
      </c>
      <c r="C3033" s="615">
        <f t="shared" si="305"/>
        <v>88002.47</v>
      </c>
      <c r="D3033" s="532">
        <f t="shared" si="304"/>
        <v>45131</v>
      </c>
      <c r="E3033" s="534">
        <v>91</v>
      </c>
      <c r="F3033" s="653">
        <v>1.0315387048665614</v>
      </c>
      <c r="G3033" s="536" t="s">
        <v>716</v>
      </c>
      <c r="H3033">
        <v>88002.47</v>
      </c>
    </row>
    <row r="3034" spans="1:9" ht="13.5" customHeight="1">
      <c r="A3034" s="532">
        <v>45041</v>
      </c>
      <c r="B3034" s="615">
        <v>14000</v>
      </c>
      <c r="C3034" s="615">
        <f t="shared" si="305"/>
        <v>17470.430000000004</v>
      </c>
      <c r="D3034" s="532">
        <f t="shared" si="304"/>
        <v>45131</v>
      </c>
      <c r="E3034" s="534">
        <v>90</v>
      </c>
      <c r="F3034" s="653">
        <v>1.0053229761904769</v>
      </c>
      <c r="G3034" s="536" t="s">
        <v>719</v>
      </c>
      <c r="H3034">
        <f>14034.52+3435.91</f>
        <v>17470.43</v>
      </c>
      <c r="I3034">
        <f>+H3034-C3034</f>
        <v>0</v>
      </c>
    </row>
    <row r="3035" spans="1:9" ht="13.5" customHeight="1">
      <c r="A3035" s="532">
        <v>45041</v>
      </c>
      <c r="B3035" s="615">
        <v>23000</v>
      </c>
      <c r="C3035" s="615">
        <f t="shared" si="305"/>
        <v>28701.439999999999</v>
      </c>
      <c r="D3035" s="532">
        <f t="shared" si="304"/>
        <v>45131</v>
      </c>
      <c r="E3035" s="534">
        <v>90</v>
      </c>
      <c r="F3035" s="653">
        <v>1.0053263768115939</v>
      </c>
      <c r="G3035" s="536" t="s">
        <v>718</v>
      </c>
      <c r="H3035">
        <v>28701.439999999999</v>
      </c>
      <c r="I3035">
        <f>+H3035-C3035</f>
        <v>0</v>
      </c>
    </row>
    <row r="3036" spans="1:9" ht="13.5" customHeight="1">
      <c r="A3036" s="532">
        <v>45041</v>
      </c>
      <c r="B3036" s="615">
        <v>35000</v>
      </c>
      <c r="C3036" s="615">
        <f t="shared" si="305"/>
        <v>43675.75</v>
      </c>
      <c r="D3036" s="532">
        <f t="shared" ref="A3036:D3099" si="308">+A3036+E3036</f>
        <v>45131</v>
      </c>
      <c r="E3036" s="534">
        <v>90</v>
      </c>
      <c r="F3036" s="653">
        <v>1.0052853174603178</v>
      </c>
      <c r="G3036" s="536" t="s">
        <v>715</v>
      </c>
      <c r="H3036">
        <v>43675.75</v>
      </c>
      <c r="I3036">
        <f>+H3036-C3036</f>
        <v>0</v>
      </c>
    </row>
    <row r="3037" spans="1:9" ht="13.5" customHeight="1">
      <c r="A3037" s="532">
        <v>45041</v>
      </c>
      <c r="B3037" s="615">
        <v>15000</v>
      </c>
      <c r="C3037" s="615">
        <f t="shared" si="305"/>
        <v>18718</v>
      </c>
      <c r="D3037" s="532">
        <f t="shared" si="308"/>
        <v>45131</v>
      </c>
      <c r="E3037" s="534">
        <v>90</v>
      </c>
      <c r="F3037" s="653">
        <v>1.0052370370370376</v>
      </c>
      <c r="G3037" s="536" t="s">
        <v>716</v>
      </c>
      <c r="H3037">
        <v>18718</v>
      </c>
    </row>
    <row r="3038" spans="1:9" ht="13.5" customHeight="1">
      <c r="A3038" s="532">
        <v>45042</v>
      </c>
      <c r="B3038" s="615">
        <v>39200</v>
      </c>
      <c r="C3038" s="615">
        <f t="shared" si="305"/>
        <v>42070.728767123292</v>
      </c>
      <c r="D3038" s="532">
        <f t="shared" si="308"/>
        <v>45075</v>
      </c>
      <c r="E3038" s="534">
        <v>33</v>
      </c>
      <c r="F3038" s="601">
        <v>0.81</v>
      </c>
      <c r="G3038" s="536" t="s">
        <v>261</v>
      </c>
      <c r="H3038">
        <f>IF(E3038&gt;89,(C3038-B3038)/3,(C3038-B3038))</f>
        <v>2870.7287671232916</v>
      </c>
    </row>
    <row r="3039" spans="1:9" ht="13.5" customHeight="1">
      <c r="A3039" s="532">
        <v>45042</v>
      </c>
      <c r="B3039" s="615">
        <v>80000</v>
      </c>
      <c r="C3039" s="615">
        <f t="shared" si="305"/>
        <v>85858.630136986307</v>
      </c>
      <c r="D3039" s="532">
        <f t="shared" si="308"/>
        <v>45075</v>
      </c>
      <c r="E3039" s="534">
        <v>33</v>
      </c>
      <c r="F3039" s="601">
        <v>0.81</v>
      </c>
      <c r="G3039" s="536" t="s">
        <v>262</v>
      </c>
      <c r="H3039">
        <f>IF(E3039&gt;89,(C3039-B3039)/3,(C3039-B3039))</f>
        <v>5858.6301369863068</v>
      </c>
    </row>
    <row r="3040" spans="1:9" ht="13.5" customHeight="1">
      <c r="A3040" s="532">
        <v>45042</v>
      </c>
      <c r="B3040" s="615">
        <v>105100</v>
      </c>
      <c r="C3040" s="615">
        <f t="shared" si="305"/>
        <v>112796.77534246576</v>
      </c>
      <c r="D3040" s="532">
        <f t="shared" si="308"/>
        <v>45075</v>
      </c>
      <c r="E3040" s="534">
        <v>33</v>
      </c>
      <c r="F3040" s="601">
        <v>0.81</v>
      </c>
      <c r="G3040" s="536" t="s">
        <v>259</v>
      </c>
      <c r="H3040">
        <f>IF(E3040&gt;89,(C3040-B3040)/3,(C3040-B3040))</f>
        <v>7696.7753424657567</v>
      </c>
    </row>
    <row r="3041" spans="1:8" ht="13.5" customHeight="1">
      <c r="A3041" s="532">
        <v>45042</v>
      </c>
      <c r="B3041" s="615">
        <v>200000</v>
      </c>
      <c r="C3041" s="615">
        <f t="shared" si="305"/>
        <v>214646.57534246575</v>
      </c>
      <c r="D3041" s="532">
        <f t="shared" si="308"/>
        <v>45075</v>
      </c>
      <c r="E3041" s="534">
        <v>33</v>
      </c>
      <c r="F3041" s="601">
        <v>0.81</v>
      </c>
      <c r="G3041" s="536" t="s">
        <v>257</v>
      </c>
      <c r="H3041">
        <f>IF(E3041&gt;89,(C3041-B3041)/3,(C3041-B3041))</f>
        <v>14646.575342465745</v>
      </c>
    </row>
    <row r="3042" spans="1:8" ht="13.5" customHeight="1">
      <c r="A3042" s="532">
        <v>45042</v>
      </c>
      <c r="B3042" s="615">
        <v>460000</v>
      </c>
      <c r="C3042" s="615">
        <f t="shared" si="305"/>
        <v>493687.12328767125</v>
      </c>
      <c r="D3042" s="532">
        <f t="shared" si="308"/>
        <v>45075</v>
      </c>
      <c r="E3042" s="534">
        <v>33</v>
      </c>
      <c r="F3042" s="601">
        <v>0.81</v>
      </c>
      <c r="G3042" s="536" t="s">
        <v>256</v>
      </c>
      <c r="H3042">
        <f>IF(E3042&gt;89,(C3042-B3042)/3,(C3042-B3042))</f>
        <v>33687.123287671246</v>
      </c>
    </row>
    <row r="3043" spans="1:8" ht="13.5" customHeight="1">
      <c r="A3043" s="532">
        <v>45042</v>
      </c>
      <c r="B3043" s="615">
        <v>122400</v>
      </c>
      <c r="C3043" s="615">
        <f t="shared" si="305"/>
        <v>153224.31</v>
      </c>
      <c r="D3043" s="532">
        <f t="shared" si="308"/>
        <v>45132</v>
      </c>
      <c r="E3043" s="534">
        <v>90</v>
      </c>
      <c r="F3043" s="653">
        <v>1.0213210920479303</v>
      </c>
      <c r="G3043" s="536" t="s">
        <v>260</v>
      </c>
      <c r="H3043">
        <v>153224.31</v>
      </c>
    </row>
    <row r="3044" spans="1:8" ht="13.5" customHeight="1">
      <c r="A3044" s="532">
        <v>45044</v>
      </c>
      <c r="B3044" s="615">
        <v>6400</v>
      </c>
      <c r="C3044" s="615">
        <f t="shared" ref="A3044:C3107" si="309">B3044+(B3044*F3044/365*E3044)*1</f>
        <v>6894.6410958904107</v>
      </c>
      <c r="D3044" s="532">
        <f t="shared" si="308"/>
        <v>45075</v>
      </c>
      <c r="E3044" s="534">
        <v>31</v>
      </c>
      <c r="F3044" s="601">
        <v>0.91</v>
      </c>
      <c r="G3044" s="536" t="s">
        <v>265</v>
      </c>
      <c r="H3044">
        <f t="shared" ref="A3044:H3051" si="310">IF(E3044&gt;89,(C3044-B3044)/3,(C3044-B3044))</f>
        <v>494.64109589041072</v>
      </c>
    </row>
    <row r="3045" spans="1:8" ht="13.5" customHeight="1">
      <c r="A3045" s="532">
        <v>45044</v>
      </c>
      <c r="B3045" s="615">
        <v>10000</v>
      </c>
      <c r="C3045" s="615">
        <f t="shared" si="309"/>
        <v>10772.876712328767</v>
      </c>
      <c r="D3045" s="532">
        <f t="shared" si="308"/>
        <v>45075</v>
      </c>
      <c r="E3045" s="534">
        <v>31</v>
      </c>
      <c r="F3045" s="601">
        <v>0.91</v>
      </c>
      <c r="G3045" s="536" t="s">
        <v>257</v>
      </c>
      <c r="H3045">
        <f t="shared" si="310"/>
        <v>772.8767123287671</v>
      </c>
    </row>
    <row r="3046" spans="1:8" ht="13.5" customHeight="1">
      <c r="A3046" s="532">
        <v>45044</v>
      </c>
      <c r="B3046" s="615">
        <v>31900</v>
      </c>
      <c r="C3046" s="615">
        <f t="shared" si="309"/>
        <v>34365.476712328767</v>
      </c>
      <c r="D3046" s="532">
        <f t="shared" si="308"/>
        <v>45075</v>
      </c>
      <c r="E3046" s="534">
        <v>31</v>
      </c>
      <c r="F3046" s="601">
        <v>0.91</v>
      </c>
      <c r="G3046" s="536" t="s">
        <v>261</v>
      </c>
      <c r="H3046">
        <f t="shared" si="310"/>
        <v>2465.4767123287675</v>
      </c>
    </row>
    <row r="3047" spans="1:8" ht="13.5" customHeight="1">
      <c r="A3047" s="532">
        <v>45044</v>
      </c>
      <c r="B3047" s="615">
        <v>40000</v>
      </c>
      <c r="C3047" s="615">
        <f t="shared" si="309"/>
        <v>43091.506849315068</v>
      </c>
      <c r="D3047" s="532">
        <f t="shared" si="308"/>
        <v>45075</v>
      </c>
      <c r="E3047" s="534">
        <v>31</v>
      </c>
      <c r="F3047" s="601">
        <v>0.91</v>
      </c>
      <c r="G3047" s="536" t="s">
        <v>260</v>
      </c>
      <c r="H3047">
        <f t="shared" si="310"/>
        <v>3091.5068493150684</v>
      </c>
    </row>
    <row r="3048" spans="1:8" ht="13.5" customHeight="1">
      <c r="A3048" s="532">
        <v>45044</v>
      </c>
      <c r="B3048" s="615">
        <v>40400</v>
      </c>
      <c r="C3048" s="615">
        <f t="shared" si="309"/>
        <v>43522.42191780822</v>
      </c>
      <c r="D3048" s="532">
        <f t="shared" si="308"/>
        <v>45075</v>
      </c>
      <c r="E3048" s="534">
        <v>31</v>
      </c>
      <c r="F3048" s="601">
        <v>0.91</v>
      </c>
      <c r="G3048" s="536" t="s">
        <v>259</v>
      </c>
      <c r="H3048">
        <f t="shared" si="310"/>
        <v>3122.4219178082203</v>
      </c>
    </row>
    <row r="3049" spans="1:8" ht="13.5" customHeight="1">
      <c r="A3049" s="532">
        <v>45044</v>
      </c>
      <c r="B3049" s="615">
        <v>95000</v>
      </c>
      <c r="C3049" s="615">
        <f t="shared" si="309"/>
        <v>102342.32876712328</v>
      </c>
      <c r="D3049" s="532">
        <f t="shared" si="308"/>
        <v>45075</v>
      </c>
      <c r="E3049" s="534">
        <v>31</v>
      </c>
      <c r="F3049" s="601">
        <v>0.91</v>
      </c>
      <c r="G3049" s="536" t="s">
        <v>256</v>
      </c>
      <c r="H3049">
        <f t="shared" si="310"/>
        <v>7342.3287671232829</v>
      </c>
    </row>
    <row r="3050" spans="1:8" ht="13.5" customHeight="1">
      <c r="A3050" s="532">
        <v>45044</v>
      </c>
      <c r="B3050" s="615">
        <v>105000</v>
      </c>
      <c r="C3050" s="615">
        <f t="shared" si="309"/>
        <v>113115.20547945205</v>
      </c>
      <c r="D3050" s="532">
        <f t="shared" si="308"/>
        <v>45075</v>
      </c>
      <c r="E3050" s="534">
        <v>31</v>
      </c>
      <c r="F3050" s="601">
        <v>0.91</v>
      </c>
      <c r="G3050" s="536" t="s">
        <v>262</v>
      </c>
      <c r="H3050">
        <f t="shared" si="310"/>
        <v>8115.2054794520518</v>
      </c>
    </row>
    <row r="3051" spans="1:8" ht="13.5" customHeight="1">
      <c r="A3051" s="532">
        <v>45044</v>
      </c>
      <c r="B3051" s="615">
        <v>230000</v>
      </c>
      <c r="C3051" s="615">
        <f t="shared" si="309"/>
        <v>247776.16438356164</v>
      </c>
      <c r="D3051" s="532">
        <f t="shared" si="308"/>
        <v>45075</v>
      </c>
      <c r="E3051" s="534">
        <v>31</v>
      </c>
      <c r="F3051" s="601">
        <v>0.91</v>
      </c>
      <c r="G3051" s="536" t="s">
        <v>258</v>
      </c>
      <c r="H3051">
        <f t="shared" si="310"/>
        <v>17776.164383561641</v>
      </c>
    </row>
    <row r="3052" spans="1:8" ht="13.5" customHeight="1">
      <c r="A3052" s="532">
        <v>45044</v>
      </c>
      <c r="B3052" s="615">
        <v>40000</v>
      </c>
      <c r="C3052" s="615">
        <f t="shared" si="309"/>
        <v>50013.714666666652</v>
      </c>
      <c r="D3052" s="532">
        <f t="shared" si="308"/>
        <v>45134</v>
      </c>
      <c r="E3052" s="534">
        <v>90</v>
      </c>
      <c r="F3052" s="653">
        <v>1.0152794037037027</v>
      </c>
      <c r="G3052" s="536" t="s">
        <v>717</v>
      </c>
      <c r="H3052">
        <f>40098.63+9915.08</f>
        <v>50013.71</v>
      </c>
    </row>
    <row r="3053" spans="1:8" ht="13.5" customHeight="1">
      <c r="A3053" s="532">
        <v>45044</v>
      </c>
      <c r="B3053" s="615">
        <v>300000</v>
      </c>
      <c r="C3053" s="615">
        <f t="shared" si="309"/>
        <v>375102.85999999993</v>
      </c>
      <c r="D3053" s="532">
        <f t="shared" si="308"/>
        <v>45134</v>
      </c>
      <c r="E3053" s="534">
        <v>90</v>
      </c>
      <c r="F3053" s="653">
        <v>1.0152794037037027</v>
      </c>
      <c r="G3053" s="536" t="s">
        <v>719</v>
      </c>
      <c r="H3053">
        <f>300739.73+74363.13</f>
        <v>375102.86</v>
      </c>
    </row>
    <row r="3054" spans="1:8" ht="13.5" customHeight="1">
      <c r="A3054" s="532">
        <v>45044</v>
      </c>
      <c r="B3054" s="615">
        <v>500000</v>
      </c>
      <c r="C3054" s="615">
        <f t="shared" si="309"/>
        <v>625173.71</v>
      </c>
      <c r="D3054" s="532">
        <f t="shared" si="308"/>
        <v>45134</v>
      </c>
      <c r="E3054" s="534">
        <v>90</v>
      </c>
      <c r="F3054" s="653">
        <v>1.0152978699999995</v>
      </c>
      <c r="G3054" s="536" t="s">
        <v>716</v>
      </c>
      <c r="H3054">
        <v>625173.71</v>
      </c>
    </row>
    <row r="3055" spans="1:8" ht="13.5" customHeight="1">
      <c r="A3055" s="532">
        <v>45044</v>
      </c>
      <c r="B3055" s="615">
        <v>100000</v>
      </c>
      <c r="C3055" s="615">
        <f t="shared" si="309"/>
        <v>125034.09</v>
      </c>
      <c r="D3055" s="532">
        <f t="shared" si="308"/>
        <v>45134</v>
      </c>
      <c r="E3055" s="534">
        <v>90</v>
      </c>
      <c r="F3055" s="653">
        <v>1.0152714277777777</v>
      </c>
      <c r="G3055" s="536" t="s">
        <v>714</v>
      </c>
      <c r="H3055">
        <v>125034.09</v>
      </c>
    </row>
    <row r="3056" spans="1:8" ht="13.5" customHeight="1">
      <c r="A3056" s="532">
        <v>45048</v>
      </c>
      <c r="B3056" s="615">
        <v>19500</v>
      </c>
      <c r="C3056" s="615">
        <f t="shared" si="309"/>
        <v>20958.493150684932</v>
      </c>
      <c r="D3056" s="532">
        <f t="shared" si="308"/>
        <v>45078</v>
      </c>
      <c r="E3056" s="534">
        <v>30</v>
      </c>
      <c r="F3056" s="601">
        <v>0.91</v>
      </c>
      <c r="G3056" s="536" t="s">
        <v>259</v>
      </c>
      <c r="H3056">
        <f>IF(E3056&gt;89,(C3056-B3056)/3,(C3056-B3056))</f>
        <v>1458.4931506849316</v>
      </c>
    </row>
    <row r="3057" spans="1:9" ht="13.5" customHeight="1">
      <c r="A3057" s="532">
        <v>45048</v>
      </c>
      <c r="B3057" s="615">
        <v>20000</v>
      </c>
      <c r="C3057" s="615">
        <f t="shared" si="309"/>
        <v>21495.890410958906</v>
      </c>
      <c r="D3057" s="532">
        <f t="shared" si="308"/>
        <v>45078</v>
      </c>
      <c r="E3057" s="534">
        <v>30</v>
      </c>
      <c r="F3057" s="601">
        <v>0.91</v>
      </c>
      <c r="G3057" s="536" t="s">
        <v>261</v>
      </c>
      <c r="H3057">
        <f>IF(E3057&gt;89,(C3057-B3057)/3,(C3057-B3057))</f>
        <v>1495.8904109589057</v>
      </c>
    </row>
    <row r="3058" spans="1:9" ht="13.5" customHeight="1">
      <c r="A3058" s="532">
        <v>45048</v>
      </c>
      <c r="B3058" s="615">
        <v>100000</v>
      </c>
      <c r="C3058" s="615">
        <f t="shared" si="309"/>
        <v>125191.73999999999</v>
      </c>
      <c r="D3058" s="532">
        <f t="shared" si="308"/>
        <v>45138</v>
      </c>
      <c r="E3058" s="534">
        <v>90</v>
      </c>
      <c r="F3058" s="653">
        <v>1.0216650111111105</v>
      </c>
      <c r="G3058" s="536" t="s">
        <v>715</v>
      </c>
      <c r="H3058">
        <v>125191.74</v>
      </c>
    </row>
    <row r="3059" spans="1:9" ht="13.5" customHeight="1">
      <c r="A3059" s="532">
        <v>45048</v>
      </c>
      <c r="B3059" s="615">
        <v>45000</v>
      </c>
      <c r="C3059" s="615">
        <f t="shared" si="309"/>
        <v>56336.404931506848</v>
      </c>
      <c r="D3059" s="532">
        <f t="shared" si="308"/>
        <v>45138</v>
      </c>
      <c r="E3059" s="534">
        <v>90</v>
      </c>
      <c r="F3059" s="653">
        <v>1.021676</v>
      </c>
      <c r="G3059" s="536" t="s">
        <v>718</v>
      </c>
      <c r="H3059">
        <v>56336.41</v>
      </c>
    </row>
    <row r="3060" spans="1:9" ht="13.5" customHeight="1">
      <c r="A3060" s="532">
        <v>45048</v>
      </c>
      <c r="B3060" s="615">
        <v>76800</v>
      </c>
      <c r="C3060" s="615">
        <f t="shared" si="309"/>
        <v>96147.464416438364</v>
      </c>
      <c r="D3060" s="532">
        <f t="shared" si="308"/>
        <v>45138</v>
      </c>
      <c r="E3060" s="534">
        <v>90</v>
      </c>
      <c r="F3060" s="653">
        <v>1.021676</v>
      </c>
      <c r="G3060" s="536" t="s">
        <v>717</v>
      </c>
      <c r="H3060">
        <f>76989.37+19158.1</f>
        <v>96147.47</v>
      </c>
    </row>
    <row r="3061" spans="1:9" ht="13.5" customHeight="1">
      <c r="A3061" s="532">
        <v>45048</v>
      </c>
      <c r="B3061" s="615">
        <v>415000</v>
      </c>
      <c r="C3061" s="615">
        <f t="shared" si="309"/>
        <v>519546.94780821918</v>
      </c>
      <c r="D3061" s="532">
        <f t="shared" si="308"/>
        <v>45138</v>
      </c>
      <c r="E3061" s="534">
        <v>90</v>
      </c>
      <c r="F3061" s="653">
        <v>1.0216769999999999</v>
      </c>
      <c r="G3061" s="536" t="s">
        <v>719</v>
      </c>
      <c r="H3061">
        <f>416023.29+103523.65</f>
        <v>519546.93999999994</v>
      </c>
    </row>
    <row r="3062" spans="1:9" ht="13.5" customHeight="1">
      <c r="A3062" s="532">
        <v>45048</v>
      </c>
      <c r="B3062" s="615">
        <v>255000</v>
      </c>
      <c r="C3062" s="615">
        <f t="shared" si="309"/>
        <v>319240.44534246577</v>
      </c>
      <c r="D3062" s="532">
        <f t="shared" si="308"/>
        <v>45138</v>
      </c>
      <c r="E3062" s="534">
        <v>90</v>
      </c>
      <c r="F3062" s="653">
        <v>1.0216890000000001</v>
      </c>
      <c r="G3062" s="536" t="s">
        <v>716</v>
      </c>
      <c r="H3062">
        <v>319240.44</v>
      </c>
    </row>
    <row r="3063" spans="1:9" ht="13.5" customHeight="1">
      <c r="A3063" s="532">
        <v>45048</v>
      </c>
      <c r="B3063" s="615">
        <v>840000</v>
      </c>
      <c r="C3063" s="615">
        <f t="shared" si="309"/>
        <v>1051613.0991780821</v>
      </c>
      <c r="D3063" s="532">
        <f t="shared" si="308"/>
        <v>45138</v>
      </c>
      <c r="E3063" s="534">
        <v>90</v>
      </c>
      <c r="F3063" s="653">
        <v>1.0216769999999999</v>
      </c>
      <c r="G3063" s="536" t="s">
        <v>714</v>
      </c>
      <c r="H3063">
        <v>1051613.1399999999</v>
      </c>
    </row>
    <row r="3064" spans="1:9" ht="13.5" customHeight="1">
      <c r="A3064" s="532">
        <v>45049</v>
      </c>
      <c r="B3064" s="615">
        <v>60000</v>
      </c>
      <c r="C3064" s="615">
        <f t="shared" si="309"/>
        <v>64487.67123287671</v>
      </c>
      <c r="D3064" s="532">
        <f t="shared" si="308"/>
        <v>45079</v>
      </c>
      <c r="E3064" s="534">
        <v>30</v>
      </c>
      <c r="F3064" s="601">
        <v>0.91</v>
      </c>
      <c r="G3064" s="536" t="s">
        <v>262</v>
      </c>
      <c r="H3064">
        <f>IF(E3064&gt;89,(C3064-B3064)/3,(C3064-B3064))</f>
        <v>4487.6712328767098</v>
      </c>
    </row>
    <row r="3065" spans="1:9" ht="13.5" customHeight="1">
      <c r="A3065" s="532">
        <v>45049</v>
      </c>
      <c r="B3065" s="615">
        <v>58900</v>
      </c>
      <c r="C3065" s="615">
        <f t="shared" si="309"/>
        <v>73428.211065753421</v>
      </c>
      <c r="D3065" s="532">
        <f t="shared" si="308"/>
        <v>45139</v>
      </c>
      <c r="E3065" s="534">
        <v>90</v>
      </c>
      <c r="F3065" s="653">
        <v>1.0003390000000001</v>
      </c>
      <c r="G3065" s="536" t="s">
        <v>718</v>
      </c>
      <c r="H3065">
        <v>73428.210000000006</v>
      </c>
    </row>
    <row r="3066" spans="1:9" ht="13.5" customHeight="1">
      <c r="A3066" s="532">
        <v>45049</v>
      </c>
      <c r="B3066" s="615">
        <v>174400</v>
      </c>
      <c r="C3066" s="615">
        <f t="shared" si="309"/>
        <v>217417.31765479452</v>
      </c>
      <c r="D3066" s="532">
        <f t="shared" si="308"/>
        <v>45139</v>
      </c>
      <c r="E3066" s="534">
        <v>90</v>
      </c>
      <c r="F3066" s="653">
        <v>1.0003390000000001</v>
      </c>
      <c r="G3066" s="536" t="s">
        <v>717</v>
      </c>
      <c r="H3066">
        <f>174830.03+42587.27</f>
        <v>217417.3</v>
      </c>
    </row>
    <row r="3067" spans="1:9" ht="13.5" customHeight="1">
      <c r="A3067" s="532">
        <v>45049</v>
      </c>
      <c r="B3067" s="615">
        <v>165000</v>
      </c>
      <c r="C3067" s="615">
        <f t="shared" si="309"/>
        <v>205698.72369863014</v>
      </c>
      <c r="D3067" s="532">
        <f t="shared" si="308"/>
        <v>45139</v>
      </c>
      <c r="E3067" s="534">
        <v>90</v>
      </c>
      <c r="F3067" s="653">
        <v>1.0003390000000001</v>
      </c>
      <c r="G3067" s="536" t="s">
        <v>719</v>
      </c>
      <c r="H3067">
        <f>165406.85+40291.86</f>
        <v>205698.71000000002</v>
      </c>
    </row>
    <row r="3068" spans="1:9" ht="13.5" customHeight="1">
      <c r="A3068" s="532">
        <v>45049</v>
      </c>
      <c r="B3068" s="615">
        <v>185000</v>
      </c>
      <c r="C3068" s="615">
        <f t="shared" si="309"/>
        <v>230631.58301369863</v>
      </c>
      <c r="D3068" s="532">
        <f t="shared" si="308"/>
        <v>45139</v>
      </c>
      <c r="E3068" s="534">
        <v>90</v>
      </c>
      <c r="F3068" s="653">
        <v>1.000332</v>
      </c>
      <c r="G3068" s="536" t="s">
        <v>715</v>
      </c>
      <c r="H3068">
        <v>230631.58</v>
      </c>
    </row>
    <row r="3069" spans="1:9" ht="13.5" customHeight="1">
      <c r="A3069" s="532">
        <v>45049</v>
      </c>
      <c r="B3069" s="615">
        <v>105000</v>
      </c>
      <c r="C3069" s="615">
        <f t="shared" si="309"/>
        <v>130900.30109589042</v>
      </c>
      <c r="D3069" s="532">
        <f t="shared" si="308"/>
        <v>45139</v>
      </c>
      <c r="E3069" s="534">
        <v>90</v>
      </c>
      <c r="F3069" s="653">
        <v>1.0003820000000001</v>
      </c>
      <c r="G3069" s="536" t="s">
        <v>716</v>
      </c>
      <c r="H3069">
        <v>130900.3</v>
      </c>
    </row>
    <row r="3070" spans="1:9" ht="13.5" customHeight="1">
      <c r="A3070" s="532">
        <v>45050</v>
      </c>
      <c r="B3070" s="615">
        <v>100000</v>
      </c>
      <c r="C3070" s="615">
        <f t="shared" si="309"/>
        <v>124592.57999999999</v>
      </c>
      <c r="D3070" s="532">
        <f t="shared" si="308"/>
        <v>45140</v>
      </c>
      <c r="E3070" s="534">
        <v>90</v>
      </c>
      <c r="F3070" s="653">
        <v>0.99736574444444381</v>
      </c>
      <c r="G3070" s="536" t="s">
        <v>715</v>
      </c>
      <c r="H3070">
        <v>124592.58</v>
      </c>
    </row>
    <row r="3071" spans="1:9" ht="13.5" customHeight="1">
      <c r="A3071" s="532">
        <v>45050</v>
      </c>
      <c r="B3071" s="615">
        <v>20000</v>
      </c>
      <c r="C3071" s="615">
        <f t="shared" si="309"/>
        <v>24918.980821917808</v>
      </c>
      <c r="D3071" s="532">
        <f t="shared" si="308"/>
        <v>45140</v>
      </c>
      <c r="E3071" s="534">
        <v>90</v>
      </c>
      <c r="F3071" s="653">
        <v>0.99746000000000001</v>
      </c>
      <c r="G3071" s="536" t="s">
        <v>716</v>
      </c>
      <c r="H3071">
        <v>24918.98</v>
      </c>
    </row>
    <row r="3072" spans="1:9" ht="13.5" customHeight="1">
      <c r="A3072" s="532">
        <v>45050</v>
      </c>
      <c r="B3072" s="615">
        <v>145000</v>
      </c>
      <c r="C3072" s="615">
        <f t="shared" si="309"/>
        <v>183788.2</v>
      </c>
      <c r="D3072" s="532">
        <f t="shared" si="308"/>
        <v>45149</v>
      </c>
      <c r="E3072" s="534">
        <v>99</v>
      </c>
      <c r="F3072" s="653">
        <v>0.98625517241379379</v>
      </c>
      <c r="G3072" s="536" t="s">
        <v>716</v>
      </c>
      <c r="H3072">
        <v>183788.2</v>
      </c>
      <c r="I3072">
        <v>450169.03</v>
      </c>
    </row>
    <row r="3073" spans="1:9" ht="13.5" customHeight="1">
      <c r="A3073" s="532">
        <v>45051</v>
      </c>
      <c r="B3073" s="615">
        <v>52820</v>
      </c>
      <c r="C3073" s="615">
        <f t="shared" si="309"/>
        <v>56902.334794520546</v>
      </c>
      <c r="D3073" s="532">
        <f t="shared" si="308"/>
        <v>45082</v>
      </c>
      <c r="E3073" s="534">
        <v>31</v>
      </c>
      <c r="F3073" s="601">
        <v>0.91</v>
      </c>
      <c r="G3073" s="536" t="s">
        <v>259</v>
      </c>
      <c r="H3073">
        <f>IF(E3073&gt;89,(C3073-B3073)/3,(C3073-B3073))</f>
        <v>4082.334794520546</v>
      </c>
    </row>
    <row r="3074" spans="1:9" ht="13.5" customHeight="1">
      <c r="A3074" s="532">
        <v>45051</v>
      </c>
      <c r="B3074" s="615">
        <v>45000</v>
      </c>
      <c r="C3074" s="615">
        <f t="shared" si="309"/>
        <v>56031.567534246577</v>
      </c>
      <c r="D3074" s="532">
        <f t="shared" si="308"/>
        <v>45141</v>
      </c>
      <c r="E3074" s="534">
        <v>90</v>
      </c>
      <c r="F3074" s="653">
        <v>0.99420299999999995</v>
      </c>
      <c r="G3074" s="536" t="s">
        <v>715</v>
      </c>
      <c r="H3074">
        <v>56031.57</v>
      </c>
    </row>
    <row r="3075" spans="1:9" ht="13.5" customHeight="1">
      <c r="A3075" s="532">
        <v>45051</v>
      </c>
      <c r="B3075" s="615">
        <v>36100</v>
      </c>
      <c r="C3075" s="615">
        <f t="shared" si="309"/>
        <v>44950.053465753423</v>
      </c>
      <c r="D3075" s="532">
        <f t="shared" si="308"/>
        <v>45141</v>
      </c>
      <c r="E3075" s="534">
        <v>90</v>
      </c>
      <c r="F3075" s="653">
        <v>0.99423499999999998</v>
      </c>
      <c r="G3075" s="536" t="s">
        <v>718</v>
      </c>
      <c r="H3075">
        <v>44950.05</v>
      </c>
    </row>
    <row r="3076" spans="1:9" ht="13.5" customHeight="1">
      <c r="A3076" s="532">
        <v>45051</v>
      </c>
      <c r="B3076" s="615">
        <v>100000</v>
      </c>
      <c r="C3076" s="615">
        <f t="shared" si="309"/>
        <v>124515.35890410958</v>
      </c>
      <c r="D3076" s="532">
        <f t="shared" si="308"/>
        <v>45141</v>
      </c>
      <c r="E3076" s="534">
        <v>90</v>
      </c>
      <c r="F3076" s="653">
        <v>0.99423399999999995</v>
      </c>
      <c r="G3076" s="536" t="s">
        <v>719</v>
      </c>
      <c r="H3076">
        <f>100246.58+24268.79</f>
        <v>124515.37</v>
      </c>
      <c r="I3076">
        <f>+C3076-H3076</f>
        <v>-1.1095890411525033E-2</v>
      </c>
    </row>
    <row r="3077" spans="1:9" ht="13.5" customHeight="1">
      <c r="A3077" s="532">
        <v>45051</v>
      </c>
      <c r="B3077" s="615">
        <v>200000</v>
      </c>
      <c r="C3077" s="615">
        <f t="shared" si="309"/>
        <v>249030.71780821917</v>
      </c>
      <c r="D3077" s="532">
        <f t="shared" si="308"/>
        <v>45141</v>
      </c>
      <c r="E3077" s="534">
        <v>90</v>
      </c>
      <c r="F3077" s="653">
        <v>0.99423399999999995</v>
      </c>
      <c r="G3077" s="536" t="s">
        <v>719</v>
      </c>
      <c r="H3077">
        <f>200493.15+48537.59</f>
        <v>249030.74</v>
      </c>
      <c r="I3077">
        <f>+C3077-H3077</f>
        <v>-2.2191780823050067E-2</v>
      </c>
    </row>
    <row r="3078" spans="1:9" ht="13.5" customHeight="1">
      <c r="A3078" s="532">
        <v>45051</v>
      </c>
      <c r="B3078" s="615">
        <v>60000</v>
      </c>
      <c r="C3078" s="615">
        <f t="shared" si="309"/>
        <v>74709.230136986298</v>
      </c>
      <c r="D3078" s="532">
        <f t="shared" si="308"/>
        <v>45141</v>
      </c>
      <c r="E3078" s="534">
        <v>90</v>
      </c>
      <c r="F3078" s="653">
        <v>0.99423499999999998</v>
      </c>
      <c r="G3078" s="536" t="s">
        <v>717</v>
      </c>
      <c r="H3078">
        <f>60147.95+14561.28</f>
        <v>74709.23</v>
      </c>
      <c r="I3078">
        <f>+C3078-H3078</f>
        <v>1.3698630209546536E-4</v>
      </c>
    </row>
    <row r="3079" spans="1:9" ht="13.5" customHeight="1">
      <c r="A3079" s="532">
        <v>45051</v>
      </c>
      <c r="B3079" s="615">
        <v>135900</v>
      </c>
      <c r="C3079" s="615">
        <f t="shared" si="309"/>
        <v>169216.37275068494</v>
      </c>
      <c r="D3079" s="532">
        <f t="shared" si="308"/>
        <v>45141</v>
      </c>
      <c r="E3079" s="534">
        <v>90</v>
      </c>
      <c r="F3079" s="653">
        <v>0.99423399999999995</v>
      </c>
      <c r="G3079" s="536" t="s">
        <v>717</v>
      </c>
      <c r="H3079">
        <f>136235.1+32981.28</f>
        <v>169216.38</v>
      </c>
      <c r="I3079">
        <f>+C3079-H3079</f>
        <v>-7.2493150655645877E-3</v>
      </c>
    </row>
    <row r="3080" spans="1:9" ht="13.5" customHeight="1">
      <c r="A3080" s="532">
        <v>45051</v>
      </c>
      <c r="B3080" s="615">
        <v>30000</v>
      </c>
      <c r="C3080" s="615">
        <f t="shared" si="309"/>
        <v>37353.172602739724</v>
      </c>
      <c r="D3080" s="532">
        <f t="shared" si="308"/>
        <v>45141</v>
      </c>
      <c r="E3080" s="534">
        <v>90</v>
      </c>
      <c r="F3080" s="653">
        <v>0.99404000000000003</v>
      </c>
      <c r="G3080" s="536" t="s">
        <v>716</v>
      </c>
    </row>
    <row r="3081" spans="1:9" ht="13.5" customHeight="1">
      <c r="A3081" s="532">
        <v>45054</v>
      </c>
      <c r="B3081" s="615">
        <v>30000</v>
      </c>
      <c r="C3081" s="615">
        <f t="shared" si="309"/>
        <v>37403.790000000008</v>
      </c>
      <c r="D3081" s="532">
        <f t="shared" si="308"/>
        <v>45145</v>
      </c>
      <c r="E3081" s="534">
        <v>91</v>
      </c>
      <c r="F3081" s="653">
        <v>0.9898840109890118</v>
      </c>
      <c r="G3081" s="536" t="s">
        <v>718</v>
      </c>
      <c r="H3081">
        <v>37403.79</v>
      </c>
    </row>
    <row r="3082" spans="1:9" ht="13.5" customHeight="1">
      <c r="A3082" s="532">
        <v>45055</v>
      </c>
      <c r="B3082" s="615">
        <v>16000</v>
      </c>
      <c r="C3082" s="615">
        <f t="shared" si="309"/>
        <v>19800.28</v>
      </c>
      <c r="D3082" s="532">
        <f t="shared" si="308"/>
        <v>45145</v>
      </c>
      <c r="E3082" s="534">
        <v>90</v>
      </c>
      <c r="F3082" s="653">
        <v>0.96326541666666665</v>
      </c>
      <c r="G3082" s="536" t="s">
        <v>718</v>
      </c>
      <c r="H3082">
        <v>19800.28</v>
      </c>
    </row>
    <row r="3083" spans="1:9" ht="13.5" customHeight="1">
      <c r="A3083" s="532">
        <v>45055</v>
      </c>
      <c r="B3083" s="615">
        <v>20000</v>
      </c>
      <c r="C3083" s="615">
        <f t="shared" si="309"/>
        <v>24750.35</v>
      </c>
      <c r="D3083" s="532">
        <f t="shared" si="308"/>
        <v>45145</v>
      </c>
      <c r="E3083" s="534">
        <v>90</v>
      </c>
      <c r="F3083" s="653">
        <v>0.96326541666666665</v>
      </c>
      <c r="G3083" s="536" t="s">
        <v>719</v>
      </c>
      <c r="H3083">
        <f>20049.32+4701.03</f>
        <v>24750.35</v>
      </c>
    </row>
    <row r="3084" spans="1:9" ht="13.5" customHeight="1">
      <c r="A3084" s="532">
        <v>45056</v>
      </c>
      <c r="B3084" s="615">
        <v>56300</v>
      </c>
      <c r="C3084" s="615">
        <f t="shared" si="309"/>
        <v>69894.264536363655</v>
      </c>
      <c r="D3084" s="532">
        <f t="shared" si="308"/>
        <v>45146</v>
      </c>
      <c r="E3084" s="534">
        <v>90</v>
      </c>
      <c r="F3084" s="653">
        <v>0.97925923737373843</v>
      </c>
      <c r="G3084" s="536" t="s">
        <v>718</v>
      </c>
      <c r="H3084">
        <v>69894.259999999995</v>
      </c>
    </row>
    <row r="3085" spans="1:9" ht="13.5" customHeight="1">
      <c r="A3085" s="532">
        <v>45056</v>
      </c>
      <c r="B3085" s="615">
        <v>111400</v>
      </c>
      <c r="C3085" s="615">
        <f t="shared" si="309"/>
        <v>138298.77565454549</v>
      </c>
      <c r="D3085" s="532">
        <f t="shared" si="308"/>
        <v>45146</v>
      </c>
      <c r="E3085" s="534">
        <v>90</v>
      </c>
      <c r="F3085" s="653">
        <v>0.97925923737373843</v>
      </c>
      <c r="G3085" s="536" t="s">
        <v>715</v>
      </c>
    </row>
    <row r="3086" spans="1:9" ht="13.5" customHeight="1">
      <c r="A3086" s="532">
        <v>45056</v>
      </c>
      <c r="B3086" s="615">
        <v>220000</v>
      </c>
      <c r="C3086" s="615">
        <f t="shared" si="309"/>
        <v>273121.46000000008</v>
      </c>
      <c r="D3086" s="532">
        <f t="shared" si="308"/>
        <v>45146</v>
      </c>
      <c r="E3086" s="534">
        <v>90</v>
      </c>
      <c r="F3086" s="653">
        <v>0.97925923737373843</v>
      </c>
      <c r="G3086" s="536" t="s">
        <v>719</v>
      </c>
      <c r="H3086">
        <f>220542.47+52578.99</f>
        <v>273121.46000000002</v>
      </c>
    </row>
    <row r="3087" spans="1:9" ht="13.5" customHeight="1">
      <c r="A3087" s="532">
        <v>45058</v>
      </c>
      <c r="B3087" s="615">
        <v>67800</v>
      </c>
      <c r="C3087" s="615">
        <f t="shared" si="309"/>
        <v>84071.14</v>
      </c>
      <c r="D3087" s="532">
        <f t="shared" si="308"/>
        <v>45148</v>
      </c>
      <c r="E3087" s="534">
        <v>90</v>
      </c>
      <c r="F3087" s="653">
        <v>0.97328189118321817</v>
      </c>
      <c r="G3087" s="536" t="s">
        <v>718</v>
      </c>
      <c r="H3087">
        <v>84071.14</v>
      </c>
    </row>
    <row r="3088" spans="1:9" ht="13.5" customHeight="1">
      <c r="A3088" s="532">
        <v>45058</v>
      </c>
      <c r="B3088" s="615">
        <v>135000</v>
      </c>
      <c r="C3088" s="615">
        <f t="shared" si="309"/>
        <v>167398.28</v>
      </c>
      <c r="D3088" s="532">
        <f t="shared" si="308"/>
        <v>45148</v>
      </c>
      <c r="E3088" s="534">
        <v>90</v>
      </c>
      <c r="F3088" s="653">
        <v>0.97328166255144055</v>
      </c>
      <c r="G3088" s="536" t="s">
        <v>719</v>
      </c>
      <c r="H3088">
        <f>135332.88+32065.4</f>
        <v>167398.28</v>
      </c>
    </row>
    <row r="3089" spans="1:9" ht="13.5" customHeight="1">
      <c r="A3089" s="532">
        <v>45058</v>
      </c>
      <c r="B3089" s="615">
        <v>219200</v>
      </c>
      <c r="C3089" s="615">
        <f t="shared" si="309"/>
        <v>271805.2</v>
      </c>
      <c r="D3089" s="532">
        <f t="shared" si="308"/>
        <v>45148</v>
      </c>
      <c r="E3089" s="534">
        <v>90</v>
      </c>
      <c r="F3089" s="653">
        <v>0.97328152879156538</v>
      </c>
      <c r="G3089" s="536" t="s">
        <v>717</v>
      </c>
      <c r="H3089">
        <f>219740.49+52064.71</f>
        <v>271805.2</v>
      </c>
    </row>
    <row r="3090" spans="1:9" ht="13.5" customHeight="1">
      <c r="A3090" s="532">
        <v>45061</v>
      </c>
      <c r="B3090" s="615">
        <v>16600</v>
      </c>
      <c r="C3090" s="615">
        <f t="shared" si="309"/>
        <v>20609.61</v>
      </c>
      <c r="D3090" s="532">
        <f t="shared" si="308"/>
        <v>45152</v>
      </c>
      <c r="E3090" s="534">
        <v>91</v>
      </c>
      <c r="F3090" s="653">
        <v>0.96882540050311183</v>
      </c>
      <c r="G3090" s="536" t="s">
        <v>720</v>
      </c>
      <c r="H3090">
        <f>20558.83+50.78</f>
        <v>20609.61</v>
      </c>
    </row>
    <row r="3091" spans="1:9" ht="13.5" customHeight="1">
      <c r="A3091" s="532">
        <v>45061</v>
      </c>
      <c r="B3091" s="615">
        <v>23100</v>
      </c>
      <c r="C3091" s="615">
        <f t="shared" si="309"/>
        <v>28681.65</v>
      </c>
      <c r="D3091" s="532">
        <f t="shared" si="308"/>
        <v>45152</v>
      </c>
      <c r="E3091" s="534">
        <v>91</v>
      </c>
      <c r="F3091" s="653">
        <v>0.96917475381761109</v>
      </c>
      <c r="G3091" s="536" t="s">
        <v>715</v>
      </c>
      <c r="H3091">
        <v>28681.65</v>
      </c>
    </row>
    <row r="3092" spans="1:9" ht="13.5" customHeight="1">
      <c r="A3092" s="532">
        <v>45061</v>
      </c>
      <c r="B3092" s="615">
        <v>30000</v>
      </c>
      <c r="C3092" s="615">
        <f t="shared" si="309"/>
        <v>37249.300000000003</v>
      </c>
      <c r="D3092" s="532">
        <f t="shared" si="308"/>
        <v>45152</v>
      </c>
      <c r="E3092" s="534">
        <v>91</v>
      </c>
      <c r="F3092" s="653">
        <v>0.96922875457875468</v>
      </c>
      <c r="G3092" s="536" t="s">
        <v>718</v>
      </c>
      <c r="H3092">
        <v>37249.300000000003</v>
      </c>
    </row>
    <row r="3093" spans="1:9" ht="13.5" customHeight="1">
      <c r="A3093" s="532">
        <v>45062</v>
      </c>
      <c r="B3093" s="615">
        <v>30000</v>
      </c>
      <c r="C3093" s="615">
        <f t="shared" si="309"/>
        <v>32391.780821917808</v>
      </c>
      <c r="D3093" s="532">
        <f t="shared" si="308"/>
        <v>45092</v>
      </c>
      <c r="E3093" s="534">
        <v>30</v>
      </c>
      <c r="F3093" s="601">
        <v>0.97</v>
      </c>
      <c r="G3093" s="536" t="s">
        <v>718</v>
      </c>
      <c r="H3093">
        <f t="shared" ref="A3093:H3100" si="311">IF(E3093&gt;89,(C3093-B3093)/3,(C3093-B3093))</f>
        <v>2391.7808219178078</v>
      </c>
    </row>
    <row r="3094" spans="1:9" ht="13.5" customHeight="1">
      <c r="A3094" s="532">
        <v>45063</v>
      </c>
      <c r="B3094" s="615">
        <v>19700</v>
      </c>
      <c r="C3094" s="615">
        <f t="shared" si="309"/>
        <v>21270.602739726026</v>
      </c>
      <c r="D3094" s="532">
        <f t="shared" si="308"/>
        <v>45093</v>
      </c>
      <c r="E3094" s="534">
        <v>30</v>
      </c>
      <c r="F3094" s="601">
        <v>0.97</v>
      </c>
      <c r="G3094" s="536" t="s">
        <v>259</v>
      </c>
      <c r="H3094">
        <f t="shared" si="311"/>
        <v>1570.6027397260259</v>
      </c>
    </row>
    <row r="3095" spans="1:9" ht="13.5" customHeight="1">
      <c r="A3095" s="532">
        <v>45063</v>
      </c>
      <c r="B3095" s="615">
        <v>82100</v>
      </c>
      <c r="C3095" s="615">
        <f t="shared" si="309"/>
        <v>88645.506849315076</v>
      </c>
      <c r="D3095" s="532">
        <f t="shared" si="308"/>
        <v>45093</v>
      </c>
      <c r="E3095" s="534">
        <v>30</v>
      </c>
      <c r="F3095" s="601">
        <v>0.97</v>
      </c>
      <c r="G3095" s="536" t="s">
        <v>261</v>
      </c>
      <c r="H3095">
        <f t="shared" si="311"/>
        <v>6545.5068493150757</v>
      </c>
    </row>
    <row r="3096" spans="1:9" ht="13.5" customHeight="1">
      <c r="A3096" s="532">
        <v>45063</v>
      </c>
      <c r="B3096" s="615">
        <v>145000</v>
      </c>
      <c r="C3096" s="615">
        <f t="shared" si="309"/>
        <v>156560.27397260274</v>
      </c>
      <c r="D3096" s="532">
        <f t="shared" si="308"/>
        <v>45093</v>
      </c>
      <c r="E3096" s="534">
        <v>30</v>
      </c>
      <c r="F3096" s="601">
        <v>0.97</v>
      </c>
      <c r="G3096" s="536" t="s">
        <v>257</v>
      </c>
      <c r="H3096">
        <f t="shared" si="311"/>
        <v>11560.273972602736</v>
      </c>
    </row>
    <row r="3097" spans="1:9" ht="13.5" customHeight="1">
      <c r="A3097" s="532">
        <v>45069</v>
      </c>
      <c r="B3097" s="615">
        <v>82100</v>
      </c>
      <c r="C3097" s="615">
        <f t="shared" si="309"/>
        <v>88645.506849315076</v>
      </c>
      <c r="D3097" s="532">
        <f t="shared" si="308"/>
        <v>45099</v>
      </c>
      <c r="E3097" s="534">
        <v>30</v>
      </c>
      <c r="F3097" s="601">
        <v>0.97</v>
      </c>
      <c r="G3097" s="536" t="s">
        <v>261</v>
      </c>
      <c r="H3097">
        <f t="shared" si="311"/>
        <v>6545.5068493150757</v>
      </c>
    </row>
    <row r="3098" spans="1:9" ht="13.5" customHeight="1">
      <c r="A3098" s="532">
        <v>45069</v>
      </c>
      <c r="B3098" s="615">
        <v>90000</v>
      </c>
      <c r="C3098" s="615">
        <f t="shared" si="309"/>
        <v>97175.34246575342</v>
      </c>
      <c r="D3098" s="532">
        <f t="shared" si="308"/>
        <v>45099</v>
      </c>
      <c r="E3098" s="534">
        <v>30</v>
      </c>
      <c r="F3098" s="601">
        <v>0.97</v>
      </c>
      <c r="G3098" s="536" t="s">
        <v>256</v>
      </c>
      <c r="H3098">
        <f t="shared" si="311"/>
        <v>7175.3424657534197</v>
      </c>
    </row>
    <row r="3099" spans="1:9" ht="13.5" customHeight="1">
      <c r="A3099" s="532">
        <v>45070</v>
      </c>
      <c r="B3099" s="615">
        <v>20000</v>
      </c>
      <c r="C3099" s="615">
        <f t="shared" si="309"/>
        <v>21594.520547945205</v>
      </c>
      <c r="D3099" s="532">
        <f t="shared" si="308"/>
        <v>45100</v>
      </c>
      <c r="E3099" s="534">
        <v>30</v>
      </c>
      <c r="F3099" s="601">
        <v>0.97</v>
      </c>
      <c r="G3099" s="536" t="s">
        <v>261</v>
      </c>
      <c r="H3099">
        <f t="shared" si="311"/>
        <v>1594.5205479452052</v>
      </c>
    </row>
    <row r="3100" spans="1:9" ht="13.5" customHeight="1">
      <c r="A3100" s="532">
        <v>45070</v>
      </c>
      <c r="B3100" s="615">
        <v>33000</v>
      </c>
      <c r="C3100" s="615">
        <f t="shared" si="309"/>
        <v>35630.95890410959</v>
      </c>
      <c r="D3100" s="532">
        <f t="shared" ref="A3100:D3163" si="312">+A3100+E3100</f>
        <v>45100</v>
      </c>
      <c r="E3100" s="534">
        <v>30</v>
      </c>
      <c r="F3100" s="601">
        <v>0.97</v>
      </c>
      <c r="G3100" s="536" t="s">
        <v>256</v>
      </c>
      <c r="H3100">
        <f t="shared" si="311"/>
        <v>2630.9589041095896</v>
      </c>
      <c r="I3100">
        <f>SUM(C3099:C3100)</f>
        <v>57225.479452054795</v>
      </c>
    </row>
    <row r="3101" spans="1:9" ht="13.5" customHeight="1">
      <c r="A3101" s="532">
        <v>45075</v>
      </c>
      <c r="B3101" s="615">
        <v>156300</v>
      </c>
      <c r="C3101" s="615">
        <f t="shared" si="309"/>
        <v>168761.17808219179</v>
      </c>
      <c r="D3101" s="532">
        <f t="shared" si="312"/>
        <v>45105</v>
      </c>
      <c r="E3101" s="534">
        <v>30</v>
      </c>
      <c r="F3101" s="601">
        <v>0.97</v>
      </c>
      <c r="G3101" s="536" t="s">
        <v>259</v>
      </c>
      <c r="H3101">
        <f>156300+12461.18</f>
        <v>168761.18</v>
      </c>
    </row>
    <row r="3102" spans="1:9" ht="13.5" customHeight="1">
      <c r="A3102" s="532">
        <v>45075</v>
      </c>
      <c r="B3102" s="615">
        <v>6900</v>
      </c>
      <c r="C3102" s="615">
        <f t="shared" si="309"/>
        <v>7416.0821917808216</v>
      </c>
      <c r="D3102" s="532">
        <f t="shared" si="312"/>
        <v>45105</v>
      </c>
      <c r="E3102" s="534">
        <v>30</v>
      </c>
      <c r="F3102" s="601">
        <v>0.91</v>
      </c>
      <c r="G3102" s="536" t="s">
        <v>265</v>
      </c>
      <c r="H3102">
        <v>7529.1</v>
      </c>
    </row>
    <row r="3103" spans="1:9" ht="13.5" customHeight="1">
      <c r="A3103" s="532">
        <v>45075</v>
      </c>
      <c r="B3103" s="615">
        <v>390000</v>
      </c>
      <c r="C3103" s="615">
        <f t="shared" si="309"/>
        <v>482494.21000000014</v>
      </c>
      <c r="D3103" s="532">
        <f t="shared" si="312"/>
        <v>45166</v>
      </c>
      <c r="E3103" s="534">
        <v>91</v>
      </c>
      <c r="F3103" s="653">
        <v>0.95126476894900114</v>
      </c>
      <c r="G3103" s="536" t="s">
        <v>719</v>
      </c>
      <c r="H3103">
        <f>390972.33+91521.88</f>
        <v>482494.21</v>
      </c>
      <c r="I3103">
        <f t="shared" ref="A3103:I3108" si="313">+C3103-H3103</f>
        <v>0</v>
      </c>
    </row>
    <row r="3104" spans="1:9" ht="13.5" customHeight="1">
      <c r="A3104" s="532">
        <v>45075</v>
      </c>
      <c r="B3104" s="615">
        <v>43100</v>
      </c>
      <c r="C3104" s="615">
        <f t="shared" si="309"/>
        <v>53321.796028205143</v>
      </c>
      <c r="D3104" s="532">
        <f t="shared" si="312"/>
        <v>45166</v>
      </c>
      <c r="E3104" s="534">
        <v>91</v>
      </c>
      <c r="F3104" s="653">
        <v>0.95126476894900114</v>
      </c>
      <c r="G3104" s="536" t="s">
        <v>715</v>
      </c>
      <c r="I3104">
        <f t="shared" si="313"/>
        <v>53321.796028205143</v>
      </c>
    </row>
    <row r="3105" spans="1:9" ht="13.5" customHeight="1">
      <c r="A3105" s="532">
        <v>45075</v>
      </c>
      <c r="B3105" s="615">
        <v>200000</v>
      </c>
      <c r="C3105" s="615">
        <f t="shared" si="309"/>
        <v>247432.92820512826</v>
      </c>
      <c r="D3105" s="532">
        <f t="shared" si="312"/>
        <v>45166</v>
      </c>
      <c r="E3105" s="534">
        <v>91</v>
      </c>
      <c r="F3105" s="653">
        <v>0.95126476894900114</v>
      </c>
      <c r="G3105" s="536" t="s">
        <v>714</v>
      </c>
      <c r="I3105">
        <f t="shared" si="313"/>
        <v>247432.92820512826</v>
      </c>
    </row>
    <row r="3106" spans="1:9" ht="13.5" customHeight="1">
      <c r="A3106" s="532">
        <v>45075</v>
      </c>
      <c r="B3106" s="615">
        <v>300000</v>
      </c>
      <c r="C3106" s="615">
        <f t="shared" si="309"/>
        <v>371149.39230769244</v>
      </c>
      <c r="D3106" s="532">
        <f t="shared" si="312"/>
        <v>45166</v>
      </c>
      <c r="E3106" s="534">
        <v>91</v>
      </c>
      <c r="F3106" s="653">
        <v>0.95126476894900114</v>
      </c>
      <c r="G3106" s="536" t="s">
        <v>716</v>
      </c>
      <c r="I3106">
        <f t="shared" si="313"/>
        <v>371149.39230769244</v>
      </c>
    </row>
    <row r="3107" spans="1:9" ht="13.5" customHeight="1">
      <c r="A3107" s="532">
        <v>45075</v>
      </c>
      <c r="B3107" s="615">
        <v>137000</v>
      </c>
      <c r="C3107" s="615">
        <f t="shared" si="309"/>
        <v>169491.55582051288</v>
      </c>
      <c r="D3107" s="532">
        <f t="shared" si="312"/>
        <v>45166</v>
      </c>
      <c r="E3107" s="534">
        <v>91</v>
      </c>
      <c r="F3107" s="653">
        <v>0.95126476894900114</v>
      </c>
      <c r="G3107" s="536" t="s">
        <v>717</v>
      </c>
      <c r="H3107">
        <f>137341.56+32150</f>
        <v>169491.56</v>
      </c>
      <c r="I3107">
        <f t="shared" si="313"/>
        <v>-4.1794871212914586E-3</v>
      </c>
    </row>
    <row r="3108" spans="1:9" ht="13.5" customHeight="1">
      <c r="A3108" s="532">
        <v>45075</v>
      </c>
      <c r="B3108" s="615">
        <v>70000</v>
      </c>
      <c r="C3108" s="615">
        <f t="shared" ref="A3108:C3171" si="314">B3108+(B3108*F3108/365*E3108)*1</f>
        <v>86601.5248717949</v>
      </c>
      <c r="D3108" s="532">
        <f t="shared" si="312"/>
        <v>45166</v>
      </c>
      <c r="E3108" s="534">
        <v>91</v>
      </c>
      <c r="F3108" s="653">
        <v>0.95126476894900114</v>
      </c>
      <c r="G3108" s="536" t="s">
        <v>718</v>
      </c>
      <c r="I3108">
        <f t="shared" si="313"/>
        <v>86601.5248717949</v>
      </c>
    </row>
    <row r="3109" spans="1:9" ht="13.5" customHeight="1">
      <c r="A3109" s="532">
        <v>45076</v>
      </c>
      <c r="B3109" s="615">
        <v>19500</v>
      </c>
      <c r="C3109" s="615">
        <f t="shared" si="314"/>
        <v>21054.657534246577</v>
      </c>
      <c r="D3109" s="532">
        <f t="shared" si="312"/>
        <v>45106</v>
      </c>
      <c r="E3109" s="534">
        <v>30</v>
      </c>
      <c r="F3109" s="601">
        <v>0.97</v>
      </c>
      <c r="G3109" s="536" t="s">
        <v>259</v>
      </c>
      <c r="H3109">
        <f>1554.66+19500</f>
        <v>21054.66</v>
      </c>
      <c r="I3109">
        <v>21106.62</v>
      </c>
    </row>
    <row r="3110" spans="1:9" ht="13.5" customHeight="1">
      <c r="A3110" s="532">
        <v>45076</v>
      </c>
      <c r="B3110" s="615">
        <v>14400</v>
      </c>
      <c r="C3110" s="615">
        <f t="shared" si="314"/>
        <v>15548.054794520547</v>
      </c>
      <c r="D3110" s="532">
        <f t="shared" si="312"/>
        <v>45106</v>
      </c>
      <c r="E3110" s="534">
        <v>30</v>
      </c>
      <c r="F3110" s="601">
        <v>0.97</v>
      </c>
      <c r="G3110" s="536" t="s">
        <v>261</v>
      </c>
      <c r="H3110">
        <v>15548.05</v>
      </c>
      <c r="I3110">
        <v>15576.95</v>
      </c>
    </row>
    <row r="3111" spans="1:9" ht="13.5" customHeight="1">
      <c r="A3111" s="532">
        <v>45078</v>
      </c>
      <c r="B3111" s="615">
        <v>20900</v>
      </c>
      <c r="C3111" s="615">
        <f t="shared" si="314"/>
        <v>22677.358904109587</v>
      </c>
      <c r="D3111" s="532">
        <f t="shared" si="312"/>
        <v>45110</v>
      </c>
      <c r="E3111" s="534">
        <v>32</v>
      </c>
      <c r="F3111" s="601">
        <v>0.97</v>
      </c>
      <c r="G3111" s="536" t="s">
        <v>259</v>
      </c>
      <c r="H3111">
        <f>20900+1777.36</f>
        <v>22677.360000000001</v>
      </c>
    </row>
    <row r="3112" spans="1:9" ht="13.5" customHeight="1">
      <c r="A3112" s="532">
        <v>45078</v>
      </c>
      <c r="B3112" s="615">
        <v>44000</v>
      </c>
      <c r="C3112" s="615">
        <f t="shared" si="314"/>
        <v>53874.78</v>
      </c>
      <c r="D3112" s="532">
        <f t="shared" si="312"/>
        <v>45168</v>
      </c>
      <c r="E3112" s="534">
        <v>90</v>
      </c>
      <c r="F3112" s="653">
        <v>0.91017542929292916</v>
      </c>
      <c r="G3112" s="536" t="s">
        <v>718</v>
      </c>
      <c r="H3112">
        <v>53874.78</v>
      </c>
    </row>
    <row r="3113" spans="1:9" ht="13.5" customHeight="1">
      <c r="A3113" s="532">
        <v>45078</v>
      </c>
      <c r="B3113" s="615">
        <v>200000</v>
      </c>
      <c r="C3113" s="615">
        <f t="shared" si="314"/>
        <v>244886.28999999998</v>
      </c>
      <c r="D3113" s="532">
        <f t="shared" si="312"/>
        <v>45168</v>
      </c>
      <c r="E3113" s="534">
        <v>90</v>
      </c>
      <c r="F3113" s="653">
        <v>0.91019421388888866</v>
      </c>
      <c r="G3113" s="536" t="s">
        <v>714</v>
      </c>
      <c r="H3113">
        <v>244886.29</v>
      </c>
    </row>
    <row r="3114" spans="1:9" ht="13.5" customHeight="1">
      <c r="A3114" s="532">
        <v>45082</v>
      </c>
      <c r="B3114" s="615">
        <v>44900</v>
      </c>
      <c r="C3114" s="615">
        <f t="shared" si="314"/>
        <v>48479.698630136983</v>
      </c>
      <c r="D3114" s="532">
        <f t="shared" si="312"/>
        <v>45112</v>
      </c>
      <c r="E3114" s="534">
        <v>30</v>
      </c>
      <c r="F3114" s="601">
        <v>0.97</v>
      </c>
      <c r="G3114" s="536" t="s">
        <v>259</v>
      </c>
      <c r="H3114">
        <f>IF(E3114&gt;89,(C3114-B3114)/3,(C3114-B3114))</f>
        <v>3579.6986301369834</v>
      </c>
    </row>
    <row r="3115" spans="1:9" ht="13.5" customHeight="1">
      <c r="A3115" s="532">
        <v>45082</v>
      </c>
      <c r="B3115" s="615">
        <v>50000</v>
      </c>
      <c r="C3115" s="615">
        <f t="shared" si="314"/>
        <v>61265.520000000004</v>
      </c>
      <c r="D3115" s="532">
        <f t="shared" si="312"/>
        <v>45173</v>
      </c>
      <c r="E3115" s="534">
        <v>91</v>
      </c>
      <c r="F3115" s="653">
        <v>0.90371753846153846</v>
      </c>
      <c r="G3115" s="536" t="s">
        <v>714</v>
      </c>
    </row>
    <row r="3116" spans="1:9" ht="13.5" customHeight="1">
      <c r="A3116" s="532">
        <v>45082</v>
      </c>
      <c r="B3116" s="615">
        <v>25000</v>
      </c>
      <c r="C3116" s="615">
        <f t="shared" si="314"/>
        <v>30632.760000000002</v>
      </c>
      <c r="D3116" s="532">
        <f t="shared" si="312"/>
        <v>45173</v>
      </c>
      <c r="E3116" s="534">
        <v>91</v>
      </c>
      <c r="F3116" s="653">
        <v>0.90371753846153846</v>
      </c>
      <c r="G3116" s="536" t="s">
        <v>718</v>
      </c>
      <c r="H3116">
        <v>30632.720000000001</v>
      </c>
    </row>
    <row r="3117" spans="1:9" ht="13.5" customHeight="1">
      <c r="A3117" s="532">
        <v>45083</v>
      </c>
      <c r="B3117" s="615">
        <v>20000</v>
      </c>
      <c r="C3117" s="615">
        <f t="shared" si="314"/>
        <v>24315.459999999985</v>
      </c>
      <c r="D3117" s="532">
        <f t="shared" si="312"/>
        <v>45173</v>
      </c>
      <c r="E3117" s="534">
        <v>90</v>
      </c>
      <c r="F3117" s="653">
        <v>0.87507938888888548</v>
      </c>
      <c r="G3117" s="536" t="s">
        <v>718</v>
      </c>
      <c r="H3117">
        <v>24315.46</v>
      </c>
    </row>
    <row r="3118" spans="1:9" ht="13.5" customHeight="1">
      <c r="A3118" s="532">
        <v>45083</v>
      </c>
      <c r="B3118" s="615">
        <v>60000</v>
      </c>
      <c r="C3118" s="615">
        <f t="shared" si="314"/>
        <v>72946.379999999946</v>
      </c>
      <c r="D3118" s="532">
        <f t="shared" si="312"/>
        <v>45173</v>
      </c>
      <c r="E3118" s="534">
        <v>90</v>
      </c>
      <c r="F3118" s="653">
        <v>0.87507938888888548</v>
      </c>
      <c r="G3118" s="536" t="s">
        <v>716</v>
      </c>
    </row>
    <row r="3119" spans="1:9" ht="13.5" customHeight="1">
      <c r="A3119" s="532">
        <v>45085</v>
      </c>
      <c r="B3119" s="615">
        <v>120000</v>
      </c>
      <c r="C3119" s="615">
        <f t="shared" si="314"/>
        <v>146282.10999999993</v>
      </c>
      <c r="D3119" s="532">
        <f t="shared" si="312"/>
        <v>45175</v>
      </c>
      <c r="E3119" s="534">
        <v>90</v>
      </c>
      <c r="F3119" s="653">
        <v>0.88823797685184935</v>
      </c>
      <c r="G3119" s="536" t="s">
        <v>719</v>
      </c>
      <c r="H3119">
        <f>120295.89+25986.22</f>
        <v>146282.10999999999</v>
      </c>
    </row>
    <row r="3120" spans="1:9" ht="13.5" customHeight="1">
      <c r="A3120" s="532">
        <v>45085</v>
      </c>
      <c r="B3120" s="615">
        <v>35000</v>
      </c>
      <c r="C3120" s="615">
        <f t="shared" si="314"/>
        <v>42665.615416666646</v>
      </c>
      <c r="D3120" s="532">
        <f t="shared" si="312"/>
        <v>45175</v>
      </c>
      <c r="E3120" s="534">
        <v>90</v>
      </c>
      <c r="F3120" s="653">
        <v>0.88823797685184935</v>
      </c>
      <c r="G3120" s="536" t="s">
        <v>716</v>
      </c>
    </row>
    <row r="3121" spans="1:10" ht="13.5" customHeight="1">
      <c r="A3121" s="532">
        <v>45086</v>
      </c>
      <c r="B3121" s="615">
        <v>65000</v>
      </c>
      <c r="C3121" s="615">
        <f t="shared" si="314"/>
        <v>79185.993561643831</v>
      </c>
      <c r="D3121" s="532">
        <f t="shared" si="312"/>
        <v>45176</v>
      </c>
      <c r="E3121" s="534">
        <v>90</v>
      </c>
      <c r="F3121" s="653">
        <v>0.88510900000000003</v>
      </c>
      <c r="G3121" s="536" t="s">
        <v>716</v>
      </c>
    </row>
    <row r="3122" spans="1:10" ht="13.5" customHeight="1">
      <c r="A3122" s="532">
        <v>45090</v>
      </c>
      <c r="B3122" s="615">
        <v>19800</v>
      </c>
      <c r="C3122" s="615">
        <f t="shared" si="314"/>
        <v>21378.575342465752</v>
      </c>
      <c r="D3122" s="532">
        <f t="shared" si="312"/>
        <v>45120</v>
      </c>
      <c r="E3122" s="534">
        <v>30</v>
      </c>
      <c r="F3122" s="601">
        <v>0.97</v>
      </c>
      <c r="G3122" s="536" t="s">
        <v>260</v>
      </c>
      <c r="I3122">
        <v>91538.06</v>
      </c>
      <c r="J3122">
        <f>+H3122-C3122</f>
        <v>-21378.575342465752</v>
      </c>
    </row>
    <row r="3123" spans="1:10" ht="13.5" customHeight="1">
      <c r="A3123" s="532">
        <v>45090</v>
      </c>
      <c r="B3123" s="615">
        <v>27000</v>
      </c>
      <c r="C3123" s="615">
        <f t="shared" si="314"/>
        <v>29152.602739726026</v>
      </c>
      <c r="D3123" s="532">
        <f t="shared" si="312"/>
        <v>45120</v>
      </c>
      <c r="E3123" s="534">
        <v>30</v>
      </c>
      <c r="F3123" s="601">
        <v>0.97</v>
      </c>
      <c r="G3123" s="536" t="s">
        <v>257</v>
      </c>
      <c r="I3123">
        <v>439691.85</v>
      </c>
      <c r="J3123">
        <f>+H3123-C3123</f>
        <v>-29152.602739726026</v>
      </c>
    </row>
    <row r="3124" spans="1:10" ht="13.5" customHeight="1">
      <c r="A3124" s="532">
        <v>45093</v>
      </c>
      <c r="B3124" s="615">
        <v>45000</v>
      </c>
      <c r="C3124" s="615">
        <f t="shared" si="314"/>
        <v>48707.260273972599</v>
      </c>
      <c r="D3124" s="532">
        <f t="shared" si="312"/>
        <v>45124</v>
      </c>
      <c r="E3124" s="534">
        <v>31</v>
      </c>
      <c r="F3124" s="653">
        <v>0.97</v>
      </c>
      <c r="G3124" s="536" t="s">
        <v>258</v>
      </c>
    </row>
    <row r="3125" spans="1:10" ht="13.5" customHeight="1">
      <c r="A3125" s="532">
        <v>45093</v>
      </c>
      <c r="B3125" s="615">
        <v>157700</v>
      </c>
      <c r="C3125" s="615">
        <f t="shared" si="314"/>
        <v>170691.88767123286</v>
      </c>
      <c r="D3125" s="532">
        <f t="shared" si="312"/>
        <v>45124</v>
      </c>
      <c r="E3125" s="534">
        <v>31</v>
      </c>
      <c r="F3125" s="653">
        <v>0.97</v>
      </c>
      <c r="G3125" s="536" t="s">
        <v>257</v>
      </c>
    </row>
    <row r="3126" spans="1:10" ht="13.5" customHeight="1">
      <c r="A3126" s="532">
        <v>45093</v>
      </c>
      <c r="B3126" s="615">
        <v>21300</v>
      </c>
      <c r="C3126" s="615">
        <f t="shared" si="314"/>
        <v>23054.769863013698</v>
      </c>
      <c r="D3126" s="532">
        <f t="shared" si="312"/>
        <v>45124</v>
      </c>
      <c r="E3126" s="534">
        <v>31</v>
      </c>
      <c r="F3126" s="653">
        <v>0.97</v>
      </c>
      <c r="G3126" s="536" t="s">
        <v>259</v>
      </c>
      <c r="H3126">
        <f>21300+1754</f>
        <v>23054</v>
      </c>
    </row>
    <row r="3127" spans="1:10" ht="13.5" customHeight="1">
      <c r="A3127" s="532">
        <v>45093</v>
      </c>
      <c r="B3127" s="615">
        <v>211800</v>
      </c>
      <c r="C3127" s="615">
        <f t="shared" si="314"/>
        <v>229248.8383561644</v>
      </c>
      <c r="D3127" s="532">
        <f t="shared" si="312"/>
        <v>45124</v>
      </c>
      <c r="E3127" s="534">
        <v>31</v>
      </c>
      <c r="F3127" s="653">
        <v>0.97</v>
      </c>
      <c r="G3127" s="536" t="s">
        <v>261</v>
      </c>
    </row>
    <row r="3128" spans="1:10" ht="13.5" customHeight="1">
      <c r="A3128" s="532">
        <v>45098</v>
      </c>
      <c r="B3128" s="615">
        <v>46100</v>
      </c>
      <c r="C3128" s="615">
        <f t="shared" si="314"/>
        <v>49775.369863013701</v>
      </c>
      <c r="D3128" s="532">
        <f t="shared" si="312"/>
        <v>45128</v>
      </c>
      <c r="E3128" s="534">
        <v>30</v>
      </c>
      <c r="F3128" s="653">
        <v>0.97</v>
      </c>
      <c r="G3128" s="536" t="s">
        <v>261</v>
      </c>
      <c r="H3128">
        <f>IF(E3128&gt;89,(C3128-B3128)/3,(C3128-B3128))</f>
        <v>3675.3698630137005</v>
      </c>
    </row>
    <row r="3129" spans="1:10" ht="13.5" customHeight="1">
      <c r="A3129" s="532">
        <v>45100</v>
      </c>
      <c r="B3129" s="615">
        <v>145000</v>
      </c>
      <c r="C3129" s="615">
        <f t="shared" si="314"/>
        <v>156945.61643835617</v>
      </c>
      <c r="D3129" s="532">
        <f t="shared" si="312"/>
        <v>45131</v>
      </c>
      <c r="E3129" s="534">
        <v>31</v>
      </c>
      <c r="F3129" s="653">
        <v>0.97</v>
      </c>
      <c r="G3129" s="536" t="s">
        <v>257</v>
      </c>
    </row>
    <row r="3130" spans="1:10" ht="13.5" customHeight="1">
      <c r="A3130" s="532">
        <v>45100</v>
      </c>
      <c r="B3130" s="615">
        <v>175000</v>
      </c>
      <c r="C3130" s="615">
        <f t="shared" si="314"/>
        <v>189417.12328767125</v>
      </c>
      <c r="D3130" s="532">
        <f t="shared" si="312"/>
        <v>45131</v>
      </c>
      <c r="E3130" s="534">
        <v>31</v>
      </c>
      <c r="F3130" s="653">
        <v>0.97</v>
      </c>
      <c r="G3130" s="536" t="s">
        <v>256</v>
      </c>
    </row>
    <row r="3131" spans="1:10" ht="13.5" customHeight="1">
      <c r="A3131" s="532">
        <v>45100</v>
      </c>
      <c r="B3131" s="615">
        <v>37500</v>
      </c>
      <c r="C3131" s="615">
        <f t="shared" si="314"/>
        <v>40589.383561643837</v>
      </c>
      <c r="D3131" s="532">
        <f t="shared" si="312"/>
        <v>45131</v>
      </c>
      <c r="E3131" s="534">
        <v>31</v>
      </c>
      <c r="F3131" s="653">
        <v>0.97</v>
      </c>
      <c r="G3131" s="536" t="s">
        <v>261</v>
      </c>
    </row>
    <row r="3132" spans="1:10" ht="13.5" customHeight="1">
      <c r="A3132" s="532">
        <v>45103</v>
      </c>
      <c r="B3132" s="615">
        <v>144000</v>
      </c>
      <c r="C3132" s="615">
        <f t="shared" si="314"/>
        <v>155480.54794520547</v>
      </c>
      <c r="D3132" s="532">
        <f t="shared" si="312"/>
        <v>45133</v>
      </c>
      <c r="E3132" s="534">
        <v>30</v>
      </c>
      <c r="F3132" s="653">
        <v>0.97</v>
      </c>
      <c r="G3132" s="536" t="s">
        <v>715</v>
      </c>
      <c r="H3132">
        <f t="shared" ref="A3132:H3138" si="315">IF(E3132&gt;89,(C3132-B3132)/3,(C3132-B3132))</f>
        <v>11480.547945205471</v>
      </c>
    </row>
    <row r="3133" spans="1:10" ht="13.5" customHeight="1">
      <c r="A3133" s="532">
        <v>45103</v>
      </c>
      <c r="B3133" s="615">
        <v>216700</v>
      </c>
      <c r="C3133" s="615">
        <f t="shared" si="314"/>
        <v>233976.63013698629</v>
      </c>
      <c r="D3133" s="532">
        <f t="shared" si="312"/>
        <v>45133</v>
      </c>
      <c r="E3133" s="534">
        <v>30</v>
      </c>
      <c r="F3133" s="653">
        <v>0.97</v>
      </c>
      <c r="G3133" s="536" t="s">
        <v>718</v>
      </c>
      <c r="H3133">
        <f t="shared" si="315"/>
        <v>17276.630136986292</v>
      </c>
    </row>
    <row r="3134" spans="1:10" ht="13.5" customHeight="1">
      <c r="A3134" s="532">
        <v>45103</v>
      </c>
      <c r="B3134" s="615">
        <v>280700</v>
      </c>
      <c r="C3134" s="615">
        <f t="shared" si="314"/>
        <v>303079.09589041094</v>
      </c>
      <c r="D3134" s="532">
        <f t="shared" si="312"/>
        <v>45133</v>
      </c>
      <c r="E3134" s="534">
        <v>30</v>
      </c>
      <c r="F3134" s="653">
        <v>0.97</v>
      </c>
      <c r="G3134" s="536" t="s">
        <v>257</v>
      </c>
      <c r="H3134">
        <f t="shared" si="315"/>
        <v>22379.095890410943</v>
      </c>
    </row>
    <row r="3135" spans="1:10" ht="13.5" customHeight="1">
      <c r="A3135" s="532">
        <v>45103</v>
      </c>
      <c r="B3135" s="615">
        <v>590000</v>
      </c>
      <c r="C3135" s="615">
        <f t="shared" si="314"/>
        <v>637038.35616438359</v>
      </c>
      <c r="D3135" s="532">
        <f t="shared" si="312"/>
        <v>45133</v>
      </c>
      <c r="E3135" s="534">
        <v>30</v>
      </c>
      <c r="F3135" s="653">
        <v>0.97</v>
      </c>
      <c r="G3135" s="536" t="s">
        <v>256</v>
      </c>
      <c r="H3135">
        <f t="shared" si="315"/>
        <v>47038.356164383586</v>
      </c>
    </row>
    <row r="3136" spans="1:10" ht="13.5" customHeight="1">
      <c r="A3136" s="532">
        <v>45103</v>
      </c>
      <c r="B3136" s="615">
        <v>135000</v>
      </c>
      <c r="C3136" s="615">
        <f t="shared" si="314"/>
        <v>145763.01369863015</v>
      </c>
      <c r="D3136" s="532">
        <f t="shared" si="312"/>
        <v>45133</v>
      </c>
      <c r="E3136" s="534">
        <v>30</v>
      </c>
      <c r="F3136" s="653">
        <v>0.97</v>
      </c>
      <c r="G3136" s="536" t="s">
        <v>262</v>
      </c>
      <c r="H3136">
        <f t="shared" si="315"/>
        <v>10763.013698630151</v>
      </c>
    </row>
    <row r="3137" spans="1:8" ht="13.5" customHeight="1">
      <c r="A3137" s="532">
        <v>45103</v>
      </c>
      <c r="B3137" s="615">
        <v>45000</v>
      </c>
      <c r="C3137" s="615">
        <f t="shared" si="314"/>
        <v>48587.67123287671</v>
      </c>
      <c r="D3137" s="532">
        <f t="shared" si="312"/>
        <v>45133</v>
      </c>
      <c r="E3137" s="534">
        <v>30</v>
      </c>
      <c r="F3137" s="653">
        <v>0.97</v>
      </c>
      <c r="G3137" s="536" t="s">
        <v>716</v>
      </c>
      <c r="H3137">
        <f t="shared" si="315"/>
        <v>3587.6712328767098</v>
      </c>
    </row>
    <row r="3138" spans="1:8" ht="13.5" customHeight="1">
      <c r="A3138" s="532">
        <v>45104</v>
      </c>
      <c r="B3138" s="615">
        <v>56200</v>
      </c>
      <c r="C3138" s="615">
        <f t="shared" si="314"/>
        <v>60680.602739726026</v>
      </c>
      <c r="D3138" s="532">
        <f t="shared" si="312"/>
        <v>45134</v>
      </c>
      <c r="E3138" s="534">
        <v>30</v>
      </c>
      <c r="F3138" s="653">
        <v>0.97</v>
      </c>
      <c r="G3138" s="536" t="s">
        <v>261</v>
      </c>
      <c r="H3138">
        <f t="shared" si="315"/>
        <v>4480.6027397260259</v>
      </c>
    </row>
    <row r="3139" spans="1:8" ht="13.5" customHeight="1">
      <c r="A3139" s="532">
        <v>45104</v>
      </c>
      <c r="B3139" s="615">
        <v>118300</v>
      </c>
      <c r="C3139" s="615">
        <f t="shared" si="314"/>
        <v>127731.5890410959</v>
      </c>
      <c r="D3139" s="532">
        <f t="shared" si="312"/>
        <v>45134</v>
      </c>
      <c r="E3139" s="534">
        <v>30</v>
      </c>
      <c r="F3139" s="653">
        <v>0.97</v>
      </c>
      <c r="G3139" s="536" t="s">
        <v>265</v>
      </c>
      <c r="H3139">
        <v>127731.59</v>
      </c>
    </row>
    <row r="3140" spans="1:8" ht="13.5" customHeight="1">
      <c r="A3140" s="532">
        <v>45104</v>
      </c>
      <c r="B3140" s="615">
        <v>385000</v>
      </c>
      <c r="C3140" s="615">
        <f t="shared" si="314"/>
        <v>415694.52054794523</v>
      </c>
      <c r="D3140" s="532">
        <f t="shared" si="312"/>
        <v>45134</v>
      </c>
      <c r="E3140" s="534">
        <v>30</v>
      </c>
      <c r="F3140" s="653">
        <v>0.97</v>
      </c>
      <c r="G3140" s="536" t="s">
        <v>256</v>
      </c>
      <c r="H3140">
        <f>IF(E3140&gt;89,(C3140-B3140)/3,(C3140-B3140))</f>
        <v>30694.520547945227</v>
      </c>
    </row>
    <row r="3141" spans="1:8" ht="13.5" customHeight="1">
      <c r="A3141" s="532">
        <v>45104</v>
      </c>
      <c r="B3141" s="615">
        <v>188000</v>
      </c>
      <c r="C3141" s="615">
        <f t="shared" si="314"/>
        <v>202988.49315068492</v>
      </c>
      <c r="D3141" s="532">
        <f t="shared" si="312"/>
        <v>45134</v>
      </c>
      <c r="E3141" s="534">
        <v>30</v>
      </c>
      <c r="F3141" s="653">
        <v>0.97</v>
      </c>
      <c r="G3141" s="536" t="s">
        <v>262</v>
      </c>
      <c r="H3141">
        <f>IF(E3141&gt;89,(C3141-B3141)/3,(C3141-B3141))</f>
        <v>14988.493150684924</v>
      </c>
    </row>
    <row r="3142" spans="1:8" ht="13.5" customHeight="1">
      <c r="A3142" s="532">
        <v>45104</v>
      </c>
      <c r="B3142" s="615">
        <v>375000</v>
      </c>
      <c r="C3142" s="615">
        <f t="shared" si="314"/>
        <v>404897.26027397258</v>
      </c>
      <c r="D3142" s="532">
        <f t="shared" si="312"/>
        <v>45134</v>
      </c>
      <c r="E3142" s="534">
        <v>30</v>
      </c>
      <c r="F3142" s="653">
        <v>0.97</v>
      </c>
      <c r="G3142" s="536" t="s">
        <v>258</v>
      </c>
      <c r="H3142">
        <f>IF(E3142&gt;89,(C3142-B3142)/3,(C3142-B3142))</f>
        <v>29897.260273972584</v>
      </c>
    </row>
    <row r="3143" spans="1:8" ht="13.5" customHeight="1">
      <c r="A3143" s="532">
        <v>45105</v>
      </c>
      <c r="B3143" s="615">
        <v>183900</v>
      </c>
      <c r="C3143" s="615">
        <f t="shared" si="314"/>
        <v>198561.61643835617</v>
      </c>
      <c r="D3143" s="532">
        <f t="shared" si="312"/>
        <v>45135</v>
      </c>
      <c r="E3143" s="534">
        <v>30</v>
      </c>
      <c r="F3143" s="653">
        <v>0.97</v>
      </c>
      <c r="G3143" s="536" t="s">
        <v>259</v>
      </c>
      <c r="H3143">
        <f>183900+14661.62</f>
        <v>198561.62</v>
      </c>
    </row>
    <row r="3144" spans="1:8" ht="13.5" customHeight="1">
      <c r="A3144" s="532">
        <v>45105</v>
      </c>
      <c r="B3144" s="615">
        <v>60000</v>
      </c>
      <c r="C3144" s="615">
        <f t="shared" si="314"/>
        <v>64783.561643835616</v>
      </c>
      <c r="D3144" s="532">
        <f t="shared" si="312"/>
        <v>45135</v>
      </c>
      <c r="E3144" s="534">
        <v>30</v>
      </c>
      <c r="F3144" s="653">
        <v>0.97</v>
      </c>
      <c r="G3144" s="536" t="s">
        <v>256</v>
      </c>
      <c r="H3144">
        <f>IF(E3144&gt;89,(C3144-B3144)/3,(C3144-B3144))</f>
        <v>4783.5616438356155</v>
      </c>
    </row>
    <row r="3145" spans="1:8" ht="13.5" customHeight="1">
      <c r="A3145" s="532">
        <v>45106</v>
      </c>
      <c r="B3145" s="615">
        <v>15500</v>
      </c>
      <c r="C3145" s="615">
        <f t="shared" si="314"/>
        <v>16818.136986301372</v>
      </c>
      <c r="D3145" s="532">
        <f t="shared" si="312"/>
        <v>45138</v>
      </c>
      <c r="E3145" s="534">
        <v>32</v>
      </c>
      <c r="F3145" s="653">
        <v>0.97</v>
      </c>
      <c r="G3145" s="536" t="s">
        <v>261</v>
      </c>
    </row>
    <row r="3146" spans="1:8" ht="13.5" customHeight="1">
      <c r="A3146" s="532">
        <v>45106</v>
      </c>
      <c r="B3146" s="615">
        <v>149900</v>
      </c>
      <c r="C3146" s="615">
        <f t="shared" si="314"/>
        <v>162647.66027397261</v>
      </c>
      <c r="D3146" s="532">
        <f t="shared" si="312"/>
        <v>45138</v>
      </c>
      <c r="E3146" s="534">
        <v>32</v>
      </c>
      <c r="F3146" s="653">
        <v>0.97</v>
      </c>
      <c r="G3146" s="536" t="s">
        <v>260</v>
      </c>
    </row>
    <row r="3147" spans="1:8" ht="13.5" customHeight="1">
      <c r="A3147" s="532">
        <v>45106</v>
      </c>
      <c r="B3147" s="615">
        <v>75000</v>
      </c>
      <c r="C3147" s="615">
        <f t="shared" si="314"/>
        <v>81378.082191780821</v>
      </c>
      <c r="D3147" s="532">
        <f t="shared" si="312"/>
        <v>45138</v>
      </c>
      <c r="E3147" s="534">
        <v>32</v>
      </c>
      <c r="F3147" s="653">
        <v>0.97</v>
      </c>
      <c r="G3147" s="536" t="s">
        <v>257</v>
      </c>
    </row>
    <row r="3148" spans="1:8" ht="13.5" customHeight="1">
      <c r="A3148" s="532">
        <v>45106</v>
      </c>
      <c r="B3148" s="615">
        <v>750000</v>
      </c>
      <c r="C3148" s="615">
        <f t="shared" si="314"/>
        <v>813780.82191780827</v>
      </c>
      <c r="D3148" s="532">
        <f t="shared" si="312"/>
        <v>45138</v>
      </c>
      <c r="E3148" s="534">
        <v>32</v>
      </c>
      <c r="F3148" s="653">
        <v>0.97</v>
      </c>
      <c r="G3148" s="536" t="s">
        <v>262</v>
      </c>
    </row>
    <row r="3149" spans="1:8" ht="13.5" customHeight="1">
      <c r="A3149" s="532">
        <v>45106</v>
      </c>
      <c r="B3149" s="615">
        <v>225000</v>
      </c>
      <c r="C3149" s="615">
        <f t="shared" si="314"/>
        <v>244134.24657534246</v>
      </c>
      <c r="D3149" s="532">
        <f t="shared" si="312"/>
        <v>45138</v>
      </c>
      <c r="E3149" s="534">
        <v>32</v>
      </c>
      <c r="F3149" s="653">
        <v>0.97</v>
      </c>
      <c r="G3149" s="536" t="s">
        <v>256</v>
      </c>
    </row>
    <row r="3150" spans="1:8" ht="13.5" customHeight="1">
      <c r="A3150" s="532">
        <v>45106</v>
      </c>
      <c r="B3150" s="615">
        <v>245000</v>
      </c>
      <c r="C3150" s="615">
        <f t="shared" si="314"/>
        <v>265835.0684931507</v>
      </c>
      <c r="D3150" s="532">
        <f t="shared" si="312"/>
        <v>45138</v>
      </c>
      <c r="E3150" s="534">
        <v>32</v>
      </c>
      <c r="F3150" s="653">
        <v>0.97</v>
      </c>
      <c r="G3150" s="536" t="s">
        <v>258</v>
      </c>
    </row>
    <row r="3151" spans="1:8" ht="13.5" customHeight="1">
      <c r="A3151" s="532">
        <v>45106</v>
      </c>
      <c r="B3151" s="615">
        <v>11000</v>
      </c>
      <c r="C3151" s="615">
        <f t="shared" si="314"/>
        <v>11935.452054794521</v>
      </c>
      <c r="D3151" s="532">
        <f t="shared" si="312"/>
        <v>45138</v>
      </c>
      <c r="E3151" s="534">
        <v>32</v>
      </c>
      <c r="F3151" s="653">
        <v>0.97</v>
      </c>
      <c r="G3151" s="536" t="s">
        <v>259</v>
      </c>
    </row>
    <row r="3152" spans="1:8" ht="13.5" customHeight="1">
      <c r="A3152" s="532">
        <v>45107</v>
      </c>
      <c r="B3152" s="615">
        <v>130000</v>
      </c>
      <c r="C3152" s="615">
        <f t="shared" si="314"/>
        <v>141055.34246575343</v>
      </c>
      <c r="D3152" s="532">
        <f t="shared" si="312"/>
        <v>45139</v>
      </c>
      <c r="E3152" s="534">
        <v>32</v>
      </c>
      <c r="F3152" s="653">
        <v>0.97</v>
      </c>
      <c r="G3152" s="536" t="s">
        <v>256</v>
      </c>
    </row>
    <row r="3153" spans="1:8" ht="13.5" customHeight="1">
      <c r="A3153" s="532">
        <v>45110</v>
      </c>
      <c r="B3153" s="615">
        <v>227300</v>
      </c>
      <c r="C3153" s="615">
        <f t="shared" si="314"/>
        <v>245421.72602739726</v>
      </c>
      <c r="D3153" s="532">
        <f t="shared" si="312"/>
        <v>45140</v>
      </c>
      <c r="E3153" s="534">
        <v>30</v>
      </c>
      <c r="F3153" s="653">
        <v>0.97</v>
      </c>
      <c r="G3153" s="536" t="s">
        <v>260</v>
      </c>
    </row>
    <row r="3154" spans="1:8" ht="13.5" customHeight="1">
      <c r="A3154" s="532">
        <v>45110</v>
      </c>
      <c r="B3154" s="615">
        <v>27700</v>
      </c>
      <c r="C3154" s="615">
        <f t="shared" si="314"/>
        <v>29908.410958904111</v>
      </c>
      <c r="D3154" s="532">
        <f t="shared" si="312"/>
        <v>45140</v>
      </c>
      <c r="E3154" s="534">
        <v>30</v>
      </c>
      <c r="F3154" s="653">
        <v>0.97</v>
      </c>
      <c r="G3154" s="536" t="s">
        <v>259</v>
      </c>
      <c r="H3154">
        <f>27700+2208.41</f>
        <v>29908.41</v>
      </c>
    </row>
    <row r="3155" spans="1:8" ht="13.5" customHeight="1">
      <c r="A3155" s="532">
        <v>45110</v>
      </c>
      <c r="B3155" s="615">
        <v>485000</v>
      </c>
      <c r="C3155" s="615">
        <f t="shared" si="314"/>
        <v>523667.12328767125</v>
      </c>
      <c r="D3155" s="532">
        <f t="shared" si="312"/>
        <v>45140</v>
      </c>
      <c r="E3155" s="534">
        <v>30</v>
      </c>
      <c r="F3155" s="653">
        <v>0.97</v>
      </c>
      <c r="G3155" s="536" t="s">
        <v>256</v>
      </c>
    </row>
    <row r="3156" spans="1:8" ht="13.5" customHeight="1">
      <c r="A3156" s="532">
        <v>45110</v>
      </c>
      <c r="B3156" s="615">
        <v>188000</v>
      </c>
      <c r="C3156" s="615">
        <f t="shared" si="314"/>
        <v>202988.49315068492</v>
      </c>
      <c r="D3156" s="532">
        <f t="shared" si="312"/>
        <v>45140</v>
      </c>
      <c r="E3156" s="534">
        <v>30</v>
      </c>
      <c r="F3156" s="653">
        <v>0.97</v>
      </c>
      <c r="G3156" s="536" t="s">
        <v>257</v>
      </c>
    </row>
    <row r="3157" spans="1:8" ht="13.5" customHeight="1">
      <c r="A3157" s="532">
        <v>45110</v>
      </c>
      <c r="B3157" s="615">
        <v>92700</v>
      </c>
      <c r="C3157" s="615">
        <f t="shared" si="314"/>
        <v>100090.60273972603</v>
      </c>
      <c r="D3157" s="532">
        <f t="shared" si="312"/>
        <v>45140</v>
      </c>
      <c r="E3157" s="534">
        <v>30</v>
      </c>
      <c r="F3157" s="653">
        <v>0.97</v>
      </c>
      <c r="G3157" s="536" t="s">
        <v>261</v>
      </c>
    </row>
    <row r="3158" spans="1:8" ht="13.5" customHeight="1">
      <c r="A3158" s="532">
        <v>45110</v>
      </c>
      <c r="B3158" s="615">
        <v>840000</v>
      </c>
      <c r="C3158" s="615">
        <f t="shared" si="314"/>
        <v>906969.8630136986</v>
      </c>
      <c r="D3158" s="532">
        <f t="shared" si="312"/>
        <v>45140</v>
      </c>
      <c r="E3158" s="534">
        <v>30</v>
      </c>
      <c r="F3158" s="653">
        <v>0.97</v>
      </c>
      <c r="G3158" s="536" t="s">
        <v>262</v>
      </c>
    </row>
    <row r="3159" spans="1:8" ht="13.5" customHeight="1">
      <c r="A3159" s="532">
        <v>45110</v>
      </c>
      <c r="B3159" s="615">
        <v>210000</v>
      </c>
      <c r="C3159" s="615">
        <f t="shared" si="314"/>
        <v>226742.46575342465</v>
      </c>
      <c r="D3159" s="532">
        <f t="shared" si="312"/>
        <v>45140</v>
      </c>
      <c r="E3159" s="534">
        <v>30</v>
      </c>
      <c r="F3159" s="653">
        <v>0.97</v>
      </c>
      <c r="G3159" s="536" t="s">
        <v>258</v>
      </c>
    </row>
    <row r="3160" spans="1:8" ht="13.5" customHeight="1">
      <c r="A3160" s="532">
        <v>45111</v>
      </c>
      <c r="B3160" s="615">
        <v>225400</v>
      </c>
      <c r="C3160" s="615">
        <f t="shared" si="314"/>
        <v>243370.24657534246</v>
      </c>
      <c r="D3160" s="532">
        <f t="shared" si="312"/>
        <v>45141</v>
      </c>
      <c r="E3160" s="534">
        <v>30</v>
      </c>
      <c r="F3160" s="653">
        <v>0.97</v>
      </c>
      <c r="G3160" s="536" t="s">
        <v>257</v>
      </c>
    </row>
    <row r="3161" spans="1:8" ht="13.5" customHeight="1">
      <c r="A3161" s="532">
        <v>45111</v>
      </c>
      <c r="B3161" s="615">
        <v>375000</v>
      </c>
      <c r="C3161" s="615">
        <f t="shared" si="314"/>
        <v>404897.26027397258</v>
      </c>
      <c r="D3161" s="532">
        <f t="shared" si="312"/>
        <v>45141</v>
      </c>
      <c r="E3161" s="534">
        <v>30</v>
      </c>
      <c r="F3161" s="653">
        <v>0.97</v>
      </c>
      <c r="G3161" s="536" t="s">
        <v>256</v>
      </c>
    </row>
    <row r="3162" spans="1:8" ht="13.5" customHeight="1">
      <c r="A3162" s="532">
        <v>45111</v>
      </c>
      <c r="B3162" s="615">
        <v>15000</v>
      </c>
      <c r="C3162" s="615">
        <f t="shared" si="314"/>
        <v>16195.890410958904</v>
      </c>
      <c r="D3162" s="532">
        <f t="shared" si="312"/>
        <v>45141</v>
      </c>
      <c r="E3162" s="534">
        <v>30</v>
      </c>
      <c r="F3162" s="653">
        <v>0.97</v>
      </c>
      <c r="G3162" s="536" t="s">
        <v>261</v>
      </c>
    </row>
    <row r="3163" spans="1:8" ht="13.5" customHeight="1">
      <c r="A3163" s="532">
        <v>45111</v>
      </c>
      <c r="B3163" s="615">
        <v>115800</v>
      </c>
      <c r="C3163" s="615">
        <f t="shared" si="314"/>
        <v>125032.27397260274</v>
      </c>
      <c r="D3163" s="532">
        <f t="shared" si="312"/>
        <v>45141</v>
      </c>
      <c r="E3163" s="534">
        <v>30</v>
      </c>
      <c r="F3163" s="653">
        <v>0.97</v>
      </c>
      <c r="G3163" s="536" t="s">
        <v>260</v>
      </c>
    </row>
    <row r="3164" spans="1:8" ht="13.5" customHeight="1">
      <c r="A3164" s="532">
        <v>45111</v>
      </c>
      <c r="B3164" s="615">
        <v>35000</v>
      </c>
      <c r="C3164" s="615">
        <f t="shared" si="314"/>
        <v>37883.424657534248</v>
      </c>
      <c r="D3164" s="532">
        <f t="shared" ref="A3164:D3227" si="316">+A3164+E3164</f>
        <v>45142</v>
      </c>
      <c r="E3164" s="534">
        <v>31</v>
      </c>
      <c r="F3164" s="653">
        <v>0.97</v>
      </c>
      <c r="G3164" s="536" t="s">
        <v>258</v>
      </c>
      <c r="H3164">
        <f>IF(E3164&gt;89,(C3164-B3164)/3,(C3164-B3164))</f>
        <v>2883.4246575342477</v>
      </c>
    </row>
    <row r="3165" spans="1:8" ht="13.5" customHeight="1">
      <c r="A3165" s="532">
        <v>45111</v>
      </c>
      <c r="B3165" s="615">
        <v>14700</v>
      </c>
      <c r="C3165" s="615">
        <f t="shared" si="314"/>
        <v>15911.038356164383</v>
      </c>
      <c r="D3165" s="532">
        <f t="shared" si="316"/>
        <v>45142</v>
      </c>
      <c r="E3165" s="534">
        <v>31</v>
      </c>
      <c r="F3165" s="653">
        <v>0.97</v>
      </c>
      <c r="G3165" s="536" t="s">
        <v>261</v>
      </c>
      <c r="H3165">
        <f>IF(E3165&gt;89,(C3165-B3165)/3,(C3165-B3165))</f>
        <v>1211.038356164383</v>
      </c>
    </row>
    <row r="3166" spans="1:8" ht="13.5" customHeight="1">
      <c r="A3166" s="532">
        <v>45111</v>
      </c>
      <c r="B3166" s="615">
        <v>80000</v>
      </c>
      <c r="C3166" s="615">
        <f t="shared" si="314"/>
        <v>86590.684931506854</v>
      </c>
      <c r="D3166" s="532">
        <f t="shared" si="316"/>
        <v>45142</v>
      </c>
      <c r="E3166" s="534">
        <v>31</v>
      </c>
      <c r="F3166" s="653">
        <v>0.97</v>
      </c>
      <c r="G3166" s="536" t="s">
        <v>257</v>
      </c>
      <c r="H3166">
        <f>IF(E3166&gt;89,(C3166-B3166)/3,(C3166-B3166))</f>
        <v>6590.6849315068539</v>
      </c>
    </row>
    <row r="3167" spans="1:8" ht="13.5" customHeight="1">
      <c r="A3167" s="532">
        <v>45112</v>
      </c>
      <c r="B3167" s="615">
        <v>36500</v>
      </c>
      <c r="C3167" s="615">
        <f t="shared" si="314"/>
        <v>39410</v>
      </c>
      <c r="D3167" s="532">
        <f t="shared" si="316"/>
        <v>45142</v>
      </c>
      <c r="E3167" s="534">
        <v>30</v>
      </c>
      <c r="F3167" s="653">
        <v>0.97</v>
      </c>
      <c r="G3167" s="536" t="s">
        <v>259</v>
      </c>
      <c r="H3167">
        <f>IF(E3167&gt;89,(C3167-B3167)/3,(C3167-B3167))</f>
        <v>2910</v>
      </c>
    </row>
    <row r="3168" spans="1:8" ht="13.5" customHeight="1">
      <c r="A3168" s="532">
        <v>45114</v>
      </c>
      <c r="B3168" s="615">
        <v>142000</v>
      </c>
      <c r="C3168" s="615">
        <f t="shared" si="314"/>
        <v>153698.46575342465</v>
      </c>
      <c r="D3168" s="532">
        <f t="shared" si="316"/>
        <v>45145</v>
      </c>
      <c r="E3168" s="534">
        <v>31</v>
      </c>
      <c r="F3168" s="653">
        <v>0.97</v>
      </c>
      <c r="G3168" s="536" t="s">
        <v>258</v>
      </c>
    </row>
    <row r="3169" spans="1:8" ht="13.5" customHeight="1">
      <c r="A3169" s="532">
        <v>45117</v>
      </c>
      <c r="B3169" s="615">
        <v>154000</v>
      </c>
      <c r="C3169" s="615">
        <f t="shared" si="314"/>
        <v>166277.80821917808</v>
      </c>
      <c r="D3169" s="532">
        <f t="shared" si="316"/>
        <v>45147</v>
      </c>
      <c r="E3169" s="534">
        <v>30</v>
      </c>
      <c r="F3169" s="653">
        <v>0.97</v>
      </c>
      <c r="G3169" s="536" t="s">
        <v>265</v>
      </c>
    </row>
    <row r="3170" spans="1:8" ht="13.5" customHeight="1">
      <c r="A3170" s="532">
        <v>45117</v>
      </c>
      <c r="B3170" s="615">
        <v>35300</v>
      </c>
      <c r="C3170" s="615">
        <f t="shared" si="314"/>
        <v>38114.32876712329</v>
      </c>
      <c r="D3170" s="532">
        <f t="shared" si="316"/>
        <v>45147</v>
      </c>
      <c r="E3170" s="534">
        <v>30</v>
      </c>
      <c r="F3170" s="653">
        <v>0.97</v>
      </c>
      <c r="G3170" s="536" t="s">
        <v>257</v>
      </c>
    </row>
    <row r="3171" spans="1:8" ht="13.5" customHeight="1">
      <c r="A3171" s="532">
        <v>45117</v>
      </c>
      <c r="B3171" s="615">
        <v>126200</v>
      </c>
      <c r="C3171" s="615">
        <f t="shared" si="314"/>
        <v>136261.42465753425</v>
      </c>
      <c r="D3171" s="532">
        <f t="shared" si="316"/>
        <v>45147</v>
      </c>
      <c r="E3171" s="534">
        <v>30</v>
      </c>
      <c r="F3171" s="653">
        <v>0.97</v>
      </c>
      <c r="G3171" s="536" t="s">
        <v>260</v>
      </c>
    </row>
    <row r="3172" spans="1:8" ht="13.5" customHeight="1">
      <c r="A3172" s="532">
        <v>45117</v>
      </c>
      <c r="B3172" s="615">
        <v>245000</v>
      </c>
      <c r="C3172" s="615">
        <f t="shared" ref="A3172:C3235" si="317">B3172+(B3172*F3172/365*E3172)*1</f>
        <v>267788.35616438359</v>
      </c>
      <c r="D3172" s="532">
        <f t="shared" si="316"/>
        <v>45152</v>
      </c>
      <c r="E3172" s="534">
        <v>35</v>
      </c>
      <c r="F3172" s="653">
        <v>0.97</v>
      </c>
      <c r="G3172" s="536" t="s">
        <v>256</v>
      </c>
    </row>
    <row r="3173" spans="1:8" ht="13.5" customHeight="1">
      <c r="A3173" s="532">
        <v>45117</v>
      </c>
      <c r="B3173" s="615">
        <v>56800</v>
      </c>
      <c r="C3173" s="615">
        <f t="shared" si="317"/>
        <v>62234.126027397258</v>
      </c>
      <c r="D3173" s="532">
        <f t="shared" si="316"/>
        <v>45153</v>
      </c>
      <c r="E3173" s="534">
        <v>36</v>
      </c>
      <c r="F3173" s="653">
        <v>0.97</v>
      </c>
      <c r="G3173" s="536" t="s">
        <v>261</v>
      </c>
    </row>
    <row r="3174" spans="1:8" ht="13.5" customHeight="1">
      <c r="A3174" s="532">
        <v>45118</v>
      </c>
      <c r="B3174" s="615">
        <v>25100</v>
      </c>
      <c r="C3174" s="615">
        <f t="shared" si="317"/>
        <v>27101.123287671231</v>
      </c>
      <c r="D3174" s="532">
        <f t="shared" si="316"/>
        <v>45148</v>
      </c>
      <c r="E3174" s="534">
        <v>30</v>
      </c>
      <c r="F3174" s="653">
        <v>0.97</v>
      </c>
      <c r="G3174" s="536" t="s">
        <v>260</v>
      </c>
      <c r="H3174">
        <f>IF(E3174&gt;89,(C3174-B3174)/3,(C3174-B3174))</f>
        <v>2001.1232876712311</v>
      </c>
    </row>
    <row r="3175" spans="1:8" ht="13.5" customHeight="1">
      <c r="A3175" s="532">
        <v>45118</v>
      </c>
      <c r="B3175" s="615">
        <v>44500</v>
      </c>
      <c r="C3175" s="615">
        <f t="shared" si="317"/>
        <v>48047.808219178085</v>
      </c>
      <c r="D3175" s="532">
        <f t="shared" si="316"/>
        <v>45148</v>
      </c>
      <c r="E3175" s="534">
        <v>30</v>
      </c>
      <c r="F3175" s="653">
        <v>0.97</v>
      </c>
      <c r="G3175" s="536" t="s">
        <v>257</v>
      </c>
    </row>
    <row r="3176" spans="1:8" ht="13.5" customHeight="1">
      <c r="A3176" s="532">
        <v>45118</v>
      </c>
      <c r="B3176" s="615">
        <v>26000</v>
      </c>
      <c r="C3176" s="615">
        <f t="shared" si="317"/>
        <v>28072.876712328769</v>
      </c>
      <c r="D3176" s="532">
        <f t="shared" si="316"/>
        <v>45148</v>
      </c>
      <c r="E3176" s="534">
        <v>30</v>
      </c>
      <c r="F3176" s="653">
        <v>0.97</v>
      </c>
      <c r="G3176" s="536" t="s">
        <v>265</v>
      </c>
      <c r="H3176">
        <f>IF(E3176&gt;89,(C3176-B3176)/3,(C3176-B3176))</f>
        <v>2072.8767123287689</v>
      </c>
    </row>
    <row r="3177" spans="1:8" ht="13.5" customHeight="1">
      <c r="A3177" s="532">
        <v>45118</v>
      </c>
      <c r="B3177" s="615">
        <v>250000</v>
      </c>
      <c r="C3177" s="615">
        <f t="shared" si="317"/>
        <v>272589.0410958904</v>
      </c>
      <c r="D3177" s="532">
        <f t="shared" si="316"/>
        <v>45152</v>
      </c>
      <c r="E3177" s="534">
        <v>34</v>
      </c>
      <c r="F3177" s="653">
        <v>0.97</v>
      </c>
      <c r="G3177" s="536" t="s">
        <v>258</v>
      </c>
    </row>
    <row r="3178" spans="1:8" ht="13.5" customHeight="1">
      <c r="A3178" s="532">
        <v>45118</v>
      </c>
      <c r="B3178" s="615">
        <v>37700</v>
      </c>
      <c r="C3178" s="615">
        <f t="shared" si="317"/>
        <v>41206.616438356163</v>
      </c>
      <c r="D3178" s="532">
        <f t="shared" si="316"/>
        <v>45153</v>
      </c>
      <c r="E3178" s="534">
        <v>35</v>
      </c>
      <c r="F3178" s="653">
        <v>0.97</v>
      </c>
      <c r="G3178" s="536" t="s">
        <v>261</v>
      </c>
    </row>
    <row r="3179" spans="1:8" ht="13.5" customHeight="1">
      <c r="A3179" s="532">
        <v>45118</v>
      </c>
      <c r="B3179" s="615">
        <v>330000</v>
      </c>
      <c r="C3179" s="615">
        <f t="shared" si="317"/>
        <v>361571.50684931508</v>
      </c>
      <c r="D3179" s="532">
        <f t="shared" si="316"/>
        <v>45154</v>
      </c>
      <c r="E3179" s="534">
        <v>36</v>
      </c>
      <c r="F3179" s="653">
        <v>0.97</v>
      </c>
      <c r="G3179" s="536" t="s">
        <v>256</v>
      </c>
    </row>
    <row r="3180" spans="1:8" ht="13.5" customHeight="1">
      <c r="A3180" s="532">
        <v>45118</v>
      </c>
      <c r="B3180" s="615">
        <v>40000</v>
      </c>
      <c r="C3180" s="615">
        <f t="shared" si="317"/>
        <v>43826.849315068495</v>
      </c>
      <c r="D3180" s="532">
        <f t="shared" si="316"/>
        <v>45154</v>
      </c>
      <c r="E3180" s="534">
        <v>36</v>
      </c>
      <c r="F3180" s="653">
        <v>0.97</v>
      </c>
      <c r="G3180" s="536" t="s">
        <v>256</v>
      </c>
    </row>
    <row r="3181" spans="1:8" ht="13.5" customHeight="1">
      <c r="A3181" s="532">
        <v>45119</v>
      </c>
      <c r="B3181" s="615">
        <v>35000</v>
      </c>
      <c r="C3181" s="615">
        <f t="shared" si="317"/>
        <v>37790.410958904111</v>
      </c>
      <c r="D3181" s="532">
        <f t="shared" si="316"/>
        <v>45149</v>
      </c>
      <c r="E3181" s="534">
        <v>30</v>
      </c>
      <c r="F3181" s="653">
        <v>0.97</v>
      </c>
      <c r="G3181" s="536" t="s">
        <v>256</v>
      </c>
    </row>
    <row r="3182" spans="1:8" ht="13.5" customHeight="1">
      <c r="A3182" s="532">
        <v>45119</v>
      </c>
      <c r="B3182" s="615">
        <v>18500</v>
      </c>
      <c r="C3182" s="615">
        <f t="shared" si="317"/>
        <v>19625.205479452055</v>
      </c>
      <c r="D3182" s="532">
        <f t="shared" si="316"/>
        <v>45149</v>
      </c>
      <c r="E3182" s="534">
        <v>30</v>
      </c>
      <c r="F3182" s="653">
        <v>0.74</v>
      </c>
      <c r="G3182" s="536" t="s">
        <v>260</v>
      </c>
    </row>
    <row r="3183" spans="1:8" ht="13.5" customHeight="1">
      <c r="A3183" s="532">
        <v>45119</v>
      </c>
      <c r="B3183" s="615">
        <v>145000</v>
      </c>
      <c r="C3183" s="615">
        <f t="shared" si="317"/>
        <v>156560.27397260274</v>
      </c>
      <c r="D3183" s="532">
        <f t="shared" si="316"/>
        <v>45149</v>
      </c>
      <c r="E3183" s="534">
        <v>30</v>
      </c>
      <c r="F3183" s="653">
        <v>0.97</v>
      </c>
      <c r="G3183" s="536" t="s">
        <v>257</v>
      </c>
    </row>
    <row r="3184" spans="1:8" ht="13.5" customHeight="1">
      <c r="A3184" s="532">
        <v>45119</v>
      </c>
      <c r="B3184" s="615">
        <v>30000</v>
      </c>
      <c r="C3184" s="615">
        <f t="shared" si="317"/>
        <v>32710.68493150685</v>
      </c>
      <c r="D3184" s="532">
        <f t="shared" si="316"/>
        <v>45153</v>
      </c>
      <c r="E3184" s="534">
        <v>34</v>
      </c>
      <c r="F3184" s="653">
        <v>0.97</v>
      </c>
      <c r="G3184" s="536" t="s">
        <v>261</v>
      </c>
    </row>
    <row r="3185" spans="1:9" ht="13.5" customHeight="1">
      <c r="A3185" s="532">
        <v>45120</v>
      </c>
      <c r="B3185" s="615">
        <v>160000</v>
      </c>
      <c r="C3185" s="615">
        <f t="shared" si="317"/>
        <v>173606.57534246575</v>
      </c>
      <c r="D3185" s="532">
        <f t="shared" si="316"/>
        <v>45152</v>
      </c>
      <c r="E3185" s="534">
        <v>32</v>
      </c>
      <c r="F3185" s="653">
        <v>0.97</v>
      </c>
      <c r="G3185" s="536" t="s">
        <v>258</v>
      </c>
    </row>
    <row r="3186" spans="1:9" ht="13.5" customHeight="1">
      <c r="A3186" s="532">
        <v>45120</v>
      </c>
      <c r="B3186" s="615">
        <v>245000</v>
      </c>
      <c r="C3186" s="615">
        <f t="shared" si="317"/>
        <v>266486.16438356164</v>
      </c>
      <c r="D3186" s="532">
        <f t="shared" si="316"/>
        <v>45153</v>
      </c>
      <c r="E3186" s="534">
        <v>33</v>
      </c>
      <c r="F3186" s="653">
        <v>0.97</v>
      </c>
      <c r="G3186" s="536" t="s">
        <v>261</v>
      </c>
    </row>
    <row r="3187" spans="1:9" ht="13.5" customHeight="1">
      <c r="A3187" s="532">
        <v>45120</v>
      </c>
      <c r="B3187" s="615">
        <v>50000</v>
      </c>
      <c r="C3187" s="615">
        <f t="shared" si="317"/>
        <v>54517.808219178085</v>
      </c>
      <c r="D3187" s="532">
        <f t="shared" si="316"/>
        <v>45154</v>
      </c>
      <c r="E3187" s="534">
        <v>34</v>
      </c>
      <c r="F3187" s="653">
        <v>0.97</v>
      </c>
      <c r="G3187" s="536" t="s">
        <v>265</v>
      </c>
    </row>
    <row r="3188" spans="1:9" ht="13.5" customHeight="1">
      <c r="A3188" s="532">
        <v>45120</v>
      </c>
      <c r="B3188" s="615">
        <v>190000</v>
      </c>
      <c r="C3188" s="615">
        <f t="shared" si="317"/>
        <v>213226.84931506848</v>
      </c>
      <c r="D3188" s="532">
        <f t="shared" si="316"/>
        <v>45166</v>
      </c>
      <c r="E3188" s="534">
        <v>46</v>
      </c>
      <c r="F3188" s="653">
        <v>0.97</v>
      </c>
      <c r="G3188" s="536" t="s">
        <v>261</v>
      </c>
      <c r="I3188">
        <f>+C3188-H3188</f>
        <v>213226.84931506848</v>
      </c>
    </row>
    <row r="3189" spans="1:9" ht="13.5" customHeight="1">
      <c r="A3189" s="532">
        <v>45120</v>
      </c>
      <c r="B3189" s="615">
        <v>115000</v>
      </c>
      <c r="C3189" s="615">
        <f t="shared" si="317"/>
        <v>129058.35616438356</v>
      </c>
      <c r="D3189" s="532">
        <f t="shared" si="316"/>
        <v>45166</v>
      </c>
      <c r="E3189" s="534">
        <v>46</v>
      </c>
      <c r="F3189" s="653">
        <v>0.97</v>
      </c>
      <c r="G3189" s="536" t="s">
        <v>265</v>
      </c>
      <c r="I3189">
        <f>+C3189-H3189</f>
        <v>129058.35616438356</v>
      </c>
    </row>
    <row r="3190" spans="1:9" ht="13.5" customHeight="1">
      <c r="A3190" s="532">
        <v>45120</v>
      </c>
      <c r="B3190" s="615">
        <v>45000</v>
      </c>
      <c r="C3190" s="615">
        <f t="shared" si="317"/>
        <v>52175.342465753427</v>
      </c>
      <c r="D3190" s="532">
        <f t="shared" si="316"/>
        <v>45180</v>
      </c>
      <c r="E3190" s="534">
        <v>60</v>
      </c>
      <c r="F3190" s="653">
        <v>0.97</v>
      </c>
      <c r="G3190" s="536" t="s">
        <v>258</v>
      </c>
      <c r="H3190">
        <f>IF(E3190&gt;89,(C3190-B3190)/3,(C3190-B3190))</f>
        <v>7175.3424657534269</v>
      </c>
    </row>
    <row r="3191" spans="1:9" ht="13.5" customHeight="1">
      <c r="A3191" s="532">
        <v>45120</v>
      </c>
      <c r="B3191" s="615">
        <v>91500</v>
      </c>
      <c r="C3191" s="615">
        <f t="shared" si="317"/>
        <v>109737.32876712328</v>
      </c>
      <c r="D3191" s="532">
        <f t="shared" si="316"/>
        <v>45195</v>
      </c>
      <c r="E3191" s="534">
        <v>75</v>
      </c>
      <c r="F3191" s="653">
        <v>0.97</v>
      </c>
      <c r="G3191" s="536" t="s">
        <v>260</v>
      </c>
      <c r="H3191">
        <f>IF(E3191&gt;89,(C3191-B3191)/3,(C3191-B3191))</f>
        <v>18237.328767123283</v>
      </c>
    </row>
    <row r="3192" spans="1:9" ht="13.5" customHeight="1">
      <c r="A3192" s="532">
        <v>45120</v>
      </c>
      <c r="B3192" s="615">
        <v>190800</v>
      </c>
      <c r="C3192" s="615">
        <f t="shared" si="317"/>
        <v>228829.31506849316</v>
      </c>
      <c r="D3192" s="532">
        <f t="shared" si="316"/>
        <v>45195</v>
      </c>
      <c r="E3192" s="534">
        <v>75</v>
      </c>
      <c r="F3192" s="653">
        <v>0.97</v>
      </c>
      <c r="G3192" s="536" t="s">
        <v>261</v>
      </c>
      <c r="H3192">
        <f>IF(E3192&gt;89,(C3192-B3192)/3,(C3192-B3192))</f>
        <v>38029.315068493161</v>
      </c>
    </row>
    <row r="3193" spans="1:9" ht="13.5" customHeight="1">
      <c r="A3193" s="532">
        <v>45120</v>
      </c>
      <c r="B3193" s="615">
        <v>115900</v>
      </c>
      <c r="C3193" s="615">
        <f t="shared" si="317"/>
        <v>139000.61643835617</v>
      </c>
      <c r="D3193" s="532">
        <f t="shared" si="316"/>
        <v>45195</v>
      </c>
      <c r="E3193" s="534">
        <v>75</v>
      </c>
      <c r="F3193" s="653">
        <v>0.97</v>
      </c>
      <c r="G3193" s="536" t="s">
        <v>265</v>
      </c>
      <c r="H3193">
        <f>IF(E3193&gt;89,(C3193-B3193)/3,(C3193-B3193))</f>
        <v>23100.61643835617</v>
      </c>
    </row>
    <row r="3194" spans="1:9" ht="13.5" customHeight="1">
      <c r="A3194" s="532">
        <v>45120</v>
      </c>
      <c r="B3194" s="615">
        <v>300000</v>
      </c>
      <c r="C3194" s="615">
        <f t="shared" si="317"/>
        <v>376536.98630136985</v>
      </c>
      <c r="D3194" s="532">
        <f t="shared" si="316"/>
        <v>45216</v>
      </c>
      <c r="E3194" s="534">
        <v>96</v>
      </c>
      <c r="F3194" s="653">
        <v>0.97</v>
      </c>
      <c r="G3194" s="536" t="s">
        <v>257</v>
      </c>
    </row>
    <row r="3195" spans="1:9" ht="13.5" customHeight="1">
      <c r="A3195" s="532">
        <v>45120</v>
      </c>
      <c r="B3195" s="615">
        <v>224600</v>
      </c>
      <c r="C3195" s="615">
        <f t="shared" si="317"/>
        <v>281900.69041095889</v>
      </c>
      <c r="D3195" s="532">
        <f t="shared" si="316"/>
        <v>45216</v>
      </c>
      <c r="E3195" s="534">
        <v>96</v>
      </c>
      <c r="F3195" s="653">
        <v>0.97</v>
      </c>
      <c r="G3195" s="536" t="s">
        <v>257</v>
      </c>
    </row>
    <row r="3196" spans="1:9" ht="13.5" customHeight="1">
      <c r="A3196" s="532">
        <v>45121</v>
      </c>
      <c r="B3196" s="615">
        <v>34300</v>
      </c>
      <c r="C3196" s="615">
        <f t="shared" si="317"/>
        <v>37125.756164383565</v>
      </c>
      <c r="D3196" s="532">
        <f t="shared" si="316"/>
        <v>45152</v>
      </c>
      <c r="E3196" s="534">
        <v>31</v>
      </c>
      <c r="F3196" s="653">
        <v>0.97</v>
      </c>
      <c r="G3196" s="536" t="s">
        <v>259</v>
      </c>
    </row>
    <row r="3197" spans="1:9" ht="13.5" customHeight="1">
      <c r="A3197" s="532">
        <v>45124</v>
      </c>
      <c r="B3197" s="615">
        <v>70000</v>
      </c>
      <c r="C3197" s="615">
        <f t="shared" si="317"/>
        <v>75952.876712328769</v>
      </c>
      <c r="D3197" s="532">
        <f t="shared" si="316"/>
        <v>45156</v>
      </c>
      <c r="E3197" s="534">
        <v>32</v>
      </c>
      <c r="F3197" s="653">
        <v>0.97</v>
      </c>
      <c r="G3197" s="536" t="s">
        <v>256</v>
      </c>
      <c r="H3197">
        <f>IF(E3197&gt;89,(C3197-B3197)/3,(C3197-B3197))</f>
        <v>5952.8767123287689</v>
      </c>
    </row>
    <row r="3198" spans="1:9" ht="13.5" customHeight="1">
      <c r="A3198" s="532">
        <v>45124</v>
      </c>
      <c r="B3198" s="615">
        <v>220300</v>
      </c>
      <c r="C3198" s="615">
        <f t="shared" si="317"/>
        <v>241376.37260273972</v>
      </c>
      <c r="D3198" s="532">
        <f t="shared" si="316"/>
        <v>45160</v>
      </c>
      <c r="E3198" s="534">
        <v>36</v>
      </c>
      <c r="F3198" s="653">
        <v>0.97</v>
      </c>
      <c r="G3198" s="536" t="s">
        <v>257</v>
      </c>
      <c r="H3198">
        <f>IF(E3198&gt;89,(C3198-B3198)/3,(C3198-B3198))</f>
        <v>21076.372602739721</v>
      </c>
    </row>
    <row r="3199" spans="1:9" ht="13.5" customHeight="1">
      <c r="A3199" s="532">
        <v>45124</v>
      </c>
      <c r="B3199" s="615">
        <v>115000</v>
      </c>
      <c r="C3199" s="615">
        <f t="shared" si="317"/>
        <v>126002.19178082192</v>
      </c>
      <c r="D3199" s="532">
        <f t="shared" si="316"/>
        <v>45160</v>
      </c>
      <c r="E3199" s="534">
        <v>36</v>
      </c>
      <c r="F3199" s="653">
        <v>0.97</v>
      </c>
      <c r="G3199" s="536" t="s">
        <v>258</v>
      </c>
      <c r="H3199">
        <f>IF(E3199&gt;89,(C3199-B3199)/3,(C3199-B3199))</f>
        <v>11002.191780821915</v>
      </c>
    </row>
    <row r="3200" spans="1:9" ht="13.5" customHeight="1">
      <c r="A3200" s="532">
        <v>45124</v>
      </c>
      <c r="B3200" s="615">
        <v>259200</v>
      </c>
      <c r="C3200" s="615">
        <f t="shared" si="317"/>
        <v>284686.81643835618</v>
      </c>
      <c r="D3200" s="532">
        <f t="shared" si="316"/>
        <v>45161</v>
      </c>
      <c r="E3200" s="534">
        <v>37</v>
      </c>
      <c r="F3200" s="653">
        <v>0.97</v>
      </c>
      <c r="G3200" s="536" t="s">
        <v>261</v>
      </c>
    </row>
    <row r="3201" spans="1:8" ht="13.5" customHeight="1">
      <c r="A3201" s="532">
        <v>45125</v>
      </c>
      <c r="B3201" s="615">
        <v>35000</v>
      </c>
      <c r="C3201" s="615">
        <f t="shared" si="317"/>
        <v>37790.410958904111</v>
      </c>
      <c r="D3201" s="532">
        <f t="shared" si="316"/>
        <v>45155</v>
      </c>
      <c r="E3201" s="534">
        <v>30</v>
      </c>
      <c r="F3201" s="653">
        <v>0.97</v>
      </c>
      <c r="G3201" s="536" t="s">
        <v>261</v>
      </c>
      <c r="H3201">
        <f t="shared" ref="A3201:H3206" si="318">IF(E3201&gt;89,(C3201-B3201)/3,(C3201-B3201))</f>
        <v>2790.4109589041109</v>
      </c>
    </row>
    <row r="3202" spans="1:8" ht="13.5" customHeight="1">
      <c r="A3202" s="532">
        <v>45125</v>
      </c>
      <c r="B3202" s="615">
        <v>85900</v>
      </c>
      <c r="C3202" s="615">
        <f t="shared" si="317"/>
        <v>92748.465753424651</v>
      </c>
      <c r="D3202" s="532">
        <f t="shared" si="316"/>
        <v>45155</v>
      </c>
      <c r="E3202" s="534">
        <v>30</v>
      </c>
      <c r="F3202" s="653">
        <v>0.97</v>
      </c>
      <c r="G3202" s="536" t="s">
        <v>261</v>
      </c>
      <c r="H3202">
        <f t="shared" si="318"/>
        <v>6848.4657534246508</v>
      </c>
    </row>
    <row r="3203" spans="1:8" ht="13.5" customHeight="1">
      <c r="A3203" s="532">
        <v>45125</v>
      </c>
      <c r="B3203" s="615">
        <v>375000</v>
      </c>
      <c r="C3203" s="615">
        <f t="shared" si="317"/>
        <v>404897.26027397258</v>
      </c>
      <c r="D3203" s="532">
        <f t="shared" si="316"/>
        <v>45155</v>
      </c>
      <c r="E3203" s="534">
        <v>30</v>
      </c>
      <c r="F3203" s="653">
        <v>0.97</v>
      </c>
      <c r="G3203" s="536" t="s">
        <v>262</v>
      </c>
      <c r="H3203">
        <f t="shared" si="318"/>
        <v>29897.260273972584</v>
      </c>
    </row>
    <row r="3204" spans="1:8" ht="13.5" customHeight="1">
      <c r="A3204" s="532">
        <v>45125</v>
      </c>
      <c r="B3204" s="615">
        <v>225800</v>
      </c>
      <c r="C3204" s="615">
        <f t="shared" si="317"/>
        <v>243802.13698630137</v>
      </c>
      <c r="D3204" s="532">
        <f t="shared" si="316"/>
        <v>45155</v>
      </c>
      <c r="E3204" s="534">
        <v>30</v>
      </c>
      <c r="F3204" s="653">
        <v>0.97</v>
      </c>
      <c r="G3204" s="536" t="s">
        <v>257</v>
      </c>
      <c r="H3204">
        <f t="shared" si="318"/>
        <v>18002.136986301368</v>
      </c>
    </row>
    <row r="3205" spans="1:8" ht="13.5" customHeight="1">
      <c r="A3205" s="532">
        <v>45125</v>
      </c>
      <c r="B3205" s="615">
        <v>370000</v>
      </c>
      <c r="C3205" s="615">
        <f t="shared" si="317"/>
        <v>399498.63013698632</v>
      </c>
      <c r="D3205" s="532">
        <f t="shared" si="316"/>
        <v>45155</v>
      </c>
      <c r="E3205" s="534">
        <v>30</v>
      </c>
      <c r="F3205" s="653">
        <v>0.97</v>
      </c>
      <c r="G3205" s="536" t="s">
        <v>256</v>
      </c>
      <c r="H3205">
        <f t="shared" si="318"/>
        <v>29498.630136986321</v>
      </c>
    </row>
    <row r="3206" spans="1:8" ht="13.5" customHeight="1">
      <c r="A3206" s="532">
        <v>45127</v>
      </c>
      <c r="B3206" s="615">
        <v>100000</v>
      </c>
      <c r="C3206" s="615">
        <f t="shared" si="317"/>
        <v>108769.86301369863</v>
      </c>
      <c r="D3206" s="532">
        <f t="shared" si="316"/>
        <v>45160</v>
      </c>
      <c r="E3206" s="534">
        <v>33</v>
      </c>
      <c r="F3206" s="653">
        <v>0.97</v>
      </c>
      <c r="G3206" s="536" t="s">
        <v>256</v>
      </c>
      <c r="H3206">
        <f t="shared" si="318"/>
        <v>8769.8630136986321</v>
      </c>
    </row>
    <row r="3207" spans="1:8" ht="13.5" customHeight="1">
      <c r="A3207" s="532">
        <v>45131</v>
      </c>
      <c r="B3207" s="615">
        <v>108000</v>
      </c>
      <c r="C3207" s="615">
        <f t="shared" si="317"/>
        <v>116610.4109589041</v>
      </c>
      <c r="D3207" s="532">
        <f t="shared" si="316"/>
        <v>45161</v>
      </c>
      <c r="E3207" s="534">
        <v>30</v>
      </c>
      <c r="F3207" s="653">
        <v>0.97</v>
      </c>
      <c r="G3207" s="536" t="s">
        <v>256</v>
      </c>
    </row>
    <row r="3208" spans="1:8" ht="13.5" customHeight="1">
      <c r="A3208" s="532">
        <v>45131</v>
      </c>
      <c r="B3208" s="615">
        <v>85000</v>
      </c>
      <c r="C3208" s="615">
        <f t="shared" si="317"/>
        <v>91776.712328767127</v>
      </c>
      <c r="D3208" s="532">
        <f t="shared" si="316"/>
        <v>45161</v>
      </c>
      <c r="E3208" s="534">
        <v>30</v>
      </c>
      <c r="F3208" s="653">
        <v>0.97</v>
      </c>
      <c r="G3208" s="536" t="s">
        <v>258</v>
      </c>
    </row>
    <row r="3209" spans="1:8" ht="13.5" customHeight="1">
      <c r="A3209" s="532">
        <v>45131</v>
      </c>
      <c r="B3209" s="615">
        <v>99300</v>
      </c>
      <c r="C3209" s="615">
        <f t="shared" si="317"/>
        <v>107216.79452054795</v>
      </c>
      <c r="D3209" s="532">
        <f t="shared" si="316"/>
        <v>45161</v>
      </c>
      <c r="E3209" s="534">
        <v>30</v>
      </c>
      <c r="F3209" s="653">
        <v>0.97</v>
      </c>
      <c r="G3209" s="536" t="s">
        <v>261</v>
      </c>
    </row>
    <row r="3210" spans="1:8" ht="13.5" customHeight="1">
      <c r="A3210" s="532">
        <v>45131</v>
      </c>
      <c r="B3210" s="615">
        <v>43600</v>
      </c>
      <c r="C3210" s="615">
        <f t="shared" si="317"/>
        <v>47076.054794520547</v>
      </c>
      <c r="D3210" s="532">
        <f t="shared" si="316"/>
        <v>45161</v>
      </c>
      <c r="E3210" s="534">
        <v>30</v>
      </c>
      <c r="F3210" s="653">
        <v>0.97</v>
      </c>
      <c r="G3210" s="536" t="s">
        <v>260</v>
      </c>
    </row>
    <row r="3211" spans="1:8" ht="13.5" customHeight="1">
      <c r="A3211" s="532">
        <v>45131</v>
      </c>
      <c r="B3211" s="615">
        <v>135100</v>
      </c>
      <c r="C3211" s="615">
        <f t="shared" si="317"/>
        <v>145870.98630136985</v>
      </c>
      <c r="D3211" s="532">
        <f t="shared" si="316"/>
        <v>45161</v>
      </c>
      <c r="E3211" s="534">
        <v>30</v>
      </c>
      <c r="F3211" s="653">
        <v>0.97</v>
      </c>
      <c r="G3211" s="536" t="s">
        <v>257</v>
      </c>
    </row>
    <row r="3212" spans="1:8" ht="13.5" customHeight="1">
      <c r="A3212" s="532">
        <v>45132</v>
      </c>
      <c r="B3212" s="615">
        <v>80000</v>
      </c>
      <c r="C3212" s="615">
        <f t="shared" si="317"/>
        <v>86378.082191780821</v>
      </c>
      <c r="D3212" s="532">
        <f t="shared" si="316"/>
        <v>45162</v>
      </c>
      <c r="E3212" s="534">
        <v>30</v>
      </c>
      <c r="F3212" s="653">
        <v>0.97</v>
      </c>
      <c r="G3212" s="536" t="s">
        <v>256</v>
      </c>
      <c r="H3212">
        <f t="shared" ref="A3212:H3228" si="319">IF(E3212&gt;89,(C3212-B3212)/3,(C3212-B3212))</f>
        <v>6378.0821917808207</v>
      </c>
    </row>
    <row r="3213" spans="1:8" ht="13.5" customHeight="1">
      <c r="A3213" s="532">
        <v>45132</v>
      </c>
      <c r="B3213" s="615">
        <v>25000</v>
      </c>
      <c r="C3213" s="615">
        <f t="shared" si="317"/>
        <v>26993.150684931508</v>
      </c>
      <c r="D3213" s="532">
        <f t="shared" si="316"/>
        <v>45162</v>
      </c>
      <c r="E3213" s="534">
        <v>30</v>
      </c>
      <c r="F3213" s="653">
        <v>0.97</v>
      </c>
      <c r="G3213" s="536" t="s">
        <v>261</v>
      </c>
      <c r="H3213">
        <f t="shared" si="319"/>
        <v>1993.1506849315083</v>
      </c>
    </row>
    <row r="3214" spans="1:8" ht="13.5" customHeight="1">
      <c r="A3214" s="532">
        <v>45132</v>
      </c>
      <c r="B3214" s="615">
        <v>153200</v>
      </c>
      <c r="C3214" s="615">
        <f t="shared" si="317"/>
        <v>165414.02739726027</v>
      </c>
      <c r="D3214" s="532">
        <f t="shared" si="316"/>
        <v>45162</v>
      </c>
      <c r="E3214" s="534">
        <v>30</v>
      </c>
      <c r="F3214" s="653">
        <v>0.97</v>
      </c>
      <c r="G3214" s="536" t="s">
        <v>260</v>
      </c>
      <c r="H3214">
        <f t="shared" si="319"/>
        <v>12214.027397260274</v>
      </c>
    </row>
    <row r="3215" spans="1:8" ht="13.5" customHeight="1">
      <c r="A3215" s="532">
        <v>45133</v>
      </c>
      <c r="B3215" s="615">
        <v>30000</v>
      </c>
      <c r="C3215" s="615">
        <f t="shared" si="317"/>
        <v>32391.780821917808</v>
      </c>
      <c r="D3215" s="532">
        <f t="shared" si="316"/>
        <v>45163</v>
      </c>
      <c r="E3215" s="534">
        <v>30</v>
      </c>
      <c r="F3215" s="653">
        <v>0.97</v>
      </c>
      <c r="G3215" s="536" t="s">
        <v>262</v>
      </c>
      <c r="H3215">
        <f t="shared" si="319"/>
        <v>2391.7808219178078</v>
      </c>
    </row>
    <row r="3216" spans="1:8" ht="13.5" customHeight="1">
      <c r="A3216" s="532">
        <v>45133</v>
      </c>
      <c r="B3216" s="615">
        <v>490000</v>
      </c>
      <c r="C3216" s="615">
        <f t="shared" si="317"/>
        <v>529065.75342465751</v>
      </c>
      <c r="D3216" s="532">
        <f t="shared" si="316"/>
        <v>45163</v>
      </c>
      <c r="E3216" s="534">
        <v>30</v>
      </c>
      <c r="F3216" s="653">
        <v>0.97</v>
      </c>
      <c r="G3216" s="536" t="s">
        <v>256</v>
      </c>
      <c r="H3216">
        <f t="shared" si="319"/>
        <v>39065.753424657509</v>
      </c>
    </row>
    <row r="3217" spans="1:8" ht="13.5" customHeight="1">
      <c r="A3217" s="532">
        <v>45133</v>
      </c>
      <c r="B3217" s="615">
        <v>155400</v>
      </c>
      <c r="C3217" s="615">
        <f t="shared" si="317"/>
        <v>167789.42465753425</v>
      </c>
      <c r="D3217" s="532">
        <f t="shared" si="316"/>
        <v>45163</v>
      </c>
      <c r="E3217" s="534">
        <v>30</v>
      </c>
      <c r="F3217" s="653">
        <v>0.97</v>
      </c>
      <c r="G3217" s="536" t="s">
        <v>260</v>
      </c>
      <c r="H3217">
        <f t="shared" si="319"/>
        <v>12389.424657534255</v>
      </c>
    </row>
    <row r="3218" spans="1:8" ht="13.5" customHeight="1">
      <c r="A3218" s="532">
        <v>45133</v>
      </c>
      <c r="B3218" s="615">
        <v>87000</v>
      </c>
      <c r="C3218" s="615">
        <f t="shared" si="317"/>
        <v>93936.164383561641</v>
      </c>
      <c r="D3218" s="532">
        <f t="shared" si="316"/>
        <v>45163</v>
      </c>
      <c r="E3218" s="534">
        <v>30</v>
      </c>
      <c r="F3218" s="653">
        <v>0.97</v>
      </c>
      <c r="G3218" s="536" t="s">
        <v>261</v>
      </c>
      <c r="H3218">
        <f t="shared" si="319"/>
        <v>6936.1643835616414</v>
      </c>
    </row>
    <row r="3219" spans="1:8" ht="13.5" customHeight="1">
      <c r="A3219" s="532">
        <v>45133</v>
      </c>
      <c r="B3219" s="615">
        <v>303100</v>
      </c>
      <c r="C3219" s="615">
        <f t="shared" si="317"/>
        <v>327264.9589041096</v>
      </c>
      <c r="D3219" s="532">
        <f t="shared" si="316"/>
        <v>45163</v>
      </c>
      <c r="E3219" s="534">
        <v>30</v>
      </c>
      <c r="F3219" s="653">
        <v>0.97</v>
      </c>
      <c r="G3219" s="536" t="s">
        <v>257</v>
      </c>
      <c r="H3219">
        <f t="shared" si="319"/>
        <v>24164.958904109604</v>
      </c>
    </row>
    <row r="3220" spans="1:8" ht="13.5" customHeight="1">
      <c r="A3220" s="532">
        <v>45134</v>
      </c>
      <c r="B3220" s="615">
        <v>127700</v>
      </c>
      <c r="C3220" s="615">
        <f t="shared" si="317"/>
        <v>138899.11506849315</v>
      </c>
      <c r="D3220" s="532">
        <f t="shared" si="316"/>
        <v>45167</v>
      </c>
      <c r="E3220" s="534">
        <v>33</v>
      </c>
      <c r="F3220" s="653">
        <v>0.97</v>
      </c>
      <c r="G3220" s="536" t="s">
        <v>265</v>
      </c>
      <c r="H3220">
        <f t="shared" si="319"/>
        <v>11199.115068493149</v>
      </c>
    </row>
    <row r="3221" spans="1:8" ht="13.5" customHeight="1">
      <c r="A3221" s="532">
        <v>45134</v>
      </c>
      <c r="B3221" s="615">
        <v>60800</v>
      </c>
      <c r="C3221" s="615">
        <f t="shared" si="317"/>
        <v>66132.076712328766</v>
      </c>
      <c r="D3221" s="532">
        <f t="shared" si="316"/>
        <v>45167</v>
      </c>
      <c r="E3221" s="534">
        <v>33</v>
      </c>
      <c r="F3221" s="653">
        <v>0.97</v>
      </c>
      <c r="G3221" s="536" t="s">
        <v>261</v>
      </c>
      <c r="H3221">
        <f t="shared" si="319"/>
        <v>5332.076712328766</v>
      </c>
    </row>
    <row r="3222" spans="1:8" ht="13.5" customHeight="1">
      <c r="A3222" s="532">
        <v>45134</v>
      </c>
      <c r="B3222" s="615">
        <v>420000</v>
      </c>
      <c r="C3222" s="615">
        <f t="shared" si="317"/>
        <v>456833.42465753423</v>
      </c>
      <c r="D3222" s="532">
        <f t="shared" si="316"/>
        <v>45167</v>
      </c>
      <c r="E3222" s="534">
        <v>33</v>
      </c>
      <c r="F3222" s="653">
        <v>0.97</v>
      </c>
      <c r="G3222" s="536" t="s">
        <v>258</v>
      </c>
      <c r="H3222">
        <f t="shared" si="319"/>
        <v>36833.424657534226</v>
      </c>
    </row>
    <row r="3223" spans="1:8" ht="13.5" customHeight="1">
      <c r="A3223" s="532">
        <v>45134</v>
      </c>
      <c r="B3223" s="615">
        <v>500000</v>
      </c>
      <c r="C3223" s="615">
        <f t="shared" si="317"/>
        <v>543849.31506849313</v>
      </c>
      <c r="D3223" s="532">
        <f t="shared" si="316"/>
        <v>45167</v>
      </c>
      <c r="E3223" s="534">
        <v>33</v>
      </c>
      <c r="F3223" s="653">
        <v>0.97</v>
      </c>
      <c r="G3223" s="536" t="s">
        <v>256</v>
      </c>
      <c r="H3223">
        <f t="shared" si="319"/>
        <v>43849.315068493132</v>
      </c>
    </row>
    <row r="3224" spans="1:8" ht="13.5" customHeight="1">
      <c r="A3224" s="532">
        <v>45134</v>
      </c>
      <c r="B3224" s="615">
        <v>50000</v>
      </c>
      <c r="C3224" s="615">
        <f t="shared" si="317"/>
        <v>54384.931506849316</v>
      </c>
      <c r="D3224" s="532">
        <f t="shared" si="316"/>
        <v>45167</v>
      </c>
      <c r="E3224" s="534">
        <v>33</v>
      </c>
      <c r="F3224" s="653">
        <v>0.97</v>
      </c>
      <c r="G3224" s="536" t="s">
        <v>257</v>
      </c>
      <c r="H3224">
        <f t="shared" si="319"/>
        <v>4384.9315068493161</v>
      </c>
    </row>
    <row r="3225" spans="1:8" ht="13.5" customHeight="1">
      <c r="A3225" s="532">
        <v>45134</v>
      </c>
      <c r="B3225" s="615">
        <v>460000</v>
      </c>
      <c r="C3225" s="615">
        <f t="shared" si="317"/>
        <v>501563.83561643836</v>
      </c>
      <c r="D3225" s="532">
        <f t="shared" si="316"/>
        <v>45168</v>
      </c>
      <c r="E3225" s="534">
        <v>34</v>
      </c>
      <c r="F3225" s="653">
        <v>0.97</v>
      </c>
      <c r="G3225" s="536" t="s">
        <v>258</v>
      </c>
      <c r="H3225">
        <f t="shared" si="319"/>
        <v>41563.835616438359</v>
      </c>
    </row>
    <row r="3226" spans="1:8" ht="13.5" customHeight="1">
      <c r="A3226" s="532">
        <v>45134</v>
      </c>
      <c r="B3226" s="615">
        <v>438000</v>
      </c>
      <c r="C3226" s="615">
        <f t="shared" si="317"/>
        <v>477576</v>
      </c>
      <c r="D3226" s="532">
        <f t="shared" si="316"/>
        <v>45168</v>
      </c>
      <c r="E3226" s="534">
        <v>34</v>
      </c>
      <c r="F3226" s="653">
        <v>0.97</v>
      </c>
      <c r="G3226" s="536" t="s">
        <v>256</v>
      </c>
      <c r="H3226">
        <f t="shared" si="319"/>
        <v>39576</v>
      </c>
    </row>
    <row r="3227" spans="1:8" ht="13.5" customHeight="1">
      <c r="A3227" s="532">
        <v>45134</v>
      </c>
      <c r="B3227" s="615">
        <v>325000</v>
      </c>
      <c r="C3227" s="615">
        <f t="shared" si="317"/>
        <v>354365.75342465751</v>
      </c>
      <c r="D3227" s="532">
        <f t="shared" si="316"/>
        <v>45168</v>
      </c>
      <c r="E3227" s="534">
        <v>34</v>
      </c>
      <c r="F3227" s="653">
        <v>0.97</v>
      </c>
      <c r="G3227" s="536" t="s">
        <v>262</v>
      </c>
      <c r="H3227">
        <f t="shared" si="319"/>
        <v>29365.753424657509</v>
      </c>
    </row>
    <row r="3228" spans="1:8" ht="13.5" customHeight="1">
      <c r="A3228" s="532">
        <v>45135</v>
      </c>
      <c r="B3228" s="615">
        <v>60000</v>
      </c>
      <c r="C3228" s="615">
        <f t="shared" si="317"/>
        <v>65421.369863013701</v>
      </c>
      <c r="D3228" s="532">
        <f t="shared" ref="A3228:D3291" si="320">+A3228+E3228</f>
        <v>45169</v>
      </c>
      <c r="E3228" s="534">
        <v>34</v>
      </c>
      <c r="F3228" s="653">
        <v>0.97</v>
      </c>
      <c r="G3228" s="536" t="s">
        <v>256</v>
      </c>
      <c r="H3228">
        <f t="shared" si="319"/>
        <v>5421.3698630137005</v>
      </c>
    </row>
    <row r="3229" spans="1:8" ht="13.5" customHeight="1">
      <c r="A3229" s="532">
        <v>45135</v>
      </c>
      <c r="B3229" s="615">
        <v>190000</v>
      </c>
      <c r="C3229" s="615">
        <f t="shared" si="317"/>
        <v>214741.64383561644</v>
      </c>
      <c r="D3229" s="532">
        <f t="shared" si="320"/>
        <v>45184</v>
      </c>
      <c r="E3229" s="534">
        <v>49</v>
      </c>
      <c r="F3229" s="653">
        <v>0.97</v>
      </c>
      <c r="G3229" s="536" t="s">
        <v>259</v>
      </c>
    </row>
    <row r="3230" spans="1:8" ht="13.5" customHeight="1">
      <c r="A3230" s="532">
        <v>45135</v>
      </c>
      <c r="B3230" s="615">
        <v>8700</v>
      </c>
      <c r="C3230" s="615">
        <f t="shared" si="317"/>
        <v>9925.3890410958902</v>
      </c>
      <c r="D3230" s="532">
        <f t="shared" si="320"/>
        <v>45188</v>
      </c>
      <c r="E3230" s="534">
        <v>53</v>
      </c>
      <c r="F3230" s="653">
        <v>0.97</v>
      </c>
      <c r="G3230" s="536" t="s">
        <v>259</v>
      </c>
      <c r="H3230">
        <f t="shared" ref="A3230:H3241" si="321">IF(E3230&gt;89,(C3230-B3230)/3,(C3230-B3230))</f>
        <v>1225.3890410958902</v>
      </c>
    </row>
    <row r="3231" spans="1:8" ht="13.5" customHeight="1">
      <c r="A3231" s="532">
        <v>45138</v>
      </c>
      <c r="B3231" s="615">
        <v>95000</v>
      </c>
      <c r="C3231" s="615">
        <f t="shared" si="317"/>
        <v>102826.43835616438</v>
      </c>
      <c r="D3231" s="532">
        <f t="shared" si="320"/>
        <v>45169</v>
      </c>
      <c r="E3231" s="534">
        <v>31</v>
      </c>
      <c r="F3231" s="653">
        <v>0.97</v>
      </c>
      <c r="G3231" s="536" t="s">
        <v>260</v>
      </c>
      <c r="H3231">
        <f t="shared" si="321"/>
        <v>7826.4383561643772</v>
      </c>
    </row>
    <row r="3232" spans="1:8" ht="13.5" customHeight="1">
      <c r="A3232" s="532">
        <v>45138</v>
      </c>
      <c r="B3232" s="615">
        <v>270000</v>
      </c>
      <c r="C3232" s="615">
        <f t="shared" si="317"/>
        <v>292243.56164383562</v>
      </c>
      <c r="D3232" s="532">
        <f t="shared" si="320"/>
        <v>45169</v>
      </c>
      <c r="E3232" s="534">
        <v>31</v>
      </c>
      <c r="F3232" s="653">
        <v>0.97</v>
      </c>
      <c r="G3232" s="536" t="s">
        <v>262</v>
      </c>
      <c r="H3232">
        <f t="shared" si="321"/>
        <v>22243.561643835623</v>
      </c>
    </row>
    <row r="3233" spans="1:8" ht="13.5" customHeight="1">
      <c r="A3233" s="532">
        <v>45138</v>
      </c>
      <c r="B3233" s="615">
        <v>200000</v>
      </c>
      <c r="C3233" s="615">
        <f t="shared" si="317"/>
        <v>216476.71232876711</v>
      </c>
      <c r="D3233" s="532">
        <f t="shared" si="320"/>
        <v>45169</v>
      </c>
      <c r="E3233" s="534">
        <v>31</v>
      </c>
      <c r="F3233" s="653">
        <v>0.97</v>
      </c>
      <c r="G3233" s="536" t="s">
        <v>258</v>
      </c>
      <c r="H3233">
        <f t="shared" si="321"/>
        <v>16476.712328767113</v>
      </c>
    </row>
    <row r="3234" spans="1:8" ht="13.5" customHeight="1">
      <c r="A3234" s="532">
        <v>45138</v>
      </c>
      <c r="B3234" s="615">
        <f>165000+200000</f>
        <v>365000</v>
      </c>
      <c r="C3234" s="615">
        <f t="shared" si="317"/>
        <v>395070</v>
      </c>
      <c r="D3234" s="532">
        <f t="shared" si="320"/>
        <v>45169</v>
      </c>
      <c r="E3234" s="534">
        <v>31</v>
      </c>
      <c r="F3234" s="653">
        <v>0.97</v>
      </c>
      <c r="G3234" s="536" t="s">
        <v>256</v>
      </c>
      <c r="H3234">
        <f t="shared" si="321"/>
        <v>30070</v>
      </c>
    </row>
    <row r="3235" spans="1:8" ht="13.5" customHeight="1">
      <c r="A3235" s="532">
        <v>45138</v>
      </c>
      <c r="B3235" s="615">
        <v>90000</v>
      </c>
      <c r="C3235" s="615">
        <f t="shared" si="317"/>
        <v>97414.520547945198</v>
      </c>
      <c r="D3235" s="532">
        <f t="shared" si="320"/>
        <v>45169</v>
      </c>
      <c r="E3235" s="534">
        <v>31</v>
      </c>
      <c r="F3235" s="653">
        <v>0.97</v>
      </c>
      <c r="G3235" s="536" t="s">
        <v>257</v>
      </c>
      <c r="H3235">
        <f t="shared" si="321"/>
        <v>7414.5205479451979</v>
      </c>
    </row>
    <row r="3236" spans="1:8" ht="13.5" customHeight="1">
      <c r="A3236" s="532">
        <v>45138</v>
      </c>
      <c r="B3236" s="615">
        <v>95000</v>
      </c>
      <c r="C3236" s="615">
        <f t="shared" ref="A3236:C3299" si="322">B3236+(B3236*F3236/365*E3236)*1</f>
        <v>103078.90410958904</v>
      </c>
      <c r="D3236" s="532">
        <f t="shared" si="320"/>
        <v>45170</v>
      </c>
      <c r="E3236" s="534">
        <v>32</v>
      </c>
      <c r="F3236" s="653">
        <v>0.97</v>
      </c>
      <c r="G3236" s="536" t="s">
        <v>260</v>
      </c>
      <c r="H3236">
        <f t="shared" si="321"/>
        <v>8078.9041095890425</v>
      </c>
    </row>
    <row r="3237" spans="1:8" ht="13.5" customHeight="1">
      <c r="A3237" s="532">
        <v>45138</v>
      </c>
      <c r="B3237" s="615">
        <v>470000</v>
      </c>
      <c r="C3237" s="615">
        <f t="shared" si="322"/>
        <v>509969.31506849313</v>
      </c>
      <c r="D3237" s="532">
        <f t="shared" si="320"/>
        <v>45170</v>
      </c>
      <c r="E3237" s="534">
        <v>32</v>
      </c>
      <c r="F3237" s="653">
        <v>0.97</v>
      </c>
      <c r="G3237" s="536" t="s">
        <v>262</v>
      </c>
      <c r="H3237">
        <f t="shared" si="321"/>
        <v>39969.315068493132</v>
      </c>
    </row>
    <row r="3238" spans="1:8" ht="13.5" customHeight="1">
      <c r="A3238" s="532">
        <v>45138</v>
      </c>
      <c r="B3238" s="615">
        <v>200000</v>
      </c>
      <c r="C3238" s="615">
        <f t="shared" si="322"/>
        <v>217008.21917808219</v>
      </c>
      <c r="D3238" s="532">
        <f t="shared" si="320"/>
        <v>45170</v>
      </c>
      <c r="E3238" s="534">
        <v>32</v>
      </c>
      <c r="F3238" s="653">
        <v>0.97</v>
      </c>
      <c r="G3238" s="536" t="s">
        <v>258</v>
      </c>
      <c r="H3238">
        <f t="shared" si="321"/>
        <v>17008.219178082189</v>
      </c>
    </row>
    <row r="3239" spans="1:8" ht="13.5" customHeight="1">
      <c r="A3239" s="532">
        <v>45138</v>
      </c>
      <c r="B3239" s="615">
        <v>200000</v>
      </c>
      <c r="C3239" s="615">
        <f t="shared" si="322"/>
        <v>217008.21917808219</v>
      </c>
      <c r="D3239" s="532">
        <f t="shared" si="320"/>
        <v>45170</v>
      </c>
      <c r="E3239" s="534">
        <v>32</v>
      </c>
      <c r="F3239" s="653">
        <v>0.97</v>
      </c>
      <c r="G3239" s="536" t="s">
        <v>256</v>
      </c>
      <c r="H3239">
        <f t="shared" si="321"/>
        <v>17008.219178082189</v>
      </c>
    </row>
    <row r="3240" spans="1:8" ht="13.5" customHeight="1">
      <c r="A3240" s="532">
        <v>45138</v>
      </c>
      <c r="B3240" s="615">
        <v>87500</v>
      </c>
      <c r="C3240" s="615">
        <f t="shared" si="322"/>
        <v>94941.095890410958</v>
      </c>
      <c r="D3240" s="532">
        <f t="shared" si="320"/>
        <v>45170</v>
      </c>
      <c r="E3240" s="534">
        <v>32</v>
      </c>
      <c r="F3240" s="653">
        <v>0.97</v>
      </c>
      <c r="G3240" s="536" t="s">
        <v>257</v>
      </c>
      <c r="H3240">
        <f t="shared" si="321"/>
        <v>7441.0958904109575</v>
      </c>
    </row>
    <row r="3241" spans="1:8" ht="13.5" customHeight="1">
      <c r="A3241" s="532">
        <v>45138</v>
      </c>
      <c r="B3241" s="615">
        <v>103100</v>
      </c>
      <c r="C3241" s="615">
        <f t="shared" si="322"/>
        <v>111867.73698630137</v>
      </c>
      <c r="D3241" s="532">
        <f t="shared" si="320"/>
        <v>45170</v>
      </c>
      <c r="E3241" s="534">
        <v>32</v>
      </c>
      <c r="F3241" s="653">
        <v>0.97</v>
      </c>
      <c r="G3241" s="536" t="s">
        <v>261</v>
      </c>
      <c r="H3241">
        <f t="shared" si="321"/>
        <v>8767.7369863013737</v>
      </c>
    </row>
    <row r="3242" spans="1:8" ht="13.5" customHeight="1">
      <c r="A3242" s="532">
        <v>45138</v>
      </c>
      <c r="B3242" s="615">
        <v>97800</v>
      </c>
      <c r="C3242" s="615">
        <f t="shared" si="322"/>
        <v>106896.7397260274</v>
      </c>
      <c r="D3242" s="532">
        <f t="shared" si="320"/>
        <v>45173</v>
      </c>
      <c r="E3242" s="534">
        <v>35</v>
      </c>
      <c r="F3242" s="653">
        <v>0.97</v>
      </c>
      <c r="G3242" s="536" t="s">
        <v>260</v>
      </c>
    </row>
    <row r="3243" spans="1:8" ht="13.5" customHeight="1">
      <c r="A3243" s="532">
        <v>45138</v>
      </c>
      <c r="B3243" s="615">
        <f>100000+465000</f>
        <v>565000</v>
      </c>
      <c r="C3243" s="615">
        <f t="shared" si="322"/>
        <v>617552.73972602736</v>
      </c>
      <c r="D3243" s="532">
        <f t="shared" si="320"/>
        <v>45173</v>
      </c>
      <c r="E3243" s="534">
        <v>35</v>
      </c>
      <c r="F3243" s="653">
        <v>0.97</v>
      </c>
      <c r="G3243" s="536" t="s">
        <v>262</v>
      </c>
    </row>
    <row r="3244" spans="1:8" ht="13.5" customHeight="1">
      <c r="A3244" s="532">
        <v>45138</v>
      </c>
      <c r="B3244" s="615">
        <v>200000</v>
      </c>
      <c r="C3244" s="615">
        <f t="shared" si="322"/>
        <v>218602.73972602739</v>
      </c>
      <c r="D3244" s="532">
        <f t="shared" si="320"/>
        <v>45173</v>
      </c>
      <c r="E3244" s="534">
        <v>35</v>
      </c>
      <c r="F3244" s="653">
        <v>0.97</v>
      </c>
      <c r="G3244" s="536" t="s">
        <v>256</v>
      </c>
    </row>
    <row r="3245" spans="1:8" ht="13.5" customHeight="1">
      <c r="A3245" s="532">
        <v>45138</v>
      </c>
      <c r="B3245" s="615">
        <v>20000</v>
      </c>
      <c r="C3245" s="615">
        <f t="shared" si="322"/>
        <v>21860.273972602739</v>
      </c>
      <c r="D3245" s="532">
        <f t="shared" si="320"/>
        <v>45173</v>
      </c>
      <c r="E3245" s="534">
        <v>35</v>
      </c>
      <c r="F3245" s="653">
        <v>0.97</v>
      </c>
      <c r="G3245" s="536" t="s">
        <v>258</v>
      </c>
    </row>
    <row r="3246" spans="1:8" ht="13.5" customHeight="1">
      <c r="A3246" s="532">
        <v>45138</v>
      </c>
      <c r="B3246" s="615">
        <f>100000+460000</f>
        <v>560000</v>
      </c>
      <c r="C3246" s="615">
        <f t="shared" si="322"/>
        <v>613575.89041095891</v>
      </c>
      <c r="D3246" s="532">
        <f t="shared" si="320"/>
        <v>45174</v>
      </c>
      <c r="E3246" s="534">
        <v>36</v>
      </c>
      <c r="F3246" s="653">
        <v>0.97</v>
      </c>
      <c r="G3246" s="536" t="s">
        <v>262</v>
      </c>
      <c r="H3246">
        <f>IF(E3246&gt;89,(C3246-B3246)/3,(C3246-B3246))</f>
        <v>53575.890410958906</v>
      </c>
    </row>
    <row r="3247" spans="1:8" ht="13.5" customHeight="1">
      <c r="A3247" s="532">
        <v>45138</v>
      </c>
      <c r="B3247" s="615">
        <v>180000</v>
      </c>
      <c r="C3247" s="615">
        <f t="shared" si="322"/>
        <v>197220.82191780821</v>
      </c>
      <c r="D3247" s="532">
        <f t="shared" si="320"/>
        <v>45174</v>
      </c>
      <c r="E3247" s="534">
        <v>36</v>
      </c>
      <c r="F3247" s="653">
        <v>0.97</v>
      </c>
      <c r="G3247" s="536" t="s">
        <v>258</v>
      </c>
      <c r="H3247">
        <f>IF(E3247&gt;89,(C3247-B3247)/3,(C3247-B3247))</f>
        <v>17220.821917808207</v>
      </c>
    </row>
    <row r="3248" spans="1:8" ht="13.5" customHeight="1">
      <c r="A3248" s="532">
        <v>45138</v>
      </c>
      <c r="B3248" s="615">
        <v>12000</v>
      </c>
      <c r="C3248" s="615">
        <f t="shared" si="322"/>
        <v>13148.054794520547</v>
      </c>
      <c r="D3248" s="532">
        <f t="shared" si="320"/>
        <v>45174</v>
      </c>
      <c r="E3248" s="534">
        <v>36</v>
      </c>
      <c r="F3248" s="653">
        <v>0.97</v>
      </c>
      <c r="G3248" s="536" t="s">
        <v>259</v>
      </c>
      <c r="H3248">
        <f>IF(E3248&gt;89,(C3248-B3248)/3,(C3248-B3248))</f>
        <v>1148.0547945205471</v>
      </c>
    </row>
    <row r="3249" spans="1:8" ht="13.5" customHeight="1">
      <c r="A3249" s="532">
        <v>45139</v>
      </c>
      <c r="B3249" s="615">
        <v>215000</v>
      </c>
      <c r="C3249" s="615">
        <f t="shared" si="322"/>
        <v>234997.94520547945</v>
      </c>
      <c r="D3249" s="532">
        <f t="shared" si="320"/>
        <v>45174</v>
      </c>
      <c r="E3249" s="534">
        <v>35</v>
      </c>
      <c r="F3249" s="653">
        <v>0.97</v>
      </c>
      <c r="G3249" s="536" t="s">
        <v>262</v>
      </c>
      <c r="H3249">
        <f>IF(E3249&gt;89,(C3249-B3249)/3,(C3249-B3249))</f>
        <v>19997.945205479453</v>
      </c>
    </row>
    <row r="3250" spans="1:8" ht="13.5" customHeight="1">
      <c r="A3250" s="532">
        <v>45139</v>
      </c>
      <c r="B3250" s="615">
        <v>26800</v>
      </c>
      <c r="C3250" s="615">
        <f t="shared" si="322"/>
        <v>29292.767123287671</v>
      </c>
      <c r="D3250" s="532">
        <f t="shared" si="320"/>
        <v>45174</v>
      </c>
      <c r="E3250" s="534">
        <v>35</v>
      </c>
      <c r="F3250" s="653">
        <v>0.97</v>
      </c>
      <c r="G3250" s="536" t="s">
        <v>259</v>
      </c>
      <c r="H3250">
        <f>IF(E3250&gt;89,(C3250-B3250)/3,(C3250-B3250))</f>
        <v>2492.767123287671</v>
      </c>
    </row>
    <row r="3251" spans="1:8" ht="13.5" customHeight="1">
      <c r="A3251" s="532">
        <v>45139</v>
      </c>
      <c r="B3251" s="615">
        <v>405000</v>
      </c>
      <c r="C3251" s="615">
        <f t="shared" si="322"/>
        <v>443746.84931506851</v>
      </c>
      <c r="D3251" s="532">
        <f t="shared" si="320"/>
        <v>45175</v>
      </c>
      <c r="E3251" s="534">
        <v>36</v>
      </c>
      <c r="F3251" s="653">
        <v>0.97</v>
      </c>
      <c r="G3251" s="536" t="s">
        <v>256</v>
      </c>
    </row>
    <row r="3252" spans="1:8" ht="13.5" customHeight="1">
      <c r="A3252" s="532">
        <v>45139</v>
      </c>
      <c r="B3252" s="615">
        <v>110000</v>
      </c>
      <c r="C3252" s="615">
        <f t="shared" si="322"/>
        <v>120523.83561643836</v>
      </c>
      <c r="D3252" s="532">
        <f t="shared" si="320"/>
        <v>45175</v>
      </c>
      <c r="E3252" s="534">
        <v>36</v>
      </c>
      <c r="F3252" s="653">
        <v>0.97</v>
      </c>
      <c r="G3252" s="536" t="s">
        <v>257</v>
      </c>
    </row>
    <row r="3253" spans="1:8" ht="13.5" customHeight="1">
      <c r="A3253" s="532">
        <v>45139</v>
      </c>
      <c r="B3253" s="615">
        <v>85000</v>
      </c>
      <c r="C3253" s="615">
        <f t="shared" si="322"/>
        <v>93132.054794520547</v>
      </c>
      <c r="D3253" s="532">
        <f t="shared" si="320"/>
        <v>45175</v>
      </c>
      <c r="E3253" s="534">
        <v>36</v>
      </c>
      <c r="F3253" s="653">
        <v>0.97</v>
      </c>
      <c r="G3253" s="536" t="s">
        <v>260</v>
      </c>
    </row>
    <row r="3254" spans="1:8" ht="13.5" customHeight="1">
      <c r="A3254" s="532">
        <v>45139</v>
      </c>
      <c r="B3254" s="615">
        <v>60600</v>
      </c>
      <c r="C3254" s="615">
        <f t="shared" si="322"/>
        <v>66397.676712328772</v>
      </c>
      <c r="D3254" s="532">
        <f t="shared" si="320"/>
        <v>45175</v>
      </c>
      <c r="E3254" s="534">
        <v>36</v>
      </c>
      <c r="F3254" s="653">
        <v>0.97</v>
      </c>
      <c r="G3254" s="536" t="s">
        <v>260</v>
      </c>
    </row>
    <row r="3255" spans="1:8" ht="13.5" customHeight="1">
      <c r="A3255" s="532">
        <v>45139</v>
      </c>
      <c r="B3255" s="615">
        <v>73500</v>
      </c>
      <c r="C3255" s="615">
        <f t="shared" si="322"/>
        <v>80531.835616438359</v>
      </c>
      <c r="D3255" s="532">
        <f t="shared" si="320"/>
        <v>45175</v>
      </c>
      <c r="E3255" s="534">
        <v>36</v>
      </c>
      <c r="F3255" s="653">
        <v>0.97</v>
      </c>
      <c r="G3255" s="536" t="s">
        <v>261</v>
      </c>
    </row>
    <row r="3256" spans="1:8" ht="13.5" customHeight="1">
      <c r="A3256" s="532">
        <v>45139</v>
      </c>
      <c r="B3256" s="615">
        <v>130000</v>
      </c>
      <c r="C3256" s="615">
        <f t="shared" si="322"/>
        <v>142437.26027397261</v>
      </c>
      <c r="D3256" s="532">
        <f t="shared" si="320"/>
        <v>45175</v>
      </c>
      <c r="E3256" s="534">
        <v>36</v>
      </c>
      <c r="F3256" s="653">
        <v>0.97</v>
      </c>
      <c r="G3256" s="536" t="s">
        <v>258</v>
      </c>
    </row>
    <row r="3257" spans="1:8" ht="13.5" customHeight="1">
      <c r="A3257" s="532">
        <v>45139</v>
      </c>
      <c r="B3257" s="615">
        <v>107500</v>
      </c>
      <c r="C3257" s="615">
        <f t="shared" si="322"/>
        <v>118070.34246575342</v>
      </c>
      <c r="D3257" s="532">
        <f t="shared" si="320"/>
        <v>45176</v>
      </c>
      <c r="E3257" s="534">
        <v>37</v>
      </c>
      <c r="F3257" s="653">
        <v>0.97</v>
      </c>
      <c r="G3257" s="536" t="s">
        <v>257</v>
      </c>
    </row>
    <row r="3258" spans="1:8" ht="13.5" customHeight="1">
      <c r="A3258" s="532">
        <v>45139</v>
      </c>
      <c r="B3258" s="615">
        <v>85000</v>
      </c>
      <c r="C3258" s="615">
        <f t="shared" si="322"/>
        <v>93357.945205479453</v>
      </c>
      <c r="D3258" s="532">
        <f t="shared" si="320"/>
        <v>45176</v>
      </c>
      <c r="E3258" s="534">
        <v>37</v>
      </c>
      <c r="F3258" s="653">
        <v>0.97</v>
      </c>
      <c r="G3258" s="536" t="s">
        <v>260</v>
      </c>
    </row>
    <row r="3259" spans="1:8" ht="13.5" customHeight="1">
      <c r="A3259" s="532">
        <v>45140</v>
      </c>
      <c r="B3259" s="615">
        <v>29900</v>
      </c>
      <c r="C3259" s="615">
        <f t="shared" si="322"/>
        <v>32601.649315068491</v>
      </c>
      <c r="D3259" s="532">
        <f t="shared" si="320"/>
        <v>45174</v>
      </c>
      <c r="E3259" s="534">
        <v>34</v>
      </c>
      <c r="F3259" s="653">
        <v>0.97</v>
      </c>
      <c r="G3259" s="536" t="s">
        <v>259</v>
      </c>
      <c r="H3259">
        <f>IF(E3259&gt;89,(C3259-B3259)/3,(C3259-B3259))</f>
        <v>2701.649315068491</v>
      </c>
    </row>
    <row r="3260" spans="1:8" ht="13.5" customHeight="1">
      <c r="A3260" s="532">
        <v>45140</v>
      </c>
      <c r="B3260" s="615">
        <v>65100</v>
      </c>
      <c r="C3260" s="615">
        <f t="shared" si="322"/>
        <v>71155.191780821915</v>
      </c>
      <c r="D3260" s="532">
        <f t="shared" si="320"/>
        <v>45175</v>
      </c>
      <c r="E3260" s="534">
        <v>35</v>
      </c>
      <c r="F3260" s="653">
        <v>0.97</v>
      </c>
      <c r="G3260" s="536" t="s">
        <v>261</v>
      </c>
    </row>
    <row r="3261" spans="1:8" ht="13.5" customHeight="1">
      <c r="A3261" s="532">
        <v>45140</v>
      </c>
      <c r="B3261" s="615">
        <v>100000</v>
      </c>
      <c r="C3261" s="615">
        <f t="shared" si="322"/>
        <v>109567.12328767123</v>
      </c>
      <c r="D3261" s="532">
        <f t="shared" si="320"/>
        <v>45176</v>
      </c>
      <c r="E3261" s="534">
        <v>36</v>
      </c>
      <c r="F3261" s="653">
        <v>0.97</v>
      </c>
      <c r="G3261" s="536" t="s">
        <v>258</v>
      </c>
    </row>
    <row r="3262" spans="1:8" ht="13.5" customHeight="1">
      <c r="A3262" s="532">
        <v>45140</v>
      </c>
      <c r="B3262" s="615">
        <v>102900</v>
      </c>
      <c r="C3262" s="615">
        <f t="shared" si="322"/>
        <v>112744.5698630137</v>
      </c>
      <c r="D3262" s="532">
        <f t="shared" si="320"/>
        <v>45176</v>
      </c>
      <c r="E3262" s="534">
        <v>36</v>
      </c>
      <c r="F3262" s="653">
        <v>0.97</v>
      </c>
      <c r="G3262" s="536" t="s">
        <v>257</v>
      </c>
    </row>
    <row r="3263" spans="1:8" ht="13.5" customHeight="1">
      <c r="A3263" s="532">
        <v>45140</v>
      </c>
      <c r="B3263" s="615">
        <v>185000</v>
      </c>
      <c r="C3263" s="615">
        <f t="shared" si="322"/>
        <v>202699.17808219179</v>
      </c>
      <c r="D3263" s="532">
        <f t="shared" si="320"/>
        <v>45176</v>
      </c>
      <c r="E3263" s="534">
        <v>36</v>
      </c>
      <c r="F3263" s="653">
        <v>0.97</v>
      </c>
      <c r="G3263" s="536" t="s">
        <v>260</v>
      </c>
    </row>
    <row r="3264" spans="1:8" ht="13.5" customHeight="1">
      <c r="A3264" s="532">
        <v>45140</v>
      </c>
      <c r="B3264" s="615">
        <v>220000</v>
      </c>
      <c r="C3264" s="615">
        <f t="shared" si="322"/>
        <v>241047.67123287672</v>
      </c>
      <c r="D3264" s="532">
        <f t="shared" si="320"/>
        <v>45176</v>
      </c>
      <c r="E3264" s="534">
        <v>36</v>
      </c>
      <c r="F3264" s="653">
        <v>0.97</v>
      </c>
      <c r="G3264" s="536" t="s">
        <v>256</v>
      </c>
    </row>
    <row r="3265" spans="1:8" ht="13.5" customHeight="1">
      <c r="A3265" s="532">
        <v>45140</v>
      </c>
      <c r="B3265" s="615">
        <v>405000</v>
      </c>
      <c r="C3265" s="615">
        <f t="shared" si="322"/>
        <v>443746.84931506851</v>
      </c>
      <c r="D3265" s="532">
        <f t="shared" si="320"/>
        <v>45176</v>
      </c>
      <c r="E3265" s="534">
        <v>36</v>
      </c>
      <c r="F3265" s="653">
        <v>0.97</v>
      </c>
      <c r="G3265" s="536" t="s">
        <v>262</v>
      </c>
    </row>
    <row r="3266" spans="1:8" ht="13.5" customHeight="1">
      <c r="A3266" s="532">
        <v>45140</v>
      </c>
      <c r="B3266" s="615">
        <v>60000</v>
      </c>
      <c r="C3266" s="615">
        <f t="shared" si="322"/>
        <v>65740.273972602736</v>
      </c>
      <c r="D3266" s="532">
        <f t="shared" si="320"/>
        <v>45176</v>
      </c>
      <c r="E3266" s="534">
        <v>36</v>
      </c>
      <c r="F3266" s="653">
        <v>0.97</v>
      </c>
      <c r="G3266" s="536" t="s">
        <v>261</v>
      </c>
    </row>
    <row r="3267" spans="1:8" ht="13.5" customHeight="1">
      <c r="A3267" s="532">
        <v>45140</v>
      </c>
      <c r="B3267" s="615">
        <v>300000</v>
      </c>
      <c r="C3267" s="615">
        <f t="shared" si="322"/>
        <v>329498.63013698632</v>
      </c>
      <c r="D3267" s="532">
        <f t="shared" si="320"/>
        <v>45177</v>
      </c>
      <c r="E3267" s="534">
        <v>37</v>
      </c>
      <c r="F3267" s="653">
        <v>0.97</v>
      </c>
      <c r="G3267" s="536" t="s">
        <v>256</v>
      </c>
    </row>
    <row r="3268" spans="1:8" ht="13.5" customHeight="1">
      <c r="A3268" s="532">
        <v>45140</v>
      </c>
      <c r="B3268" s="615">
        <v>107000</v>
      </c>
      <c r="C3268" s="615">
        <f t="shared" si="322"/>
        <v>117521.17808219178</v>
      </c>
      <c r="D3268" s="532">
        <f t="shared" si="320"/>
        <v>45177</v>
      </c>
      <c r="E3268" s="534">
        <v>37</v>
      </c>
      <c r="F3268" s="653">
        <v>0.97</v>
      </c>
      <c r="G3268" s="536" t="s">
        <v>258</v>
      </c>
    </row>
    <row r="3269" spans="1:8" ht="13.5" customHeight="1">
      <c r="A3269" s="532">
        <v>45140</v>
      </c>
      <c r="B3269" s="615">
        <v>150000</v>
      </c>
      <c r="C3269" s="615">
        <f t="shared" si="322"/>
        <v>164749.31506849316</v>
      </c>
      <c r="D3269" s="532">
        <f t="shared" si="320"/>
        <v>45177</v>
      </c>
      <c r="E3269" s="534">
        <v>37</v>
      </c>
      <c r="F3269" s="653">
        <v>0.97</v>
      </c>
      <c r="G3269" s="536" t="s">
        <v>258</v>
      </c>
    </row>
    <row r="3270" spans="1:8" ht="13.5" customHeight="1">
      <c r="A3270" s="532">
        <v>45140</v>
      </c>
      <c r="B3270" s="615">
        <v>500000</v>
      </c>
      <c r="C3270" s="615">
        <f t="shared" si="322"/>
        <v>549164.38356164389</v>
      </c>
      <c r="D3270" s="532">
        <f t="shared" si="320"/>
        <v>45177</v>
      </c>
      <c r="E3270" s="534">
        <v>37</v>
      </c>
      <c r="F3270" s="653">
        <v>0.97</v>
      </c>
      <c r="G3270" s="536" t="s">
        <v>262</v>
      </c>
    </row>
    <row r="3271" spans="1:8" ht="13.5" customHeight="1">
      <c r="A3271" s="532">
        <v>45140</v>
      </c>
      <c r="B3271" s="615">
        <v>185000</v>
      </c>
      <c r="C3271" s="615">
        <f t="shared" si="322"/>
        <v>203190.82191780821</v>
      </c>
      <c r="D3271" s="532">
        <f t="shared" si="320"/>
        <v>45177</v>
      </c>
      <c r="E3271" s="534">
        <v>37</v>
      </c>
      <c r="F3271" s="653">
        <v>0.97</v>
      </c>
      <c r="G3271" s="536" t="s">
        <v>260</v>
      </c>
    </row>
    <row r="3272" spans="1:8" ht="13.5" customHeight="1">
      <c r="A3272" s="532">
        <v>45140</v>
      </c>
      <c r="B3272" s="615">
        <v>100000</v>
      </c>
      <c r="C3272" s="615">
        <f t="shared" si="322"/>
        <v>109832.87671232877</v>
      </c>
      <c r="D3272" s="532">
        <f t="shared" si="320"/>
        <v>45177</v>
      </c>
      <c r="E3272" s="534">
        <v>37</v>
      </c>
      <c r="F3272" s="653">
        <v>0.97</v>
      </c>
      <c r="G3272" s="536" t="s">
        <v>257</v>
      </c>
    </row>
    <row r="3273" spans="1:8" ht="13.5" customHeight="1">
      <c r="A3273" s="532">
        <v>45141</v>
      </c>
      <c r="B3273" s="615">
        <v>50000</v>
      </c>
      <c r="C3273" s="615">
        <f t="shared" si="322"/>
        <v>54252.054794520547</v>
      </c>
      <c r="D3273" s="532">
        <f t="shared" si="320"/>
        <v>45173</v>
      </c>
      <c r="E3273" s="534">
        <v>32</v>
      </c>
      <c r="F3273" s="653">
        <v>0.97</v>
      </c>
      <c r="G3273" s="536" t="s">
        <v>265</v>
      </c>
    </row>
    <row r="3274" spans="1:8" ht="13.5" customHeight="1">
      <c r="A3274" s="532">
        <v>45141</v>
      </c>
      <c r="B3274" s="615">
        <v>61100</v>
      </c>
      <c r="C3274" s="615">
        <f t="shared" si="322"/>
        <v>67432.638356164389</v>
      </c>
      <c r="D3274" s="532">
        <f t="shared" si="320"/>
        <v>45180</v>
      </c>
      <c r="E3274" s="534">
        <v>39</v>
      </c>
      <c r="F3274" s="653">
        <v>0.97</v>
      </c>
      <c r="G3274" s="536" t="s">
        <v>718</v>
      </c>
      <c r="H3274">
        <f t="shared" ref="A3274:H3291" si="323">IF(E3274&gt;89,(C3274-B3274)/3,(C3274-B3274))</f>
        <v>6332.6383561643888</v>
      </c>
    </row>
    <row r="3275" spans="1:8" ht="13.5" customHeight="1">
      <c r="A3275" s="532">
        <v>45141</v>
      </c>
      <c r="B3275" s="615">
        <v>160000</v>
      </c>
      <c r="C3275" s="615">
        <f t="shared" si="322"/>
        <v>176583.01369863015</v>
      </c>
      <c r="D3275" s="532">
        <f t="shared" si="320"/>
        <v>45180</v>
      </c>
      <c r="E3275" s="534">
        <v>39</v>
      </c>
      <c r="F3275" s="653">
        <v>0.97</v>
      </c>
      <c r="G3275" s="536" t="s">
        <v>260</v>
      </c>
      <c r="H3275">
        <f t="shared" si="323"/>
        <v>16583.013698630151</v>
      </c>
    </row>
    <row r="3276" spans="1:8" ht="13.5" customHeight="1">
      <c r="A3276" s="532">
        <v>45141</v>
      </c>
      <c r="B3276" s="615">
        <v>244300</v>
      </c>
      <c r="C3276" s="615">
        <f t="shared" si="322"/>
        <v>269620.1890410959</v>
      </c>
      <c r="D3276" s="532">
        <f t="shared" si="320"/>
        <v>45180</v>
      </c>
      <c r="E3276" s="534">
        <v>39</v>
      </c>
      <c r="F3276" s="653">
        <v>0.97</v>
      </c>
      <c r="G3276" s="536" t="s">
        <v>257</v>
      </c>
      <c r="H3276">
        <f t="shared" si="323"/>
        <v>25320.189041095902</v>
      </c>
    </row>
    <row r="3277" spans="1:8" ht="13.5" customHeight="1">
      <c r="A3277" s="532">
        <v>45141</v>
      </c>
      <c r="B3277" s="615">
        <v>37000</v>
      </c>
      <c r="C3277" s="615">
        <f t="shared" si="322"/>
        <v>40834.821917808222</v>
      </c>
      <c r="D3277" s="532">
        <f t="shared" si="320"/>
        <v>45180</v>
      </c>
      <c r="E3277" s="534">
        <v>39</v>
      </c>
      <c r="F3277" s="653">
        <v>0.97</v>
      </c>
      <c r="G3277" s="536" t="s">
        <v>258</v>
      </c>
      <c r="H3277">
        <f t="shared" si="323"/>
        <v>3834.8219178082218</v>
      </c>
    </row>
    <row r="3278" spans="1:8" ht="13.5" customHeight="1">
      <c r="A3278" s="532">
        <v>45141</v>
      </c>
      <c r="B3278" s="615">
        <v>400000</v>
      </c>
      <c r="C3278" s="615">
        <f t="shared" si="322"/>
        <v>441457.53424657532</v>
      </c>
      <c r="D3278" s="532">
        <f t="shared" si="320"/>
        <v>45180</v>
      </c>
      <c r="E3278" s="534">
        <v>39</v>
      </c>
      <c r="F3278" s="653">
        <v>0.97</v>
      </c>
      <c r="G3278" s="536" t="s">
        <v>256</v>
      </c>
      <c r="H3278">
        <f t="shared" si="323"/>
        <v>41457.53424657532</v>
      </c>
    </row>
    <row r="3279" spans="1:8" ht="13.5" customHeight="1">
      <c r="A3279" s="532">
        <v>45141</v>
      </c>
      <c r="B3279" s="615">
        <v>243000</v>
      </c>
      <c r="C3279" s="615">
        <f t="shared" si="322"/>
        <v>268831.23287671234</v>
      </c>
      <c r="D3279" s="532">
        <f t="shared" si="320"/>
        <v>45181</v>
      </c>
      <c r="E3279" s="534">
        <v>40</v>
      </c>
      <c r="F3279" s="653">
        <v>0.97</v>
      </c>
      <c r="G3279" s="536" t="s">
        <v>257</v>
      </c>
      <c r="H3279">
        <f t="shared" si="323"/>
        <v>25831.23287671234</v>
      </c>
    </row>
    <row r="3280" spans="1:8" ht="13.5" customHeight="1">
      <c r="A3280" s="532">
        <v>45141</v>
      </c>
      <c r="B3280" s="615">
        <v>385000</v>
      </c>
      <c r="C3280" s="615">
        <f t="shared" si="322"/>
        <v>425926.0273972603</v>
      </c>
      <c r="D3280" s="532">
        <f t="shared" si="320"/>
        <v>45181</v>
      </c>
      <c r="E3280" s="534">
        <v>40</v>
      </c>
      <c r="F3280" s="653">
        <v>0.97</v>
      </c>
      <c r="G3280" s="536" t="s">
        <v>256</v>
      </c>
      <c r="H3280">
        <f t="shared" si="323"/>
        <v>40926.027397260303</v>
      </c>
    </row>
    <row r="3281" spans="1:8" ht="13.5" customHeight="1">
      <c r="A3281" s="532">
        <v>45142</v>
      </c>
      <c r="B3281" s="615">
        <v>35000</v>
      </c>
      <c r="C3281" s="615">
        <f t="shared" si="322"/>
        <v>37976.438356164384</v>
      </c>
      <c r="D3281" s="532">
        <f t="shared" si="320"/>
        <v>45174</v>
      </c>
      <c r="E3281" s="534">
        <v>32</v>
      </c>
      <c r="F3281" s="653">
        <v>0.97</v>
      </c>
      <c r="G3281" s="536" t="s">
        <v>258</v>
      </c>
      <c r="H3281">
        <f t="shared" si="323"/>
        <v>2976.4383561643845</v>
      </c>
    </row>
    <row r="3282" spans="1:8" ht="13.5" customHeight="1">
      <c r="A3282" s="532">
        <v>45142</v>
      </c>
      <c r="B3282" s="615">
        <v>86700</v>
      </c>
      <c r="C3282" s="615">
        <f t="shared" si="322"/>
        <v>94073.063013698629</v>
      </c>
      <c r="D3282" s="532">
        <f t="shared" si="320"/>
        <v>45174</v>
      </c>
      <c r="E3282" s="534">
        <v>32</v>
      </c>
      <c r="F3282" s="653">
        <v>0.97</v>
      </c>
      <c r="G3282" s="536" t="s">
        <v>260</v>
      </c>
      <c r="H3282">
        <f t="shared" si="323"/>
        <v>7373.0630136986292</v>
      </c>
    </row>
    <row r="3283" spans="1:8" ht="13.5" customHeight="1">
      <c r="A3283" s="532">
        <v>45142</v>
      </c>
      <c r="B3283" s="615">
        <v>27400</v>
      </c>
      <c r="C3283" s="615">
        <f t="shared" si="322"/>
        <v>29730.126027397258</v>
      </c>
      <c r="D3283" s="532">
        <f t="shared" si="320"/>
        <v>45174</v>
      </c>
      <c r="E3283" s="534">
        <v>32</v>
      </c>
      <c r="F3283" s="653">
        <v>0.97</v>
      </c>
      <c r="G3283" s="536" t="s">
        <v>259</v>
      </c>
      <c r="H3283">
        <f t="shared" si="323"/>
        <v>2330.1260273972584</v>
      </c>
    </row>
    <row r="3284" spans="1:8" ht="13.5" customHeight="1">
      <c r="A3284" s="532">
        <v>45142</v>
      </c>
      <c r="B3284" s="615">
        <v>15900</v>
      </c>
      <c r="C3284" s="615">
        <f t="shared" si="322"/>
        <v>17252.153424657536</v>
      </c>
      <c r="D3284" s="532">
        <f t="shared" si="320"/>
        <v>45174</v>
      </c>
      <c r="E3284" s="534">
        <v>32</v>
      </c>
      <c r="F3284" s="653">
        <v>0.97</v>
      </c>
      <c r="G3284" s="536" t="s">
        <v>261</v>
      </c>
      <c r="H3284">
        <f t="shared" si="323"/>
        <v>1352.1534246575357</v>
      </c>
    </row>
    <row r="3285" spans="1:8" ht="13.5" customHeight="1">
      <c r="A3285" s="532">
        <v>45142</v>
      </c>
      <c r="B3285" s="615">
        <v>241700</v>
      </c>
      <c r="C3285" s="615">
        <f t="shared" si="322"/>
        <v>266108.38904109591</v>
      </c>
      <c r="D3285" s="532">
        <f t="shared" si="320"/>
        <v>45180</v>
      </c>
      <c r="E3285" s="534">
        <v>38</v>
      </c>
      <c r="F3285" s="653">
        <v>0.97</v>
      </c>
      <c r="G3285" s="536" t="s">
        <v>257</v>
      </c>
      <c r="H3285">
        <f t="shared" si="323"/>
        <v>24408.389041095914</v>
      </c>
    </row>
    <row r="3286" spans="1:8" ht="13.5" customHeight="1">
      <c r="A3286" s="532">
        <v>45145</v>
      </c>
      <c r="B3286" s="615">
        <v>150000</v>
      </c>
      <c r="C3286" s="615">
        <f t="shared" si="322"/>
        <v>163952.05479452055</v>
      </c>
      <c r="D3286" s="532">
        <f t="shared" si="320"/>
        <v>45180</v>
      </c>
      <c r="E3286" s="534">
        <v>35</v>
      </c>
      <c r="F3286" s="653">
        <v>0.97</v>
      </c>
      <c r="G3286" s="536" t="s">
        <v>258</v>
      </c>
      <c r="H3286">
        <f t="shared" si="323"/>
        <v>13952.054794520547</v>
      </c>
    </row>
    <row r="3287" spans="1:8" ht="13.5" customHeight="1">
      <c r="A3287" s="532">
        <v>45145</v>
      </c>
      <c r="B3287" s="615">
        <v>87200</v>
      </c>
      <c r="C3287" s="615">
        <f t="shared" si="322"/>
        <v>95542.531506849307</v>
      </c>
      <c r="D3287" s="532">
        <f t="shared" si="320"/>
        <v>45181</v>
      </c>
      <c r="E3287" s="534">
        <v>36</v>
      </c>
      <c r="F3287" s="653">
        <v>0.97</v>
      </c>
      <c r="G3287" s="536" t="s">
        <v>261</v>
      </c>
      <c r="H3287">
        <f t="shared" si="323"/>
        <v>8342.5315068493073</v>
      </c>
    </row>
    <row r="3288" spans="1:8" ht="13.5" customHeight="1">
      <c r="A3288" s="532">
        <v>45146</v>
      </c>
      <c r="B3288" s="615">
        <v>138300</v>
      </c>
      <c r="C3288" s="615">
        <f t="shared" si="322"/>
        <v>151163.79452054793</v>
      </c>
      <c r="D3288" s="532">
        <f t="shared" si="320"/>
        <v>45181</v>
      </c>
      <c r="E3288" s="534">
        <v>35</v>
      </c>
      <c r="F3288" s="653">
        <v>0.97</v>
      </c>
      <c r="G3288" s="536" t="s">
        <v>260</v>
      </c>
      <c r="H3288">
        <f t="shared" si="323"/>
        <v>12863.794520547934</v>
      </c>
    </row>
    <row r="3289" spans="1:8" ht="13.5" customHeight="1">
      <c r="A3289" s="532">
        <v>45146</v>
      </c>
      <c r="B3289" s="615">
        <v>205000</v>
      </c>
      <c r="C3289" s="615">
        <f t="shared" si="322"/>
        <v>224067.80821917808</v>
      </c>
      <c r="D3289" s="532">
        <f t="shared" si="320"/>
        <v>45181</v>
      </c>
      <c r="E3289" s="534">
        <v>35</v>
      </c>
      <c r="F3289" s="653">
        <v>0.97</v>
      </c>
      <c r="G3289" s="536" t="s">
        <v>258</v>
      </c>
      <c r="H3289">
        <f t="shared" si="323"/>
        <v>19067.808219178085</v>
      </c>
    </row>
    <row r="3290" spans="1:8" ht="13.5" customHeight="1">
      <c r="A3290" s="532">
        <v>45146</v>
      </c>
      <c r="B3290" s="615">
        <v>99900</v>
      </c>
      <c r="C3290" s="615">
        <f t="shared" si="322"/>
        <v>109457.55616438357</v>
      </c>
      <c r="D3290" s="532">
        <f t="shared" si="320"/>
        <v>45182</v>
      </c>
      <c r="E3290" s="534">
        <v>36</v>
      </c>
      <c r="F3290" s="653">
        <v>0.97</v>
      </c>
      <c r="G3290" s="536" t="s">
        <v>261</v>
      </c>
      <c r="H3290">
        <f t="shared" si="323"/>
        <v>9557.5561643835681</v>
      </c>
    </row>
    <row r="3291" spans="1:8" ht="13.5" customHeight="1">
      <c r="A3291" s="532">
        <v>45146</v>
      </c>
      <c r="B3291" s="615">
        <v>250000</v>
      </c>
      <c r="C3291" s="615">
        <f t="shared" si="322"/>
        <v>273917.80821917806</v>
      </c>
      <c r="D3291" s="532">
        <f t="shared" si="320"/>
        <v>45182</v>
      </c>
      <c r="E3291" s="534">
        <v>36</v>
      </c>
      <c r="F3291" s="653">
        <v>0.97</v>
      </c>
      <c r="G3291" s="536" t="s">
        <v>256</v>
      </c>
      <c r="H3291">
        <f t="shared" si="323"/>
        <v>23917.808219178056</v>
      </c>
    </row>
    <row r="3292" spans="1:8" ht="13.5" customHeight="1">
      <c r="A3292" s="532">
        <v>45147</v>
      </c>
      <c r="B3292" s="615">
        <v>36300</v>
      </c>
      <c r="C3292" s="615">
        <f t="shared" si="322"/>
        <v>39194.054794520547</v>
      </c>
      <c r="D3292" s="532">
        <f t="shared" ref="A3292:D3355" si="324">+A3292+E3292</f>
        <v>45177</v>
      </c>
      <c r="E3292" s="534">
        <v>30</v>
      </c>
      <c r="F3292" s="653">
        <v>0.97</v>
      </c>
      <c r="G3292" s="536" t="s">
        <v>265</v>
      </c>
    </row>
    <row r="3293" spans="1:8" ht="13.5" customHeight="1">
      <c r="A3293" s="532">
        <v>45147</v>
      </c>
      <c r="B3293" s="615">
        <v>130000</v>
      </c>
      <c r="C3293" s="615">
        <f t="shared" si="322"/>
        <v>142091.78082191781</v>
      </c>
      <c r="D3293" s="532">
        <f t="shared" si="324"/>
        <v>45182</v>
      </c>
      <c r="E3293" s="534">
        <v>35</v>
      </c>
      <c r="F3293" s="653">
        <v>0.97</v>
      </c>
      <c r="G3293" s="536" t="s">
        <v>265</v>
      </c>
      <c r="H3293">
        <f t="shared" ref="A3293:H3311" si="325">IF(E3293&gt;89,(C3293-B3293)/3,(C3293-B3293))</f>
        <v>12091.780821917811</v>
      </c>
    </row>
    <row r="3294" spans="1:8" ht="13.5" customHeight="1">
      <c r="A3294" s="532">
        <v>45147</v>
      </c>
      <c r="B3294" s="615">
        <v>38100</v>
      </c>
      <c r="C3294" s="615">
        <f t="shared" si="322"/>
        <v>41643.821917808222</v>
      </c>
      <c r="D3294" s="532">
        <f t="shared" si="324"/>
        <v>45182</v>
      </c>
      <c r="E3294" s="534">
        <v>35</v>
      </c>
      <c r="F3294" s="653">
        <v>0.97</v>
      </c>
      <c r="G3294" s="536" t="s">
        <v>257</v>
      </c>
      <c r="H3294">
        <f t="shared" si="325"/>
        <v>3543.8219178082218</v>
      </c>
    </row>
    <row r="3295" spans="1:8" ht="13.5" customHeight="1">
      <c r="A3295" s="532">
        <v>45147</v>
      </c>
      <c r="B3295" s="615">
        <v>136300</v>
      </c>
      <c r="C3295" s="615">
        <f t="shared" si="322"/>
        <v>148977.76712328766</v>
      </c>
      <c r="D3295" s="532">
        <f t="shared" si="324"/>
        <v>45182</v>
      </c>
      <c r="E3295" s="534">
        <v>35</v>
      </c>
      <c r="F3295" s="653">
        <v>0.97</v>
      </c>
      <c r="G3295" s="536" t="s">
        <v>260</v>
      </c>
      <c r="H3295">
        <f t="shared" si="325"/>
        <v>12677.76712328766</v>
      </c>
    </row>
    <row r="3296" spans="1:8" ht="13.5" customHeight="1">
      <c r="A3296" s="532">
        <v>45148</v>
      </c>
      <c r="B3296" s="615">
        <v>160000</v>
      </c>
      <c r="C3296" s="615">
        <f t="shared" si="322"/>
        <v>174031.78082191781</v>
      </c>
      <c r="D3296" s="532">
        <f t="shared" si="324"/>
        <v>45181</v>
      </c>
      <c r="E3296" s="534">
        <v>33</v>
      </c>
      <c r="F3296" s="653">
        <v>0.97</v>
      </c>
      <c r="G3296" s="536" t="s">
        <v>256</v>
      </c>
      <c r="H3296">
        <f t="shared" si="325"/>
        <v>14031.780821917811</v>
      </c>
    </row>
    <row r="3297" spans="1:8" ht="13.5" customHeight="1">
      <c r="A3297" s="532">
        <v>45148</v>
      </c>
      <c r="B3297" s="615">
        <v>27100</v>
      </c>
      <c r="C3297" s="615">
        <f t="shared" si="322"/>
        <v>29476.63287671233</v>
      </c>
      <c r="D3297" s="532">
        <f t="shared" si="324"/>
        <v>45181</v>
      </c>
      <c r="E3297" s="534">
        <v>33</v>
      </c>
      <c r="F3297" s="653">
        <v>0.97</v>
      </c>
      <c r="G3297" s="536" t="s">
        <v>260</v>
      </c>
      <c r="H3297">
        <f t="shared" si="325"/>
        <v>2376.6328767123305</v>
      </c>
    </row>
    <row r="3298" spans="1:8" ht="13.5" customHeight="1">
      <c r="A3298" s="532">
        <v>45148</v>
      </c>
      <c r="B3298" s="615">
        <v>28100</v>
      </c>
      <c r="C3298" s="615">
        <f t="shared" si="322"/>
        <v>30564.331506849314</v>
      </c>
      <c r="D3298" s="532">
        <f t="shared" si="324"/>
        <v>45181</v>
      </c>
      <c r="E3298" s="534">
        <v>33</v>
      </c>
      <c r="F3298" s="653">
        <v>0.97</v>
      </c>
      <c r="G3298" s="536" t="s">
        <v>265</v>
      </c>
      <c r="H3298">
        <f t="shared" si="325"/>
        <v>2464.3315068493139</v>
      </c>
    </row>
    <row r="3299" spans="1:8" ht="13.5" customHeight="1">
      <c r="A3299" s="532">
        <v>45148</v>
      </c>
      <c r="B3299" s="615">
        <v>45000</v>
      </c>
      <c r="C3299" s="615">
        <f t="shared" si="322"/>
        <v>48946.438356164384</v>
      </c>
      <c r="D3299" s="532">
        <f t="shared" si="324"/>
        <v>45181</v>
      </c>
      <c r="E3299" s="534">
        <v>33</v>
      </c>
      <c r="F3299" s="653">
        <v>0.97</v>
      </c>
      <c r="G3299" s="536" t="s">
        <v>258</v>
      </c>
      <c r="H3299">
        <f t="shared" si="325"/>
        <v>3946.4383561643845</v>
      </c>
    </row>
    <row r="3300" spans="1:8" ht="13.5" customHeight="1">
      <c r="A3300" s="532">
        <v>45148</v>
      </c>
      <c r="B3300" s="615">
        <v>319900</v>
      </c>
      <c r="C3300" s="615">
        <f t="shared" ref="A3300:C3363" si="326">B3300+(B3300*F3300/365*E3300)*1</f>
        <v>348804.93698630139</v>
      </c>
      <c r="D3300" s="532">
        <f t="shared" si="324"/>
        <v>45182</v>
      </c>
      <c r="E3300" s="534">
        <v>34</v>
      </c>
      <c r="F3300" s="653">
        <v>0.97</v>
      </c>
      <c r="G3300" s="536" t="s">
        <v>257</v>
      </c>
      <c r="H3300">
        <f t="shared" si="325"/>
        <v>28904.936986301385</v>
      </c>
    </row>
    <row r="3301" spans="1:8" ht="13.5" customHeight="1">
      <c r="A3301" s="532">
        <v>45148</v>
      </c>
      <c r="B3301" s="615">
        <v>84100</v>
      </c>
      <c r="C3301" s="615">
        <f t="shared" si="326"/>
        <v>91698.953424657535</v>
      </c>
      <c r="D3301" s="532">
        <f t="shared" si="324"/>
        <v>45182</v>
      </c>
      <c r="E3301" s="534">
        <v>34</v>
      </c>
      <c r="F3301" s="653">
        <v>0.97</v>
      </c>
      <c r="G3301" s="536" t="s">
        <v>261</v>
      </c>
      <c r="H3301">
        <f t="shared" si="325"/>
        <v>7598.9534246575349</v>
      </c>
    </row>
    <row r="3302" spans="1:8" ht="13.5" customHeight="1">
      <c r="A3302" s="532">
        <v>45148</v>
      </c>
      <c r="B3302" s="615">
        <v>134000</v>
      </c>
      <c r="C3302" s="615">
        <f t="shared" si="326"/>
        <v>146107.72602739726</v>
      </c>
      <c r="D3302" s="532">
        <f t="shared" si="324"/>
        <v>45182</v>
      </c>
      <c r="E3302" s="534">
        <v>34</v>
      </c>
      <c r="F3302" s="653">
        <v>0.97</v>
      </c>
      <c r="G3302" s="536" t="s">
        <v>257</v>
      </c>
      <c r="H3302">
        <f t="shared" si="325"/>
        <v>12107.726027397264</v>
      </c>
    </row>
    <row r="3303" spans="1:8" ht="13.5" customHeight="1">
      <c r="A3303" s="532">
        <v>45149</v>
      </c>
      <c r="B3303" s="615">
        <v>195000</v>
      </c>
      <c r="C3303" s="615">
        <f t="shared" si="326"/>
        <v>212619.45205479453</v>
      </c>
      <c r="D3303" s="532">
        <f t="shared" si="324"/>
        <v>45183</v>
      </c>
      <c r="E3303" s="534">
        <v>34</v>
      </c>
      <c r="F3303" s="653">
        <v>0.97</v>
      </c>
      <c r="G3303" s="536" t="s">
        <v>256</v>
      </c>
      <c r="H3303">
        <f t="shared" si="325"/>
        <v>17619.452054794529</v>
      </c>
    </row>
    <row r="3304" spans="1:8" ht="13.5" customHeight="1">
      <c r="A3304" s="532">
        <v>45149</v>
      </c>
      <c r="B3304" s="615">
        <v>210000</v>
      </c>
      <c r="C3304" s="615">
        <f t="shared" si="326"/>
        <v>228974.79452054796</v>
      </c>
      <c r="D3304" s="532">
        <f t="shared" si="324"/>
        <v>45183</v>
      </c>
      <c r="E3304" s="534">
        <v>34</v>
      </c>
      <c r="F3304" s="653">
        <v>0.97</v>
      </c>
      <c r="G3304" s="536" t="s">
        <v>258</v>
      </c>
      <c r="H3304">
        <f t="shared" si="325"/>
        <v>18974.794520547963</v>
      </c>
    </row>
    <row r="3305" spans="1:8" ht="13.5" customHeight="1">
      <c r="A3305" s="532">
        <v>45149</v>
      </c>
      <c r="B3305" s="615">
        <v>20100</v>
      </c>
      <c r="C3305" s="615">
        <f t="shared" si="326"/>
        <v>21916.15890410959</v>
      </c>
      <c r="D3305" s="532">
        <f t="shared" si="324"/>
        <v>45183</v>
      </c>
      <c r="E3305" s="534">
        <v>34</v>
      </c>
      <c r="F3305" s="653">
        <v>0.97</v>
      </c>
      <c r="G3305" s="536" t="s">
        <v>260</v>
      </c>
      <c r="H3305">
        <f t="shared" si="325"/>
        <v>1816.1589041095904</v>
      </c>
    </row>
    <row r="3306" spans="1:8" ht="13.5" customHeight="1">
      <c r="A3306" s="532">
        <v>45149</v>
      </c>
      <c r="B3306" s="615">
        <v>114200</v>
      </c>
      <c r="C3306" s="615">
        <f t="shared" si="326"/>
        <v>124518.67397260274</v>
      </c>
      <c r="D3306" s="532">
        <f t="shared" si="324"/>
        <v>45183</v>
      </c>
      <c r="E3306" s="534">
        <v>34</v>
      </c>
      <c r="F3306" s="653">
        <v>0.97</v>
      </c>
      <c r="G3306" s="536" t="s">
        <v>257</v>
      </c>
      <c r="H3306">
        <f t="shared" si="325"/>
        <v>10318.673972602744</v>
      </c>
    </row>
    <row r="3307" spans="1:8" ht="13.5" customHeight="1">
      <c r="A3307" s="532">
        <v>45152</v>
      </c>
      <c r="B3307" s="615">
        <v>47800</v>
      </c>
      <c r="C3307" s="615">
        <f t="shared" si="326"/>
        <v>51610.904109589042</v>
      </c>
      <c r="D3307" s="532">
        <f t="shared" si="324"/>
        <v>45182</v>
      </c>
      <c r="E3307" s="534">
        <v>30</v>
      </c>
      <c r="F3307" s="653">
        <v>0.97</v>
      </c>
      <c r="G3307" s="536" t="s">
        <v>260</v>
      </c>
      <c r="H3307">
        <f t="shared" si="325"/>
        <v>3810.9041095890425</v>
      </c>
    </row>
    <row r="3308" spans="1:8" ht="13.5" customHeight="1">
      <c r="A3308" s="532">
        <v>45152</v>
      </c>
      <c r="B3308" s="615">
        <v>37200</v>
      </c>
      <c r="C3308" s="615">
        <f t="shared" si="326"/>
        <v>40165.808219178085</v>
      </c>
      <c r="D3308" s="532">
        <f t="shared" si="324"/>
        <v>45182</v>
      </c>
      <c r="E3308" s="534">
        <v>30</v>
      </c>
      <c r="F3308" s="653">
        <v>0.97</v>
      </c>
      <c r="G3308" s="536" t="s">
        <v>261</v>
      </c>
      <c r="H3308">
        <f t="shared" si="325"/>
        <v>2965.808219178085</v>
      </c>
    </row>
    <row r="3309" spans="1:8" ht="13.5" customHeight="1">
      <c r="A3309" s="532">
        <v>45152</v>
      </c>
      <c r="B3309" s="615">
        <v>370000</v>
      </c>
      <c r="C3309" s="615">
        <f t="shared" si="326"/>
        <v>399498.63013698632</v>
      </c>
      <c r="D3309" s="532">
        <f t="shared" si="324"/>
        <v>45182</v>
      </c>
      <c r="E3309" s="534">
        <v>30</v>
      </c>
      <c r="F3309" s="653">
        <v>0.97</v>
      </c>
      <c r="G3309" s="536" t="s">
        <v>256</v>
      </c>
      <c r="H3309">
        <f t="shared" si="325"/>
        <v>29498.630136986321</v>
      </c>
    </row>
    <row r="3310" spans="1:8" ht="13">
      <c r="A3310" s="676">
        <v>45152</v>
      </c>
      <c r="B3310" s="679">
        <v>142000</v>
      </c>
      <c r="C3310" s="679">
        <f t="shared" si="326"/>
        <v>153321.09589041097</v>
      </c>
      <c r="D3310" s="676">
        <f t="shared" si="324"/>
        <v>45182</v>
      </c>
      <c r="E3310" s="683">
        <v>30</v>
      </c>
      <c r="F3310" s="686">
        <v>0.97</v>
      </c>
      <c r="G3310" s="689" t="s">
        <v>256</v>
      </c>
      <c r="H3310">
        <f t="shared" si="325"/>
        <v>11321.095890410972</v>
      </c>
    </row>
    <row r="3311" spans="1:8" ht="13.5" customHeight="1">
      <c r="A3311" s="532">
        <v>45152</v>
      </c>
      <c r="B3311" s="615">
        <v>54000</v>
      </c>
      <c r="C3311" s="615">
        <f t="shared" si="326"/>
        <v>58305.205479452052</v>
      </c>
      <c r="D3311" s="532">
        <f t="shared" si="324"/>
        <v>45182</v>
      </c>
      <c r="E3311" s="534">
        <v>30</v>
      </c>
      <c r="F3311" s="653">
        <v>0.97</v>
      </c>
      <c r="G3311" s="536" t="s">
        <v>265</v>
      </c>
      <c r="H3311">
        <f t="shared" si="325"/>
        <v>4305.2054794520518</v>
      </c>
    </row>
    <row r="3312" spans="1:8" ht="13.5" customHeight="1">
      <c r="A3312" s="532">
        <v>45152</v>
      </c>
      <c r="B3312" s="615">
        <v>21700</v>
      </c>
      <c r="C3312" s="615">
        <f t="shared" si="326"/>
        <v>23545.391780821919</v>
      </c>
      <c r="D3312" s="532">
        <f t="shared" si="324"/>
        <v>45184</v>
      </c>
      <c r="E3312" s="534">
        <v>32</v>
      </c>
      <c r="F3312" s="653">
        <v>0.97</v>
      </c>
      <c r="G3312" s="536" t="s">
        <v>720</v>
      </c>
    </row>
    <row r="3313" spans="1:8" ht="13.5" customHeight="1">
      <c r="A3313" s="532">
        <v>45153</v>
      </c>
      <c r="B3313" s="615">
        <v>14100</v>
      </c>
      <c r="C3313" s="615">
        <f t="shared" si="326"/>
        <v>15467.506849315068</v>
      </c>
      <c r="D3313" s="532">
        <f t="shared" si="324"/>
        <v>45183</v>
      </c>
      <c r="E3313" s="534">
        <v>30</v>
      </c>
      <c r="F3313" s="653">
        <v>1.18</v>
      </c>
      <c r="G3313" s="536" t="s">
        <v>261</v>
      </c>
      <c r="H3313">
        <f>IF(E3313&gt;89,(C3313-B3313)/3,(C3313-B3313))</f>
        <v>1367.5068493150684</v>
      </c>
    </row>
    <row r="3314" spans="1:8" ht="13.5" customHeight="1">
      <c r="A3314" s="532">
        <v>45153</v>
      </c>
      <c r="B3314" s="615">
        <v>9200</v>
      </c>
      <c r="C3314" s="615">
        <f t="shared" si="326"/>
        <v>10122.016438356164</v>
      </c>
      <c r="D3314" s="532">
        <f t="shared" si="324"/>
        <v>45184</v>
      </c>
      <c r="E3314" s="534">
        <v>31</v>
      </c>
      <c r="F3314" s="653">
        <v>1.18</v>
      </c>
      <c r="G3314" s="536" t="s">
        <v>259</v>
      </c>
      <c r="H3314">
        <f>IF(E3314&gt;89,(C3314-B3314)/3,(C3314-B3314))</f>
        <v>922.01643835616414</v>
      </c>
    </row>
    <row r="3315" spans="1:8" ht="13.5" customHeight="1">
      <c r="A3315" s="532">
        <v>45153</v>
      </c>
      <c r="B3315" s="615">
        <v>50000</v>
      </c>
      <c r="C3315" s="615">
        <f t="shared" si="326"/>
        <v>54849.315068493153</v>
      </c>
      <c r="D3315" s="532">
        <f t="shared" si="324"/>
        <v>45183</v>
      </c>
      <c r="E3315" s="534">
        <v>30</v>
      </c>
      <c r="F3315" s="653">
        <v>1.18</v>
      </c>
      <c r="G3315" s="536" t="s">
        <v>257</v>
      </c>
      <c r="H3315">
        <f>IF(E3315&gt;89,(C3315-B3315)/3,(C3315-B3315))</f>
        <v>4849.3150684931534</v>
      </c>
    </row>
    <row r="3316" spans="1:8" ht="13.5" customHeight="1">
      <c r="A3316" s="532">
        <v>45153</v>
      </c>
      <c r="B3316" s="615">
        <v>150000</v>
      </c>
      <c r="C3316" s="615">
        <f t="shared" si="326"/>
        <v>164547.94520547945</v>
      </c>
      <c r="D3316" s="532">
        <f t="shared" si="324"/>
        <v>45183</v>
      </c>
      <c r="E3316" s="534">
        <v>30</v>
      </c>
      <c r="F3316" s="653">
        <v>1.18</v>
      </c>
      <c r="G3316" s="536" t="s">
        <v>258</v>
      </c>
      <c r="H3316">
        <f>IF(E3316&gt;89,(C3316-B3316)/3,(C3316-B3316))</f>
        <v>14547.945205479453</v>
      </c>
    </row>
    <row r="3317" spans="1:8" ht="13.5" customHeight="1">
      <c r="A3317" s="532">
        <v>45153</v>
      </c>
      <c r="B3317" s="615">
        <v>9200</v>
      </c>
      <c r="C3317" s="615">
        <f t="shared" si="326"/>
        <v>10122.016438356164</v>
      </c>
      <c r="D3317" s="532">
        <f t="shared" si="324"/>
        <v>45184</v>
      </c>
      <c r="E3317" s="534">
        <v>31</v>
      </c>
      <c r="F3317" s="653">
        <v>1.18</v>
      </c>
      <c r="G3317" s="536" t="s">
        <v>259</v>
      </c>
    </row>
    <row r="3318" spans="1:8" ht="13.5" customHeight="1">
      <c r="A3318" s="675">
        <v>45154</v>
      </c>
      <c r="B3318" s="678">
        <v>400000</v>
      </c>
      <c r="C3318" s="678">
        <f t="shared" si="326"/>
        <v>438794.52054794523</v>
      </c>
      <c r="D3318" s="675">
        <f t="shared" si="324"/>
        <v>45184</v>
      </c>
      <c r="E3318" s="682">
        <v>30</v>
      </c>
      <c r="F3318" s="685">
        <v>1.18</v>
      </c>
      <c r="G3318" s="688" t="s">
        <v>266</v>
      </c>
    </row>
    <row r="3319" spans="1:8" ht="13.5" customHeight="1">
      <c r="A3319" s="532">
        <v>45154</v>
      </c>
      <c r="B3319" s="615">
        <v>400000</v>
      </c>
      <c r="C3319" s="615">
        <f t="shared" si="326"/>
        <v>438794.52054794523</v>
      </c>
      <c r="D3319" s="532">
        <f t="shared" si="324"/>
        <v>45184</v>
      </c>
      <c r="E3319" s="534">
        <v>30</v>
      </c>
      <c r="F3319" s="653">
        <v>1.18</v>
      </c>
      <c r="G3319" s="536" t="s">
        <v>256</v>
      </c>
    </row>
    <row r="3320" spans="1:8" ht="13.5" customHeight="1">
      <c r="A3320" s="532">
        <v>45154</v>
      </c>
      <c r="B3320" s="615">
        <v>54500</v>
      </c>
      <c r="C3320" s="615">
        <f t="shared" si="326"/>
        <v>59785.753424657538</v>
      </c>
      <c r="D3320" s="532">
        <f t="shared" si="324"/>
        <v>45184</v>
      </c>
      <c r="E3320" s="534">
        <v>30</v>
      </c>
      <c r="F3320" s="653">
        <v>1.18</v>
      </c>
      <c r="G3320" s="536" t="s">
        <v>265</v>
      </c>
    </row>
    <row r="3321" spans="1:8" ht="13.5" customHeight="1">
      <c r="A3321" s="532">
        <v>45154</v>
      </c>
      <c r="B3321" s="615">
        <v>15000</v>
      </c>
      <c r="C3321" s="615">
        <f t="shared" si="326"/>
        <v>16454.794520547945</v>
      </c>
      <c r="D3321" s="532">
        <f t="shared" si="324"/>
        <v>45184</v>
      </c>
      <c r="E3321" s="534">
        <v>30</v>
      </c>
      <c r="F3321" s="653">
        <v>1.18</v>
      </c>
      <c r="G3321" s="536" t="s">
        <v>258</v>
      </c>
    </row>
    <row r="3322" spans="1:8" ht="13.5" customHeight="1">
      <c r="A3322" s="532">
        <v>45154</v>
      </c>
      <c r="B3322" s="615">
        <v>18000</v>
      </c>
      <c r="C3322" s="615">
        <f t="shared" si="326"/>
        <v>19745.753424657534</v>
      </c>
      <c r="D3322" s="532">
        <f t="shared" si="324"/>
        <v>45184</v>
      </c>
      <c r="E3322" s="534">
        <v>30</v>
      </c>
      <c r="F3322" s="653">
        <v>1.18</v>
      </c>
      <c r="G3322" s="536" t="s">
        <v>259</v>
      </c>
    </row>
    <row r="3323" spans="1:8" ht="13.5" customHeight="1">
      <c r="A3323" s="532">
        <v>45154</v>
      </c>
      <c r="B3323" s="615">
        <v>93900</v>
      </c>
      <c r="C3323" s="615">
        <f t="shared" si="326"/>
        <v>103007.01369863014</v>
      </c>
      <c r="D3323" s="532">
        <f t="shared" si="324"/>
        <v>45184</v>
      </c>
      <c r="E3323" s="534">
        <v>30</v>
      </c>
      <c r="F3323" s="653">
        <v>1.18</v>
      </c>
      <c r="G3323" s="536" t="s">
        <v>261</v>
      </c>
    </row>
    <row r="3324" spans="1:8" ht="13.5" customHeight="1">
      <c r="A3324" s="532">
        <v>45154</v>
      </c>
      <c r="B3324" s="615">
        <v>50000</v>
      </c>
      <c r="C3324" s="615">
        <f t="shared" si="326"/>
        <v>54849.315068493153</v>
      </c>
      <c r="D3324" s="532">
        <f t="shared" si="324"/>
        <v>45184</v>
      </c>
      <c r="E3324" s="534">
        <v>30</v>
      </c>
      <c r="F3324" s="653">
        <v>1.18</v>
      </c>
      <c r="G3324" s="536" t="s">
        <v>257</v>
      </c>
    </row>
    <row r="3325" spans="1:8" ht="13.5" customHeight="1">
      <c r="A3325" s="532">
        <v>45155</v>
      </c>
      <c r="B3325" s="615">
        <v>125500</v>
      </c>
      <c r="C3325" s="615">
        <f t="shared" si="326"/>
        <v>138483.23287671234</v>
      </c>
      <c r="D3325" s="532">
        <f t="shared" si="324"/>
        <v>45187</v>
      </c>
      <c r="E3325" s="534">
        <v>32</v>
      </c>
      <c r="F3325" s="653">
        <v>1.18</v>
      </c>
      <c r="G3325" s="536" t="s">
        <v>261</v>
      </c>
    </row>
    <row r="3326" spans="1:8" ht="13.5" customHeight="1">
      <c r="A3326" s="532">
        <v>45155</v>
      </c>
      <c r="B3326" s="615">
        <v>400000</v>
      </c>
      <c r="C3326" s="615">
        <f t="shared" si="326"/>
        <v>441380.82191780821</v>
      </c>
      <c r="D3326" s="532">
        <f t="shared" si="324"/>
        <v>45187</v>
      </c>
      <c r="E3326" s="534">
        <v>32</v>
      </c>
      <c r="F3326" s="653">
        <v>1.18</v>
      </c>
      <c r="G3326" s="536" t="s">
        <v>262</v>
      </c>
    </row>
    <row r="3327" spans="1:8" ht="13.5" customHeight="1">
      <c r="A3327" s="532">
        <v>45155</v>
      </c>
      <c r="B3327" s="615">
        <v>243800</v>
      </c>
      <c r="C3327" s="615">
        <f t="shared" si="326"/>
        <v>269021.61095890409</v>
      </c>
      <c r="D3327" s="532">
        <f t="shared" si="324"/>
        <v>45187</v>
      </c>
      <c r="E3327" s="534">
        <v>32</v>
      </c>
      <c r="F3327" s="653">
        <v>1.18</v>
      </c>
      <c r="G3327" s="536" t="s">
        <v>257</v>
      </c>
    </row>
    <row r="3328" spans="1:8" ht="13.5" customHeight="1">
      <c r="A3328" s="532">
        <v>45156</v>
      </c>
      <c r="B3328" s="615">
        <v>70000</v>
      </c>
      <c r="C3328" s="615">
        <f t="shared" si="326"/>
        <v>77015.34246575342</v>
      </c>
      <c r="D3328" s="532">
        <f t="shared" si="324"/>
        <v>45187</v>
      </c>
      <c r="E3328" s="534">
        <v>31</v>
      </c>
      <c r="F3328" s="653">
        <v>1.18</v>
      </c>
      <c r="G3328" s="536" t="s">
        <v>256</v>
      </c>
    </row>
    <row r="3329" spans="1:8" ht="13.5" customHeight="1">
      <c r="A3329" s="532">
        <v>45156</v>
      </c>
      <c r="B3329" s="615">
        <v>110000</v>
      </c>
      <c r="C3329" s="615">
        <f t="shared" si="326"/>
        <v>121024.10958904109</v>
      </c>
      <c r="D3329" s="532">
        <f t="shared" si="324"/>
        <v>45187</v>
      </c>
      <c r="E3329" s="534">
        <v>31</v>
      </c>
      <c r="F3329" s="653">
        <v>1.18</v>
      </c>
      <c r="G3329" s="536" t="s">
        <v>258</v>
      </c>
    </row>
    <row r="3330" spans="1:8" ht="13.5" customHeight="1">
      <c r="A3330" s="532">
        <v>45156</v>
      </c>
      <c r="B3330" s="615">
        <v>70000</v>
      </c>
      <c r="C3330" s="615">
        <f t="shared" si="326"/>
        <v>77015.34246575342</v>
      </c>
      <c r="D3330" s="532">
        <f t="shared" si="324"/>
        <v>45187</v>
      </c>
      <c r="E3330" s="534">
        <v>31</v>
      </c>
      <c r="F3330" s="653">
        <v>1.18</v>
      </c>
      <c r="G3330" s="536" t="s">
        <v>265</v>
      </c>
    </row>
    <row r="3331" spans="1:8" ht="13.5" customHeight="1">
      <c r="A3331" s="532">
        <v>45156</v>
      </c>
      <c r="B3331" s="615">
        <v>44000</v>
      </c>
      <c r="C3331" s="615">
        <f t="shared" si="326"/>
        <v>48409.643835616436</v>
      </c>
      <c r="D3331" s="532">
        <f t="shared" si="324"/>
        <v>45187</v>
      </c>
      <c r="E3331" s="534">
        <v>31</v>
      </c>
      <c r="F3331" s="653">
        <v>1.18</v>
      </c>
      <c r="G3331" s="536" t="s">
        <v>260</v>
      </c>
    </row>
    <row r="3332" spans="1:8" ht="13.5" customHeight="1">
      <c r="A3332" s="532">
        <v>45160</v>
      </c>
      <c r="B3332" s="615">
        <v>241300</v>
      </c>
      <c r="C3332" s="615">
        <f t="shared" si="326"/>
        <v>264702.79452054796</v>
      </c>
      <c r="D3332" s="532">
        <f t="shared" si="324"/>
        <v>45190</v>
      </c>
      <c r="E3332" s="534">
        <v>30</v>
      </c>
      <c r="F3332" s="653">
        <v>1.18</v>
      </c>
      <c r="G3332" s="536" t="s">
        <v>257</v>
      </c>
      <c r="H3332">
        <f>IF(E3332&gt;89,(C3332-B3332)/3,(C3332-B3332))</f>
        <v>23402.794520547963</v>
      </c>
    </row>
    <row r="3333" spans="1:8" ht="13.5" customHeight="1">
      <c r="A3333" s="532">
        <v>45160</v>
      </c>
      <c r="B3333" s="615">
        <v>68000</v>
      </c>
      <c r="C3333" s="615">
        <f t="shared" si="326"/>
        <v>74595.068493150684</v>
      </c>
      <c r="D3333" s="532">
        <f t="shared" si="324"/>
        <v>45190</v>
      </c>
      <c r="E3333" s="534">
        <v>30</v>
      </c>
      <c r="F3333" s="653">
        <v>1.18</v>
      </c>
      <c r="G3333" s="536" t="s">
        <v>256</v>
      </c>
      <c r="H3333">
        <f>IF(E3333&gt;89,(C3333-B3333)/3,(C3333-B3333))</f>
        <v>6595.0684931506839</v>
      </c>
    </row>
    <row r="3334" spans="1:8" ht="13.5" customHeight="1">
      <c r="A3334" s="532">
        <v>45160</v>
      </c>
      <c r="B3334" s="615">
        <v>50000</v>
      </c>
      <c r="C3334" s="615">
        <f t="shared" si="326"/>
        <v>54849.315068493153</v>
      </c>
      <c r="D3334" s="532">
        <f t="shared" si="324"/>
        <v>45190</v>
      </c>
      <c r="E3334" s="534">
        <v>30</v>
      </c>
      <c r="F3334" s="653">
        <v>1.18</v>
      </c>
      <c r="G3334" s="536" t="s">
        <v>721</v>
      </c>
      <c r="H3334">
        <f>IF(E3334&gt;89,(C3334-B3334)/3,(C3334-B3334))</f>
        <v>4849.3150684931534</v>
      </c>
    </row>
    <row r="3335" spans="1:8" ht="13.5" customHeight="1">
      <c r="A3335" s="532">
        <v>45160</v>
      </c>
      <c r="B3335" s="615">
        <v>125000</v>
      </c>
      <c r="C3335" s="615">
        <f t="shared" si="326"/>
        <v>137123.28767123289</v>
      </c>
      <c r="D3335" s="532">
        <f t="shared" si="324"/>
        <v>45190</v>
      </c>
      <c r="E3335" s="534">
        <v>30</v>
      </c>
      <c r="F3335" s="653">
        <v>1.18</v>
      </c>
      <c r="G3335" s="536" t="s">
        <v>258</v>
      </c>
      <c r="H3335">
        <f>IF(E3335&gt;89,(C3335-B3335)/3,(C3335-B3335))</f>
        <v>12123.287671232887</v>
      </c>
    </row>
    <row r="3336" spans="1:8" ht="13.5" customHeight="1">
      <c r="A3336" s="532">
        <v>45161</v>
      </c>
      <c r="B3336" s="615">
        <v>419700</v>
      </c>
      <c r="C3336" s="615">
        <f t="shared" si="326"/>
        <v>460405.15068493149</v>
      </c>
      <c r="D3336" s="532">
        <f t="shared" si="324"/>
        <v>45191</v>
      </c>
      <c r="E3336" s="534">
        <v>30</v>
      </c>
      <c r="F3336" s="653">
        <v>1.18</v>
      </c>
      <c r="G3336" s="536" t="s">
        <v>261</v>
      </c>
    </row>
    <row r="3337" spans="1:8" ht="13.5" customHeight="1">
      <c r="A3337" s="532">
        <v>45161</v>
      </c>
      <c r="B3337" s="615">
        <v>117000</v>
      </c>
      <c r="C3337" s="615">
        <f t="shared" si="326"/>
        <v>128347.39726027397</v>
      </c>
      <c r="D3337" s="532">
        <f t="shared" si="324"/>
        <v>45191</v>
      </c>
      <c r="E3337" s="534">
        <v>30</v>
      </c>
      <c r="F3337" s="653">
        <v>1.18</v>
      </c>
      <c r="G3337" s="536" t="s">
        <v>256</v>
      </c>
    </row>
    <row r="3338" spans="1:8" ht="13.5" customHeight="1">
      <c r="A3338" s="532">
        <v>45161</v>
      </c>
      <c r="B3338" s="615">
        <v>93000</v>
      </c>
      <c r="C3338" s="615">
        <f t="shared" si="326"/>
        <v>102019.72602739726</v>
      </c>
      <c r="D3338" s="532">
        <f t="shared" si="324"/>
        <v>45191</v>
      </c>
      <c r="E3338" s="534">
        <v>30</v>
      </c>
      <c r="F3338" s="653">
        <v>1.18</v>
      </c>
      <c r="G3338" s="536" t="s">
        <v>258</v>
      </c>
    </row>
    <row r="3339" spans="1:8" ht="13.5" customHeight="1">
      <c r="A3339" s="532">
        <v>45161</v>
      </c>
      <c r="B3339" s="615">
        <v>58000</v>
      </c>
      <c r="C3339" s="615">
        <f t="shared" si="326"/>
        <v>63625.205479452052</v>
      </c>
      <c r="D3339" s="532">
        <f t="shared" si="324"/>
        <v>45191</v>
      </c>
      <c r="E3339" s="534">
        <v>30</v>
      </c>
      <c r="F3339" s="653">
        <v>1.18</v>
      </c>
      <c r="G3339" s="536" t="s">
        <v>256</v>
      </c>
    </row>
    <row r="3340" spans="1:8" ht="13.5" customHeight="1">
      <c r="A3340" s="532">
        <v>45161</v>
      </c>
      <c r="B3340" s="615">
        <v>47100</v>
      </c>
      <c r="C3340" s="615">
        <f t="shared" si="326"/>
        <v>51668.054794520547</v>
      </c>
      <c r="D3340" s="532">
        <f t="shared" si="324"/>
        <v>45191</v>
      </c>
      <c r="E3340" s="534">
        <v>30</v>
      </c>
      <c r="F3340" s="653">
        <v>1.18</v>
      </c>
      <c r="G3340" s="536" t="s">
        <v>260</v>
      </c>
    </row>
    <row r="3341" spans="1:8" ht="13.5" customHeight="1">
      <c r="A3341" s="532">
        <v>45161</v>
      </c>
      <c r="B3341" s="615">
        <v>186900</v>
      </c>
      <c r="C3341" s="615">
        <f t="shared" si="326"/>
        <v>205026.73972602739</v>
      </c>
      <c r="D3341" s="532">
        <f t="shared" si="324"/>
        <v>45191</v>
      </c>
      <c r="E3341" s="534">
        <v>30</v>
      </c>
      <c r="F3341" s="653">
        <v>1.18</v>
      </c>
      <c r="G3341" s="536" t="s">
        <v>257</v>
      </c>
    </row>
    <row r="3342" spans="1:8" ht="13.5" customHeight="1">
      <c r="A3342" s="532">
        <v>45162</v>
      </c>
      <c r="B3342" s="615">
        <v>175000</v>
      </c>
      <c r="C3342" s="615">
        <f t="shared" si="326"/>
        <v>193104.10958904109</v>
      </c>
      <c r="D3342" s="532">
        <f t="shared" si="324"/>
        <v>45194</v>
      </c>
      <c r="E3342" s="534">
        <v>32</v>
      </c>
      <c r="F3342" s="653">
        <v>1.18</v>
      </c>
      <c r="G3342" s="536" t="s">
        <v>256</v>
      </c>
    </row>
    <row r="3343" spans="1:8" ht="13.5" customHeight="1">
      <c r="A3343" s="532">
        <v>45162</v>
      </c>
      <c r="B3343" s="615">
        <v>18700</v>
      </c>
      <c r="C3343" s="615">
        <f t="shared" si="326"/>
        <v>20634.553424657533</v>
      </c>
      <c r="D3343" s="532">
        <f t="shared" si="324"/>
        <v>45194</v>
      </c>
      <c r="E3343" s="534">
        <v>32</v>
      </c>
      <c r="F3343" s="653">
        <v>1.18</v>
      </c>
      <c r="G3343" s="536" t="s">
        <v>261</v>
      </c>
    </row>
    <row r="3344" spans="1:8" ht="13.5" customHeight="1">
      <c r="A3344" s="532">
        <v>45162</v>
      </c>
      <c r="B3344" s="615">
        <v>165400</v>
      </c>
      <c r="C3344" s="615">
        <f t="shared" si="326"/>
        <v>182510.96986301371</v>
      </c>
      <c r="D3344" s="532">
        <f t="shared" si="324"/>
        <v>45194</v>
      </c>
      <c r="E3344" s="534">
        <v>32</v>
      </c>
      <c r="F3344" s="653">
        <v>1.18</v>
      </c>
      <c r="G3344" s="536" t="s">
        <v>260</v>
      </c>
    </row>
    <row r="3345" spans="1:8" ht="13.5" customHeight="1">
      <c r="A3345" s="532">
        <v>45163</v>
      </c>
      <c r="B3345" s="615">
        <v>525000</v>
      </c>
      <c r="C3345" s="615">
        <f t="shared" si="326"/>
        <v>577615.06849315064</v>
      </c>
      <c r="D3345" s="532">
        <f t="shared" si="324"/>
        <v>45194</v>
      </c>
      <c r="E3345" s="534">
        <v>31</v>
      </c>
      <c r="F3345" s="653">
        <v>1.18</v>
      </c>
      <c r="G3345" s="536" t="s">
        <v>256</v>
      </c>
    </row>
    <row r="3346" spans="1:8" ht="13.5" customHeight="1">
      <c r="A3346" s="532">
        <v>45163</v>
      </c>
      <c r="B3346" s="615">
        <v>167800</v>
      </c>
      <c r="C3346" s="615">
        <f t="shared" si="326"/>
        <v>184616.77808219177</v>
      </c>
      <c r="D3346" s="532">
        <f t="shared" si="324"/>
        <v>45194</v>
      </c>
      <c r="E3346" s="534">
        <v>31</v>
      </c>
      <c r="F3346" s="653">
        <v>1.18</v>
      </c>
      <c r="G3346" s="536" t="s">
        <v>260</v>
      </c>
    </row>
    <row r="3347" spans="1:8" ht="13.5" customHeight="1">
      <c r="A3347" s="532">
        <v>45163</v>
      </c>
      <c r="B3347" s="615">
        <v>93900</v>
      </c>
      <c r="C3347" s="615">
        <f t="shared" si="326"/>
        <v>103310.5808219178</v>
      </c>
      <c r="D3347" s="532">
        <f t="shared" si="324"/>
        <v>45194</v>
      </c>
      <c r="E3347" s="534">
        <v>31</v>
      </c>
      <c r="F3347" s="653">
        <v>1.18</v>
      </c>
      <c r="G3347" s="536" t="s">
        <v>261</v>
      </c>
    </row>
    <row r="3348" spans="1:8" ht="13.5" customHeight="1">
      <c r="A3348" s="532">
        <v>45163</v>
      </c>
      <c r="B3348" s="615">
        <v>327300</v>
      </c>
      <c r="C3348" s="615">
        <f t="shared" si="326"/>
        <v>360101.73698630137</v>
      </c>
      <c r="D3348" s="532">
        <f t="shared" si="324"/>
        <v>45194</v>
      </c>
      <c r="E3348" s="534">
        <v>31</v>
      </c>
      <c r="F3348" s="653">
        <v>1.18</v>
      </c>
      <c r="G3348" s="536" t="s">
        <v>257</v>
      </c>
    </row>
    <row r="3349" spans="1:8" ht="13.5" customHeight="1">
      <c r="A3349" s="532">
        <v>45166</v>
      </c>
      <c r="B3349" s="615">
        <v>735000</v>
      </c>
      <c r="C3349" s="615">
        <f t="shared" si="326"/>
        <v>806284.93150684936</v>
      </c>
      <c r="D3349" s="532">
        <f t="shared" si="324"/>
        <v>45196</v>
      </c>
      <c r="E3349" s="534">
        <v>30</v>
      </c>
      <c r="F3349" s="653">
        <v>1.18</v>
      </c>
      <c r="G3349" s="536" t="s">
        <v>256</v>
      </c>
      <c r="H3349">
        <f t="shared" ref="A3349:H3355" si="327">IF(E3349&gt;89,(C3349-B3349)/3,(C3349-B3349))</f>
        <v>71284.93150684936</v>
      </c>
    </row>
    <row r="3350" spans="1:8" ht="13.5" customHeight="1">
      <c r="A3350" s="532">
        <v>45166</v>
      </c>
      <c r="B3350" s="615">
        <v>53300</v>
      </c>
      <c r="C3350" s="615">
        <f t="shared" si="326"/>
        <v>58469.369863013701</v>
      </c>
      <c r="D3350" s="532">
        <f t="shared" si="324"/>
        <v>45196</v>
      </c>
      <c r="E3350" s="534">
        <v>30</v>
      </c>
      <c r="F3350" s="653">
        <v>1.18</v>
      </c>
      <c r="G3350" s="536" t="s">
        <v>260</v>
      </c>
      <c r="H3350">
        <f t="shared" si="327"/>
        <v>5169.3698630137005</v>
      </c>
    </row>
    <row r="3351" spans="1:8" ht="13.5" customHeight="1">
      <c r="A3351" s="532">
        <v>45166</v>
      </c>
      <c r="B3351" s="615">
        <v>245000</v>
      </c>
      <c r="C3351" s="615">
        <f t="shared" si="326"/>
        <v>268761.64383561641</v>
      </c>
      <c r="D3351" s="532">
        <f t="shared" si="324"/>
        <v>45196</v>
      </c>
      <c r="E3351" s="534">
        <v>30</v>
      </c>
      <c r="F3351" s="653">
        <v>1.18</v>
      </c>
      <c r="G3351" s="536" t="s">
        <v>262</v>
      </c>
      <c r="H3351">
        <f t="shared" si="327"/>
        <v>23761.643835616414</v>
      </c>
    </row>
    <row r="3352" spans="1:8" ht="13.5" customHeight="1">
      <c r="A3352" s="532">
        <v>45166</v>
      </c>
      <c r="B3352" s="615">
        <v>250000</v>
      </c>
      <c r="C3352" s="615">
        <f t="shared" si="326"/>
        <v>274246.57534246577</v>
      </c>
      <c r="D3352" s="532">
        <f t="shared" si="324"/>
        <v>45196</v>
      </c>
      <c r="E3352" s="534">
        <v>30</v>
      </c>
      <c r="F3352" s="653">
        <v>1.18</v>
      </c>
      <c r="G3352" s="536" t="s">
        <v>258</v>
      </c>
      <c r="H3352">
        <f t="shared" si="327"/>
        <v>24246.575342465774</v>
      </c>
    </row>
    <row r="3353" spans="1:8" ht="13.5" customHeight="1">
      <c r="A3353" s="532">
        <v>45166</v>
      </c>
      <c r="B3353" s="615">
        <v>169500</v>
      </c>
      <c r="C3353" s="615">
        <f t="shared" si="326"/>
        <v>185939.17808219179</v>
      </c>
      <c r="D3353" s="532">
        <f t="shared" si="324"/>
        <v>45196</v>
      </c>
      <c r="E3353" s="534">
        <v>30</v>
      </c>
      <c r="F3353" s="653">
        <v>1.18</v>
      </c>
      <c r="G3353" s="536" t="s">
        <v>257</v>
      </c>
      <c r="H3353">
        <f t="shared" si="327"/>
        <v>16439.178082191793</v>
      </c>
    </row>
    <row r="3354" spans="1:8" ht="13.5" customHeight="1">
      <c r="A3354" s="532">
        <v>45166</v>
      </c>
      <c r="B3354" s="615">
        <v>289800</v>
      </c>
      <c r="C3354" s="615">
        <f t="shared" si="326"/>
        <v>317906.63013698632</v>
      </c>
      <c r="D3354" s="532">
        <f t="shared" si="324"/>
        <v>45196</v>
      </c>
      <c r="E3354" s="534">
        <v>30</v>
      </c>
      <c r="F3354" s="653">
        <v>1.18</v>
      </c>
      <c r="G3354" s="536" t="s">
        <v>261</v>
      </c>
      <c r="H3354">
        <f t="shared" si="327"/>
        <v>28106.630136986321</v>
      </c>
    </row>
    <row r="3355" spans="1:8" ht="13.5" customHeight="1">
      <c r="A3355" s="532">
        <v>45166</v>
      </c>
      <c r="B3355" s="615">
        <v>229000</v>
      </c>
      <c r="C3355" s="615">
        <f t="shared" si="326"/>
        <v>251209.86301369863</v>
      </c>
      <c r="D3355" s="532">
        <f t="shared" si="324"/>
        <v>45196</v>
      </c>
      <c r="E3355" s="534">
        <v>30</v>
      </c>
      <c r="F3355" s="653">
        <v>1.18</v>
      </c>
      <c r="G3355" s="536" t="s">
        <v>265</v>
      </c>
      <c r="H3355">
        <f t="shared" si="327"/>
        <v>22209.863013698632</v>
      </c>
    </row>
    <row r="3356" spans="1:8" ht="13.5" customHeight="1">
      <c r="A3356" s="532">
        <v>45167</v>
      </c>
      <c r="B3356" s="615">
        <v>138900</v>
      </c>
      <c r="C3356" s="615">
        <f t="shared" si="326"/>
        <v>152371.39726027398</v>
      </c>
      <c r="D3356" s="532">
        <f t="shared" ref="A3356:D3419" si="328">+A3356+E3356</f>
        <v>45197</v>
      </c>
      <c r="E3356" s="534">
        <v>30</v>
      </c>
      <c r="F3356" s="653">
        <v>1.18</v>
      </c>
      <c r="G3356" s="536" t="s">
        <v>265</v>
      </c>
    </row>
    <row r="3357" spans="1:8" ht="13.5" customHeight="1">
      <c r="A3357" s="532">
        <v>45167</v>
      </c>
      <c r="B3357" s="615">
        <v>66200</v>
      </c>
      <c r="C3357" s="615">
        <f t="shared" si="326"/>
        <v>72620.493150684924</v>
      </c>
      <c r="D3357" s="532">
        <f t="shared" si="328"/>
        <v>45197</v>
      </c>
      <c r="E3357" s="534">
        <v>30</v>
      </c>
      <c r="F3357" s="653">
        <v>1.18</v>
      </c>
      <c r="G3357" s="536" t="s">
        <v>261</v>
      </c>
    </row>
    <row r="3358" spans="1:8" ht="13.5" customHeight="1">
      <c r="A3358" s="532">
        <v>45167</v>
      </c>
      <c r="B3358" s="615">
        <v>36700</v>
      </c>
      <c r="C3358" s="615">
        <f t="shared" si="326"/>
        <v>40259.397260273974</v>
      </c>
      <c r="D3358" s="532">
        <f t="shared" si="328"/>
        <v>45197</v>
      </c>
      <c r="E3358" s="534">
        <v>30</v>
      </c>
      <c r="F3358" s="653">
        <v>1.18</v>
      </c>
      <c r="G3358" s="536" t="s">
        <v>261</v>
      </c>
      <c r="H3358">
        <v>40259.4</v>
      </c>
    </row>
    <row r="3359" spans="1:8" ht="13.5" customHeight="1">
      <c r="A3359" s="532">
        <v>45167</v>
      </c>
      <c r="B3359" s="615">
        <v>460000</v>
      </c>
      <c r="C3359" s="615">
        <f t="shared" si="326"/>
        <v>504613.69863013702</v>
      </c>
      <c r="D3359" s="532">
        <f t="shared" si="328"/>
        <v>45197</v>
      </c>
      <c r="E3359" s="534">
        <v>30</v>
      </c>
      <c r="F3359" s="653">
        <v>1.18</v>
      </c>
      <c r="G3359" s="536" t="s">
        <v>258</v>
      </c>
    </row>
    <row r="3360" spans="1:8" ht="13.5" customHeight="1">
      <c r="A3360" s="532">
        <v>45167</v>
      </c>
      <c r="B3360" s="615">
        <v>545000</v>
      </c>
      <c r="C3360" s="615">
        <f t="shared" si="326"/>
        <v>597857.53424657532</v>
      </c>
      <c r="D3360" s="532">
        <f t="shared" si="328"/>
        <v>45197</v>
      </c>
      <c r="E3360" s="534">
        <v>30</v>
      </c>
      <c r="F3360" s="653">
        <v>1.18</v>
      </c>
      <c r="G3360" s="536" t="s">
        <v>256</v>
      </c>
    </row>
    <row r="3361" spans="1:8" ht="13.5" customHeight="1">
      <c r="A3361" s="532">
        <v>45167</v>
      </c>
      <c r="B3361" s="615">
        <v>54300</v>
      </c>
      <c r="C3361" s="615">
        <f t="shared" si="326"/>
        <v>59566.356164383564</v>
      </c>
      <c r="D3361" s="532">
        <f t="shared" si="328"/>
        <v>45197</v>
      </c>
      <c r="E3361" s="534">
        <v>30</v>
      </c>
      <c r="F3361" s="653">
        <v>1.18</v>
      </c>
      <c r="G3361" s="536" t="s">
        <v>257</v>
      </c>
    </row>
    <row r="3362" spans="1:8" ht="13.5" customHeight="1">
      <c r="A3362" s="532">
        <v>45168</v>
      </c>
      <c r="B3362" s="615">
        <v>53800</v>
      </c>
      <c r="C3362" s="615">
        <f t="shared" si="326"/>
        <v>59017.863013698632</v>
      </c>
      <c r="D3362" s="532">
        <f t="shared" si="328"/>
        <v>45198</v>
      </c>
      <c r="E3362" s="534">
        <v>30</v>
      </c>
      <c r="F3362" s="653">
        <v>1.18</v>
      </c>
      <c r="G3362" s="536" t="s">
        <v>261</v>
      </c>
      <c r="H3362">
        <f t="shared" ref="A3362:H3393" si="329">IF(E3362&gt;89,(C3362-B3362)/3,(C3362-B3362))</f>
        <v>5217.8630136986321</v>
      </c>
    </row>
    <row r="3363" spans="1:8" ht="13.5" customHeight="1">
      <c r="A3363" s="532">
        <v>45168</v>
      </c>
      <c r="B3363" s="615">
        <v>500000</v>
      </c>
      <c r="C3363" s="615">
        <f t="shared" si="326"/>
        <v>548493.15068493155</v>
      </c>
      <c r="D3363" s="532">
        <f t="shared" si="328"/>
        <v>45198</v>
      </c>
      <c r="E3363" s="534">
        <v>30</v>
      </c>
      <c r="F3363" s="653">
        <v>1.18</v>
      </c>
      <c r="G3363" s="536" t="s">
        <v>258</v>
      </c>
      <c r="H3363">
        <f t="shared" si="329"/>
        <v>48493.150684931548</v>
      </c>
    </row>
    <row r="3364" spans="1:8" ht="13.5" customHeight="1">
      <c r="A3364" s="532">
        <v>45168</v>
      </c>
      <c r="B3364" s="615">
        <v>490000</v>
      </c>
      <c r="C3364" s="615">
        <f t="shared" ref="A3364:C3427" si="330">B3364+(B3364*F3364/365*E3364)*1</f>
        <v>537523.28767123283</v>
      </c>
      <c r="D3364" s="532">
        <f t="shared" si="328"/>
        <v>45198</v>
      </c>
      <c r="E3364" s="534">
        <v>30</v>
      </c>
      <c r="F3364" s="653">
        <v>1.18</v>
      </c>
      <c r="G3364" s="536" t="s">
        <v>256</v>
      </c>
      <c r="H3364">
        <f t="shared" si="329"/>
        <v>47523.287671232829</v>
      </c>
    </row>
    <row r="3365" spans="1:8" ht="13.5" customHeight="1">
      <c r="A3365" s="532">
        <v>45168</v>
      </c>
      <c r="B3365" s="615">
        <v>5000</v>
      </c>
      <c r="C3365" s="615">
        <f t="shared" si="330"/>
        <v>5484.9315068493152</v>
      </c>
      <c r="D3365" s="532">
        <f t="shared" si="328"/>
        <v>45198</v>
      </c>
      <c r="E3365" s="534">
        <v>30</v>
      </c>
      <c r="F3365" s="653">
        <v>1.18</v>
      </c>
      <c r="G3365" s="536" t="s">
        <v>258</v>
      </c>
      <c r="H3365">
        <f t="shared" si="329"/>
        <v>484.93150684931516</v>
      </c>
    </row>
    <row r="3366" spans="1:8" ht="13.5" customHeight="1">
      <c r="A3366" s="532">
        <v>45168</v>
      </c>
      <c r="B3366" s="615">
        <v>5000</v>
      </c>
      <c r="C3366" s="615">
        <f t="shared" si="330"/>
        <v>5484.9315068493152</v>
      </c>
      <c r="D3366" s="532">
        <f t="shared" si="328"/>
        <v>45198</v>
      </c>
      <c r="E3366" s="534">
        <v>30</v>
      </c>
      <c r="F3366" s="653">
        <v>1.18</v>
      </c>
      <c r="G3366" s="536" t="s">
        <v>256</v>
      </c>
      <c r="H3366">
        <f t="shared" si="329"/>
        <v>484.93150684931516</v>
      </c>
    </row>
    <row r="3367" spans="1:8" ht="13.5" customHeight="1">
      <c r="A3367" s="532">
        <v>45168</v>
      </c>
      <c r="B3367" s="615">
        <v>600000</v>
      </c>
      <c r="C3367" s="615">
        <f t="shared" si="330"/>
        <v>658191.78082191781</v>
      </c>
      <c r="D3367" s="532">
        <f t="shared" si="328"/>
        <v>45198</v>
      </c>
      <c r="E3367" s="534">
        <v>30</v>
      </c>
      <c r="F3367" s="653">
        <v>1.18</v>
      </c>
      <c r="G3367" s="536" t="s">
        <v>262</v>
      </c>
      <c r="H3367">
        <f t="shared" si="329"/>
        <v>58191.780821917811</v>
      </c>
    </row>
    <row r="3368" spans="1:8" ht="13.5" customHeight="1">
      <c r="A3368" s="532">
        <v>45169</v>
      </c>
      <c r="B3368" s="615">
        <v>460000</v>
      </c>
      <c r="C3368" s="615">
        <f t="shared" si="330"/>
        <v>507587.94520547945</v>
      </c>
      <c r="D3368" s="532">
        <f t="shared" si="328"/>
        <v>45201</v>
      </c>
      <c r="E3368" s="534">
        <v>32</v>
      </c>
      <c r="F3368" s="653">
        <v>1.18</v>
      </c>
      <c r="G3368" s="536" t="s">
        <v>256</v>
      </c>
      <c r="H3368">
        <f t="shared" si="329"/>
        <v>47587.945205479453</v>
      </c>
    </row>
    <row r="3369" spans="1:8" ht="13.5" customHeight="1">
      <c r="A3369" s="532">
        <v>45169</v>
      </c>
      <c r="B3369" s="615">
        <v>102900</v>
      </c>
      <c r="C3369" s="615">
        <f t="shared" si="330"/>
        <v>113545.21643835616</v>
      </c>
      <c r="D3369" s="532">
        <f t="shared" si="328"/>
        <v>45201</v>
      </c>
      <c r="E3369" s="534">
        <v>32</v>
      </c>
      <c r="F3369" s="653">
        <v>1.18</v>
      </c>
      <c r="G3369" s="536" t="s">
        <v>260</v>
      </c>
      <c r="H3369">
        <f t="shared" si="329"/>
        <v>10645.216438356161</v>
      </c>
    </row>
    <row r="3370" spans="1:8" ht="13.5" customHeight="1">
      <c r="A3370" s="532">
        <v>45169</v>
      </c>
      <c r="B3370" s="615">
        <v>290000</v>
      </c>
      <c r="C3370" s="615">
        <f t="shared" si="330"/>
        <v>320001.09589041094</v>
      </c>
      <c r="D3370" s="532">
        <f t="shared" si="328"/>
        <v>45201</v>
      </c>
      <c r="E3370" s="534">
        <v>32</v>
      </c>
      <c r="F3370" s="653">
        <v>1.18</v>
      </c>
      <c r="G3370" s="536" t="s">
        <v>262</v>
      </c>
      <c r="H3370">
        <f t="shared" si="329"/>
        <v>30001.095890410943</v>
      </c>
    </row>
    <row r="3371" spans="1:8" ht="13.5" customHeight="1">
      <c r="A3371" s="532">
        <v>45169</v>
      </c>
      <c r="B3371" s="615">
        <v>215000</v>
      </c>
      <c r="C3371" s="615">
        <f t="shared" si="330"/>
        <v>237242.19178082192</v>
      </c>
      <c r="D3371" s="532">
        <f t="shared" si="328"/>
        <v>45201</v>
      </c>
      <c r="E3371" s="534">
        <v>32</v>
      </c>
      <c r="F3371" s="653">
        <v>1.18</v>
      </c>
      <c r="G3371" s="536" t="s">
        <v>258</v>
      </c>
      <c r="H3371">
        <f t="shared" si="329"/>
        <v>22242.191780821915</v>
      </c>
    </row>
    <row r="3372" spans="1:8" ht="13.5" customHeight="1">
      <c r="A3372" s="532">
        <v>45169</v>
      </c>
      <c r="B3372" s="615">
        <v>97500</v>
      </c>
      <c r="C3372" s="615">
        <f t="shared" si="330"/>
        <v>107586.57534246576</v>
      </c>
      <c r="D3372" s="532">
        <f t="shared" si="328"/>
        <v>45201</v>
      </c>
      <c r="E3372" s="534">
        <v>32</v>
      </c>
      <c r="F3372" s="653">
        <v>1.18</v>
      </c>
      <c r="G3372" s="536" t="s">
        <v>257</v>
      </c>
      <c r="H3372">
        <f t="shared" si="329"/>
        <v>10086.57534246576</v>
      </c>
    </row>
    <row r="3373" spans="1:8" ht="13.5" customHeight="1">
      <c r="A3373" s="532">
        <v>45170</v>
      </c>
      <c r="B3373" s="615">
        <v>103000</v>
      </c>
      <c r="C3373" s="615">
        <f t="shared" si="330"/>
        <v>113322.57534246575</v>
      </c>
      <c r="D3373" s="532">
        <f t="shared" si="328"/>
        <v>45201</v>
      </c>
      <c r="E3373" s="534">
        <v>31</v>
      </c>
      <c r="F3373" s="653">
        <v>1.18</v>
      </c>
      <c r="G3373" s="536" t="s">
        <v>260</v>
      </c>
      <c r="H3373">
        <f t="shared" si="329"/>
        <v>10322.575342465745</v>
      </c>
    </row>
    <row r="3374" spans="1:8" ht="13.5" customHeight="1">
      <c r="A3374" s="532">
        <v>45170</v>
      </c>
      <c r="B3374" s="615">
        <v>850000</v>
      </c>
      <c r="C3374" s="615">
        <f t="shared" si="330"/>
        <v>935186.30136986298</v>
      </c>
      <c r="D3374" s="532">
        <f t="shared" si="328"/>
        <v>45201</v>
      </c>
      <c r="E3374" s="534">
        <v>31</v>
      </c>
      <c r="F3374" s="653">
        <v>1.18</v>
      </c>
      <c r="G3374" s="536" t="s">
        <v>262</v>
      </c>
      <c r="H3374">
        <f t="shared" si="329"/>
        <v>85186.30136986298</v>
      </c>
    </row>
    <row r="3375" spans="1:8" ht="13.5" customHeight="1">
      <c r="A3375" s="532">
        <v>45170</v>
      </c>
      <c r="B3375" s="615">
        <v>90000</v>
      </c>
      <c r="C3375" s="615">
        <f t="shared" si="330"/>
        <v>99019.726027397264</v>
      </c>
      <c r="D3375" s="532">
        <f t="shared" si="328"/>
        <v>45201</v>
      </c>
      <c r="E3375" s="534">
        <v>31</v>
      </c>
      <c r="F3375" s="653">
        <v>1.18</v>
      </c>
      <c r="G3375" s="536" t="s">
        <v>258</v>
      </c>
      <c r="H3375">
        <f t="shared" si="329"/>
        <v>9019.7260273972643</v>
      </c>
    </row>
    <row r="3376" spans="1:8" ht="13.5" customHeight="1">
      <c r="A3376" s="532">
        <v>45170</v>
      </c>
      <c r="B3376" s="615">
        <v>105000</v>
      </c>
      <c r="C3376" s="615">
        <f t="shared" si="330"/>
        <v>115523.01369863014</v>
      </c>
      <c r="D3376" s="532">
        <f t="shared" si="328"/>
        <v>45201</v>
      </c>
      <c r="E3376" s="534">
        <v>31</v>
      </c>
      <c r="F3376" s="653">
        <v>1.18</v>
      </c>
      <c r="G3376" s="536" t="s">
        <v>256</v>
      </c>
      <c r="H3376">
        <f t="shared" si="329"/>
        <v>10523.013698630137</v>
      </c>
    </row>
    <row r="3377" spans="1:8" ht="13.5" customHeight="1">
      <c r="A3377" s="532">
        <v>45170</v>
      </c>
      <c r="B3377" s="615">
        <v>91900</v>
      </c>
      <c r="C3377" s="615">
        <f t="shared" si="330"/>
        <v>101110.14246575342</v>
      </c>
      <c r="D3377" s="532">
        <f t="shared" si="328"/>
        <v>45201</v>
      </c>
      <c r="E3377" s="534">
        <v>31</v>
      </c>
      <c r="F3377" s="653">
        <v>1.18</v>
      </c>
      <c r="G3377" s="536" t="s">
        <v>257</v>
      </c>
      <c r="H3377">
        <f t="shared" si="329"/>
        <v>9210.1424657534226</v>
      </c>
    </row>
    <row r="3378" spans="1:8" ht="13.5" customHeight="1">
      <c r="A3378" s="532">
        <v>45170</v>
      </c>
      <c r="B3378" s="615">
        <v>111900</v>
      </c>
      <c r="C3378" s="615">
        <f t="shared" si="330"/>
        <v>123114.52602739725</v>
      </c>
      <c r="D3378" s="532">
        <f t="shared" si="328"/>
        <v>45201</v>
      </c>
      <c r="E3378" s="534">
        <v>31</v>
      </c>
      <c r="F3378" s="653">
        <v>1.18</v>
      </c>
      <c r="G3378" s="536" t="s">
        <v>261</v>
      </c>
      <c r="H3378">
        <f t="shared" si="329"/>
        <v>11214.526027397253</v>
      </c>
    </row>
    <row r="3379" spans="1:8" ht="13.5" customHeight="1">
      <c r="A3379" s="532">
        <v>45173</v>
      </c>
      <c r="B3379" s="615">
        <v>84900</v>
      </c>
      <c r="C3379" s="615">
        <f t="shared" si="330"/>
        <v>93134.136986301368</v>
      </c>
      <c r="D3379" s="532">
        <f t="shared" si="328"/>
        <v>45203</v>
      </c>
      <c r="E3379" s="534">
        <v>30</v>
      </c>
      <c r="F3379" s="653">
        <v>1.18</v>
      </c>
      <c r="G3379" s="536" t="s">
        <v>261</v>
      </c>
      <c r="H3379">
        <f t="shared" si="329"/>
        <v>8234.1369863013679</v>
      </c>
    </row>
    <row r="3380" spans="1:8" ht="13.5" customHeight="1">
      <c r="A3380" s="532">
        <v>45173</v>
      </c>
      <c r="B3380" s="615">
        <v>64300</v>
      </c>
      <c r="C3380" s="615">
        <f t="shared" si="330"/>
        <v>70536.219178082189</v>
      </c>
      <c r="D3380" s="532">
        <f t="shared" si="328"/>
        <v>45203</v>
      </c>
      <c r="E3380" s="534">
        <v>30</v>
      </c>
      <c r="F3380" s="653">
        <v>1.18</v>
      </c>
      <c r="G3380" s="536" t="s">
        <v>260</v>
      </c>
      <c r="H3380">
        <f t="shared" si="329"/>
        <v>6236.2191780821886</v>
      </c>
    </row>
    <row r="3381" spans="1:8" ht="13.5" customHeight="1">
      <c r="A3381" s="532">
        <v>45173</v>
      </c>
      <c r="B3381" s="615">
        <v>675000</v>
      </c>
      <c r="C3381" s="615">
        <f t="shared" si="330"/>
        <v>740465.75342465751</v>
      </c>
      <c r="D3381" s="532">
        <f t="shared" si="328"/>
        <v>45203</v>
      </c>
      <c r="E3381" s="534">
        <v>30</v>
      </c>
      <c r="F3381" s="653">
        <v>1.18</v>
      </c>
      <c r="G3381" s="536" t="s">
        <v>262</v>
      </c>
      <c r="H3381">
        <f t="shared" si="329"/>
        <v>65465.753424657509</v>
      </c>
    </row>
    <row r="3382" spans="1:8" ht="13.5" customHeight="1">
      <c r="A3382" s="532">
        <v>45173</v>
      </c>
      <c r="B3382" s="615">
        <v>280000</v>
      </c>
      <c r="C3382" s="615">
        <f t="shared" si="330"/>
        <v>307156.16438356164</v>
      </c>
      <c r="D3382" s="532">
        <f t="shared" si="328"/>
        <v>45203</v>
      </c>
      <c r="E3382" s="534">
        <v>30</v>
      </c>
      <c r="F3382" s="653">
        <v>1.18</v>
      </c>
      <c r="G3382" s="536" t="s">
        <v>256</v>
      </c>
      <c r="H3382">
        <f t="shared" si="329"/>
        <v>27156.164383561641</v>
      </c>
    </row>
    <row r="3383" spans="1:8" ht="13.5" customHeight="1">
      <c r="A3383" s="532">
        <v>45173</v>
      </c>
      <c r="B3383" s="615">
        <v>95000</v>
      </c>
      <c r="C3383" s="615">
        <f t="shared" si="330"/>
        <v>104213.69863013699</v>
      </c>
      <c r="D3383" s="532">
        <f t="shared" si="328"/>
        <v>45203</v>
      </c>
      <c r="E3383" s="534">
        <v>30</v>
      </c>
      <c r="F3383" s="653">
        <v>1.18</v>
      </c>
      <c r="G3383" s="536" t="s">
        <v>258</v>
      </c>
      <c r="H3383">
        <f t="shared" si="329"/>
        <v>9213.6986301369907</v>
      </c>
    </row>
    <row r="3384" spans="1:8" ht="13.5" customHeight="1">
      <c r="A3384" s="532">
        <v>45173</v>
      </c>
      <c r="B3384" s="615">
        <v>154300</v>
      </c>
      <c r="C3384" s="615">
        <f t="shared" si="330"/>
        <v>169264.98630136985</v>
      </c>
      <c r="D3384" s="532">
        <f t="shared" si="328"/>
        <v>45203</v>
      </c>
      <c r="E3384" s="534">
        <v>30</v>
      </c>
      <c r="F3384" s="653">
        <v>1.18</v>
      </c>
      <c r="G3384" s="536" t="s">
        <v>265</v>
      </c>
      <c r="H3384">
        <f t="shared" si="329"/>
        <v>14964.986301369849</v>
      </c>
    </row>
    <row r="3385" spans="1:8" ht="13.5" customHeight="1">
      <c r="A3385" s="532">
        <v>45173</v>
      </c>
      <c r="B3385" s="615">
        <v>159200</v>
      </c>
      <c r="C3385" s="615">
        <f t="shared" si="330"/>
        <v>174640.21917808219</v>
      </c>
      <c r="D3385" s="532">
        <f t="shared" si="328"/>
        <v>45203</v>
      </c>
      <c r="E3385" s="534">
        <v>30</v>
      </c>
      <c r="F3385" s="653">
        <v>1.18</v>
      </c>
      <c r="G3385" s="536" t="s">
        <v>257</v>
      </c>
      <c r="H3385">
        <f t="shared" si="329"/>
        <v>15440.219178082189</v>
      </c>
    </row>
    <row r="3386" spans="1:8" ht="13.5" customHeight="1">
      <c r="A3386" s="532">
        <v>45174</v>
      </c>
      <c r="B3386" s="615">
        <v>850000</v>
      </c>
      <c r="C3386" s="615">
        <f t="shared" si="330"/>
        <v>932438.35616438359</v>
      </c>
      <c r="D3386" s="532">
        <f t="shared" si="328"/>
        <v>45204</v>
      </c>
      <c r="E3386" s="534">
        <v>30</v>
      </c>
      <c r="F3386" s="653">
        <v>1.18</v>
      </c>
      <c r="G3386" s="536" t="s">
        <v>262</v>
      </c>
      <c r="H3386">
        <f t="shared" si="329"/>
        <v>82438.356164383586</v>
      </c>
    </row>
    <row r="3387" spans="1:8" ht="13.5" customHeight="1">
      <c r="A3387" s="532">
        <v>45174</v>
      </c>
      <c r="B3387" s="615">
        <v>235000</v>
      </c>
      <c r="C3387" s="615">
        <f t="shared" si="330"/>
        <v>257791.78082191781</v>
      </c>
      <c r="D3387" s="532">
        <f t="shared" si="328"/>
        <v>45204</v>
      </c>
      <c r="E3387" s="534">
        <v>30</v>
      </c>
      <c r="F3387" s="653">
        <v>1.18</v>
      </c>
      <c r="G3387" s="536" t="s">
        <v>258</v>
      </c>
      <c r="H3387">
        <f t="shared" si="329"/>
        <v>22791.780821917811</v>
      </c>
    </row>
    <row r="3388" spans="1:8" ht="13.5" customHeight="1">
      <c r="A3388" s="532">
        <v>45174</v>
      </c>
      <c r="B3388" s="615">
        <v>95800</v>
      </c>
      <c r="C3388" s="615">
        <f t="shared" si="330"/>
        <v>105091.28767123287</v>
      </c>
      <c r="D3388" s="532">
        <f t="shared" si="328"/>
        <v>45204</v>
      </c>
      <c r="E3388" s="534">
        <v>30</v>
      </c>
      <c r="F3388" s="653">
        <v>1.18</v>
      </c>
      <c r="G3388" s="536" t="s">
        <v>259</v>
      </c>
      <c r="H3388">
        <f t="shared" si="329"/>
        <v>9291.2876712328725</v>
      </c>
    </row>
    <row r="3389" spans="1:8" ht="13.5" customHeight="1">
      <c r="A3389" s="532">
        <v>45174</v>
      </c>
      <c r="B3389" s="615">
        <v>69000</v>
      </c>
      <c r="C3389" s="615">
        <f t="shared" si="330"/>
        <v>75692.054794520547</v>
      </c>
      <c r="D3389" s="532">
        <f t="shared" si="328"/>
        <v>45204</v>
      </c>
      <c r="E3389" s="534">
        <v>30</v>
      </c>
      <c r="F3389" s="653">
        <v>1.18</v>
      </c>
      <c r="G3389" s="536" t="s">
        <v>260</v>
      </c>
      <c r="H3389">
        <f t="shared" si="329"/>
        <v>6692.0547945205471</v>
      </c>
    </row>
    <row r="3390" spans="1:8" ht="13.5" customHeight="1">
      <c r="A3390" s="532">
        <v>45174</v>
      </c>
      <c r="B3390" s="615">
        <v>17300</v>
      </c>
      <c r="C3390" s="615">
        <f t="shared" si="330"/>
        <v>18977.863013698628</v>
      </c>
      <c r="D3390" s="532">
        <f t="shared" si="328"/>
        <v>45204</v>
      </c>
      <c r="E3390" s="534">
        <v>30</v>
      </c>
      <c r="F3390" s="653">
        <v>1.18</v>
      </c>
      <c r="G3390" s="536" t="s">
        <v>261</v>
      </c>
      <c r="H3390">
        <f t="shared" si="329"/>
        <v>1677.8630136986285</v>
      </c>
    </row>
    <row r="3391" spans="1:8" ht="13.5" customHeight="1">
      <c r="A3391" s="532">
        <v>45174</v>
      </c>
      <c r="B3391" s="615">
        <v>32000</v>
      </c>
      <c r="C3391" s="615">
        <f t="shared" si="330"/>
        <v>35103.561643835616</v>
      </c>
      <c r="D3391" s="532">
        <f t="shared" si="328"/>
        <v>45204</v>
      </c>
      <c r="E3391" s="534">
        <v>30</v>
      </c>
      <c r="F3391" s="653">
        <v>1.18</v>
      </c>
      <c r="G3391" s="536" t="s">
        <v>261</v>
      </c>
      <c r="H3391">
        <f t="shared" si="329"/>
        <v>3103.5616438356155</v>
      </c>
    </row>
    <row r="3392" spans="1:8" ht="13.5" customHeight="1">
      <c r="A3392" s="532">
        <v>45175</v>
      </c>
      <c r="B3392" s="615">
        <v>120500</v>
      </c>
      <c r="C3392" s="615">
        <f t="shared" si="330"/>
        <v>132186.84931506848</v>
      </c>
      <c r="D3392" s="532">
        <f t="shared" si="328"/>
        <v>45205</v>
      </c>
      <c r="E3392" s="534">
        <v>30</v>
      </c>
      <c r="F3392" s="653">
        <v>1.18</v>
      </c>
      <c r="G3392" s="536" t="s">
        <v>257</v>
      </c>
      <c r="H3392">
        <f t="shared" si="329"/>
        <v>11686.849315068481</v>
      </c>
    </row>
    <row r="3393" spans="1:9" ht="13.5" customHeight="1">
      <c r="A3393" s="532">
        <v>45175</v>
      </c>
      <c r="B3393" s="615">
        <v>244600</v>
      </c>
      <c r="C3393" s="615">
        <f t="shared" si="330"/>
        <v>268322.84931506851</v>
      </c>
      <c r="D3393" s="532">
        <f t="shared" si="328"/>
        <v>45205</v>
      </c>
      <c r="E3393" s="534">
        <v>30</v>
      </c>
      <c r="F3393" s="653">
        <v>1.18</v>
      </c>
      <c r="G3393" s="536" t="s">
        <v>260</v>
      </c>
      <c r="H3393">
        <f t="shared" si="329"/>
        <v>23722.84931506851</v>
      </c>
    </row>
    <row r="3394" spans="1:9" ht="13.5" customHeight="1">
      <c r="A3394" s="532">
        <v>45175</v>
      </c>
      <c r="B3394" s="615">
        <v>151700</v>
      </c>
      <c r="C3394" s="615">
        <f t="shared" si="330"/>
        <v>166412.82191780821</v>
      </c>
      <c r="D3394" s="532">
        <f t="shared" si="328"/>
        <v>45205</v>
      </c>
      <c r="E3394" s="534">
        <v>30</v>
      </c>
      <c r="F3394" s="653">
        <v>1.18</v>
      </c>
      <c r="G3394" s="536" t="s">
        <v>261</v>
      </c>
      <c r="H3394">
        <f t="shared" ref="A3394:H3414" si="331">IF(E3394&gt;89,(C3394-B3394)/3,(C3394-B3394))</f>
        <v>14712.821917808207</v>
      </c>
    </row>
    <row r="3395" spans="1:9" ht="13.5" customHeight="1">
      <c r="A3395" s="532">
        <v>45175</v>
      </c>
      <c r="B3395" s="615">
        <v>500000</v>
      </c>
      <c r="C3395" s="615">
        <f t="shared" si="330"/>
        <v>548493.15068493155</v>
      </c>
      <c r="D3395" s="532">
        <f t="shared" si="328"/>
        <v>45205</v>
      </c>
      <c r="E3395" s="534">
        <v>30</v>
      </c>
      <c r="F3395" s="653">
        <v>1.18</v>
      </c>
      <c r="G3395" s="536" t="s">
        <v>256</v>
      </c>
      <c r="H3395">
        <f t="shared" si="331"/>
        <v>48493.150684931548</v>
      </c>
    </row>
    <row r="3396" spans="1:9" ht="13.5" customHeight="1">
      <c r="A3396" s="532">
        <v>45175</v>
      </c>
      <c r="B3396" s="615">
        <v>90000</v>
      </c>
      <c r="C3396" s="615">
        <f t="shared" si="330"/>
        <v>98728.767123287675</v>
      </c>
      <c r="D3396" s="532">
        <f t="shared" si="328"/>
        <v>45205</v>
      </c>
      <c r="E3396" s="534">
        <v>30</v>
      </c>
      <c r="F3396" s="653">
        <v>1.18</v>
      </c>
      <c r="G3396" s="536" t="s">
        <v>256</v>
      </c>
      <c r="H3396">
        <f t="shared" si="331"/>
        <v>8728.7671232876746</v>
      </c>
    </row>
    <row r="3397" spans="1:9" ht="13.5" customHeight="1">
      <c r="A3397" s="532">
        <v>45175</v>
      </c>
      <c r="B3397" s="615">
        <v>185000</v>
      </c>
      <c r="C3397" s="615">
        <f t="shared" si="330"/>
        <v>202942.46575342465</v>
      </c>
      <c r="D3397" s="532">
        <f t="shared" si="328"/>
        <v>45205</v>
      </c>
      <c r="E3397" s="534">
        <v>30</v>
      </c>
      <c r="F3397" s="653">
        <v>1.18</v>
      </c>
      <c r="G3397" s="536" t="s">
        <v>258</v>
      </c>
      <c r="H3397">
        <f t="shared" si="331"/>
        <v>17942.465753424651</v>
      </c>
    </row>
    <row r="3398" spans="1:9" ht="13.5" customHeight="1">
      <c r="A3398" s="532">
        <v>45176</v>
      </c>
      <c r="B3398" s="615">
        <v>445000</v>
      </c>
      <c r="C3398" s="615">
        <f t="shared" si="330"/>
        <v>491036.16438356164</v>
      </c>
      <c r="D3398" s="532">
        <f t="shared" si="328"/>
        <v>45208</v>
      </c>
      <c r="E3398" s="534">
        <v>32</v>
      </c>
      <c r="F3398" s="653">
        <v>1.18</v>
      </c>
      <c r="G3398" s="536" t="s">
        <v>262</v>
      </c>
      <c r="H3398">
        <f t="shared" si="331"/>
        <v>46036.164383561641</v>
      </c>
    </row>
    <row r="3399" spans="1:9" ht="13.5" customHeight="1">
      <c r="A3399" s="532">
        <v>45176</v>
      </c>
      <c r="B3399" s="615">
        <v>296100</v>
      </c>
      <c r="C3399" s="615">
        <f t="shared" si="330"/>
        <v>326732.15342465753</v>
      </c>
      <c r="D3399" s="532">
        <f t="shared" si="328"/>
        <v>45208</v>
      </c>
      <c r="E3399" s="534">
        <v>32</v>
      </c>
      <c r="F3399" s="653">
        <v>1.18</v>
      </c>
      <c r="G3399" s="536" t="s">
        <v>260</v>
      </c>
      <c r="H3399">
        <f t="shared" si="331"/>
        <v>30632.153424657532</v>
      </c>
    </row>
    <row r="3400" spans="1:9" ht="13.5" customHeight="1">
      <c r="A3400" s="532">
        <v>45176</v>
      </c>
      <c r="B3400" s="615">
        <v>245000</v>
      </c>
      <c r="C3400" s="615">
        <f t="shared" si="330"/>
        <v>270345.75342465751</v>
      </c>
      <c r="D3400" s="532">
        <f t="shared" si="328"/>
        <v>45208</v>
      </c>
      <c r="E3400" s="534">
        <v>32</v>
      </c>
      <c r="F3400" s="653">
        <v>1.18</v>
      </c>
      <c r="G3400" s="536" t="s">
        <v>256</v>
      </c>
      <c r="H3400">
        <f t="shared" si="331"/>
        <v>25345.753424657509</v>
      </c>
    </row>
    <row r="3401" spans="1:9" ht="13.5" customHeight="1">
      <c r="A3401" s="532">
        <v>45176</v>
      </c>
      <c r="B3401" s="615">
        <v>230800</v>
      </c>
      <c r="C3401" s="615">
        <f t="shared" si="330"/>
        <v>254676.73424657533</v>
      </c>
      <c r="D3401" s="532">
        <f t="shared" si="328"/>
        <v>45208</v>
      </c>
      <c r="E3401" s="534">
        <v>32</v>
      </c>
      <c r="F3401" s="653">
        <v>1.18</v>
      </c>
      <c r="G3401" s="536" t="s">
        <v>257</v>
      </c>
      <c r="H3401">
        <f t="shared" si="331"/>
        <v>23876.734246575332</v>
      </c>
    </row>
    <row r="3402" spans="1:9" ht="13.5" customHeight="1">
      <c r="A3402" s="532">
        <v>45176</v>
      </c>
      <c r="B3402" s="615">
        <v>190000</v>
      </c>
      <c r="C3402" s="615">
        <f t="shared" si="330"/>
        <v>209655.89041095891</v>
      </c>
      <c r="D3402" s="532">
        <f t="shared" si="328"/>
        <v>45208</v>
      </c>
      <c r="E3402" s="534">
        <v>32</v>
      </c>
      <c r="F3402" s="653">
        <v>1.18</v>
      </c>
      <c r="G3402" s="536" t="s">
        <v>258</v>
      </c>
      <c r="H3402">
        <f t="shared" si="331"/>
        <v>19655.890410958906</v>
      </c>
    </row>
    <row r="3403" spans="1:9" ht="13.5" customHeight="1">
      <c r="A3403" s="532">
        <v>45176</v>
      </c>
      <c r="B3403" s="615">
        <v>65700</v>
      </c>
      <c r="C3403" s="615">
        <f t="shared" si="330"/>
        <v>72496.800000000003</v>
      </c>
      <c r="D3403" s="532">
        <f t="shared" si="328"/>
        <v>45208</v>
      </c>
      <c r="E3403" s="534">
        <v>32</v>
      </c>
      <c r="F3403" s="653">
        <v>1.18</v>
      </c>
      <c r="G3403" s="536" t="s">
        <v>261</v>
      </c>
      <c r="H3403">
        <f t="shared" si="331"/>
        <v>6796.8000000000029</v>
      </c>
      <c r="I3403">
        <f>SUM(C3393:C3403)</f>
        <v>2909843.5506849312</v>
      </c>
    </row>
    <row r="3404" spans="1:9" ht="13.5" customHeight="1">
      <c r="A3404" s="532">
        <v>45177</v>
      </c>
      <c r="B3404" s="615">
        <v>520000</v>
      </c>
      <c r="C3404" s="615">
        <f t="shared" si="330"/>
        <v>572113.9726027397</v>
      </c>
      <c r="D3404" s="532">
        <f t="shared" si="328"/>
        <v>45208</v>
      </c>
      <c r="E3404" s="534">
        <v>31</v>
      </c>
      <c r="F3404" s="653">
        <v>1.18</v>
      </c>
      <c r="G3404" s="536" t="s">
        <v>262</v>
      </c>
      <c r="H3404">
        <f t="shared" si="331"/>
        <v>52113.972602739697</v>
      </c>
    </row>
    <row r="3405" spans="1:9" ht="13.5" customHeight="1">
      <c r="A3405" s="532">
        <v>45177</v>
      </c>
      <c r="B3405" s="615">
        <v>203200</v>
      </c>
      <c r="C3405" s="615">
        <f t="shared" si="330"/>
        <v>223564.53698630136</v>
      </c>
      <c r="D3405" s="532">
        <f t="shared" si="328"/>
        <v>45208</v>
      </c>
      <c r="E3405" s="534">
        <v>31</v>
      </c>
      <c r="F3405" s="653">
        <v>1.18</v>
      </c>
      <c r="G3405" s="536" t="s">
        <v>260</v>
      </c>
      <c r="H3405">
        <f t="shared" si="331"/>
        <v>20364.536986301362</v>
      </c>
    </row>
    <row r="3406" spans="1:9" ht="13.5" customHeight="1">
      <c r="A3406" s="532">
        <v>45177</v>
      </c>
      <c r="B3406" s="615">
        <v>350000</v>
      </c>
      <c r="C3406" s="615">
        <f t="shared" si="330"/>
        <v>385076.71232876711</v>
      </c>
      <c r="D3406" s="532">
        <f t="shared" si="328"/>
        <v>45208</v>
      </c>
      <c r="E3406" s="534">
        <v>31</v>
      </c>
      <c r="F3406" s="653">
        <v>1.18</v>
      </c>
      <c r="G3406" s="536" t="s">
        <v>256</v>
      </c>
      <c r="H3406">
        <f t="shared" si="331"/>
        <v>35076.712328767113</v>
      </c>
    </row>
    <row r="3407" spans="1:9" ht="13.5" customHeight="1">
      <c r="A3407" s="532">
        <v>45177</v>
      </c>
      <c r="B3407" s="615">
        <v>109900</v>
      </c>
      <c r="C3407" s="615">
        <f t="shared" si="330"/>
        <v>120914.08767123288</v>
      </c>
      <c r="D3407" s="532">
        <f t="shared" si="328"/>
        <v>45208</v>
      </c>
      <c r="E3407" s="534">
        <v>31</v>
      </c>
      <c r="F3407" s="653">
        <v>1.18</v>
      </c>
      <c r="G3407" s="536" t="s">
        <v>257</v>
      </c>
      <c r="H3407">
        <f t="shared" si="331"/>
        <v>11014.087671232875</v>
      </c>
    </row>
    <row r="3408" spans="1:9" ht="13.5" customHeight="1">
      <c r="A3408" s="532">
        <v>45177</v>
      </c>
      <c r="B3408" s="615">
        <v>375000</v>
      </c>
      <c r="C3408" s="615">
        <f t="shared" si="330"/>
        <v>412582.19178082189</v>
      </c>
      <c r="D3408" s="532">
        <f t="shared" si="328"/>
        <v>45208</v>
      </c>
      <c r="E3408" s="534">
        <v>31</v>
      </c>
      <c r="F3408" s="653">
        <v>1.18</v>
      </c>
      <c r="G3408" s="536" t="s">
        <v>258</v>
      </c>
      <c r="H3408">
        <f t="shared" si="331"/>
        <v>37582.191780821886</v>
      </c>
    </row>
    <row r="3409" spans="1:8" ht="13.5" customHeight="1">
      <c r="A3409" s="532">
        <v>45180</v>
      </c>
      <c r="B3409" s="615">
        <v>255000</v>
      </c>
      <c r="C3409" s="615">
        <f t="shared" si="330"/>
        <v>279731.50684931508</v>
      </c>
      <c r="D3409" s="532">
        <f t="shared" si="328"/>
        <v>45210</v>
      </c>
      <c r="E3409" s="534">
        <v>30</v>
      </c>
      <c r="F3409" s="653">
        <v>1.18</v>
      </c>
      <c r="G3409" s="536" t="s">
        <v>258</v>
      </c>
      <c r="H3409">
        <f t="shared" si="331"/>
        <v>24731.506849315076</v>
      </c>
    </row>
    <row r="3410" spans="1:8" ht="13.5" customHeight="1">
      <c r="A3410" s="532">
        <v>45180</v>
      </c>
      <c r="B3410" s="615">
        <v>659700</v>
      </c>
      <c r="C3410" s="615">
        <f t="shared" si="330"/>
        <v>723681.8630136986</v>
      </c>
      <c r="D3410" s="532">
        <f t="shared" si="328"/>
        <v>45210</v>
      </c>
      <c r="E3410" s="534">
        <v>30</v>
      </c>
      <c r="F3410" s="653">
        <v>1.18</v>
      </c>
      <c r="G3410" s="536" t="s">
        <v>257</v>
      </c>
      <c r="H3410">
        <f t="shared" si="331"/>
        <v>63981.863013698603</v>
      </c>
    </row>
    <row r="3411" spans="1:8" ht="13.5" customHeight="1">
      <c r="A3411" s="532">
        <v>45180</v>
      </c>
      <c r="B3411" s="615">
        <v>97500</v>
      </c>
      <c r="C3411" s="615">
        <f t="shared" si="330"/>
        <v>106956.16438356164</v>
      </c>
      <c r="D3411" s="532">
        <f t="shared" si="328"/>
        <v>45210</v>
      </c>
      <c r="E3411" s="534">
        <v>30</v>
      </c>
      <c r="F3411" s="653">
        <v>1.18</v>
      </c>
      <c r="G3411" s="536" t="s">
        <v>261</v>
      </c>
      <c r="H3411">
        <f t="shared" si="331"/>
        <v>9456.1643835616414</v>
      </c>
    </row>
    <row r="3412" spans="1:8" ht="13.5" customHeight="1">
      <c r="A3412" s="532">
        <v>45180</v>
      </c>
      <c r="B3412" s="615">
        <v>176500</v>
      </c>
      <c r="C3412" s="615">
        <f t="shared" si="330"/>
        <v>193618.08219178082</v>
      </c>
      <c r="D3412" s="532">
        <f t="shared" si="328"/>
        <v>45210</v>
      </c>
      <c r="E3412" s="534">
        <v>30</v>
      </c>
      <c r="F3412" s="653">
        <v>1.18</v>
      </c>
      <c r="G3412" s="536" t="s">
        <v>260</v>
      </c>
      <c r="H3412">
        <f t="shared" si="331"/>
        <v>17118.082191780821</v>
      </c>
    </row>
    <row r="3413" spans="1:8" ht="13.5" customHeight="1">
      <c r="A3413" s="532">
        <v>45180</v>
      </c>
      <c r="B3413" s="615">
        <v>500000</v>
      </c>
      <c r="C3413" s="615">
        <f t="shared" si="330"/>
        <v>548493.15068493155</v>
      </c>
      <c r="D3413" s="532">
        <f t="shared" si="328"/>
        <v>45210</v>
      </c>
      <c r="E3413" s="534">
        <v>30</v>
      </c>
      <c r="F3413" s="653">
        <v>1.18</v>
      </c>
      <c r="G3413" s="536" t="s">
        <v>256</v>
      </c>
      <c r="H3413">
        <f t="shared" si="331"/>
        <v>48493.150684931548</v>
      </c>
    </row>
    <row r="3414" spans="1:8" ht="13.5" customHeight="1">
      <c r="A3414" s="532">
        <v>45180</v>
      </c>
      <c r="B3414" s="615">
        <v>100000</v>
      </c>
      <c r="C3414" s="615">
        <f t="shared" si="330"/>
        <v>109698.63013698631</v>
      </c>
      <c r="D3414" s="532">
        <f t="shared" si="328"/>
        <v>45210</v>
      </c>
      <c r="E3414" s="534">
        <v>30</v>
      </c>
      <c r="F3414" s="653">
        <v>1.18</v>
      </c>
      <c r="G3414" s="536" t="s">
        <v>265</v>
      </c>
      <c r="H3414">
        <f t="shared" si="331"/>
        <v>9698.6301369863068</v>
      </c>
    </row>
    <row r="3415" spans="1:8" ht="13.5" customHeight="1">
      <c r="A3415" s="532">
        <v>45181</v>
      </c>
      <c r="B3415" s="615">
        <v>268900</v>
      </c>
      <c r="C3415" s="615">
        <f t="shared" si="330"/>
        <v>294979.61643835617</v>
      </c>
      <c r="D3415" s="532">
        <f t="shared" si="328"/>
        <v>45211</v>
      </c>
      <c r="E3415" s="534">
        <v>30</v>
      </c>
      <c r="F3415" s="653">
        <v>1.18</v>
      </c>
      <c r="G3415" s="536" t="s">
        <v>257</v>
      </c>
    </row>
    <row r="3416" spans="1:8" ht="13.5" customHeight="1">
      <c r="A3416" s="532">
        <v>45181</v>
      </c>
      <c r="B3416" s="615">
        <v>400000</v>
      </c>
      <c r="C3416" s="615">
        <f t="shared" si="330"/>
        <v>438794.52054794523</v>
      </c>
      <c r="D3416" s="532">
        <f t="shared" si="328"/>
        <v>45211</v>
      </c>
      <c r="E3416" s="534">
        <v>30</v>
      </c>
      <c r="F3416" s="653">
        <v>1.18</v>
      </c>
      <c r="G3416" s="536" t="s">
        <v>256</v>
      </c>
    </row>
    <row r="3417" spans="1:8" ht="13.5" customHeight="1">
      <c r="A3417" s="532">
        <v>45181</v>
      </c>
      <c r="B3417" s="615">
        <v>180800</v>
      </c>
      <c r="C3417" s="615">
        <f t="shared" si="330"/>
        <v>198335.12328767125</v>
      </c>
      <c r="D3417" s="532">
        <f t="shared" si="328"/>
        <v>45211</v>
      </c>
      <c r="E3417" s="534">
        <v>30</v>
      </c>
      <c r="F3417" s="653">
        <v>1.18</v>
      </c>
      <c r="G3417" s="536" t="s">
        <v>260</v>
      </c>
    </row>
    <row r="3418" spans="1:8" ht="13.5" customHeight="1">
      <c r="A3418" s="532">
        <v>45181</v>
      </c>
      <c r="B3418" s="615">
        <v>21900</v>
      </c>
      <c r="C3418" s="615">
        <f t="shared" si="330"/>
        <v>24024</v>
      </c>
      <c r="D3418" s="532">
        <f t="shared" si="328"/>
        <v>45211</v>
      </c>
      <c r="E3418" s="534">
        <v>30</v>
      </c>
      <c r="F3418" s="653">
        <v>1.18</v>
      </c>
      <c r="G3418" s="536" t="s">
        <v>260</v>
      </c>
    </row>
    <row r="3419" spans="1:8" ht="13.5" customHeight="1">
      <c r="A3419" s="532">
        <v>45181</v>
      </c>
      <c r="B3419" s="615">
        <v>290000</v>
      </c>
      <c r="C3419" s="615">
        <f t="shared" si="330"/>
        <v>318126.0273972603</v>
      </c>
      <c r="D3419" s="532">
        <f t="shared" si="328"/>
        <v>45211</v>
      </c>
      <c r="E3419" s="534">
        <v>30</v>
      </c>
      <c r="F3419" s="653">
        <v>1.18</v>
      </c>
      <c r="G3419" s="536" t="s">
        <v>258</v>
      </c>
    </row>
    <row r="3420" spans="1:8" ht="13.5" customHeight="1">
      <c r="A3420" s="532">
        <v>45181</v>
      </c>
      <c r="B3420" s="615">
        <v>30500</v>
      </c>
      <c r="C3420" s="615">
        <f t="shared" si="330"/>
        <v>33458.082191780821</v>
      </c>
      <c r="D3420" s="532">
        <f t="shared" ref="A3420:D3483" si="332">+A3420+E3420</f>
        <v>45211</v>
      </c>
      <c r="E3420" s="534">
        <v>30</v>
      </c>
      <c r="F3420" s="653">
        <v>1.18</v>
      </c>
      <c r="G3420" s="536" t="s">
        <v>265</v>
      </c>
    </row>
    <row r="3421" spans="1:8" ht="13.5" customHeight="1">
      <c r="A3421" s="532">
        <v>45181</v>
      </c>
      <c r="B3421" s="615">
        <v>410800</v>
      </c>
      <c r="C3421" s="615">
        <f t="shared" si="330"/>
        <v>450641.9726027397</v>
      </c>
      <c r="D3421" s="532">
        <f t="shared" si="332"/>
        <v>45211</v>
      </c>
      <c r="E3421" s="534">
        <v>30</v>
      </c>
      <c r="F3421" s="653">
        <v>1.18</v>
      </c>
      <c r="G3421" s="536" t="s">
        <v>263</v>
      </c>
    </row>
    <row r="3422" spans="1:8" ht="13.5" customHeight="1">
      <c r="A3422" s="532">
        <v>45182</v>
      </c>
      <c r="B3422" s="615">
        <v>240000</v>
      </c>
      <c r="C3422" s="615">
        <f t="shared" si="330"/>
        <v>266380.27397260274</v>
      </c>
      <c r="D3422" s="532">
        <f t="shared" si="332"/>
        <v>45216</v>
      </c>
      <c r="E3422" s="534">
        <v>34</v>
      </c>
      <c r="F3422" s="653">
        <v>1.18</v>
      </c>
      <c r="G3422" s="536" t="s">
        <v>261</v>
      </c>
    </row>
    <row r="3423" spans="1:8" ht="13.5" customHeight="1">
      <c r="A3423" s="532">
        <v>45182</v>
      </c>
      <c r="B3423" s="615">
        <v>930000</v>
      </c>
      <c r="C3423" s="615">
        <f t="shared" si="330"/>
        <v>1032223.5616438356</v>
      </c>
      <c r="D3423" s="532">
        <f t="shared" si="332"/>
        <v>45216</v>
      </c>
      <c r="E3423" s="534">
        <v>34</v>
      </c>
      <c r="F3423" s="653">
        <v>1.18</v>
      </c>
      <c r="G3423" s="536" t="s">
        <v>256</v>
      </c>
    </row>
    <row r="3424" spans="1:8" ht="13.5" customHeight="1">
      <c r="A3424" s="532">
        <v>45182</v>
      </c>
      <c r="B3424" s="615">
        <v>576500</v>
      </c>
      <c r="C3424" s="615">
        <f t="shared" si="330"/>
        <v>639867.61643835611</v>
      </c>
      <c r="D3424" s="532">
        <f t="shared" si="332"/>
        <v>45216</v>
      </c>
      <c r="E3424" s="534">
        <v>34</v>
      </c>
      <c r="F3424" s="653">
        <v>1.18</v>
      </c>
      <c r="G3424" s="536" t="s">
        <v>257</v>
      </c>
    </row>
    <row r="3425" spans="1:9" ht="13.5" customHeight="1">
      <c r="A3425" s="532">
        <v>45182</v>
      </c>
      <c r="B3425" s="615">
        <v>200400</v>
      </c>
      <c r="C3425" s="615">
        <f t="shared" si="330"/>
        <v>222427.52876712329</v>
      </c>
      <c r="D3425" s="532">
        <f t="shared" si="332"/>
        <v>45216</v>
      </c>
      <c r="E3425" s="534">
        <v>34</v>
      </c>
      <c r="F3425" s="653">
        <v>1.18</v>
      </c>
      <c r="G3425" s="536" t="s">
        <v>265</v>
      </c>
    </row>
    <row r="3426" spans="1:9" ht="13.5" customHeight="1">
      <c r="A3426" s="532">
        <v>45182</v>
      </c>
      <c r="B3426" s="615">
        <v>200600</v>
      </c>
      <c r="C3426" s="615">
        <f t="shared" si="330"/>
        <v>222649.51232876713</v>
      </c>
      <c r="D3426" s="532">
        <f t="shared" si="332"/>
        <v>45216</v>
      </c>
      <c r="E3426" s="534">
        <v>34</v>
      </c>
      <c r="F3426" s="653">
        <v>1.18</v>
      </c>
      <c r="G3426" s="536" t="s">
        <v>260</v>
      </c>
    </row>
    <row r="3427" spans="1:9" ht="13.5" customHeight="1">
      <c r="A3427" s="532">
        <v>45183</v>
      </c>
      <c r="B3427" s="615">
        <v>210000</v>
      </c>
      <c r="C3427" s="615">
        <f t="shared" si="330"/>
        <v>232403.83561643836</v>
      </c>
      <c r="D3427" s="532">
        <f t="shared" si="332"/>
        <v>45216</v>
      </c>
      <c r="E3427" s="534">
        <v>33</v>
      </c>
      <c r="F3427" s="653">
        <v>1.18</v>
      </c>
      <c r="G3427" s="536" t="s">
        <v>256</v>
      </c>
    </row>
    <row r="3428" spans="1:9" ht="13.5" customHeight="1">
      <c r="A3428" s="532">
        <v>45183</v>
      </c>
      <c r="B3428" s="615">
        <v>395000</v>
      </c>
      <c r="C3428" s="615">
        <f t="shared" ref="A3428:C3491" si="333">B3428+(B3428*F3428/365*E3428)*1</f>
        <v>437140.54794520547</v>
      </c>
      <c r="D3428" s="532">
        <f t="shared" si="332"/>
        <v>45216</v>
      </c>
      <c r="E3428" s="534">
        <v>33</v>
      </c>
      <c r="F3428" s="653">
        <v>1.18</v>
      </c>
      <c r="G3428" s="536" t="s">
        <v>258</v>
      </c>
    </row>
    <row r="3429" spans="1:9" ht="13.5" customHeight="1">
      <c r="A3429" s="532">
        <v>45183</v>
      </c>
      <c r="B3429" s="615">
        <v>21900</v>
      </c>
      <c r="C3429" s="615">
        <f t="shared" si="333"/>
        <v>24236.400000000001</v>
      </c>
      <c r="D3429" s="532">
        <f t="shared" si="332"/>
        <v>45216</v>
      </c>
      <c r="E3429" s="534">
        <v>33</v>
      </c>
      <c r="F3429" s="653">
        <v>1.18</v>
      </c>
      <c r="G3429" s="536" t="s">
        <v>260</v>
      </c>
    </row>
    <row r="3430" spans="1:9" ht="13.5" customHeight="1">
      <c r="A3430" s="532">
        <v>45183</v>
      </c>
      <c r="B3430" s="615">
        <v>220400</v>
      </c>
      <c r="C3430" s="615">
        <f t="shared" si="333"/>
        <v>243913.3589041096</v>
      </c>
      <c r="D3430" s="532">
        <f t="shared" si="332"/>
        <v>45216</v>
      </c>
      <c r="E3430" s="534">
        <v>33</v>
      </c>
      <c r="F3430" s="653">
        <v>1.18</v>
      </c>
      <c r="G3430" s="536" t="s">
        <v>257</v>
      </c>
    </row>
    <row r="3431" spans="1:9" ht="13.5" customHeight="1">
      <c r="A3431" s="532">
        <v>45183</v>
      </c>
      <c r="B3431" s="615">
        <v>21300</v>
      </c>
      <c r="C3431" s="615">
        <f t="shared" si="333"/>
        <v>23572.389041095892</v>
      </c>
      <c r="D3431" s="532">
        <f t="shared" si="332"/>
        <v>45216</v>
      </c>
      <c r="E3431" s="534">
        <v>33</v>
      </c>
      <c r="F3431" s="653">
        <v>1.18</v>
      </c>
      <c r="G3431" s="536" t="s">
        <v>261</v>
      </c>
    </row>
    <row r="3432" spans="1:9" ht="13.5" customHeight="1">
      <c r="A3432" s="532">
        <v>45184</v>
      </c>
      <c r="B3432" s="615">
        <v>440000</v>
      </c>
      <c r="C3432" s="615">
        <f t="shared" si="333"/>
        <v>485518.90410958906</v>
      </c>
      <c r="D3432" s="532">
        <f t="shared" si="332"/>
        <v>45216</v>
      </c>
      <c r="E3432" s="534">
        <v>32</v>
      </c>
      <c r="F3432" s="653">
        <v>1.18</v>
      </c>
      <c r="G3432" s="536" t="s">
        <v>266</v>
      </c>
    </row>
    <row r="3433" spans="1:9" ht="13.5" customHeight="1">
      <c r="A3433" s="532">
        <v>45184</v>
      </c>
      <c r="B3433" s="615">
        <v>223400</v>
      </c>
      <c r="C3433" s="615">
        <f t="shared" si="333"/>
        <v>246511.1890410959</v>
      </c>
      <c r="D3433" s="532">
        <f t="shared" si="332"/>
        <v>45216</v>
      </c>
      <c r="E3433" s="534">
        <v>32</v>
      </c>
      <c r="F3433" s="653">
        <v>1.18</v>
      </c>
      <c r="G3433" s="536" t="s">
        <v>259</v>
      </c>
    </row>
    <row r="3434" spans="1:9" ht="13.5" customHeight="1">
      <c r="A3434" s="532">
        <v>45184</v>
      </c>
      <c r="B3434" s="615">
        <v>420000</v>
      </c>
      <c r="C3434" s="615">
        <f t="shared" si="333"/>
        <v>463449.8630136986</v>
      </c>
      <c r="D3434" s="532">
        <f t="shared" si="332"/>
        <v>45216</v>
      </c>
      <c r="E3434" s="534">
        <v>32</v>
      </c>
      <c r="F3434" s="653">
        <v>1.18</v>
      </c>
      <c r="G3434" s="536" t="s">
        <v>256</v>
      </c>
    </row>
    <row r="3435" spans="1:9" ht="13.5" customHeight="1">
      <c r="A3435" s="532">
        <v>45184</v>
      </c>
      <c r="B3435" s="615">
        <v>59800</v>
      </c>
      <c r="C3435" s="615">
        <f t="shared" si="333"/>
        <v>65986.432876712322</v>
      </c>
      <c r="D3435" s="532">
        <f t="shared" si="332"/>
        <v>45216</v>
      </c>
      <c r="E3435" s="534">
        <v>32</v>
      </c>
      <c r="F3435" s="653">
        <v>1.18</v>
      </c>
      <c r="G3435" s="536" t="s">
        <v>265</v>
      </c>
    </row>
    <row r="3436" spans="1:9" ht="13.5" customHeight="1">
      <c r="A3436" s="532">
        <v>45184</v>
      </c>
      <c r="B3436" s="615">
        <v>10000</v>
      </c>
      <c r="C3436" s="615">
        <f t="shared" si="333"/>
        <v>11034.520547945205</v>
      </c>
      <c r="D3436" s="532">
        <f t="shared" si="332"/>
        <v>45216</v>
      </c>
      <c r="E3436" s="534">
        <v>32</v>
      </c>
      <c r="F3436" s="653">
        <v>1.18</v>
      </c>
      <c r="G3436" s="536" t="s">
        <v>258</v>
      </c>
    </row>
    <row r="3437" spans="1:9" ht="13.5" customHeight="1">
      <c r="A3437" s="532">
        <v>45184</v>
      </c>
      <c r="B3437" s="615">
        <v>103000</v>
      </c>
      <c r="C3437" s="615">
        <f t="shared" si="333"/>
        <v>113655.56164383562</v>
      </c>
      <c r="D3437" s="532">
        <f t="shared" si="332"/>
        <v>45216</v>
      </c>
      <c r="E3437" s="534">
        <v>32</v>
      </c>
      <c r="F3437" s="653">
        <v>1.18</v>
      </c>
      <c r="G3437" s="536" t="s">
        <v>261</v>
      </c>
    </row>
    <row r="3438" spans="1:9" ht="13.5" customHeight="1">
      <c r="A3438" s="532">
        <v>45184</v>
      </c>
      <c r="B3438" s="615">
        <v>36800</v>
      </c>
      <c r="C3438" s="615">
        <f t="shared" si="333"/>
        <v>40607.035616438356</v>
      </c>
      <c r="D3438" s="532">
        <f t="shared" si="332"/>
        <v>45216</v>
      </c>
      <c r="E3438" s="534">
        <v>32</v>
      </c>
      <c r="F3438" s="653">
        <v>1.18</v>
      </c>
      <c r="G3438" s="536" t="s">
        <v>257</v>
      </c>
    </row>
    <row r="3439" spans="1:9" ht="13.5" customHeight="1">
      <c r="A3439" s="532">
        <v>45187</v>
      </c>
      <c r="B3439" s="615">
        <v>260300</v>
      </c>
      <c r="C3439" s="615">
        <f t="shared" si="333"/>
        <v>285545.53424657532</v>
      </c>
      <c r="D3439" s="532">
        <f t="shared" si="332"/>
        <v>45217</v>
      </c>
      <c r="E3439" s="534">
        <v>30</v>
      </c>
      <c r="F3439" s="653">
        <v>1.18</v>
      </c>
      <c r="G3439" s="536" t="s">
        <v>261</v>
      </c>
      <c r="H3439">
        <f t="shared" ref="A3439:H3446" si="334">(C3439-B3439)/E3439*30</f>
        <v>25245.53424657532</v>
      </c>
      <c r="I3439">
        <f>+C3439-B3439</f>
        <v>25245.53424657532</v>
      </c>
    </row>
    <row r="3440" spans="1:9" ht="13.5" customHeight="1">
      <c r="A3440" s="532">
        <v>45187</v>
      </c>
      <c r="B3440" s="615">
        <v>440000</v>
      </c>
      <c r="C3440" s="615">
        <f t="shared" si="333"/>
        <v>482673.9726027397</v>
      </c>
      <c r="D3440" s="532">
        <f t="shared" si="332"/>
        <v>45217</v>
      </c>
      <c r="E3440" s="534">
        <v>30</v>
      </c>
      <c r="F3440" s="653">
        <v>1.18</v>
      </c>
      <c r="G3440" s="536" t="s">
        <v>262</v>
      </c>
      <c r="H3440">
        <f t="shared" si="334"/>
        <v>42673.972602739697</v>
      </c>
    </row>
    <row r="3441" spans="1:9" ht="13.5" customHeight="1">
      <c r="A3441" s="532">
        <v>45187</v>
      </c>
      <c r="B3441" s="615">
        <v>263100</v>
      </c>
      <c r="C3441" s="615">
        <f t="shared" si="333"/>
        <v>288617.09589041094</v>
      </c>
      <c r="D3441" s="532">
        <f t="shared" si="332"/>
        <v>45217</v>
      </c>
      <c r="E3441" s="534">
        <v>30</v>
      </c>
      <c r="F3441" s="653">
        <v>1.18</v>
      </c>
      <c r="G3441" s="536" t="s">
        <v>257</v>
      </c>
      <c r="H3441">
        <f t="shared" si="334"/>
        <v>25517.095890410943</v>
      </c>
    </row>
    <row r="3442" spans="1:9" ht="13.5" customHeight="1">
      <c r="A3442" s="532">
        <v>45187</v>
      </c>
      <c r="B3442" s="615">
        <v>160000</v>
      </c>
      <c r="C3442" s="615">
        <f t="shared" si="333"/>
        <v>175517.80821917808</v>
      </c>
      <c r="D3442" s="532">
        <f t="shared" si="332"/>
        <v>45217</v>
      </c>
      <c r="E3442" s="534">
        <v>30</v>
      </c>
      <c r="F3442" s="653">
        <v>1.18</v>
      </c>
      <c r="G3442" s="536" t="s">
        <v>256</v>
      </c>
      <c r="H3442">
        <f t="shared" si="334"/>
        <v>15517.808219178085</v>
      </c>
    </row>
    <row r="3443" spans="1:9" ht="13.5" customHeight="1">
      <c r="A3443" s="532">
        <v>45187</v>
      </c>
      <c r="B3443" s="615">
        <v>175000</v>
      </c>
      <c r="C3443" s="615">
        <f t="shared" si="333"/>
        <v>191972.60273972602</v>
      </c>
      <c r="D3443" s="532">
        <f t="shared" si="332"/>
        <v>45217</v>
      </c>
      <c r="E3443" s="534">
        <v>30</v>
      </c>
      <c r="F3443" s="653">
        <v>1.18</v>
      </c>
      <c r="G3443" s="536" t="s">
        <v>258</v>
      </c>
      <c r="H3443">
        <f t="shared" si="334"/>
        <v>16972.602739726019</v>
      </c>
    </row>
    <row r="3444" spans="1:9" ht="13.5" customHeight="1">
      <c r="A3444" s="532">
        <v>45187</v>
      </c>
      <c r="B3444" s="615">
        <v>48400</v>
      </c>
      <c r="C3444" s="615">
        <f t="shared" si="333"/>
        <v>53094.136986301368</v>
      </c>
      <c r="D3444" s="532">
        <f t="shared" si="332"/>
        <v>45217</v>
      </c>
      <c r="E3444" s="534">
        <v>30</v>
      </c>
      <c r="F3444" s="653">
        <v>1.18</v>
      </c>
      <c r="G3444" s="536" t="s">
        <v>260</v>
      </c>
      <c r="H3444">
        <f t="shared" si="334"/>
        <v>4694.1369863013679</v>
      </c>
    </row>
    <row r="3445" spans="1:9" ht="13.5" customHeight="1">
      <c r="A3445" s="532">
        <v>45188</v>
      </c>
      <c r="B3445" s="615">
        <v>1600</v>
      </c>
      <c r="C3445" s="615">
        <f t="shared" si="333"/>
        <v>1755.1780821917807</v>
      </c>
      <c r="D3445" s="532">
        <f t="shared" si="332"/>
        <v>45218</v>
      </c>
      <c r="E3445" s="534">
        <v>30</v>
      </c>
      <c r="F3445" s="653">
        <v>1.18</v>
      </c>
      <c r="G3445" s="536" t="s">
        <v>259</v>
      </c>
      <c r="H3445">
        <f t="shared" si="334"/>
        <v>155.17808219178073</v>
      </c>
      <c r="I3445">
        <f>+C3445-B3445</f>
        <v>155.17808219178073</v>
      </c>
    </row>
    <row r="3446" spans="1:9" ht="13.5" customHeight="1">
      <c r="A3446" s="532">
        <v>45188</v>
      </c>
      <c r="B3446" s="615">
        <v>30000</v>
      </c>
      <c r="C3446" s="615">
        <f t="shared" si="333"/>
        <v>32909.589041095889</v>
      </c>
      <c r="D3446" s="532">
        <f t="shared" si="332"/>
        <v>45218</v>
      </c>
      <c r="E3446" s="534">
        <v>30</v>
      </c>
      <c r="F3446" s="653">
        <v>1.18</v>
      </c>
      <c r="G3446" s="536" t="s">
        <v>261</v>
      </c>
      <c r="H3446">
        <f t="shared" si="334"/>
        <v>2909.5890410958891</v>
      </c>
      <c r="I3446">
        <f>+C3446-B3446</f>
        <v>2909.5890410958891</v>
      </c>
    </row>
    <row r="3447" spans="1:9" ht="13.5" customHeight="1">
      <c r="A3447" s="532">
        <v>45190</v>
      </c>
      <c r="B3447" s="615">
        <v>54850</v>
      </c>
      <c r="C3447" s="615">
        <f t="shared" si="333"/>
        <v>60524.345205479454</v>
      </c>
      <c r="D3447" s="532">
        <f t="shared" si="332"/>
        <v>45222</v>
      </c>
      <c r="E3447" s="534">
        <v>32</v>
      </c>
      <c r="F3447" s="653">
        <v>1.18</v>
      </c>
      <c r="G3447" s="536" t="s">
        <v>721</v>
      </c>
    </row>
    <row r="3448" spans="1:9" ht="13.5" customHeight="1">
      <c r="A3448" s="532">
        <v>45190</v>
      </c>
      <c r="B3448" s="615">
        <v>204700</v>
      </c>
      <c r="C3448" s="615">
        <f t="shared" si="333"/>
        <v>225876.63561643835</v>
      </c>
      <c r="D3448" s="532">
        <f t="shared" si="332"/>
        <v>45222</v>
      </c>
      <c r="E3448" s="534">
        <v>32</v>
      </c>
      <c r="F3448" s="653">
        <v>1.18</v>
      </c>
      <c r="G3448" s="536" t="s">
        <v>257</v>
      </c>
    </row>
    <row r="3449" spans="1:9" ht="13.5" customHeight="1">
      <c r="A3449" s="532">
        <v>45190</v>
      </c>
      <c r="B3449" s="615">
        <v>135000</v>
      </c>
      <c r="C3449" s="615">
        <f t="shared" si="333"/>
        <v>148966.02739726027</v>
      </c>
      <c r="D3449" s="532">
        <f t="shared" si="332"/>
        <v>45222</v>
      </c>
      <c r="E3449" s="534">
        <v>32</v>
      </c>
      <c r="F3449" s="653">
        <v>1.18</v>
      </c>
      <c r="G3449" s="536" t="s">
        <v>258</v>
      </c>
    </row>
    <row r="3450" spans="1:9" ht="13.5" customHeight="1">
      <c r="A3450" s="532">
        <v>45190</v>
      </c>
      <c r="B3450" s="615">
        <v>70000</v>
      </c>
      <c r="C3450" s="615">
        <f t="shared" si="333"/>
        <v>77241.643835616444</v>
      </c>
      <c r="D3450" s="532">
        <f t="shared" si="332"/>
        <v>45222</v>
      </c>
      <c r="E3450" s="534">
        <v>32</v>
      </c>
      <c r="F3450" s="653">
        <v>1.18</v>
      </c>
      <c r="G3450" s="536" t="s">
        <v>256</v>
      </c>
    </row>
    <row r="3451" spans="1:9" ht="13.5" customHeight="1">
      <c r="A3451" s="532">
        <v>45191</v>
      </c>
      <c r="B3451" s="615">
        <v>54300</v>
      </c>
      <c r="C3451" s="615">
        <f t="shared" si="333"/>
        <v>59741.901369863015</v>
      </c>
      <c r="D3451" s="532">
        <f t="shared" si="332"/>
        <v>45222</v>
      </c>
      <c r="E3451" s="534">
        <v>31</v>
      </c>
      <c r="F3451" s="653">
        <v>1.18</v>
      </c>
      <c r="G3451" s="536" t="s">
        <v>259</v>
      </c>
    </row>
    <row r="3452" spans="1:9" ht="13.5" customHeight="1">
      <c r="A3452" s="532">
        <v>45194</v>
      </c>
      <c r="B3452" s="615">
        <v>270000</v>
      </c>
      <c r="C3452" s="615">
        <f t="shared" si="333"/>
        <v>296186.30136986304</v>
      </c>
      <c r="D3452" s="532">
        <f t="shared" si="332"/>
        <v>45224</v>
      </c>
      <c r="E3452" s="534">
        <v>30</v>
      </c>
      <c r="F3452" s="653">
        <v>1.18</v>
      </c>
      <c r="G3452" s="536" t="s">
        <v>256</v>
      </c>
    </row>
    <row r="3453" spans="1:9" ht="13.5" customHeight="1">
      <c r="A3453" s="532">
        <v>45194</v>
      </c>
      <c r="B3453" s="615">
        <v>75000</v>
      </c>
      <c r="C3453" s="615">
        <f t="shared" si="333"/>
        <v>82273.972602739726</v>
      </c>
      <c r="D3453" s="532">
        <f t="shared" si="332"/>
        <v>45224</v>
      </c>
      <c r="E3453" s="534">
        <v>30</v>
      </c>
      <c r="F3453" s="653">
        <v>1.18</v>
      </c>
      <c r="G3453" s="536" t="s">
        <v>256</v>
      </c>
    </row>
    <row r="3454" spans="1:9" ht="13.5" customHeight="1">
      <c r="A3454" s="532">
        <v>45194</v>
      </c>
      <c r="B3454" s="615">
        <v>367100</v>
      </c>
      <c r="C3454" s="615">
        <f t="shared" si="333"/>
        <v>402703.67123287672</v>
      </c>
      <c r="D3454" s="532">
        <f t="shared" si="332"/>
        <v>45224</v>
      </c>
      <c r="E3454" s="534">
        <v>30</v>
      </c>
      <c r="F3454" s="653">
        <v>1.18</v>
      </c>
      <c r="G3454" s="536" t="s">
        <v>260</v>
      </c>
    </row>
    <row r="3455" spans="1:9" ht="13.5" customHeight="1">
      <c r="A3455" s="532">
        <v>45194</v>
      </c>
      <c r="B3455" s="615">
        <v>124400</v>
      </c>
      <c r="C3455" s="615">
        <f t="shared" si="333"/>
        <v>136465.09589041094</v>
      </c>
      <c r="D3455" s="532">
        <f t="shared" si="332"/>
        <v>45224</v>
      </c>
      <c r="E3455" s="534">
        <v>30</v>
      </c>
      <c r="F3455" s="653">
        <v>1.18</v>
      </c>
      <c r="G3455" s="536" t="s">
        <v>261</v>
      </c>
    </row>
    <row r="3456" spans="1:9" ht="13.5" customHeight="1">
      <c r="A3456" s="532">
        <v>45194</v>
      </c>
      <c r="B3456" s="615">
        <v>360100</v>
      </c>
      <c r="C3456" s="615">
        <f t="shared" si="333"/>
        <v>395024.76712328766</v>
      </c>
      <c r="D3456" s="532">
        <f t="shared" si="332"/>
        <v>45224</v>
      </c>
      <c r="E3456" s="534">
        <v>30</v>
      </c>
      <c r="F3456" s="653">
        <v>1.18</v>
      </c>
      <c r="G3456" s="536" t="s">
        <v>257</v>
      </c>
    </row>
    <row r="3457" spans="1:8" ht="13.5" customHeight="1">
      <c r="A3457" s="532">
        <v>45194</v>
      </c>
      <c r="B3457" s="615">
        <v>85000</v>
      </c>
      <c r="C3457" s="615">
        <f t="shared" si="333"/>
        <v>93243.835616438359</v>
      </c>
      <c r="D3457" s="532">
        <f t="shared" si="332"/>
        <v>45224</v>
      </c>
      <c r="E3457" s="534">
        <v>30</v>
      </c>
      <c r="F3457" s="653">
        <v>1.18</v>
      </c>
      <c r="G3457" s="536" t="s">
        <v>258</v>
      </c>
    </row>
    <row r="3458" spans="1:8" ht="13.5" customHeight="1">
      <c r="A3458" s="532">
        <v>45194</v>
      </c>
      <c r="B3458" s="615">
        <v>500000</v>
      </c>
      <c r="C3458" s="615">
        <f t="shared" si="333"/>
        <v>550109.58904109593</v>
      </c>
      <c r="D3458" s="532">
        <f t="shared" si="332"/>
        <v>45225</v>
      </c>
      <c r="E3458" s="534">
        <v>31</v>
      </c>
      <c r="F3458" s="653">
        <v>1.18</v>
      </c>
      <c r="G3458" s="536" t="s">
        <v>256</v>
      </c>
      <c r="H3458">
        <f t="shared" ref="A3458:H3503" si="335">(C3458-B3458)/E3458*30</f>
        <v>48493.150684931541</v>
      </c>
    </row>
    <row r="3459" spans="1:8" ht="13.5" customHeight="1">
      <c r="A3459" s="532">
        <v>45195</v>
      </c>
      <c r="B3459" s="615">
        <v>108500</v>
      </c>
      <c r="C3459" s="615">
        <f t="shared" si="333"/>
        <v>119023.01369863014</v>
      </c>
      <c r="D3459" s="532">
        <f t="shared" si="332"/>
        <v>45225</v>
      </c>
      <c r="E3459" s="534">
        <v>30</v>
      </c>
      <c r="F3459" s="653">
        <v>1.18</v>
      </c>
      <c r="G3459" s="536" t="s">
        <v>260</v>
      </c>
      <c r="H3459">
        <f t="shared" si="335"/>
        <v>10523.013698630137</v>
      </c>
    </row>
    <row r="3460" spans="1:8" ht="13.5" customHeight="1">
      <c r="A3460" s="532">
        <v>45195</v>
      </c>
      <c r="B3460" s="615">
        <v>228800</v>
      </c>
      <c r="C3460" s="615">
        <f t="shared" si="333"/>
        <v>250990.46575342465</v>
      </c>
      <c r="D3460" s="532">
        <f t="shared" si="332"/>
        <v>45225</v>
      </c>
      <c r="E3460" s="534">
        <v>30</v>
      </c>
      <c r="F3460" s="653">
        <v>1.18</v>
      </c>
      <c r="G3460" s="536" t="s">
        <v>261</v>
      </c>
      <c r="H3460">
        <f t="shared" si="335"/>
        <v>22190.465753424651</v>
      </c>
    </row>
    <row r="3461" spans="1:8" ht="13.5" customHeight="1">
      <c r="A3461" s="532">
        <v>45195</v>
      </c>
      <c r="B3461" s="615">
        <v>27000</v>
      </c>
      <c r="C3461" s="615">
        <f t="shared" si="333"/>
        <v>29618.630136986303</v>
      </c>
      <c r="D3461" s="532">
        <f t="shared" si="332"/>
        <v>45225</v>
      </c>
      <c r="E3461" s="534">
        <v>30</v>
      </c>
      <c r="F3461" s="653">
        <v>1.18</v>
      </c>
      <c r="G3461" s="536" t="s">
        <v>261</v>
      </c>
      <c r="H3461">
        <f t="shared" si="335"/>
        <v>2618.6301369863031</v>
      </c>
    </row>
    <row r="3462" spans="1:8" ht="13.5" customHeight="1">
      <c r="A3462" s="532">
        <v>45195</v>
      </c>
      <c r="B3462" s="615">
        <v>139000</v>
      </c>
      <c r="C3462" s="615">
        <f t="shared" si="333"/>
        <v>152481.09589041097</v>
      </c>
      <c r="D3462" s="532">
        <f t="shared" si="332"/>
        <v>45225</v>
      </c>
      <c r="E3462" s="534">
        <v>30</v>
      </c>
      <c r="F3462" s="653">
        <v>1.18</v>
      </c>
      <c r="G3462" s="536" t="s">
        <v>265</v>
      </c>
      <c r="H3462">
        <f t="shared" si="335"/>
        <v>13481.095890410972</v>
      </c>
    </row>
    <row r="3463" spans="1:8" ht="13.5" customHeight="1">
      <c r="A3463" s="532">
        <v>45196</v>
      </c>
      <c r="B3463" s="615">
        <v>700000</v>
      </c>
      <c r="C3463" s="615">
        <f t="shared" si="333"/>
        <v>767890.41095890407</v>
      </c>
      <c r="D3463" s="532">
        <f t="shared" si="332"/>
        <v>45226</v>
      </c>
      <c r="E3463" s="534">
        <v>30</v>
      </c>
      <c r="F3463" s="653">
        <v>1.18</v>
      </c>
      <c r="G3463" s="536" t="s">
        <v>256</v>
      </c>
      <c r="H3463">
        <f t="shared" si="335"/>
        <v>67890.410958904075</v>
      </c>
    </row>
    <row r="3464" spans="1:8" ht="13.5" customHeight="1">
      <c r="A3464" s="532">
        <v>45196</v>
      </c>
      <c r="B3464" s="615">
        <v>40000</v>
      </c>
      <c r="C3464" s="615">
        <f t="shared" si="333"/>
        <v>43879.452054794521</v>
      </c>
      <c r="D3464" s="532">
        <f t="shared" si="332"/>
        <v>45226</v>
      </c>
      <c r="E3464" s="534">
        <v>30</v>
      </c>
      <c r="F3464" s="653">
        <v>1.18</v>
      </c>
      <c r="G3464" s="536" t="s">
        <v>256</v>
      </c>
      <c r="H3464">
        <f t="shared" si="335"/>
        <v>3879.4520547945212</v>
      </c>
    </row>
    <row r="3465" spans="1:8" ht="13.5" customHeight="1">
      <c r="A3465" s="532">
        <v>45196</v>
      </c>
      <c r="B3465" s="615">
        <v>58500</v>
      </c>
      <c r="C3465" s="615">
        <f t="shared" si="333"/>
        <v>64173.698630136983</v>
      </c>
      <c r="D3465" s="532">
        <f t="shared" si="332"/>
        <v>45226</v>
      </c>
      <c r="E3465" s="534">
        <v>30</v>
      </c>
      <c r="F3465" s="653">
        <v>1.18</v>
      </c>
      <c r="G3465" s="536" t="s">
        <v>260</v>
      </c>
      <c r="H3465">
        <f t="shared" si="335"/>
        <v>5673.6986301369834</v>
      </c>
    </row>
    <row r="3466" spans="1:8" ht="13.5" customHeight="1">
      <c r="A3466" s="532">
        <v>45196</v>
      </c>
      <c r="B3466" s="615">
        <v>265000</v>
      </c>
      <c r="C3466" s="615">
        <f t="shared" si="333"/>
        <v>290701.36986301368</v>
      </c>
      <c r="D3466" s="532">
        <f t="shared" si="332"/>
        <v>45226</v>
      </c>
      <c r="E3466" s="534">
        <v>30</v>
      </c>
      <c r="F3466" s="653">
        <v>1.18</v>
      </c>
      <c r="G3466" s="536" t="s">
        <v>262</v>
      </c>
      <c r="H3466">
        <f t="shared" si="335"/>
        <v>25701.369863013679</v>
      </c>
    </row>
    <row r="3467" spans="1:8" ht="13.5" customHeight="1">
      <c r="A3467" s="532">
        <v>45196</v>
      </c>
      <c r="B3467" s="615">
        <v>285000</v>
      </c>
      <c r="C3467" s="615">
        <f t="shared" si="333"/>
        <v>312641.09589041094</v>
      </c>
      <c r="D3467" s="532">
        <f t="shared" si="332"/>
        <v>45226</v>
      </c>
      <c r="E3467" s="534">
        <v>30</v>
      </c>
      <c r="F3467" s="653">
        <v>1.18</v>
      </c>
      <c r="G3467" s="536" t="s">
        <v>258</v>
      </c>
      <c r="H3467">
        <f t="shared" si="335"/>
        <v>27641.095890410943</v>
      </c>
    </row>
    <row r="3468" spans="1:8" ht="13.5" customHeight="1">
      <c r="A3468" s="532">
        <v>45196</v>
      </c>
      <c r="B3468" s="615">
        <v>121000</v>
      </c>
      <c r="C3468" s="615">
        <f t="shared" si="333"/>
        <v>132735.34246575343</v>
      </c>
      <c r="D3468" s="532">
        <f t="shared" si="332"/>
        <v>45226</v>
      </c>
      <c r="E3468" s="534">
        <v>30</v>
      </c>
      <c r="F3468" s="653">
        <v>1.18</v>
      </c>
      <c r="G3468" s="536" t="s">
        <v>257</v>
      </c>
      <c r="H3468">
        <f t="shared" si="335"/>
        <v>11735.342465753434</v>
      </c>
    </row>
    <row r="3469" spans="1:8" ht="13.5" customHeight="1">
      <c r="A3469" s="532">
        <v>45196</v>
      </c>
      <c r="B3469" s="615">
        <v>317900</v>
      </c>
      <c r="C3469" s="615">
        <f t="shared" si="333"/>
        <v>348731.94520547945</v>
      </c>
      <c r="D3469" s="532">
        <f t="shared" si="332"/>
        <v>45226</v>
      </c>
      <c r="E3469" s="534">
        <v>30</v>
      </c>
      <c r="F3469" s="653">
        <v>1.18</v>
      </c>
      <c r="G3469" s="536" t="s">
        <v>261</v>
      </c>
      <c r="H3469">
        <f t="shared" si="335"/>
        <v>30831.945205479453</v>
      </c>
    </row>
    <row r="3470" spans="1:8" ht="13.5" customHeight="1">
      <c r="A3470" s="532">
        <v>45196</v>
      </c>
      <c r="B3470" s="615">
        <v>251200</v>
      </c>
      <c r="C3470" s="615">
        <f t="shared" si="333"/>
        <v>275562.9589041096</v>
      </c>
      <c r="D3470" s="532">
        <f t="shared" si="332"/>
        <v>45226</v>
      </c>
      <c r="E3470" s="534">
        <v>30</v>
      </c>
      <c r="F3470" s="653">
        <v>1.18</v>
      </c>
      <c r="G3470" s="536" t="s">
        <v>265</v>
      </c>
      <c r="H3470">
        <f t="shared" si="335"/>
        <v>24362.958904109604</v>
      </c>
    </row>
    <row r="3471" spans="1:8" ht="13.5" customHeight="1">
      <c r="A3471" s="532">
        <v>45196</v>
      </c>
      <c r="B3471" s="615">
        <v>49900</v>
      </c>
      <c r="C3471" s="615">
        <f t="shared" si="333"/>
        <v>54739.616438356163</v>
      </c>
      <c r="D3471" s="532">
        <f t="shared" si="332"/>
        <v>45226</v>
      </c>
      <c r="E3471" s="534">
        <v>30</v>
      </c>
      <c r="F3471" s="653">
        <v>1.18</v>
      </c>
      <c r="G3471" s="536" t="s">
        <v>259</v>
      </c>
      <c r="H3471">
        <f t="shared" si="335"/>
        <v>4839.6164383561627</v>
      </c>
    </row>
    <row r="3472" spans="1:8" ht="13.5" customHeight="1">
      <c r="A3472" s="532">
        <v>45197</v>
      </c>
      <c r="B3472" s="615">
        <v>152400</v>
      </c>
      <c r="C3472" s="615">
        <f t="shared" si="333"/>
        <v>168166.09315068493</v>
      </c>
      <c r="D3472" s="532">
        <f t="shared" si="332"/>
        <v>45229</v>
      </c>
      <c r="E3472" s="534">
        <v>32</v>
      </c>
      <c r="F3472" s="653">
        <v>1.18</v>
      </c>
      <c r="G3472" s="536" t="s">
        <v>265</v>
      </c>
      <c r="H3472">
        <f t="shared" si="335"/>
        <v>14780.712328767122</v>
      </c>
    </row>
    <row r="3473" spans="1:8" ht="13.5" customHeight="1">
      <c r="A3473" s="532">
        <v>45197</v>
      </c>
      <c r="B3473" s="615">
        <v>112900</v>
      </c>
      <c r="C3473" s="615">
        <f t="shared" si="333"/>
        <v>124579.73698630137</v>
      </c>
      <c r="D3473" s="532">
        <f t="shared" si="332"/>
        <v>45229</v>
      </c>
      <c r="E3473" s="534">
        <v>32</v>
      </c>
      <c r="F3473" s="653">
        <v>1.18</v>
      </c>
      <c r="G3473" s="536" t="s">
        <v>261</v>
      </c>
      <c r="H3473">
        <f t="shared" si="335"/>
        <v>10949.753424657538</v>
      </c>
    </row>
    <row r="3474" spans="1:8" ht="13.5" customHeight="1">
      <c r="A3474" s="532">
        <v>45197</v>
      </c>
      <c r="B3474" s="615">
        <v>505000</v>
      </c>
      <c r="C3474" s="615">
        <f t="shared" si="333"/>
        <v>557243.28767123283</v>
      </c>
      <c r="D3474" s="532">
        <f t="shared" si="332"/>
        <v>45229</v>
      </c>
      <c r="E3474" s="534">
        <v>32</v>
      </c>
      <c r="F3474" s="653">
        <v>1.18</v>
      </c>
      <c r="G3474" s="536" t="s">
        <v>258</v>
      </c>
      <c r="H3474">
        <f t="shared" si="335"/>
        <v>48978.082191780777</v>
      </c>
    </row>
    <row r="3475" spans="1:8" ht="13.5" customHeight="1">
      <c r="A3475" s="532">
        <v>45197</v>
      </c>
      <c r="B3475" s="615">
        <v>585000</v>
      </c>
      <c r="C3475" s="615">
        <f t="shared" si="333"/>
        <v>645519.45205479453</v>
      </c>
      <c r="D3475" s="532">
        <f t="shared" si="332"/>
        <v>45229</v>
      </c>
      <c r="E3475" s="534">
        <v>32</v>
      </c>
      <c r="F3475" s="653">
        <v>1.18</v>
      </c>
      <c r="G3475" s="536" t="s">
        <v>256</v>
      </c>
      <c r="H3475">
        <f t="shared" si="335"/>
        <v>56736.98630136987</v>
      </c>
    </row>
    <row r="3476" spans="1:8" ht="13.5" customHeight="1">
      <c r="A3476" s="532">
        <v>45197</v>
      </c>
      <c r="B3476" s="615">
        <v>59500</v>
      </c>
      <c r="C3476" s="615">
        <f t="shared" si="333"/>
        <v>65655.397260273967</v>
      </c>
      <c r="D3476" s="532">
        <f t="shared" si="332"/>
        <v>45229</v>
      </c>
      <c r="E3476" s="534">
        <v>32</v>
      </c>
      <c r="F3476" s="653">
        <v>1.18</v>
      </c>
      <c r="G3476" s="536" t="s">
        <v>257</v>
      </c>
      <c r="H3476">
        <f t="shared" si="335"/>
        <v>5770.6849315068439</v>
      </c>
    </row>
    <row r="3477" spans="1:8" ht="13.5" customHeight="1">
      <c r="A3477" s="532">
        <v>45198</v>
      </c>
      <c r="B3477" s="615">
        <v>59000</v>
      </c>
      <c r="C3477" s="615">
        <f t="shared" si="333"/>
        <v>65103.67123287671</v>
      </c>
      <c r="D3477" s="532">
        <f t="shared" si="332"/>
        <v>45230</v>
      </c>
      <c r="E3477" s="534">
        <v>32</v>
      </c>
      <c r="F3477" s="653">
        <v>1.18</v>
      </c>
      <c r="G3477" s="536" t="s">
        <v>261</v>
      </c>
      <c r="H3477">
        <f t="shared" si="335"/>
        <v>5722.191780821915</v>
      </c>
    </row>
    <row r="3478" spans="1:8" ht="13.5" customHeight="1">
      <c r="A3478" s="532">
        <v>45198</v>
      </c>
      <c r="B3478" s="615">
        <v>550000</v>
      </c>
      <c r="C3478" s="615">
        <f t="shared" si="333"/>
        <v>606898.63013698626</v>
      </c>
      <c r="D3478" s="532">
        <f t="shared" si="332"/>
        <v>45230</v>
      </c>
      <c r="E3478" s="534">
        <v>32</v>
      </c>
      <c r="F3478" s="653">
        <v>1.18</v>
      </c>
      <c r="G3478" s="536" t="s">
        <v>258</v>
      </c>
      <c r="H3478">
        <f t="shared" si="335"/>
        <v>53342.465753424622</v>
      </c>
    </row>
    <row r="3479" spans="1:8" ht="13.5" customHeight="1">
      <c r="A3479" s="532">
        <v>45198</v>
      </c>
      <c r="B3479" s="615">
        <v>540000</v>
      </c>
      <c r="C3479" s="615">
        <f t="shared" si="333"/>
        <v>595864.10958904109</v>
      </c>
      <c r="D3479" s="532">
        <f t="shared" si="332"/>
        <v>45230</v>
      </c>
      <c r="E3479" s="534">
        <v>32</v>
      </c>
      <c r="F3479" s="653">
        <v>1.18</v>
      </c>
      <c r="G3479" s="536" t="s">
        <v>256</v>
      </c>
      <c r="H3479">
        <f t="shared" si="335"/>
        <v>52372.602739726026</v>
      </c>
    </row>
    <row r="3480" spans="1:8" ht="12.75" customHeight="1">
      <c r="A3480" s="532">
        <v>45198</v>
      </c>
      <c r="B3480" s="615">
        <v>660000</v>
      </c>
      <c r="C3480" s="615">
        <f t="shared" si="333"/>
        <v>728278.35616438359</v>
      </c>
      <c r="D3480" s="532">
        <f t="shared" si="332"/>
        <v>45230</v>
      </c>
      <c r="E3480" s="534">
        <v>32</v>
      </c>
      <c r="F3480" s="653">
        <v>1.18</v>
      </c>
      <c r="G3480" s="536" t="s">
        <v>262</v>
      </c>
      <c r="H3480">
        <f t="shared" si="335"/>
        <v>64010.958904109611</v>
      </c>
    </row>
    <row r="3481" spans="1:8" ht="13.5" customHeight="1">
      <c r="A3481" s="532">
        <v>45201</v>
      </c>
      <c r="B3481" s="615">
        <v>1500000</v>
      </c>
      <c r="C3481" s="615">
        <f t="shared" si="333"/>
        <v>1645479.4520547944</v>
      </c>
      <c r="D3481" s="532">
        <f t="shared" si="332"/>
        <v>45231</v>
      </c>
      <c r="E3481" s="534">
        <v>30</v>
      </c>
      <c r="F3481" s="653">
        <v>1.18</v>
      </c>
      <c r="G3481" s="536" t="s">
        <v>262</v>
      </c>
      <c r="H3481">
        <f t="shared" si="335"/>
        <v>145479.45205479441</v>
      </c>
    </row>
    <row r="3482" spans="1:8" ht="13.5" customHeight="1">
      <c r="A3482" s="532">
        <v>45201</v>
      </c>
      <c r="B3482" s="615">
        <v>330000</v>
      </c>
      <c r="C3482" s="615">
        <f t="shared" si="333"/>
        <v>362005.47945205477</v>
      </c>
      <c r="D3482" s="532">
        <f t="shared" si="332"/>
        <v>45231</v>
      </c>
      <c r="E3482" s="534">
        <v>30</v>
      </c>
      <c r="F3482" s="653">
        <v>1.18</v>
      </c>
      <c r="G3482" s="536" t="s">
        <v>258</v>
      </c>
      <c r="H3482">
        <f t="shared" si="335"/>
        <v>32005.479452054773</v>
      </c>
    </row>
    <row r="3483" spans="1:8" ht="13.5" customHeight="1">
      <c r="A3483" s="532">
        <v>45201</v>
      </c>
      <c r="B3483" s="615">
        <v>560000</v>
      </c>
      <c r="C3483" s="615">
        <f t="shared" si="333"/>
        <v>614312.32876712328</v>
      </c>
      <c r="D3483" s="532">
        <f t="shared" si="332"/>
        <v>45231</v>
      </c>
      <c r="E3483" s="534">
        <v>30</v>
      </c>
      <c r="F3483" s="653">
        <v>1.18</v>
      </c>
      <c r="G3483" s="536" t="s">
        <v>256</v>
      </c>
      <c r="H3483">
        <f t="shared" si="335"/>
        <v>54312.328767123283</v>
      </c>
    </row>
    <row r="3484" spans="1:8" ht="13.5" customHeight="1">
      <c r="A3484" s="532">
        <v>45201</v>
      </c>
      <c r="B3484" s="615">
        <v>148700</v>
      </c>
      <c r="C3484" s="615">
        <f t="shared" si="333"/>
        <v>163121.86301369863</v>
      </c>
      <c r="D3484" s="532">
        <f t="shared" ref="A3484:D3503" si="336">+A3484+E3484</f>
        <v>45231</v>
      </c>
      <c r="E3484" s="534">
        <v>30</v>
      </c>
      <c r="F3484" s="653">
        <v>1.18</v>
      </c>
      <c r="G3484" s="536" t="s">
        <v>257</v>
      </c>
      <c r="H3484">
        <f t="shared" si="335"/>
        <v>14421.863013698632</v>
      </c>
    </row>
    <row r="3485" spans="1:8" ht="13.5" customHeight="1">
      <c r="A3485" s="532">
        <v>45201</v>
      </c>
      <c r="B3485" s="615">
        <v>58000</v>
      </c>
      <c r="C3485" s="615">
        <f t="shared" si="333"/>
        <v>63625.205479452052</v>
      </c>
      <c r="D3485" s="532">
        <f t="shared" si="336"/>
        <v>45231</v>
      </c>
      <c r="E3485" s="534">
        <v>30</v>
      </c>
      <c r="F3485" s="653">
        <v>1.18</v>
      </c>
      <c r="G3485" s="536" t="s">
        <v>261</v>
      </c>
      <c r="H3485">
        <f t="shared" si="335"/>
        <v>5625.2054794520518</v>
      </c>
    </row>
    <row r="3486" spans="1:8" ht="13.5" customHeight="1">
      <c r="A3486" s="532">
        <v>45202</v>
      </c>
      <c r="B3486" s="615">
        <v>17000</v>
      </c>
      <c r="C3486" s="615">
        <f t="shared" si="333"/>
        <v>18648.767123287671</v>
      </c>
      <c r="D3486" s="532">
        <f t="shared" si="336"/>
        <v>45232</v>
      </c>
      <c r="E3486" s="534">
        <v>30</v>
      </c>
      <c r="F3486" s="653">
        <v>1.18</v>
      </c>
      <c r="G3486" s="536" t="s">
        <v>258</v>
      </c>
      <c r="H3486">
        <f t="shared" si="335"/>
        <v>1648.767123287671</v>
      </c>
    </row>
    <row r="3487" spans="1:8" ht="13.5" customHeight="1">
      <c r="A3487" s="532">
        <v>45202</v>
      </c>
      <c r="B3487" s="615">
        <v>59300</v>
      </c>
      <c r="C3487" s="615">
        <f t="shared" si="333"/>
        <v>65051.287671232873</v>
      </c>
      <c r="D3487" s="532">
        <f t="shared" si="336"/>
        <v>45232</v>
      </c>
      <c r="E3487" s="534">
        <v>30</v>
      </c>
      <c r="F3487" s="653">
        <v>1.18</v>
      </c>
      <c r="G3487" s="536" t="s">
        <v>260</v>
      </c>
      <c r="H3487">
        <f t="shared" si="335"/>
        <v>5751.2876712328725</v>
      </c>
    </row>
    <row r="3488" spans="1:8" ht="13.5" customHeight="1">
      <c r="A3488" s="532">
        <v>45202</v>
      </c>
      <c r="B3488" s="615">
        <v>110000</v>
      </c>
      <c r="C3488" s="615">
        <f t="shared" si="333"/>
        <v>120668.49315068492</v>
      </c>
      <c r="D3488" s="532">
        <f t="shared" si="336"/>
        <v>45232</v>
      </c>
      <c r="E3488" s="534">
        <v>30</v>
      </c>
      <c r="F3488" s="653">
        <v>1.18</v>
      </c>
      <c r="G3488" s="536" t="s">
        <v>262</v>
      </c>
      <c r="H3488">
        <f t="shared" si="335"/>
        <v>10668.493150684924</v>
      </c>
    </row>
    <row r="3489" spans="1:9" ht="13.5" customHeight="1">
      <c r="A3489" s="532">
        <v>45203</v>
      </c>
      <c r="B3489" s="615">
        <v>93200</v>
      </c>
      <c r="C3489" s="615">
        <f t="shared" si="333"/>
        <v>102239.12328767123</v>
      </c>
      <c r="D3489" s="532">
        <f t="shared" si="336"/>
        <v>45233</v>
      </c>
      <c r="E3489" s="534">
        <v>30</v>
      </c>
      <c r="F3489" s="653">
        <v>1.18</v>
      </c>
      <c r="G3489" s="536" t="s">
        <v>261</v>
      </c>
      <c r="H3489">
        <f t="shared" si="335"/>
        <v>9039.1232876712311</v>
      </c>
    </row>
    <row r="3490" spans="1:9" ht="13.5" customHeight="1">
      <c r="A3490" s="532">
        <v>45203</v>
      </c>
      <c r="B3490" s="615">
        <v>310000</v>
      </c>
      <c r="C3490" s="615">
        <f t="shared" si="333"/>
        <v>340065.75342465751</v>
      </c>
      <c r="D3490" s="532">
        <f t="shared" si="336"/>
        <v>45233</v>
      </c>
      <c r="E3490" s="534">
        <v>30</v>
      </c>
      <c r="F3490" s="653">
        <v>1.18</v>
      </c>
      <c r="G3490" s="536" t="s">
        <v>256</v>
      </c>
      <c r="H3490">
        <f t="shared" si="335"/>
        <v>30065.753424657509</v>
      </c>
    </row>
    <row r="3491" spans="1:9" ht="13.5" customHeight="1">
      <c r="A3491" s="532">
        <v>45203</v>
      </c>
      <c r="B3491" s="615">
        <v>100000</v>
      </c>
      <c r="C3491" s="615">
        <f t="shared" si="333"/>
        <v>109698.63013698631</v>
      </c>
      <c r="D3491" s="532">
        <f t="shared" si="336"/>
        <v>45233</v>
      </c>
      <c r="E3491" s="534">
        <v>30</v>
      </c>
      <c r="F3491" s="653">
        <v>1.18</v>
      </c>
      <c r="G3491" s="536" t="s">
        <v>258</v>
      </c>
      <c r="H3491">
        <f t="shared" si="335"/>
        <v>9698.6301369863068</v>
      </c>
    </row>
    <row r="3492" spans="1:9" ht="13.5" customHeight="1">
      <c r="A3492" s="532">
        <v>45203</v>
      </c>
      <c r="B3492" s="615">
        <v>70600</v>
      </c>
      <c r="C3492" s="615">
        <f t="shared" ref="A3492:C3503" si="337">B3492+(B3492*F3492/365*E3492)*1</f>
        <v>77447.232876712325</v>
      </c>
      <c r="D3492" s="532">
        <f t="shared" si="336"/>
        <v>45233</v>
      </c>
      <c r="E3492" s="534">
        <v>30</v>
      </c>
      <c r="F3492" s="653">
        <v>1.18</v>
      </c>
      <c r="G3492" s="536" t="s">
        <v>260</v>
      </c>
      <c r="H3492">
        <f t="shared" si="335"/>
        <v>6847.2328767123254</v>
      </c>
    </row>
    <row r="3493" spans="1:9" ht="13.5" customHeight="1">
      <c r="A3493" s="532">
        <v>45203</v>
      </c>
      <c r="B3493" s="615">
        <v>740000</v>
      </c>
      <c r="C3493" s="615">
        <f t="shared" si="337"/>
        <v>811769.8630136986</v>
      </c>
      <c r="D3493" s="532">
        <f t="shared" si="336"/>
        <v>45233</v>
      </c>
      <c r="E3493" s="534">
        <v>30</v>
      </c>
      <c r="F3493" s="653">
        <v>1.18</v>
      </c>
      <c r="G3493" s="536" t="s">
        <v>262</v>
      </c>
      <c r="H3493">
        <f t="shared" si="335"/>
        <v>71769.863013698603</v>
      </c>
    </row>
    <row r="3494" spans="1:9" ht="13.5" customHeight="1">
      <c r="A3494" s="532">
        <v>45203</v>
      </c>
      <c r="B3494" s="615">
        <v>169300</v>
      </c>
      <c r="C3494" s="615">
        <f t="shared" si="337"/>
        <v>185719.78082191781</v>
      </c>
      <c r="D3494" s="532">
        <f t="shared" si="336"/>
        <v>45233</v>
      </c>
      <c r="E3494" s="534">
        <v>30</v>
      </c>
      <c r="F3494" s="653">
        <v>1.18</v>
      </c>
      <c r="G3494" s="536" t="s">
        <v>265</v>
      </c>
      <c r="H3494">
        <f t="shared" si="335"/>
        <v>16419.780821917811</v>
      </c>
    </row>
    <row r="3495" spans="1:9" ht="13.5" customHeight="1">
      <c r="A3495" s="532">
        <v>45203</v>
      </c>
      <c r="B3495" s="615">
        <v>174700</v>
      </c>
      <c r="C3495" s="615">
        <f t="shared" si="337"/>
        <v>191643.50684931508</v>
      </c>
      <c r="D3495" s="532">
        <f t="shared" si="336"/>
        <v>45233</v>
      </c>
      <c r="E3495" s="534">
        <v>30</v>
      </c>
      <c r="F3495" s="653">
        <v>1.18</v>
      </c>
      <c r="G3495" s="536" t="s">
        <v>257</v>
      </c>
      <c r="H3495">
        <f t="shared" si="335"/>
        <v>16943.506849315076</v>
      </c>
    </row>
    <row r="3496" spans="1:9" ht="13.5" customHeight="1">
      <c r="A3496" s="532">
        <v>45203</v>
      </c>
      <c r="B3496" s="615">
        <v>115000</v>
      </c>
      <c r="C3496" s="615">
        <f t="shared" si="337"/>
        <v>126153.42465753425</v>
      </c>
      <c r="D3496" s="532">
        <f t="shared" si="336"/>
        <v>45233</v>
      </c>
      <c r="E3496" s="534">
        <v>30</v>
      </c>
      <c r="F3496" s="653">
        <v>1.18</v>
      </c>
      <c r="G3496" s="536" t="s">
        <v>259</v>
      </c>
      <c r="H3496">
        <f t="shared" si="335"/>
        <v>11153.424657534255</v>
      </c>
    </row>
    <row r="3497" spans="1:9" ht="13.5" customHeight="1">
      <c r="A3497" s="532">
        <v>45204</v>
      </c>
      <c r="B3497" s="615">
        <v>54000</v>
      </c>
      <c r="C3497" s="615">
        <f t="shared" si="337"/>
        <v>59760.986301369863</v>
      </c>
      <c r="D3497" s="532">
        <f t="shared" si="336"/>
        <v>45237</v>
      </c>
      <c r="E3497" s="534">
        <v>33</v>
      </c>
      <c r="F3497" s="653">
        <v>1.18</v>
      </c>
      <c r="G3497" s="536" t="s">
        <v>261</v>
      </c>
      <c r="H3497">
        <f t="shared" si="335"/>
        <v>5237.2602739726035</v>
      </c>
    </row>
    <row r="3498" spans="1:9" ht="13.5" customHeight="1">
      <c r="A3498" s="532">
        <v>45204</v>
      </c>
      <c r="B3498" s="615">
        <v>800000</v>
      </c>
      <c r="C3498" s="615">
        <f t="shared" si="337"/>
        <v>885347.94520547939</v>
      </c>
      <c r="D3498" s="532">
        <f t="shared" si="336"/>
        <v>45237</v>
      </c>
      <c r="E3498" s="534">
        <v>33</v>
      </c>
      <c r="F3498" s="653">
        <v>1.18</v>
      </c>
      <c r="G3498" s="536" t="s">
        <v>262</v>
      </c>
      <c r="H3498">
        <f t="shared" si="335"/>
        <v>77589.041095890367</v>
      </c>
      <c r="I3498">
        <f>819-30</f>
        <v>789</v>
      </c>
    </row>
    <row r="3499" spans="1:9" ht="13.5" customHeight="1">
      <c r="A3499" s="532">
        <v>45204</v>
      </c>
      <c r="B3499" s="615">
        <v>385000</v>
      </c>
      <c r="C3499" s="615">
        <f t="shared" si="337"/>
        <v>426073.69863013696</v>
      </c>
      <c r="D3499" s="532">
        <f t="shared" si="336"/>
        <v>45237</v>
      </c>
      <c r="E3499" s="534">
        <v>33</v>
      </c>
      <c r="F3499" s="653">
        <v>1.18</v>
      </c>
      <c r="G3499" s="536" t="s">
        <v>258</v>
      </c>
      <c r="H3499">
        <f t="shared" si="335"/>
        <v>37339.726027397242</v>
      </c>
    </row>
    <row r="3500" spans="1:9" ht="13.5" customHeight="1">
      <c r="A3500" s="532">
        <v>45204</v>
      </c>
      <c r="B3500" s="615">
        <v>105200</v>
      </c>
      <c r="C3500" s="615">
        <f t="shared" si="337"/>
        <v>116423.25479452054</v>
      </c>
      <c r="D3500" s="532">
        <f t="shared" si="336"/>
        <v>45237</v>
      </c>
      <c r="E3500" s="534">
        <v>33</v>
      </c>
      <c r="F3500" s="653">
        <v>1.18</v>
      </c>
      <c r="G3500" s="536" t="s">
        <v>259</v>
      </c>
      <c r="H3500">
        <f t="shared" si="335"/>
        <v>10202.958904109586</v>
      </c>
    </row>
    <row r="3501" spans="1:9" ht="13.5" customHeight="1">
      <c r="A3501" s="532">
        <v>45204</v>
      </c>
      <c r="B3501" s="615">
        <v>65100</v>
      </c>
      <c r="C3501" s="615">
        <f t="shared" si="337"/>
        <v>72045.189041095888</v>
      </c>
      <c r="D3501" s="532">
        <f t="shared" si="336"/>
        <v>45237</v>
      </c>
      <c r="E3501" s="534">
        <v>33</v>
      </c>
      <c r="F3501" s="653">
        <v>1.18</v>
      </c>
      <c r="G3501" s="536" t="s">
        <v>260</v>
      </c>
      <c r="H3501">
        <f t="shared" si="335"/>
        <v>6313.8082191780795</v>
      </c>
    </row>
    <row r="3502" spans="1:9" ht="13.5" customHeight="1">
      <c r="A3502" s="532">
        <v>45204</v>
      </c>
      <c r="B3502" s="615">
        <v>20000</v>
      </c>
      <c r="C3502" s="615">
        <f t="shared" si="337"/>
        <v>22133.698630136987</v>
      </c>
      <c r="D3502" s="532">
        <f t="shared" si="336"/>
        <v>45237</v>
      </c>
      <c r="E3502" s="534">
        <v>33</v>
      </c>
      <c r="F3502" s="653">
        <v>1.18</v>
      </c>
      <c r="G3502" s="536" t="s">
        <v>256</v>
      </c>
      <c r="H3502">
        <f t="shared" si="335"/>
        <v>1939.7260273972611</v>
      </c>
    </row>
    <row r="3503" spans="1:9" ht="13.5" customHeight="1">
      <c r="A3503" s="532">
        <v>45205</v>
      </c>
      <c r="B3503" s="615">
        <v>166400</v>
      </c>
      <c r="C3503" s="615">
        <f t="shared" si="337"/>
        <v>183614.42191780821</v>
      </c>
      <c r="D3503" s="532">
        <f t="shared" si="336"/>
        <v>45237</v>
      </c>
      <c r="E3503" s="534">
        <v>32</v>
      </c>
      <c r="F3503" s="653">
        <v>1.18</v>
      </c>
      <c r="G3503" s="536" t="s">
        <v>261</v>
      </c>
      <c r="H3503">
        <f t="shared" si="335"/>
        <v>16138.5205479452</v>
      </c>
      <c r="I3503">
        <f>819-30</f>
        <v>789</v>
      </c>
    </row>
    <row r="3504" spans="1:9" ht="13.5" customHeight="1">
      <c r="A3504" s="532">
        <v>45205</v>
      </c>
      <c r="B3504" s="615">
        <v>307200</v>
      </c>
      <c r="C3504" s="615">
        <f t="shared" ref="A3504:C3507" si="338">B3504+(B3504*F3504/365*E3504)*1</f>
        <v>339973.61095890409</v>
      </c>
      <c r="D3504" s="532">
        <f t="shared" ref="A3504:D3507" si="339">+A3504+E3504</f>
        <v>45238</v>
      </c>
      <c r="E3504" s="534">
        <v>33</v>
      </c>
      <c r="F3504" s="653">
        <v>1.18</v>
      </c>
      <c r="G3504" s="536" t="s">
        <v>257</v>
      </c>
      <c r="H3504">
        <f t="shared" ref="A3504:H3507" si="340">(C3504-B3504)/E3504*30</f>
        <v>29794.191780821897</v>
      </c>
    </row>
    <row r="3505" spans="1:9" ht="13.5" customHeight="1">
      <c r="A3505" s="532">
        <v>45205</v>
      </c>
      <c r="B3505" s="615">
        <v>268400</v>
      </c>
      <c r="C3505" s="615">
        <f t="shared" si="338"/>
        <v>297034.23561643838</v>
      </c>
      <c r="D3505" s="532">
        <f t="shared" si="339"/>
        <v>45238</v>
      </c>
      <c r="E3505" s="534">
        <v>33</v>
      </c>
      <c r="F3505" s="653">
        <v>1.18</v>
      </c>
      <c r="G3505" s="536" t="s">
        <v>260</v>
      </c>
      <c r="H3505">
        <f t="shared" si="340"/>
        <v>26031.123287671257</v>
      </c>
      <c r="I3505">
        <f>819-30</f>
        <v>789</v>
      </c>
    </row>
    <row r="3506" spans="1:9" ht="13.5" customHeight="1">
      <c r="A3506" s="532">
        <v>45205</v>
      </c>
      <c r="B3506" s="615">
        <v>640000</v>
      </c>
      <c r="C3506" s="615">
        <f t="shared" si="338"/>
        <v>708278.35616438359</v>
      </c>
      <c r="D3506" s="532">
        <f t="shared" si="339"/>
        <v>45238</v>
      </c>
      <c r="E3506" s="534">
        <v>33</v>
      </c>
      <c r="F3506" s="653">
        <v>1.18</v>
      </c>
      <c r="G3506" s="536" t="s">
        <v>256</v>
      </c>
      <c r="H3506">
        <f t="shared" si="340"/>
        <v>62071.232876712354</v>
      </c>
    </row>
    <row r="3507" spans="1:9" ht="13.5" customHeight="1">
      <c r="A3507" s="532">
        <v>45205</v>
      </c>
      <c r="B3507" s="615">
        <v>170000</v>
      </c>
      <c r="C3507" s="615">
        <f t="shared" si="338"/>
        <v>188136.43835616438</v>
      </c>
      <c r="D3507" s="532">
        <f t="shared" si="339"/>
        <v>45238</v>
      </c>
      <c r="E3507" s="534">
        <v>33</v>
      </c>
      <c r="F3507" s="653">
        <v>1.18</v>
      </c>
      <c r="G3507" s="536" t="s">
        <v>258</v>
      </c>
      <c r="H3507">
        <f t="shared" si="340"/>
        <v>16487.671232876706</v>
      </c>
    </row>
    <row r="3508" spans="1:9" ht="13.5" customHeight="1">
      <c r="A3508" s="532">
        <v>45208</v>
      </c>
      <c r="B3508" s="615">
        <v>1050000</v>
      </c>
      <c r="C3508" s="615">
        <f>B3508+(B3508*F3508/365*E3508)*1</f>
        <v>1155230.1369863013</v>
      </c>
      <c r="D3508" s="532">
        <f>+A3508+E3508</f>
        <v>45239</v>
      </c>
      <c r="E3508" s="534">
        <v>31</v>
      </c>
      <c r="F3508" s="653">
        <v>1.18</v>
      </c>
      <c r="G3508" s="536" t="s">
        <v>262</v>
      </c>
      <c r="H3508">
        <f>(C3508-B3508)/E3508*30</f>
        <v>101835.61643835607</v>
      </c>
    </row>
    <row r="3509" spans="1:9" ht="13.5" customHeight="1">
      <c r="A3509" s="532">
        <v>45208</v>
      </c>
      <c r="B3509" s="615">
        <v>90000</v>
      </c>
      <c r="C3509" s="615">
        <f>B3509+(B3509*F3509/365*E3509)*1</f>
        <v>99019.726027397264</v>
      </c>
      <c r="D3509" s="532">
        <f>+A3509+E3509</f>
        <v>45239</v>
      </c>
      <c r="E3509" s="534">
        <v>31</v>
      </c>
      <c r="F3509" s="653">
        <v>1.18</v>
      </c>
      <c r="G3509" s="536" t="s">
        <v>260</v>
      </c>
      <c r="H3509">
        <f>(C3509-B3509)/E3509*30</f>
        <v>8728.7671232876746</v>
      </c>
    </row>
    <row r="3510" spans="1:9" ht="13.5" customHeight="1">
      <c r="A3510" s="532">
        <v>45208</v>
      </c>
      <c r="B3510" s="615">
        <v>122500</v>
      </c>
      <c r="C3510" s="615">
        <f>B3510+(B3510*F3510/365*E3510)*1</f>
        <v>134776.84931506848</v>
      </c>
      <c r="D3510" s="532">
        <f>+A3510+E3510</f>
        <v>45239</v>
      </c>
      <c r="E3510" s="534">
        <v>31</v>
      </c>
      <c r="F3510" s="653">
        <v>1.18</v>
      </c>
      <c r="G3510" s="536" t="s">
        <v>261</v>
      </c>
      <c r="H3510">
        <f>(C3510-B3510)/E3510*30</f>
        <v>11880.821917808207</v>
      </c>
      <c r="I3510">
        <f>819-30</f>
        <v>789</v>
      </c>
    </row>
    <row r="3511" spans="1:9" ht="13.5" customHeight="1">
      <c r="A3511" s="532">
        <v>45210</v>
      </c>
      <c r="B3511" s="615">
        <v>57000</v>
      </c>
      <c r="C3511" s="615">
        <f t="shared" ref="A3511:C3514" si="341">B3511+(B3511*F3511/365*E3511)*1</f>
        <v>62528.219178082189</v>
      </c>
      <c r="D3511" s="532">
        <f t="shared" ref="A3511:D3514" si="342">+A3511+E3511</f>
        <v>45240</v>
      </c>
      <c r="E3511" s="534">
        <v>30</v>
      </c>
      <c r="F3511" s="653">
        <v>1.18</v>
      </c>
      <c r="G3511" s="536" t="s">
        <v>261</v>
      </c>
      <c r="H3511">
        <f t="shared" ref="A3511:H3514" si="343">(C3511-B3511)/E3511*30</f>
        <v>5528.2191780821886</v>
      </c>
    </row>
    <row r="3512" spans="1:9" ht="13.5" customHeight="1">
      <c r="A3512" s="532">
        <v>45209</v>
      </c>
      <c r="B3512" s="615">
        <v>85000</v>
      </c>
      <c r="C3512" s="615">
        <f t="shared" si="341"/>
        <v>93518.630136986307</v>
      </c>
      <c r="D3512" s="532">
        <f t="shared" si="342"/>
        <v>45240</v>
      </c>
      <c r="E3512" s="534">
        <v>31</v>
      </c>
      <c r="F3512" s="653">
        <v>1.18</v>
      </c>
      <c r="G3512" s="536" t="s">
        <v>260</v>
      </c>
      <c r="H3512">
        <f t="shared" si="343"/>
        <v>8243.8356164383604</v>
      </c>
      <c r="I3512">
        <f>819-30</f>
        <v>789</v>
      </c>
    </row>
    <row r="3513" spans="1:9" ht="13.5" customHeight="1">
      <c r="A3513" s="532">
        <v>45209</v>
      </c>
      <c r="B3513" s="615">
        <v>160000</v>
      </c>
      <c r="C3513" s="615">
        <f t="shared" si="341"/>
        <v>176035.0684931507</v>
      </c>
      <c r="D3513" s="532">
        <f t="shared" si="342"/>
        <v>45240</v>
      </c>
      <c r="E3513" s="534">
        <v>31</v>
      </c>
      <c r="F3513" s="653">
        <v>1.18</v>
      </c>
      <c r="G3513" s="536" t="s">
        <v>256</v>
      </c>
      <c r="H3513">
        <f t="shared" si="343"/>
        <v>15517.808219178094</v>
      </c>
    </row>
    <row r="3514" spans="1:9" ht="13.5" customHeight="1">
      <c r="A3514" s="532">
        <v>45209</v>
      </c>
      <c r="B3514" s="615">
        <v>35000</v>
      </c>
      <c r="C3514" s="615">
        <f t="shared" si="341"/>
        <v>38507.67123287671</v>
      </c>
      <c r="D3514" s="532">
        <f t="shared" si="342"/>
        <v>45240</v>
      </c>
      <c r="E3514" s="534">
        <v>31</v>
      </c>
      <c r="F3514" s="653">
        <v>1.18</v>
      </c>
      <c r="G3514" s="536" t="s">
        <v>261</v>
      </c>
      <c r="H3514">
        <f t="shared" si="343"/>
        <v>3394.5205479452034</v>
      </c>
    </row>
    <row r="3515" spans="1:9" ht="13.5" customHeight="1">
      <c r="A3515" s="532">
        <v>45211</v>
      </c>
      <c r="B3515" s="615">
        <v>125400</v>
      </c>
      <c r="C3515" s="615">
        <f t="shared" ref="A3515:C3522" si="344">B3515+(B3515*F3515/365*E3515)*1</f>
        <v>138372.88767123286</v>
      </c>
      <c r="D3515" s="532">
        <f t="shared" ref="A3515:D3522" si="345">+A3515+E3515</f>
        <v>45243</v>
      </c>
      <c r="E3515" s="534">
        <v>32</v>
      </c>
      <c r="F3515" s="653">
        <v>1.18</v>
      </c>
      <c r="G3515" s="536" t="s">
        <v>260</v>
      </c>
      <c r="H3515">
        <f t="shared" ref="A3515:H3522" si="346">(C3515-B3515)/E3515*30</f>
        <v>12162.08219178081</v>
      </c>
    </row>
    <row r="3516" spans="1:9" ht="13.5" customHeight="1">
      <c r="A3516" s="532">
        <v>45211</v>
      </c>
      <c r="B3516" s="615">
        <v>33400</v>
      </c>
      <c r="C3516" s="615">
        <f t="shared" si="344"/>
        <v>36855.298630136989</v>
      </c>
      <c r="D3516" s="532">
        <f t="shared" si="345"/>
        <v>45243</v>
      </c>
      <c r="E3516" s="534">
        <v>32</v>
      </c>
      <c r="F3516" s="653">
        <v>1.18</v>
      </c>
      <c r="G3516" s="536" t="s">
        <v>265</v>
      </c>
      <c r="H3516">
        <f t="shared" si="346"/>
        <v>3239.3424657534274</v>
      </c>
    </row>
    <row r="3517" spans="1:9" ht="13.5" customHeight="1">
      <c r="A3517" s="532">
        <v>45211</v>
      </c>
      <c r="B3517" s="615">
        <v>228000</v>
      </c>
      <c r="C3517" s="615">
        <f t="shared" si="344"/>
        <v>251587.0684931507</v>
      </c>
      <c r="D3517" s="532">
        <f t="shared" si="345"/>
        <v>45243</v>
      </c>
      <c r="E3517" s="534">
        <v>32</v>
      </c>
      <c r="F3517" s="653">
        <v>1.18</v>
      </c>
      <c r="G3517" s="536" t="s">
        <v>263</v>
      </c>
      <c r="H3517">
        <f t="shared" si="346"/>
        <v>22112.87671232878</v>
      </c>
    </row>
    <row r="3518" spans="1:9" ht="13.5" customHeight="1">
      <c r="A3518" s="532">
        <v>45210</v>
      </c>
      <c r="B3518" s="615">
        <v>59700</v>
      </c>
      <c r="C3518" s="615">
        <f t="shared" si="344"/>
        <v>66069.090410958903</v>
      </c>
      <c r="D3518" s="532">
        <f t="shared" si="345"/>
        <v>45243</v>
      </c>
      <c r="E3518" s="534">
        <v>33</v>
      </c>
      <c r="F3518" s="653">
        <v>1.18</v>
      </c>
      <c r="G3518" s="536" t="s">
        <v>265</v>
      </c>
      <c r="H3518">
        <f>(C3518-B3518)/E3518*30</f>
        <v>5790.0821917808207</v>
      </c>
      <c r="I3518">
        <f>819-30</f>
        <v>789</v>
      </c>
    </row>
    <row r="3519" spans="1:9" ht="13.5" customHeight="1">
      <c r="A3519" s="532">
        <v>45210</v>
      </c>
      <c r="B3519" s="615">
        <v>373600</v>
      </c>
      <c r="C3519" s="615">
        <f t="shared" si="344"/>
        <v>413457.49041095888</v>
      </c>
      <c r="D3519" s="532">
        <f t="shared" si="345"/>
        <v>45243</v>
      </c>
      <c r="E3519" s="534">
        <v>33</v>
      </c>
      <c r="F3519" s="653">
        <v>1.18</v>
      </c>
      <c r="G3519" s="536" t="s">
        <v>257</v>
      </c>
      <c r="H3519">
        <f t="shared" si="346"/>
        <v>36234.082191780799</v>
      </c>
    </row>
    <row r="3520" spans="1:9" ht="13.5" customHeight="1">
      <c r="A3520" s="532">
        <v>45210</v>
      </c>
      <c r="B3520" s="615">
        <v>140000</v>
      </c>
      <c r="C3520" s="615">
        <f t="shared" si="344"/>
        <v>154935.89041095891</v>
      </c>
      <c r="D3520" s="532">
        <f t="shared" si="345"/>
        <v>45243</v>
      </c>
      <c r="E3520" s="534">
        <v>33</v>
      </c>
      <c r="F3520" s="653">
        <v>1.18</v>
      </c>
      <c r="G3520" s="536" t="s">
        <v>258</v>
      </c>
      <c r="H3520">
        <f t="shared" si="346"/>
        <v>13578.082191780823</v>
      </c>
    </row>
    <row r="3521" spans="1:8" ht="13.5" customHeight="1">
      <c r="A3521" s="532">
        <v>45210</v>
      </c>
      <c r="B3521" s="615">
        <v>103900</v>
      </c>
      <c r="C3521" s="615">
        <f t="shared" si="344"/>
        <v>114984.56438356164</v>
      </c>
      <c r="D3521" s="532">
        <f t="shared" si="345"/>
        <v>45243</v>
      </c>
      <c r="E3521" s="534">
        <v>33</v>
      </c>
      <c r="F3521" s="653">
        <v>1.18</v>
      </c>
      <c r="G3521" s="536" t="s">
        <v>260</v>
      </c>
      <c r="H3521">
        <f t="shared" si="346"/>
        <v>10076.87671232876</v>
      </c>
    </row>
    <row r="3522" spans="1:8" ht="13.5" customHeight="1">
      <c r="A3522" s="532">
        <v>45210</v>
      </c>
      <c r="B3522" s="615">
        <v>290000</v>
      </c>
      <c r="C3522" s="615">
        <f t="shared" si="344"/>
        <v>320938.63013698632</v>
      </c>
      <c r="D3522" s="532">
        <f t="shared" si="345"/>
        <v>45243</v>
      </c>
      <c r="E3522" s="534">
        <v>33</v>
      </c>
      <c r="F3522" s="653">
        <v>1.18</v>
      </c>
      <c r="G3522" s="536" t="s">
        <v>256</v>
      </c>
      <c r="H3522">
        <f t="shared" si="346"/>
        <v>28126.027397260292</v>
      </c>
    </row>
    <row r="3523" spans="1:8" ht="13.5" customHeight="1">
      <c r="A3523" s="532">
        <v>45211</v>
      </c>
      <c r="B3523" s="615">
        <v>73000</v>
      </c>
      <c r="C3523" s="615">
        <f t="shared" ref="A3523:C3525" si="347">B3523+(B3523*F3523/365*E3523)*1</f>
        <v>80788</v>
      </c>
      <c r="D3523" s="532">
        <f t="shared" ref="A3523:D3525" si="348">+A3523+E3523</f>
        <v>45244</v>
      </c>
      <c r="E3523" s="534">
        <v>33</v>
      </c>
      <c r="F3523" s="653">
        <v>1.18</v>
      </c>
      <c r="G3523" s="536" t="s">
        <v>257</v>
      </c>
      <c r="H3523">
        <f>(C3523-B3523)/E3523*30</f>
        <v>7080</v>
      </c>
    </row>
    <row r="3524" spans="1:8" ht="13.5" customHeight="1">
      <c r="A3524" s="532">
        <v>45211</v>
      </c>
      <c r="B3524" s="615">
        <v>130000</v>
      </c>
      <c r="C3524" s="615">
        <f t="shared" si="347"/>
        <v>143869.0410958904</v>
      </c>
      <c r="D3524" s="532">
        <f t="shared" si="348"/>
        <v>45244</v>
      </c>
      <c r="E3524" s="534">
        <v>33</v>
      </c>
      <c r="F3524" s="653">
        <v>1.18</v>
      </c>
      <c r="G3524" s="536" t="s">
        <v>256</v>
      </c>
      <c r="H3524">
        <f t="shared" ref="A3524:H3525" si="349">(C3524-B3524)/E3524*30</f>
        <v>12608.219178082178</v>
      </c>
    </row>
    <row r="3525" spans="1:8" ht="13.5" customHeight="1">
      <c r="A3525" s="532">
        <v>45211</v>
      </c>
      <c r="B3525" s="615">
        <v>100000</v>
      </c>
      <c r="C3525" s="615">
        <f t="shared" si="347"/>
        <v>110668.49315068492</v>
      </c>
      <c r="D3525" s="532">
        <f t="shared" si="348"/>
        <v>45244</v>
      </c>
      <c r="E3525" s="534">
        <v>33</v>
      </c>
      <c r="F3525" s="653">
        <v>1.18</v>
      </c>
      <c r="G3525" s="536" t="s">
        <v>258</v>
      </c>
      <c r="H3525">
        <f t="shared" si="349"/>
        <v>9698.6301369862958</v>
      </c>
    </row>
    <row r="3526" spans="1:8" ht="13.5" customHeight="1">
      <c r="A3526" s="532">
        <v>45216</v>
      </c>
      <c r="B3526" s="615">
        <v>280300</v>
      </c>
      <c r="C3526" s="615">
        <f t="shared" ref="A3526:C3532" si="350">B3526+(B3526*F3526/365*E3526)*1</f>
        <v>310941.01369863015</v>
      </c>
      <c r="D3526" s="532">
        <f t="shared" ref="A3526:D3532" si="351">+A3526+E3526</f>
        <v>45246</v>
      </c>
      <c r="E3526" s="534">
        <v>30</v>
      </c>
      <c r="F3526" s="653">
        <v>1.33</v>
      </c>
      <c r="G3526" s="536" t="s">
        <v>259</v>
      </c>
      <c r="H3526">
        <f>(C3526-B3526)/E3526*30</f>
        <v>30641.013698630151</v>
      </c>
    </row>
    <row r="3527" spans="1:8" ht="13.5" customHeight="1">
      <c r="A3527" s="532">
        <v>45216</v>
      </c>
      <c r="B3527" s="615">
        <v>125000</v>
      </c>
      <c r="C3527" s="615">
        <f t="shared" si="350"/>
        <v>138664.38356164383</v>
      </c>
      <c r="D3527" s="532">
        <f t="shared" si="351"/>
        <v>45246</v>
      </c>
      <c r="E3527" s="534">
        <v>30</v>
      </c>
      <c r="F3527" s="653">
        <v>1.33</v>
      </c>
      <c r="G3527" s="536" t="s">
        <v>258</v>
      </c>
      <c r="H3527">
        <f t="shared" ref="A3527:H3532" si="352">(C3527-B3527)/E3527*30</f>
        <v>13664.38356164383</v>
      </c>
    </row>
    <row r="3528" spans="1:8" ht="13.5" customHeight="1">
      <c r="A3528" s="532">
        <v>45216</v>
      </c>
      <c r="B3528" s="615">
        <v>126900</v>
      </c>
      <c r="C3528" s="615">
        <f t="shared" si="350"/>
        <v>140772.08219178082</v>
      </c>
      <c r="D3528" s="532">
        <f t="shared" si="351"/>
        <v>45246</v>
      </c>
      <c r="E3528" s="534">
        <v>30</v>
      </c>
      <c r="F3528" s="653">
        <v>1.33</v>
      </c>
      <c r="G3528" s="536" t="s">
        <v>260</v>
      </c>
      <c r="H3528">
        <f t="shared" si="352"/>
        <v>13872.082191780821</v>
      </c>
    </row>
    <row r="3529" spans="1:8" ht="13.5" customHeight="1">
      <c r="A3529" s="532">
        <v>45216</v>
      </c>
      <c r="B3529" s="615">
        <v>148500</v>
      </c>
      <c r="C3529" s="615">
        <f t="shared" si="350"/>
        <v>164733.28767123289</v>
      </c>
      <c r="D3529" s="532">
        <f t="shared" si="351"/>
        <v>45246</v>
      </c>
      <c r="E3529" s="534">
        <v>30</v>
      </c>
      <c r="F3529" s="653">
        <v>1.33</v>
      </c>
      <c r="G3529" s="536" t="s">
        <v>265</v>
      </c>
      <c r="H3529">
        <f t="shared" si="352"/>
        <v>16233.287671232887</v>
      </c>
    </row>
    <row r="3530" spans="1:8" ht="13.5" customHeight="1">
      <c r="A3530" s="532">
        <v>45216</v>
      </c>
      <c r="B3530" s="615">
        <v>445900</v>
      </c>
      <c r="C3530" s="615">
        <f t="shared" si="350"/>
        <v>494643.58904109587</v>
      </c>
      <c r="D3530" s="532">
        <f t="shared" si="351"/>
        <v>45246</v>
      </c>
      <c r="E3530" s="534">
        <v>30</v>
      </c>
      <c r="F3530" s="653">
        <v>1.33</v>
      </c>
      <c r="G3530" s="536" t="s">
        <v>257</v>
      </c>
      <c r="H3530">
        <f t="shared" si="352"/>
        <v>48743.589041095867</v>
      </c>
    </row>
    <row r="3531" spans="1:8" ht="13.5" customHeight="1">
      <c r="A3531" s="532">
        <v>45216</v>
      </c>
      <c r="B3531" s="615">
        <v>134000</v>
      </c>
      <c r="C3531" s="615">
        <f t="shared" si="350"/>
        <v>148648.21917808219</v>
      </c>
      <c r="D3531" s="532">
        <f t="shared" si="351"/>
        <v>45246</v>
      </c>
      <c r="E3531" s="534">
        <v>30</v>
      </c>
      <c r="F3531" s="653">
        <v>1.33</v>
      </c>
      <c r="G3531" s="536" t="s">
        <v>261</v>
      </c>
      <c r="H3531">
        <f t="shared" si="352"/>
        <v>14648.219178082189</v>
      </c>
    </row>
    <row r="3532" spans="1:8" ht="13.5" customHeight="1">
      <c r="A3532" s="532">
        <v>45216</v>
      </c>
      <c r="B3532" s="615">
        <v>530000</v>
      </c>
      <c r="C3532" s="615">
        <f t="shared" si="350"/>
        <v>587936.98630136985</v>
      </c>
      <c r="D3532" s="532">
        <f t="shared" si="351"/>
        <v>45246</v>
      </c>
      <c r="E3532" s="534">
        <v>30</v>
      </c>
      <c r="F3532" s="653">
        <v>1.33</v>
      </c>
      <c r="G3532" s="536" t="s">
        <v>256</v>
      </c>
      <c r="H3532">
        <f t="shared" si="352"/>
        <v>57936.986301369849</v>
      </c>
    </row>
    <row r="3533" spans="1:8" ht="13.5" customHeight="1">
      <c r="A3533" s="532">
        <v>45217</v>
      </c>
      <c r="B3533" s="615">
        <v>145700</v>
      </c>
      <c r="C3533" s="615">
        <f t="shared" ref="A3533:C3533" si="353">B3533+(B3533*F3533/365*E3533)*1</f>
        <v>161627.20547945207</v>
      </c>
      <c r="D3533" s="532">
        <f t="shared" ref="A3533:D3533" si="354">+A3533+E3533</f>
        <v>45247</v>
      </c>
      <c r="E3533" s="534">
        <v>30</v>
      </c>
      <c r="F3533" s="653">
        <v>1.33</v>
      </c>
      <c r="G3533" s="536" t="s">
        <v>261</v>
      </c>
      <c r="H3533">
        <f t="shared" ref="A3533:H3533" si="355">(C3533-B3533)/E3533*30</f>
        <v>15927.205479452065</v>
      </c>
    </row>
    <row r="3534" spans="1:8" ht="13.5" customHeight="1">
      <c r="A3534" s="532">
        <v>45217</v>
      </c>
      <c r="B3534" s="615">
        <v>53100</v>
      </c>
      <c r="C3534" s="615">
        <f t="shared" ref="A3534:C3539" si="356">B3534+(B3534*F3534/365*E3534)*1</f>
        <v>58904.630136986299</v>
      </c>
      <c r="D3534" s="532">
        <f t="shared" ref="A3534:D3539" si="357">+A3534+E3534</f>
        <v>45247</v>
      </c>
      <c r="E3534" s="534">
        <v>30</v>
      </c>
      <c r="F3534" s="653">
        <v>1.33</v>
      </c>
      <c r="G3534" s="536" t="s">
        <v>260</v>
      </c>
      <c r="H3534">
        <f>(C3534-B3534)/E3534*30</f>
        <v>5804.6301369862995</v>
      </c>
    </row>
    <row r="3535" spans="1:8" ht="13.5" customHeight="1">
      <c r="A3535" s="532">
        <v>45217</v>
      </c>
      <c r="B3535" s="615">
        <v>75000</v>
      </c>
      <c r="C3535" s="615">
        <f t="shared" si="356"/>
        <v>83198.630136986307</v>
      </c>
      <c r="D3535" s="532">
        <f t="shared" si="357"/>
        <v>45247</v>
      </c>
      <c r="E3535" s="534">
        <v>30</v>
      </c>
      <c r="F3535" s="653">
        <v>1.33</v>
      </c>
      <c r="G3535" s="536" t="s">
        <v>265</v>
      </c>
      <c r="H3535">
        <f t="shared" ref="A3535:H3539" si="358">(C3535-B3535)/E3535*30</f>
        <v>8198.6301369863068</v>
      </c>
    </row>
    <row r="3536" spans="1:8" ht="13.5" customHeight="1">
      <c r="A3536" s="532">
        <v>45216</v>
      </c>
      <c r="B3536" s="615">
        <v>100000</v>
      </c>
      <c r="C3536" s="615">
        <f t="shared" si="356"/>
        <v>111295.89041095891</v>
      </c>
      <c r="D3536" s="532">
        <f t="shared" si="357"/>
        <v>45247</v>
      </c>
      <c r="E3536" s="534">
        <v>31</v>
      </c>
      <c r="F3536" s="653">
        <v>1.33</v>
      </c>
      <c r="G3536" s="536" t="s">
        <v>258</v>
      </c>
      <c r="H3536">
        <f t="shared" si="358"/>
        <v>10931.50684931507</v>
      </c>
    </row>
    <row r="3537" spans="1:8" ht="13.5" customHeight="1">
      <c r="A3537" s="532">
        <v>45216</v>
      </c>
      <c r="B3537" s="615">
        <v>400000</v>
      </c>
      <c r="C3537" s="615">
        <f t="shared" si="356"/>
        <v>445183.56164383562</v>
      </c>
      <c r="D3537" s="532">
        <f t="shared" si="357"/>
        <v>45247</v>
      </c>
      <c r="E3537" s="534">
        <v>31</v>
      </c>
      <c r="F3537" s="653">
        <v>1.33</v>
      </c>
      <c r="G3537" s="536" t="s">
        <v>257</v>
      </c>
      <c r="H3537">
        <f t="shared" si="358"/>
        <v>43726.027397260281</v>
      </c>
    </row>
    <row r="3538" spans="1:8" ht="13.5" customHeight="1">
      <c r="A3538" s="532">
        <v>45216</v>
      </c>
      <c r="B3538" s="615">
        <v>120000</v>
      </c>
      <c r="C3538" s="615">
        <f t="shared" si="356"/>
        <v>133555.0684931507</v>
      </c>
      <c r="D3538" s="532">
        <f t="shared" si="357"/>
        <v>45247</v>
      </c>
      <c r="E3538" s="534">
        <v>31</v>
      </c>
      <c r="F3538" s="653">
        <v>1.33</v>
      </c>
      <c r="G3538" s="536" t="s">
        <v>261</v>
      </c>
      <c r="H3538">
        <f t="shared" si="358"/>
        <v>13117.808219178094</v>
      </c>
    </row>
    <row r="3539" spans="1:8" ht="13.5" customHeight="1">
      <c r="A3539" s="532">
        <v>45216</v>
      </c>
      <c r="B3539" s="615">
        <v>500000</v>
      </c>
      <c r="C3539" s="615">
        <f t="shared" si="356"/>
        <v>556479.45205479453</v>
      </c>
      <c r="D3539" s="532">
        <f t="shared" si="357"/>
        <v>45247</v>
      </c>
      <c r="E3539" s="534">
        <v>31</v>
      </c>
      <c r="F3539" s="653">
        <v>1.33</v>
      </c>
      <c r="G3539" s="536" t="s">
        <v>256</v>
      </c>
      <c r="H3539">
        <f t="shared" si="358"/>
        <v>54657.534246575349</v>
      </c>
    </row>
    <row r="3540" spans="1:8" ht="13.5" customHeight="1">
      <c r="A3540" s="532">
        <v>45217</v>
      </c>
      <c r="B3540" s="615">
        <v>85000</v>
      </c>
      <c r="C3540" s="615">
        <f t="shared" ref="A3540:C3542" si="359">B3540+(B3540*F3540/365*E3540)*1</f>
        <v>95530.684931506854</v>
      </c>
      <c r="D3540" s="532">
        <v>45251</v>
      </c>
      <c r="E3540" s="534">
        <v>34</v>
      </c>
      <c r="F3540" s="653">
        <v>1.33</v>
      </c>
      <c r="G3540" s="536" t="s">
        <v>258</v>
      </c>
    </row>
    <row r="3541" spans="1:8" ht="13.5" customHeight="1">
      <c r="A3541" s="532">
        <v>45217</v>
      </c>
      <c r="B3541" s="615">
        <v>245000</v>
      </c>
      <c r="C3541" s="615">
        <f t="shared" si="359"/>
        <v>275353.15068493149</v>
      </c>
      <c r="D3541" s="532">
        <v>45251</v>
      </c>
      <c r="E3541" s="534">
        <v>34</v>
      </c>
      <c r="F3541" s="653">
        <v>1.33</v>
      </c>
      <c r="G3541" s="536" t="s">
        <v>262</v>
      </c>
    </row>
    <row r="3542" spans="1:8" ht="13.5" customHeight="1">
      <c r="A3542" s="532">
        <v>45217</v>
      </c>
      <c r="B3542" s="615">
        <v>95000</v>
      </c>
      <c r="C3542" s="615">
        <f t="shared" si="359"/>
        <v>106769.5890410959</v>
      </c>
      <c r="D3542" s="532">
        <v>45251</v>
      </c>
      <c r="E3542" s="534">
        <v>34</v>
      </c>
      <c r="F3542" s="653">
        <v>1.33</v>
      </c>
      <c r="G3542" s="536" t="s">
        <v>256</v>
      </c>
    </row>
    <row r="3543" spans="1:8" ht="13.5" customHeight="1">
      <c r="A3543" s="532">
        <v>45222</v>
      </c>
      <c r="B3543" s="615">
        <v>60200</v>
      </c>
      <c r="C3543" s="615">
        <f t="shared" ref="A3543:C3547" si="360">B3543+(B3543*F3543/365*E3543)*1</f>
        <v>66780.767123287675</v>
      </c>
      <c r="D3543" s="532">
        <f t="shared" ref="A3543:D3547" si="361">+A3543+E3543</f>
        <v>45252</v>
      </c>
      <c r="E3543" s="534">
        <v>30</v>
      </c>
      <c r="F3543" s="653">
        <v>1.33</v>
      </c>
      <c r="G3543" s="536" t="s">
        <v>259</v>
      </c>
      <c r="H3543">
        <f>(C3543-B3543)/E3543*30</f>
        <v>6580.7671232876746</v>
      </c>
    </row>
    <row r="3544" spans="1:8" ht="13.5" customHeight="1">
      <c r="A3544" s="532">
        <v>45222</v>
      </c>
      <c r="B3544" s="615">
        <v>162200</v>
      </c>
      <c r="C3544" s="615">
        <f t="shared" si="360"/>
        <v>179930.90410958906</v>
      </c>
      <c r="D3544" s="532">
        <f t="shared" si="361"/>
        <v>45252</v>
      </c>
      <c r="E3544" s="534">
        <v>30</v>
      </c>
      <c r="F3544" s="653">
        <v>1.33</v>
      </c>
      <c r="G3544" s="536" t="s">
        <v>257</v>
      </c>
      <c r="H3544">
        <f t="shared" ref="A3544:H3547" si="362">(C3544-B3544)/E3544*30</f>
        <v>17730.904109589057</v>
      </c>
    </row>
    <row r="3545" spans="1:8" ht="13.5" customHeight="1">
      <c r="A3545" s="532">
        <v>45222</v>
      </c>
      <c r="B3545" s="615">
        <v>75000</v>
      </c>
      <c r="C3545" s="615">
        <f t="shared" si="360"/>
        <v>83198.630136986307</v>
      </c>
      <c r="D3545" s="532">
        <f t="shared" si="361"/>
        <v>45252</v>
      </c>
      <c r="E3545" s="534">
        <v>30</v>
      </c>
      <c r="F3545" s="653">
        <v>1.33</v>
      </c>
      <c r="G3545" s="536" t="s">
        <v>256</v>
      </c>
      <c r="H3545">
        <f t="shared" si="362"/>
        <v>8198.6301369863068</v>
      </c>
    </row>
    <row r="3546" spans="1:8" ht="13.5" customHeight="1">
      <c r="A3546" s="532">
        <v>45222</v>
      </c>
      <c r="B3546" s="615">
        <v>85000</v>
      </c>
      <c r="C3546" s="615">
        <f t="shared" si="360"/>
        <v>94291.780821917811</v>
      </c>
      <c r="D3546" s="532">
        <f t="shared" si="361"/>
        <v>45252</v>
      </c>
      <c r="E3546" s="534">
        <v>30</v>
      </c>
      <c r="F3546" s="653">
        <v>1.33</v>
      </c>
      <c r="G3546" s="536" t="s">
        <v>258</v>
      </c>
      <c r="H3546">
        <f t="shared" si="362"/>
        <v>9291.7808219178114</v>
      </c>
    </row>
    <row r="3547" spans="1:8" ht="13.5" customHeight="1">
      <c r="A3547" s="532">
        <v>45222</v>
      </c>
      <c r="B3547" s="615">
        <v>10000</v>
      </c>
      <c r="C3547" s="615">
        <f t="shared" si="360"/>
        <v>11093.150684931506</v>
      </c>
      <c r="D3547" s="532">
        <f t="shared" si="361"/>
        <v>45252</v>
      </c>
      <c r="E3547" s="534">
        <v>30</v>
      </c>
      <c r="F3547" s="653">
        <v>1.33</v>
      </c>
      <c r="G3547" s="536" t="s">
        <v>260</v>
      </c>
      <c r="H3547">
        <f t="shared" si="362"/>
        <v>1093.1506849315065</v>
      </c>
    </row>
    <row r="3548" spans="1:8" ht="13.5" customHeight="1">
      <c r="A3548" s="532">
        <v>45223</v>
      </c>
      <c r="B3548" s="615">
        <v>34300</v>
      </c>
      <c r="C3548" s="615">
        <f t="shared" ref="A3548:C3550" si="363">B3548+(B3548*F3548/365*E3548)*1</f>
        <v>38049.506849315068</v>
      </c>
      <c r="D3548" s="532">
        <f t="shared" ref="A3548:D3550" si="364">+A3548+E3548</f>
        <v>45253</v>
      </c>
      <c r="E3548" s="534">
        <v>30</v>
      </c>
      <c r="F3548" s="653">
        <v>1.33</v>
      </c>
      <c r="G3548" s="536" t="s">
        <v>261</v>
      </c>
      <c r="H3548">
        <f>(C3548-B3548)/E3548*30</f>
        <v>3749.5068493150684</v>
      </c>
    </row>
    <row r="3549" spans="1:8" ht="13.5" customHeight="1">
      <c r="A3549" s="532">
        <v>45223</v>
      </c>
      <c r="B3549" s="615">
        <v>57100</v>
      </c>
      <c r="C3549" s="615">
        <f t="shared" si="363"/>
        <v>63341.890410958906</v>
      </c>
      <c r="D3549" s="532">
        <f t="shared" si="364"/>
        <v>45253</v>
      </c>
      <c r="E3549" s="534">
        <v>30</v>
      </c>
      <c r="F3549" s="653">
        <v>1.33</v>
      </c>
      <c r="G3549" s="536" t="s">
        <v>260</v>
      </c>
      <c r="H3549">
        <f t="shared" ref="A3549:H3550" si="365">(C3549-B3549)/E3549*30</f>
        <v>6241.8904109589057</v>
      </c>
    </row>
    <row r="3550" spans="1:8" ht="13.5" customHeight="1">
      <c r="A3550" s="532">
        <v>45223</v>
      </c>
      <c r="B3550" s="615">
        <v>82200</v>
      </c>
      <c r="C3550" s="615">
        <f t="shared" si="363"/>
        <v>91185.698630136991</v>
      </c>
      <c r="D3550" s="532">
        <f t="shared" si="364"/>
        <v>45253</v>
      </c>
      <c r="E3550" s="534">
        <v>30</v>
      </c>
      <c r="F3550" s="653">
        <v>1.33</v>
      </c>
      <c r="G3550" s="536" t="s">
        <v>257</v>
      </c>
      <c r="H3550">
        <f t="shared" si="365"/>
        <v>8985.6986301369907</v>
      </c>
    </row>
    <row r="3551" spans="1:8" ht="13.5" customHeight="1">
      <c r="A3551" s="532">
        <v>45224</v>
      </c>
      <c r="B3551" s="615">
        <v>85000</v>
      </c>
      <c r="C3551" s="615">
        <f t="shared" ref="A3551:C3556" si="366">B3551+(B3551*F3551/365*E3551)*1</f>
        <v>94291.780821917811</v>
      </c>
      <c r="D3551" s="532">
        <f t="shared" ref="A3551:D3556" si="367">+A3551+E3551</f>
        <v>45254</v>
      </c>
      <c r="E3551" s="534">
        <v>30</v>
      </c>
      <c r="F3551" s="653">
        <v>1.33</v>
      </c>
      <c r="G3551" s="536" t="s">
        <v>258</v>
      </c>
      <c r="H3551">
        <f>(C3551-B3551)/E3551*30</f>
        <v>9291.7808219178114</v>
      </c>
    </row>
    <row r="3552" spans="1:8" ht="13.5" customHeight="1">
      <c r="A3552" s="532">
        <v>45224</v>
      </c>
      <c r="B3552" s="615">
        <v>220000</v>
      </c>
      <c r="C3552" s="615">
        <f t="shared" si="366"/>
        <v>244049.31506849316</v>
      </c>
      <c r="D3552" s="532">
        <f t="shared" si="367"/>
        <v>45254</v>
      </c>
      <c r="E3552" s="534">
        <v>30</v>
      </c>
      <c r="F3552" s="653">
        <v>1.33</v>
      </c>
      <c r="G3552" s="536" t="s">
        <v>256</v>
      </c>
      <c r="H3552">
        <f t="shared" ref="A3552:H3556" si="368">(C3552-B3552)/E3552*30</f>
        <v>24049.315068493161</v>
      </c>
    </row>
    <row r="3553" spans="1:8" ht="13.5" customHeight="1">
      <c r="A3553" s="532">
        <v>45224</v>
      </c>
      <c r="B3553" s="615">
        <v>84500</v>
      </c>
      <c r="C3553" s="615">
        <f t="shared" si="366"/>
        <v>93737.123287671231</v>
      </c>
      <c r="D3553" s="532">
        <f t="shared" si="367"/>
        <v>45254</v>
      </c>
      <c r="E3553" s="534">
        <v>30</v>
      </c>
      <c r="F3553" s="653">
        <v>1.33</v>
      </c>
      <c r="G3553" s="536" t="s">
        <v>261</v>
      </c>
      <c r="H3553">
        <f t="shared" si="368"/>
        <v>9237.1232876712311</v>
      </c>
    </row>
    <row r="3554" spans="1:8" ht="13.5" customHeight="1">
      <c r="A3554" s="532">
        <v>45224</v>
      </c>
      <c r="B3554" s="615">
        <v>233100</v>
      </c>
      <c r="C3554" s="615">
        <f t="shared" si="366"/>
        <v>258581.34246575343</v>
      </c>
      <c r="D3554" s="532">
        <f t="shared" si="367"/>
        <v>45254</v>
      </c>
      <c r="E3554" s="534">
        <v>30</v>
      </c>
      <c r="F3554" s="653">
        <v>1.33</v>
      </c>
      <c r="G3554" s="536" t="s">
        <v>257</v>
      </c>
      <c r="H3554">
        <f t="shared" si="368"/>
        <v>25481.342465753434</v>
      </c>
    </row>
    <row r="3555" spans="1:8" ht="13.5" customHeight="1">
      <c r="A3555" s="532">
        <v>45224</v>
      </c>
      <c r="B3555" s="615">
        <v>202700</v>
      </c>
      <c r="C3555" s="615">
        <f t="shared" si="366"/>
        <v>224858.16438356164</v>
      </c>
      <c r="D3555" s="532">
        <f t="shared" si="367"/>
        <v>45254</v>
      </c>
      <c r="E3555" s="534">
        <v>30</v>
      </c>
      <c r="F3555" s="653">
        <v>1.33</v>
      </c>
      <c r="G3555" s="536" t="s">
        <v>260</v>
      </c>
      <c r="H3555">
        <f t="shared" si="368"/>
        <v>22158.164383561641</v>
      </c>
    </row>
    <row r="3556" spans="1:8" ht="13.5" customHeight="1">
      <c r="A3556" s="532">
        <v>45224</v>
      </c>
      <c r="B3556" s="615">
        <v>269900</v>
      </c>
      <c r="C3556" s="615">
        <f t="shared" si="366"/>
        <v>299404.1369863014</v>
      </c>
      <c r="D3556" s="532">
        <f t="shared" si="367"/>
        <v>45254</v>
      </c>
      <c r="E3556" s="534">
        <v>30</v>
      </c>
      <c r="F3556" s="653">
        <v>1.33</v>
      </c>
      <c r="G3556" s="536" t="s">
        <v>263</v>
      </c>
      <c r="H3556">
        <f t="shared" si="368"/>
        <v>29504.136986301397</v>
      </c>
    </row>
    <row r="3557" spans="1:8" ht="13.5" customHeight="1">
      <c r="A3557" s="532">
        <v>45225</v>
      </c>
      <c r="B3557" s="615">
        <v>300000</v>
      </c>
      <c r="C3557" s="615">
        <f t="shared" ref="A3557:C3566" si="369">B3557+(B3557*F3557/365*E3557)*1</f>
        <v>334980.82191780821</v>
      </c>
      <c r="D3557" s="532">
        <f t="shared" ref="A3557:D3566" si="370">+A3557+E3557</f>
        <v>45257</v>
      </c>
      <c r="E3557" s="534">
        <v>32</v>
      </c>
      <c r="F3557" s="653">
        <v>1.33</v>
      </c>
      <c r="G3557" s="536" t="s">
        <v>256</v>
      </c>
      <c r="H3557">
        <f t="shared" ref="A3557:H3566" si="371">(C3557-B3557)/E3557*30</f>
        <v>32794.520547945198</v>
      </c>
    </row>
    <row r="3558" spans="1:8" ht="13.5" customHeight="1">
      <c r="A3558" s="532">
        <v>45225</v>
      </c>
      <c r="B3558" s="615">
        <v>69000</v>
      </c>
      <c r="C3558" s="615">
        <f t="shared" si="369"/>
        <v>77045.589041095896</v>
      </c>
      <c r="D3558" s="532">
        <f t="shared" si="370"/>
        <v>45257</v>
      </c>
      <c r="E3558" s="534">
        <v>32</v>
      </c>
      <c r="F3558" s="653">
        <v>1.33</v>
      </c>
      <c r="G3558" s="536" t="s">
        <v>260</v>
      </c>
      <c r="H3558">
        <f t="shared" si="371"/>
        <v>7542.7397260274029</v>
      </c>
    </row>
    <row r="3559" spans="1:8" ht="13.5" customHeight="1">
      <c r="A3559" s="532">
        <v>45225</v>
      </c>
      <c r="B3559" s="615">
        <v>60600</v>
      </c>
      <c r="C3559" s="615">
        <f t="shared" si="369"/>
        <v>67666.126027397258</v>
      </c>
      <c r="D3559" s="532">
        <f t="shared" si="370"/>
        <v>45257</v>
      </c>
      <c r="E3559" s="534">
        <v>32</v>
      </c>
      <c r="F3559" s="653">
        <v>1.33</v>
      </c>
      <c r="G3559" s="536" t="s">
        <v>261</v>
      </c>
      <c r="H3559">
        <f t="shared" si="371"/>
        <v>6624.4931506849298</v>
      </c>
    </row>
    <row r="3560" spans="1:8" ht="13.5" customHeight="1">
      <c r="A3560" s="532">
        <v>45225</v>
      </c>
      <c r="B3560" s="615">
        <v>82400</v>
      </c>
      <c r="C3560" s="615">
        <f t="shared" si="369"/>
        <v>92008.065753424657</v>
      </c>
      <c r="D3560" s="532">
        <f t="shared" si="370"/>
        <v>45257</v>
      </c>
      <c r="E3560" s="534">
        <v>32</v>
      </c>
      <c r="F3560" s="653">
        <v>1.33</v>
      </c>
      <c r="G3560" s="536" t="s">
        <v>265</v>
      </c>
      <c r="H3560">
        <f t="shared" si="371"/>
        <v>9007.5616438356155</v>
      </c>
    </row>
    <row r="3561" spans="1:8" ht="13.5" customHeight="1">
      <c r="A3561" s="532">
        <v>45225</v>
      </c>
      <c r="B3561" s="615">
        <v>45000</v>
      </c>
      <c r="C3561" s="615">
        <f t="shared" si="369"/>
        <v>50247.123287671231</v>
      </c>
      <c r="D3561" s="532">
        <f t="shared" si="370"/>
        <v>45257</v>
      </c>
      <c r="E3561" s="534">
        <v>32</v>
      </c>
      <c r="F3561" s="653">
        <v>1.33</v>
      </c>
      <c r="G3561" s="536" t="s">
        <v>258</v>
      </c>
      <c r="H3561">
        <f t="shared" si="371"/>
        <v>4919.1780821917791</v>
      </c>
    </row>
    <row r="3562" spans="1:8" ht="13.5" customHeight="1">
      <c r="A3562" s="532">
        <v>45226</v>
      </c>
      <c r="B3562" s="615">
        <v>20000</v>
      </c>
      <c r="C3562" s="615">
        <f t="shared" si="369"/>
        <v>22259.178082191782</v>
      </c>
      <c r="D3562" s="532">
        <f t="shared" si="370"/>
        <v>45257</v>
      </c>
      <c r="E3562" s="534">
        <v>31</v>
      </c>
      <c r="F3562" s="653">
        <v>1.33</v>
      </c>
      <c r="G3562" s="536" t="s">
        <v>258</v>
      </c>
      <c r="H3562">
        <f t="shared" si="371"/>
        <v>2186.3013698630148</v>
      </c>
    </row>
    <row r="3563" spans="1:8" ht="13.5" customHeight="1">
      <c r="A3563" s="532">
        <v>45226</v>
      </c>
      <c r="B3563" s="615">
        <v>62700</v>
      </c>
      <c r="C3563" s="615">
        <f t="shared" si="369"/>
        <v>69782.52328767124</v>
      </c>
      <c r="D3563" s="532">
        <f t="shared" si="370"/>
        <v>45257</v>
      </c>
      <c r="E3563" s="534">
        <v>31</v>
      </c>
      <c r="F3563" s="653">
        <v>1.33</v>
      </c>
      <c r="G3563" s="536" t="s">
        <v>257</v>
      </c>
      <c r="H3563">
        <f t="shared" si="371"/>
        <v>6854.0547945205544</v>
      </c>
    </row>
    <row r="3564" spans="1:8" ht="13.5" customHeight="1">
      <c r="A3564" s="532">
        <v>45226</v>
      </c>
      <c r="B3564" s="615">
        <v>178700</v>
      </c>
      <c r="C3564" s="615">
        <f t="shared" si="369"/>
        <v>198885.75616438355</v>
      </c>
      <c r="D3564" s="532">
        <f t="shared" si="370"/>
        <v>45257</v>
      </c>
      <c r="E3564" s="534">
        <v>31</v>
      </c>
      <c r="F3564" s="653">
        <v>1.33</v>
      </c>
      <c r="G3564" s="536" t="s">
        <v>261</v>
      </c>
      <c r="H3564">
        <f t="shared" si="371"/>
        <v>19534.602739726019</v>
      </c>
    </row>
    <row r="3565" spans="1:8" ht="13.5" customHeight="1">
      <c r="A3565" s="532">
        <v>45226</v>
      </c>
      <c r="B3565" s="615">
        <v>54800</v>
      </c>
      <c r="C3565" s="615">
        <f t="shared" si="369"/>
        <v>60990.147945205477</v>
      </c>
      <c r="D3565" s="532">
        <f t="shared" si="370"/>
        <v>45257</v>
      </c>
      <c r="E3565" s="534">
        <v>31</v>
      </c>
      <c r="F3565" s="653">
        <v>1.33</v>
      </c>
      <c r="G3565" s="536" t="s">
        <v>259</v>
      </c>
      <c r="H3565">
        <f t="shared" si="371"/>
        <v>5990.4657534246553</v>
      </c>
    </row>
    <row r="3566" spans="1:8" ht="13.5" customHeight="1">
      <c r="A3566" s="532">
        <v>45226</v>
      </c>
      <c r="B3566" s="615">
        <v>145000</v>
      </c>
      <c r="C3566" s="615">
        <f t="shared" si="369"/>
        <v>161379.04109589042</v>
      </c>
      <c r="D3566" s="532">
        <f t="shared" si="370"/>
        <v>45257</v>
      </c>
      <c r="E3566" s="534">
        <v>31</v>
      </c>
      <c r="F3566" s="653">
        <v>1.33</v>
      </c>
      <c r="G3566" s="536" t="s">
        <v>262</v>
      </c>
      <c r="H3566">
        <f t="shared" si="371"/>
        <v>15850.684931506865</v>
      </c>
    </row>
    <row r="3567" spans="1:8" ht="13.5" customHeight="1">
      <c r="A3567" s="532">
        <v>45226</v>
      </c>
      <c r="B3567" s="615">
        <v>400000</v>
      </c>
      <c r="C3567" s="615">
        <f t="shared" ref="A3567:C3569" si="372">B3567+(B3567*F3567/365*E3567)*1</f>
        <v>446641.09589041094</v>
      </c>
      <c r="D3567" s="532">
        <f t="shared" ref="A3567:D3569" si="373">+A3567+E3567</f>
        <v>45258</v>
      </c>
      <c r="E3567" s="534">
        <v>32</v>
      </c>
      <c r="F3567" s="653">
        <v>1.33</v>
      </c>
      <c r="G3567" s="536" t="s">
        <v>256</v>
      </c>
      <c r="H3567">
        <f>(C3567-B3567)/E3567*30</f>
        <v>43726.027397260259</v>
      </c>
    </row>
    <row r="3568" spans="1:8" ht="13.5" customHeight="1">
      <c r="A3568" s="532">
        <v>45226</v>
      </c>
      <c r="B3568" s="615">
        <v>64200</v>
      </c>
      <c r="C3568" s="615">
        <f t="shared" si="372"/>
        <v>71685.89589041096</v>
      </c>
      <c r="D3568" s="532">
        <f t="shared" si="373"/>
        <v>45258</v>
      </c>
      <c r="E3568" s="534">
        <v>32</v>
      </c>
      <c r="F3568" s="653">
        <v>1.33</v>
      </c>
      <c r="G3568" s="536" t="s">
        <v>260</v>
      </c>
      <c r="H3568">
        <f t="shared" ref="A3568:H3569" si="374">(C3568-B3568)/E3568*30</f>
        <v>7018.0273972602754</v>
      </c>
    </row>
    <row r="3569" spans="1:8" ht="13.5" customHeight="1">
      <c r="A3569" s="532">
        <v>45226</v>
      </c>
      <c r="B3569" s="615">
        <v>140600</v>
      </c>
      <c r="C3569" s="615">
        <f t="shared" si="372"/>
        <v>156994.34520547945</v>
      </c>
      <c r="D3569" s="532">
        <f t="shared" si="373"/>
        <v>45258</v>
      </c>
      <c r="E3569" s="534">
        <v>32</v>
      </c>
      <c r="F3569" s="653">
        <v>1.33</v>
      </c>
      <c r="G3569" s="536" t="s">
        <v>265</v>
      </c>
      <c r="H3569">
        <f t="shared" si="374"/>
        <v>15369.698630136982</v>
      </c>
    </row>
    <row r="3570" spans="1:8" ht="13.5" customHeight="1">
      <c r="A3570" s="532">
        <v>45229</v>
      </c>
      <c r="B3570" s="615">
        <v>480000</v>
      </c>
      <c r="C3570" s="615">
        <f t="shared" ref="A3570:C3573" si="375">B3570+(B3570*F3570/365*E3570)*1</f>
        <v>532471.23287671234</v>
      </c>
      <c r="D3570" s="532">
        <f t="shared" ref="A3570:D3573" si="376">+A3570+E3570</f>
        <v>45259</v>
      </c>
      <c r="E3570" s="534">
        <v>30</v>
      </c>
      <c r="F3570" s="653">
        <v>1.33</v>
      </c>
      <c r="G3570" s="536" t="s">
        <v>256</v>
      </c>
      <c r="H3570">
        <f>(C3570-B3570)/E3570*30</f>
        <v>52471.23287671234</v>
      </c>
    </row>
    <row r="3571" spans="1:8" ht="13.5" customHeight="1">
      <c r="A3571" s="532">
        <v>45229</v>
      </c>
      <c r="B3571" s="615">
        <v>65700</v>
      </c>
      <c r="C3571" s="615">
        <f t="shared" si="375"/>
        <v>72882</v>
      </c>
      <c r="D3571" s="532">
        <f t="shared" si="376"/>
        <v>45259</v>
      </c>
      <c r="E3571" s="534">
        <v>30</v>
      </c>
      <c r="F3571" s="653">
        <v>1.33</v>
      </c>
      <c r="G3571" s="536" t="s">
        <v>257</v>
      </c>
      <c r="H3571">
        <f t="shared" ref="A3571:H3573" si="377">(C3571-B3571)/E3571*30</f>
        <v>7182</v>
      </c>
    </row>
    <row r="3572" spans="1:8" ht="13.5" customHeight="1">
      <c r="A3572" s="532">
        <v>45229</v>
      </c>
      <c r="B3572" s="615">
        <v>84600</v>
      </c>
      <c r="C3572" s="615">
        <f t="shared" si="375"/>
        <v>93848.054794520547</v>
      </c>
      <c r="D3572" s="532">
        <f t="shared" si="376"/>
        <v>45259</v>
      </c>
      <c r="E3572" s="534">
        <v>30</v>
      </c>
      <c r="F3572" s="653">
        <v>1.33</v>
      </c>
      <c r="G3572" s="536" t="s">
        <v>261</v>
      </c>
      <c r="H3572">
        <f t="shared" si="377"/>
        <v>9248.0547945205471</v>
      </c>
    </row>
    <row r="3573" spans="1:8" ht="13.5" customHeight="1">
      <c r="A3573" s="532">
        <v>45229</v>
      </c>
      <c r="B3573" s="615">
        <v>440000</v>
      </c>
      <c r="C3573" s="615">
        <f t="shared" si="375"/>
        <v>488098.63013698632</v>
      </c>
      <c r="D3573" s="532">
        <f t="shared" si="376"/>
        <v>45259</v>
      </c>
      <c r="E3573" s="534">
        <v>30</v>
      </c>
      <c r="F3573" s="653">
        <v>1.33</v>
      </c>
      <c r="G3573" s="536" t="s">
        <v>258</v>
      </c>
      <c r="H3573">
        <f t="shared" si="377"/>
        <v>48098.630136986321</v>
      </c>
    </row>
    <row r="3574" spans="1:8" ht="13.5" customHeight="1">
      <c r="A3574" s="532">
        <v>45230</v>
      </c>
      <c r="B3574" s="615">
        <v>410000</v>
      </c>
      <c r="C3574" s="615">
        <f t="shared" ref="A3574:C3577" si="378">B3574+(B3574*F3574/365*E3574)*1</f>
        <v>454819.17808219179</v>
      </c>
      <c r="D3574" s="532">
        <f t="shared" ref="A3574:D3577" si="379">+A3574+E3574</f>
        <v>45260</v>
      </c>
      <c r="E3574" s="534">
        <v>30</v>
      </c>
      <c r="F3574" s="653">
        <v>1.33</v>
      </c>
      <c r="G3574" s="536" t="s">
        <v>256</v>
      </c>
      <c r="H3574">
        <f>(C3574-B3574)/E3574*30</f>
        <v>44819.178082191793</v>
      </c>
    </row>
    <row r="3575" spans="1:8" ht="13.5" customHeight="1">
      <c r="A3575" s="532">
        <v>45230</v>
      </c>
      <c r="B3575" s="615">
        <v>67100</v>
      </c>
      <c r="C3575" s="615">
        <f t="shared" si="378"/>
        <v>74435.04109589041</v>
      </c>
      <c r="D3575" s="532">
        <f t="shared" si="379"/>
        <v>45260</v>
      </c>
      <c r="E3575" s="534">
        <v>30</v>
      </c>
      <c r="F3575" s="653">
        <v>1.33</v>
      </c>
      <c r="G3575" s="536" t="s">
        <v>261</v>
      </c>
      <c r="H3575">
        <f t="shared" ref="A3575:H3577" si="380">(C3575-B3575)/E3575*30</f>
        <v>7335.0410958904104</v>
      </c>
    </row>
    <row r="3576" spans="1:8" ht="13.5" customHeight="1">
      <c r="A3576" s="532">
        <v>45230</v>
      </c>
      <c r="B3576" s="615">
        <v>490000</v>
      </c>
      <c r="C3576" s="615">
        <f t="shared" si="378"/>
        <v>543564.38356164389</v>
      </c>
      <c r="D3576" s="532">
        <f t="shared" si="379"/>
        <v>45260</v>
      </c>
      <c r="E3576" s="534">
        <v>30</v>
      </c>
      <c r="F3576" s="653">
        <v>1.33</v>
      </c>
      <c r="G3576" s="536" t="s">
        <v>262</v>
      </c>
      <c r="H3576">
        <f t="shared" si="380"/>
        <v>53564.383561643888</v>
      </c>
    </row>
    <row r="3577" spans="1:8" ht="13.5" customHeight="1">
      <c r="A3577" s="532">
        <v>45230</v>
      </c>
      <c r="B3577" s="615">
        <v>310000</v>
      </c>
      <c r="C3577" s="615">
        <f t="shared" si="378"/>
        <v>343887.67123287672</v>
      </c>
      <c r="D3577" s="532">
        <f t="shared" si="379"/>
        <v>45260</v>
      </c>
      <c r="E3577" s="534">
        <v>30</v>
      </c>
      <c r="F3577" s="653">
        <v>1.33</v>
      </c>
      <c r="G3577" s="536" t="s">
        <v>258</v>
      </c>
      <c r="H3577">
        <f t="shared" si="380"/>
        <v>33887.671232876717</v>
      </c>
    </row>
    <row r="3578" spans="1:8" ht="13.5" customHeight="1">
      <c r="A3578" s="532">
        <v>45231</v>
      </c>
      <c r="B3578" s="615">
        <v>265000</v>
      </c>
      <c r="C3578" s="615">
        <f t="shared" ref="A3578:C3584" si="381">B3578+(B3578*F3578/365*E3578)*1</f>
        <v>293968.49315068492</v>
      </c>
      <c r="D3578" s="532">
        <f t="shared" ref="A3578:D3584" si="382">+A3578+E3578</f>
        <v>45261</v>
      </c>
      <c r="E3578" s="534">
        <v>30</v>
      </c>
      <c r="F3578" s="653">
        <v>1.33</v>
      </c>
      <c r="G3578" s="536" t="s">
        <v>256</v>
      </c>
      <c r="H3578">
        <f>(C3578-B3578)/E3578*30</f>
        <v>28968.493150684924</v>
      </c>
    </row>
    <row r="3579" spans="1:8" ht="13.5" customHeight="1">
      <c r="A3579" s="532">
        <v>45231</v>
      </c>
      <c r="B3579" s="615">
        <v>63100</v>
      </c>
      <c r="C3579" s="615">
        <f t="shared" si="381"/>
        <v>69997.780821917811</v>
      </c>
      <c r="D3579" s="532">
        <f t="shared" si="382"/>
        <v>45261</v>
      </c>
      <c r="E3579" s="534">
        <v>30</v>
      </c>
      <c r="F3579" s="653">
        <v>1.33</v>
      </c>
      <c r="G3579" s="536" t="s">
        <v>261</v>
      </c>
      <c r="H3579">
        <f>(C3579-B3579)/E3579*30</f>
        <v>6897.7808219178114</v>
      </c>
    </row>
    <row r="3580" spans="1:8" ht="13.5" customHeight="1">
      <c r="A3580" s="532">
        <v>45231</v>
      </c>
      <c r="B3580" s="615">
        <v>93100</v>
      </c>
      <c r="C3580" s="615">
        <f t="shared" si="381"/>
        <v>103277.23287671233</v>
      </c>
      <c r="D3580" s="532">
        <f t="shared" si="382"/>
        <v>45261</v>
      </c>
      <c r="E3580" s="534">
        <v>30</v>
      </c>
      <c r="F3580" s="653">
        <v>1.33</v>
      </c>
      <c r="G3580" s="536" t="s">
        <v>257</v>
      </c>
      <c r="H3580">
        <f>(C3580-B3580)/E3580*30</f>
        <v>10177.232876712325</v>
      </c>
    </row>
    <row r="3581" spans="1:8" ht="13.5" customHeight="1">
      <c r="A3581" s="532">
        <v>45231</v>
      </c>
      <c r="B3581" s="615">
        <v>92100</v>
      </c>
      <c r="C3581" s="615">
        <f t="shared" si="381"/>
        <v>102167.91780821918</v>
      </c>
      <c r="D3581" s="532">
        <f t="shared" si="382"/>
        <v>45261</v>
      </c>
      <c r="E3581" s="534">
        <v>30</v>
      </c>
      <c r="F3581" s="653">
        <v>1.33</v>
      </c>
      <c r="G3581" s="536" t="s">
        <v>259</v>
      </c>
      <c r="H3581">
        <f>(C3581-B3581)/E3581*30</f>
        <v>10067.917808219179</v>
      </c>
    </row>
    <row r="3582" spans="1:8" ht="13.5" customHeight="1">
      <c r="A3582" s="532">
        <v>45231</v>
      </c>
      <c r="B3582" s="615">
        <v>1740000</v>
      </c>
      <c r="C3582" s="615">
        <f t="shared" si="381"/>
        <v>1930208.2191780822</v>
      </c>
      <c r="D3582" s="532">
        <f t="shared" si="382"/>
        <v>45261</v>
      </c>
      <c r="E3582" s="534">
        <v>30</v>
      </c>
      <c r="F3582" s="653">
        <v>1.33</v>
      </c>
      <c r="G3582" s="536" t="s">
        <v>262</v>
      </c>
      <c r="H3582">
        <f t="shared" ref="A3582:H3582" si="383">(C3582-B3582)/E3582*30</f>
        <v>190208.21917808219</v>
      </c>
    </row>
    <row r="3583" spans="1:8" ht="13.5" customHeight="1">
      <c r="A3583" s="532">
        <v>45231</v>
      </c>
      <c r="B3583" s="615">
        <v>34600</v>
      </c>
      <c r="C3583" s="615">
        <f t="shared" si="381"/>
        <v>38382.301369863017</v>
      </c>
      <c r="D3583" s="532">
        <f t="shared" si="382"/>
        <v>45261</v>
      </c>
      <c r="E3583" s="534">
        <v>30</v>
      </c>
      <c r="F3583" s="653">
        <v>1.33</v>
      </c>
      <c r="G3583" s="536" t="s">
        <v>260</v>
      </c>
      <c r="H3583">
        <f>(C3583-B3583)/E3583*30</f>
        <v>3782.3013698630166</v>
      </c>
    </row>
    <row r="3584" spans="1:8" ht="13.5" customHeight="1">
      <c r="A3584" s="532">
        <v>45231</v>
      </c>
      <c r="B3584" s="615">
        <v>65000</v>
      </c>
      <c r="C3584" s="615">
        <f t="shared" si="381"/>
        <v>72105.479452054802</v>
      </c>
      <c r="D3584" s="532">
        <f t="shared" si="382"/>
        <v>45261</v>
      </c>
      <c r="E3584" s="534">
        <v>30</v>
      </c>
      <c r="F3584" s="653">
        <v>1.33</v>
      </c>
      <c r="G3584" s="536" t="s">
        <v>258</v>
      </c>
      <c r="H3584">
        <f>(C3584-B3584)/E3584*30</f>
        <v>7105.4794520548021</v>
      </c>
    </row>
    <row r="3585" spans="1:8" ht="13.5" customHeight="1">
      <c r="A3585" s="532">
        <v>45232</v>
      </c>
      <c r="B3585" s="615">
        <v>160000</v>
      </c>
      <c r="C3585" s="615">
        <f t="shared" ref="A3585:C3593" si="384">B3585+(B3585*F3585/365*E3585)*1</f>
        <v>178656.43835616438</v>
      </c>
      <c r="D3585" s="532">
        <f t="shared" ref="A3585:D3593" si="385">+A3585+E3585</f>
        <v>45264</v>
      </c>
      <c r="E3585" s="534">
        <v>32</v>
      </c>
      <c r="F3585" s="653">
        <v>1.33</v>
      </c>
      <c r="G3585" s="536" t="s">
        <v>256</v>
      </c>
      <c r="H3585">
        <f>(C3585-B3585)/E3585*30</f>
        <v>17490.410958904104</v>
      </c>
    </row>
    <row r="3586" spans="1:8" ht="13.5" customHeight="1">
      <c r="A3586" s="532">
        <v>45232</v>
      </c>
      <c r="B3586" s="615">
        <v>20000</v>
      </c>
      <c r="C3586" s="615">
        <f t="shared" si="384"/>
        <v>22332.054794520547</v>
      </c>
      <c r="D3586" s="532">
        <f t="shared" si="385"/>
        <v>45264</v>
      </c>
      <c r="E3586" s="534">
        <v>32</v>
      </c>
      <c r="F3586" s="653">
        <v>1.33</v>
      </c>
      <c r="G3586" s="536" t="s">
        <v>258</v>
      </c>
      <c r="H3586">
        <f t="shared" ref="A3586:H3593" si="386">(C3586-B3586)/E3586*30</f>
        <v>2186.301369863013</v>
      </c>
    </row>
    <row r="3587" spans="1:8" ht="13.5" customHeight="1">
      <c r="A3587" s="532">
        <v>45232</v>
      </c>
      <c r="B3587" s="615">
        <v>60000</v>
      </c>
      <c r="C3587" s="615">
        <f t="shared" si="384"/>
        <v>66996.164383561641</v>
      </c>
      <c r="D3587" s="532">
        <f t="shared" si="385"/>
        <v>45264</v>
      </c>
      <c r="E3587" s="534">
        <v>32</v>
      </c>
      <c r="F3587" s="653">
        <v>1.33</v>
      </c>
      <c r="G3587" s="536" t="s">
        <v>260</v>
      </c>
      <c r="H3587">
        <f t="shared" si="386"/>
        <v>6558.9041095890389</v>
      </c>
    </row>
    <row r="3588" spans="1:8" ht="13.5" customHeight="1">
      <c r="A3588" s="532">
        <v>45232</v>
      </c>
      <c r="B3588" s="615">
        <v>125000</v>
      </c>
      <c r="C3588" s="615">
        <f t="shared" si="384"/>
        <v>139575.34246575343</v>
      </c>
      <c r="D3588" s="532">
        <f t="shared" si="385"/>
        <v>45264</v>
      </c>
      <c r="E3588" s="534">
        <v>32</v>
      </c>
      <c r="F3588" s="653">
        <v>1.33</v>
      </c>
      <c r="G3588" s="536" t="s">
        <v>262</v>
      </c>
      <c r="H3588">
        <f t="shared" si="386"/>
        <v>13664.383561643845</v>
      </c>
    </row>
    <row r="3589" spans="1:8" ht="13.5" customHeight="1">
      <c r="A3589" s="532">
        <v>45233</v>
      </c>
      <c r="B3589" s="615">
        <v>80000</v>
      </c>
      <c r="C3589" s="615">
        <f t="shared" si="384"/>
        <v>89036.712328767127</v>
      </c>
      <c r="D3589" s="532">
        <f t="shared" si="385"/>
        <v>45264</v>
      </c>
      <c r="E3589" s="534">
        <v>31</v>
      </c>
      <c r="F3589" s="653">
        <v>1.33</v>
      </c>
      <c r="G3589" s="536" t="s">
        <v>258</v>
      </c>
      <c r="H3589">
        <f t="shared" si="386"/>
        <v>8745.2054794520591</v>
      </c>
    </row>
    <row r="3590" spans="1:8" ht="13.5" customHeight="1">
      <c r="A3590" s="532">
        <v>45233</v>
      </c>
      <c r="B3590" s="615">
        <v>110100</v>
      </c>
      <c r="C3590" s="615">
        <f t="shared" si="384"/>
        <v>122536.77534246576</v>
      </c>
      <c r="D3590" s="532">
        <f t="shared" si="385"/>
        <v>45264</v>
      </c>
      <c r="E3590" s="534">
        <v>31</v>
      </c>
      <c r="F3590" s="653">
        <v>1.33</v>
      </c>
      <c r="G3590" s="536" t="s">
        <v>259</v>
      </c>
      <c r="H3590">
        <f t="shared" si="386"/>
        <v>12035.589041095895</v>
      </c>
    </row>
    <row r="3591" spans="1:8" ht="13.5" customHeight="1">
      <c r="A3591" s="532">
        <v>45233</v>
      </c>
      <c r="B3591" s="615">
        <v>131600</v>
      </c>
      <c r="C3591" s="615">
        <f t="shared" si="384"/>
        <v>146465.39178082193</v>
      </c>
      <c r="D3591" s="532">
        <f t="shared" si="385"/>
        <v>45264</v>
      </c>
      <c r="E3591" s="534">
        <v>31</v>
      </c>
      <c r="F3591" s="653">
        <v>1.33</v>
      </c>
      <c r="G3591" s="536" t="s">
        <v>257</v>
      </c>
      <c r="H3591">
        <f t="shared" si="386"/>
        <v>14385.863013698638</v>
      </c>
    </row>
    <row r="3592" spans="1:8" ht="13.5" customHeight="1">
      <c r="A3592" s="532">
        <v>45233</v>
      </c>
      <c r="B3592" s="615">
        <v>125700</v>
      </c>
      <c r="C3592" s="615">
        <f t="shared" si="384"/>
        <v>139898.93424657534</v>
      </c>
      <c r="D3592" s="532">
        <f t="shared" si="385"/>
        <v>45264</v>
      </c>
      <c r="E3592" s="534">
        <v>31</v>
      </c>
      <c r="F3592" s="653">
        <v>1.33</v>
      </c>
      <c r="G3592" s="536" t="s">
        <v>265</v>
      </c>
      <c r="H3592">
        <f t="shared" si="386"/>
        <v>13740.904109589042</v>
      </c>
    </row>
    <row r="3593" spans="1:8" ht="13.5" customHeight="1">
      <c r="A3593" s="532">
        <v>45233</v>
      </c>
      <c r="B3593" s="615">
        <v>102800</v>
      </c>
      <c r="C3593" s="615">
        <f t="shared" si="384"/>
        <v>114412.17534246575</v>
      </c>
      <c r="D3593" s="532">
        <f t="shared" si="385"/>
        <v>45264</v>
      </c>
      <c r="E3593" s="534">
        <v>31</v>
      </c>
      <c r="F3593" s="653">
        <v>1.33</v>
      </c>
      <c r="G3593" s="536" t="s">
        <v>261</v>
      </c>
      <c r="H3593">
        <f t="shared" si="386"/>
        <v>11237.589041095889</v>
      </c>
    </row>
    <row r="3594" spans="1:8" ht="13.5" customHeight="1">
      <c r="A3594" s="532">
        <v>45233</v>
      </c>
      <c r="B3594" s="615">
        <v>205000</v>
      </c>
      <c r="C3594" s="615">
        <f t="shared" ref="A3594:C3596" si="387">B3594+(B3594*F3594/365*E3594)*1</f>
        <v>228903.56164383562</v>
      </c>
      <c r="D3594" s="532">
        <f t="shared" ref="A3594:D3596" si="388">+A3594+E3594</f>
        <v>45265</v>
      </c>
      <c r="E3594" s="534">
        <v>32</v>
      </c>
      <c r="F3594" s="653">
        <v>1.33</v>
      </c>
      <c r="G3594" s="536" t="s">
        <v>256</v>
      </c>
      <c r="H3594">
        <f>(C3594-B3594)/E3594*30</f>
        <v>22409.589041095896</v>
      </c>
    </row>
    <row r="3595" spans="1:8" ht="13.5" customHeight="1">
      <c r="A3595" s="532">
        <v>45233</v>
      </c>
      <c r="B3595" s="615">
        <v>77400</v>
      </c>
      <c r="C3595" s="615">
        <f t="shared" si="387"/>
        <v>86425.05205479452</v>
      </c>
      <c r="D3595" s="532">
        <f t="shared" si="388"/>
        <v>45265</v>
      </c>
      <c r="E3595" s="534">
        <v>32</v>
      </c>
      <c r="F3595" s="653">
        <v>1.33</v>
      </c>
      <c r="G3595" s="536" t="s">
        <v>260</v>
      </c>
      <c r="H3595">
        <f t="shared" ref="A3595:H3596" si="389">(C3595-B3595)/E3595*30</f>
        <v>8460.9863013698632</v>
      </c>
    </row>
    <row r="3596" spans="1:8" ht="13.5" customHeight="1">
      <c r="A3596" s="532">
        <v>45233</v>
      </c>
      <c r="B3596" s="615">
        <v>500000</v>
      </c>
      <c r="C3596" s="615">
        <f t="shared" si="387"/>
        <v>558301.36986301374</v>
      </c>
      <c r="D3596" s="532">
        <f t="shared" si="388"/>
        <v>45265</v>
      </c>
      <c r="E3596" s="534">
        <v>32</v>
      </c>
      <c r="F3596" s="653">
        <v>1.33</v>
      </c>
      <c r="G3596" s="536" t="s">
        <v>262</v>
      </c>
      <c r="H3596">
        <f t="shared" si="389"/>
        <v>54657.534246575378</v>
      </c>
    </row>
    <row r="3597" spans="1:8" ht="13.5" customHeight="1">
      <c r="A3597" s="532">
        <v>45237</v>
      </c>
      <c r="B3597" s="615">
        <v>25000</v>
      </c>
      <c r="C3597" s="615">
        <f t="shared" ref="A3597:C3604" si="390">B3597+(B3597*F3597/365*E3597)*1</f>
        <v>27732.876712328769</v>
      </c>
      <c r="D3597" s="532">
        <f t="shared" ref="A3597:D3604" si="391">+A3597+E3597</f>
        <v>45267</v>
      </c>
      <c r="E3597" s="534">
        <v>30</v>
      </c>
      <c r="F3597" s="653">
        <v>1.33</v>
      </c>
      <c r="G3597" s="536" t="s">
        <v>256</v>
      </c>
      <c r="H3597">
        <f>(C3597-B3597)/E3597*30</f>
        <v>2732.8767123287689</v>
      </c>
    </row>
    <row r="3598" spans="1:8" ht="13.5" customHeight="1">
      <c r="A3598" s="532">
        <v>45237</v>
      </c>
      <c r="B3598" s="615">
        <v>880000</v>
      </c>
      <c r="C3598" s="615">
        <f t="shared" si="390"/>
        <v>976197.26027397264</v>
      </c>
      <c r="D3598" s="532">
        <f t="shared" si="391"/>
        <v>45267</v>
      </c>
      <c r="E3598" s="534">
        <v>30</v>
      </c>
      <c r="F3598" s="653">
        <v>1.33</v>
      </c>
      <c r="G3598" s="536" t="s">
        <v>262</v>
      </c>
      <c r="H3598">
        <f t="shared" ref="A3598:H3604" si="392">(C3598-B3598)/E3598*30</f>
        <v>96197.260273972643</v>
      </c>
    </row>
    <row r="3599" spans="1:8" ht="13.5" customHeight="1">
      <c r="A3599" s="532">
        <v>45237</v>
      </c>
      <c r="B3599" s="615">
        <v>116400</v>
      </c>
      <c r="C3599" s="615">
        <f t="shared" si="390"/>
        <v>129124.27397260274</v>
      </c>
      <c r="D3599" s="532">
        <f t="shared" si="391"/>
        <v>45267</v>
      </c>
      <c r="E3599" s="534">
        <v>30</v>
      </c>
      <c r="F3599" s="653">
        <v>1.33</v>
      </c>
      <c r="G3599" s="536" t="s">
        <v>259</v>
      </c>
      <c r="H3599">
        <f t="shared" si="392"/>
        <v>12724.273972602736</v>
      </c>
    </row>
    <row r="3600" spans="1:8" ht="13.5" customHeight="1">
      <c r="A3600" s="532">
        <v>45237</v>
      </c>
      <c r="B3600" s="615">
        <v>72000</v>
      </c>
      <c r="C3600" s="615">
        <f t="shared" si="390"/>
        <v>79870.684931506854</v>
      </c>
      <c r="D3600" s="532">
        <f t="shared" si="391"/>
        <v>45267</v>
      </c>
      <c r="E3600" s="534">
        <v>30</v>
      </c>
      <c r="F3600" s="653">
        <v>1.33</v>
      </c>
      <c r="G3600" s="536" t="s">
        <v>260</v>
      </c>
      <c r="H3600">
        <f t="shared" si="392"/>
        <v>7870.6849315068539</v>
      </c>
    </row>
    <row r="3601" spans="1:8" ht="13.5" customHeight="1">
      <c r="A3601" s="532">
        <v>45237</v>
      </c>
      <c r="B3601" s="615">
        <v>243300</v>
      </c>
      <c r="C3601" s="615">
        <f t="shared" si="390"/>
        <v>269896.35616438359</v>
      </c>
      <c r="D3601" s="532">
        <f t="shared" si="391"/>
        <v>45267</v>
      </c>
      <c r="E3601" s="534">
        <v>30</v>
      </c>
      <c r="F3601" s="653">
        <v>1.33</v>
      </c>
      <c r="G3601" s="536" t="s">
        <v>261</v>
      </c>
      <c r="H3601">
        <f t="shared" si="392"/>
        <v>26596.356164383586</v>
      </c>
    </row>
    <row r="3602" spans="1:8" ht="13.5" customHeight="1">
      <c r="A3602" s="532">
        <v>45237</v>
      </c>
      <c r="B3602" s="615">
        <v>50000</v>
      </c>
      <c r="C3602" s="615">
        <f t="shared" si="390"/>
        <v>55465.753424657538</v>
      </c>
      <c r="D3602" s="532">
        <f t="shared" si="391"/>
        <v>45267</v>
      </c>
      <c r="E3602" s="534">
        <v>30</v>
      </c>
      <c r="F3602" s="653">
        <v>1.33</v>
      </c>
      <c r="G3602" s="536" t="s">
        <v>261</v>
      </c>
      <c r="H3602">
        <f t="shared" si="392"/>
        <v>5465.7534246575378</v>
      </c>
    </row>
    <row r="3603" spans="1:8" ht="13.5" customHeight="1">
      <c r="A3603" s="532">
        <v>45237</v>
      </c>
      <c r="B3603" s="615">
        <v>175000</v>
      </c>
      <c r="C3603" s="615">
        <f t="shared" si="390"/>
        <v>194130.13698630137</v>
      </c>
      <c r="D3603" s="532">
        <f t="shared" si="391"/>
        <v>45267</v>
      </c>
      <c r="E3603" s="534">
        <v>30</v>
      </c>
      <c r="F3603" s="653">
        <v>1.33</v>
      </c>
      <c r="G3603" s="536" t="s">
        <v>257</v>
      </c>
      <c r="H3603">
        <f t="shared" si="392"/>
        <v>19130.136986301368</v>
      </c>
    </row>
    <row r="3604" spans="1:8" ht="13.5" customHeight="1">
      <c r="A3604" s="532">
        <v>45237</v>
      </c>
      <c r="B3604" s="615">
        <v>440000</v>
      </c>
      <c r="C3604" s="615">
        <f t="shared" si="390"/>
        <v>488098.63013698632</v>
      </c>
      <c r="D3604" s="532">
        <f t="shared" si="391"/>
        <v>45267</v>
      </c>
      <c r="E3604" s="534">
        <v>30</v>
      </c>
      <c r="F3604" s="653">
        <v>1.33</v>
      </c>
      <c r="G3604" s="536" t="s">
        <v>258</v>
      </c>
      <c r="H3604">
        <f t="shared" si="392"/>
        <v>48098.630136986321</v>
      </c>
    </row>
    <row r="3605" spans="1:8" ht="13.5" customHeight="1">
      <c r="A3605" s="532">
        <v>45238</v>
      </c>
      <c r="B3605" s="615">
        <v>185000</v>
      </c>
      <c r="C3605" s="615">
        <f t="shared" ref="A3605:C3608" si="393">B3605+(B3605*F3605/365*E3605)*1</f>
        <v>207245.61643835617</v>
      </c>
      <c r="D3605" s="532">
        <f t="shared" ref="A3605:D3608" si="394">+A3605+E3605</f>
        <v>45271</v>
      </c>
      <c r="E3605" s="534">
        <v>33</v>
      </c>
      <c r="F3605" s="653">
        <v>1.33</v>
      </c>
      <c r="G3605" s="536" t="s">
        <v>256</v>
      </c>
      <c r="H3605">
        <f>(C3605-B3605)/E3605*30</f>
        <v>20223.287671232883</v>
      </c>
    </row>
    <row r="3606" spans="1:8" ht="13.5" customHeight="1">
      <c r="A3606" s="532">
        <v>45238</v>
      </c>
      <c r="B3606" s="615">
        <v>240000</v>
      </c>
      <c r="C3606" s="615">
        <f t="shared" si="393"/>
        <v>268859.17808219179</v>
      </c>
      <c r="D3606" s="532">
        <f t="shared" si="394"/>
        <v>45271</v>
      </c>
      <c r="E3606" s="534">
        <v>33</v>
      </c>
      <c r="F3606" s="653">
        <v>1.33</v>
      </c>
      <c r="G3606" s="536" t="s">
        <v>258</v>
      </c>
      <c r="H3606">
        <f t="shared" ref="A3606:H3608" si="395">(C3606-B3606)/E3606*30</f>
        <v>26235.616438356177</v>
      </c>
    </row>
    <row r="3607" spans="1:8" ht="13.5" customHeight="1">
      <c r="A3607" s="532">
        <v>45238</v>
      </c>
      <c r="B3607" s="615">
        <v>210000</v>
      </c>
      <c r="C3607" s="615">
        <f t="shared" si="393"/>
        <v>235251.78082191781</v>
      </c>
      <c r="D3607" s="532">
        <f t="shared" si="394"/>
        <v>45271</v>
      </c>
      <c r="E3607" s="534">
        <v>33</v>
      </c>
      <c r="F3607" s="653">
        <v>1.33</v>
      </c>
      <c r="G3607" s="536" t="s">
        <v>260</v>
      </c>
      <c r="H3607">
        <f t="shared" si="395"/>
        <v>22956.164383561645</v>
      </c>
    </row>
    <row r="3608" spans="1:8" ht="13.5" customHeight="1">
      <c r="A3608" s="532">
        <v>45238</v>
      </c>
      <c r="B3608" s="615">
        <v>340000</v>
      </c>
      <c r="C3608" s="615">
        <f t="shared" si="393"/>
        <v>380883.83561643836</v>
      </c>
      <c r="D3608" s="532">
        <f t="shared" si="394"/>
        <v>45271</v>
      </c>
      <c r="E3608" s="534">
        <v>33</v>
      </c>
      <c r="F3608" s="653">
        <v>1.33</v>
      </c>
      <c r="G3608" s="536" t="s">
        <v>257</v>
      </c>
      <c r="H3608">
        <f t="shared" si="395"/>
        <v>37167.123287671231</v>
      </c>
    </row>
    <row r="3609" spans="1:8" ht="13.5" customHeight="1">
      <c r="A3609" s="532">
        <v>45239</v>
      </c>
      <c r="B3609" s="615">
        <v>720000</v>
      </c>
      <c r="C3609" s="615">
        <f t="shared" ref="A3609:C3616" si="396">B3609+(B3609*F3609/365*E3609)*1</f>
        <v>806577.53424657532</v>
      </c>
      <c r="D3609" s="532">
        <f t="shared" ref="A3609:D3616" si="397">+A3609+E3609</f>
        <v>45272</v>
      </c>
      <c r="E3609" s="534">
        <v>33</v>
      </c>
      <c r="F3609" s="653">
        <v>1.33</v>
      </c>
      <c r="G3609" s="536" t="s">
        <v>262</v>
      </c>
      <c r="H3609">
        <f t="shared" ref="A3609:H3612" si="398">(C3609-B3609)/E3609*30</f>
        <v>78706.849315068466</v>
      </c>
    </row>
    <row r="3610" spans="1:8" ht="13.5" customHeight="1">
      <c r="A3610" s="532">
        <v>45239</v>
      </c>
      <c r="B3610" s="615">
        <v>134800</v>
      </c>
      <c r="C3610" s="615">
        <f t="shared" si="396"/>
        <v>151009.23835616439</v>
      </c>
      <c r="D3610" s="532">
        <f t="shared" si="397"/>
        <v>45272</v>
      </c>
      <c r="E3610" s="534">
        <v>33</v>
      </c>
      <c r="F3610" s="653">
        <v>1.33</v>
      </c>
      <c r="G3610" s="536" t="s">
        <v>261</v>
      </c>
      <c r="H3610">
        <f t="shared" si="398"/>
        <v>14735.671232876723</v>
      </c>
    </row>
    <row r="3611" spans="1:8" ht="13.5" customHeight="1">
      <c r="A3611" s="532">
        <v>45239</v>
      </c>
      <c r="B3611" s="615">
        <v>186100</v>
      </c>
      <c r="C3611" s="615">
        <f t="shared" si="396"/>
        <v>208477.88767123286</v>
      </c>
      <c r="D3611" s="532">
        <f t="shared" si="397"/>
        <v>45272</v>
      </c>
      <c r="E3611" s="534">
        <v>33</v>
      </c>
      <c r="F3611" s="653">
        <v>1.33</v>
      </c>
      <c r="G3611" s="536" t="s">
        <v>260</v>
      </c>
      <c r="H3611">
        <f t="shared" si="398"/>
        <v>20343.534246575331</v>
      </c>
    </row>
    <row r="3612" spans="1:8" ht="13.5" customHeight="1">
      <c r="A3612" s="532">
        <v>45239</v>
      </c>
      <c r="B3612" s="615">
        <v>80000</v>
      </c>
      <c r="C3612" s="615">
        <f t="shared" si="396"/>
        <v>89619.726027397264</v>
      </c>
      <c r="D3612" s="532">
        <f t="shared" si="397"/>
        <v>45272</v>
      </c>
      <c r="E3612" s="534">
        <v>33</v>
      </c>
      <c r="F3612" s="653">
        <v>1.33</v>
      </c>
      <c r="G3612" s="536" t="s">
        <v>258</v>
      </c>
      <c r="H3612">
        <f t="shared" si="398"/>
        <v>8745.2054794520591</v>
      </c>
    </row>
    <row r="3613" spans="1:8" ht="13.5" customHeight="1">
      <c r="A3613" s="532">
        <v>45240</v>
      </c>
      <c r="B3613" s="615">
        <v>150000</v>
      </c>
      <c r="C3613" s="615">
        <f t="shared" si="396"/>
        <v>168036.98630136985</v>
      </c>
      <c r="D3613" s="532">
        <f t="shared" si="397"/>
        <v>45273</v>
      </c>
      <c r="E3613" s="534">
        <v>33</v>
      </c>
      <c r="F3613" s="653">
        <v>1.33</v>
      </c>
      <c r="G3613" s="536" t="s">
        <v>256</v>
      </c>
      <c r="H3613">
        <f t="shared" ref="A3613:H3616" si="399">(C3613-B3613)/E3613*30</f>
        <v>16397.260273972592</v>
      </c>
    </row>
    <row r="3614" spans="1:8" ht="13.5" customHeight="1">
      <c r="A3614" s="532">
        <v>45240</v>
      </c>
      <c r="B3614" s="615">
        <v>101000</v>
      </c>
      <c r="C3614" s="615">
        <f t="shared" si="396"/>
        <v>113144.90410958904</v>
      </c>
      <c r="D3614" s="532">
        <f t="shared" si="397"/>
        <v>45273</v>
      </c>
      <c r="E3614" s="534">
        <v>33</v>
      </c>
      <c r="F3614" s="653">
        <v>1.33</v>
      </c>
      <c r="G3614" s="536" t="s">
        <v>261</v>
      </c>
      <c r="H3614">
        <f t="shared" si="399"/>
        <v>11040.821917808222</v>
      </c>
    </row>
    <row r="3615" spans="1:8" ht="13.5" customHeight="1">
      <c r="A3615" s="532">
        <v>45240</v>
      </c>
      <c r="B3615" s="615">
        <v>36400</v>
      </c>
      <c r="C3615" s="615">
        <f t="shared" si="396"/>
        <v>40776.975342465754</v>
      </c>
      <c r="D3615" s="532">
        <f t="shared" si="397"/>
        <v>45273</v>
      </c>
      <c r="E3615" s="534">
        <v>33</v>
      </c>
      <c r="F3615" s="653">
        <v>1.33</v>
      </c>
      <c r="G3615" s="536" t="s">
        <v>259</v>
      </c>
      <c r="H3615">
        <f t="shared" si="399"/>
        <v>3979.0684931506853</v>
      </c>
    </row>
    <row r="3616" spans="1:8" ht="13.5" customHeight="1">
      <c r="A3616" s="532">
        <v>45240</v>
      </c>
      <c r="B3616" s="615">
        <v>253500</v>
      </c>
      <c r="C3616" s="615">
        <f t="shared" si="396"/>
        <v>283982.50684931508</v>
      </c>
      <c r="D3616" s="532">
        <f t="shared" si="397"/>
        <v>45273</v>
      </c>
      <c r="E3616" s="534">
        <v>33</v>
      </c>
      <c r="F3616" s="653">
        <v>1.33</v>
      </c>
      <c r="G3616" s="536" t="s">
        <v>260</v>
      </c>
      <c r="H3616">
        <f t="shared" si="399"/>
        <v>27711.369863013704</v>
      </c>
    </row>
    <row r="3617" spans="1:8" ht="13.5" customHeight="1">
      <c r="A3617" s="532">
        <v>45243</v>
      </c>
      <c r="B3617" s="615">
        <v>329000</v>
      </c>
      <c r="C3617" s="615">
        <f t="shared" ref="A3617:C3622" si="400">B3617+(B3617*F3617/365*E3617)*1</f>
        <v>366163.47945205477</v>
      </c>
      <c r="D3617" s="532">
        <f t="shared" ref="A3617:D3622" si="401">+A3617+E3617</f>
        <v>45274</v>
      </c>
      <c r="E3617" s="534">
        <v>31</v>
      </c>
      <c r="F3617" s="653">
        <v>1.33</v>
      </c>
      <c r="G3617" s="536" t="s">
        <v>256</v>
      </c>
      <c r="H3617">
        <f t="shared" ref="A3617:H3622" si="402">(C3617-B3617)/E3617*30</f>
        <v>35964.657534246558</v>
      </c>
    </row>
    <row r="3618" spans="1:8" ht="13.5" customHeight="1">
      <c r="A3618" s="532">
        <v>45243</v>
      </c>
      <c r="B3618" s="615">
        <v>279800</v>
      </c>
      <c r="C3618" s="615">
        <f t="shared" si="400"/>
        <v>311405.90136986302</v>
      </c>
      <c r="D3618" s="532">
        <f t="shared" si="401"/>
        <v>45274</v>
      </c>
      <c r="E3618" s="534">
        <v>31</v>
      </c>
      <c r="F3618" s="653">
        <v>1.33</v>
      </c>
      <c r="G3618" s="536" t="s">
        <v>260</v>
      </c>
      <c r="H3618">
        <f t="shared" si="402"/>
        <v>30586.356164383564</v>
      </c>
    </row>
    <row r="3619" spans="1:8" ht="13.5" customHeight="1">
      <c r="A3619" s="532">
        <v>45243</v>
      </c>
      <c r="B3619" s="615">
        <v>102900</v>
      </c>
      <c r="C3619" s="615">
        <f t="shared" si="400"/>
        <v>114523.47123287671</v>
      </c>
      <c r="D3619" s="532">
        <f t="shared" si="401"/>
        <v>45274</v>
      </c>
      <c r="E3619" s="534">
        <v>31</v>
      </c>
      <c r="F3619" s="653">
        <v>1.33</v>
      </c>
      <c r="G3619" s="536" t="s">
        <v>265</v>
      </c>
      <c r="H3619">
        <f t="shared" si="402"/>
        <v>11248.520547945198</v>
      </c>
    </row>
    <row r="3620" spans="1:8" ht="13.5" customHeight="1">
      <c r="A3620" s="532">
        <v>45243</v>
      </c>
      <c r="B3620" s="615">
        <v>251600</v>
      </c>
      <c r="C3620" s="615">
        <f t="shared" si="400"/>
        <v>280020.4602739726</v>
      </c>
      <c r="D3620" s="532">
        <f t="shared" si="401"/>
        <v>45274</v>
      </c>
      <c r="E3620" s="534">
        <v>31</v>
      </c>
      <c r="F3620" s="653">
        <v>1.33</v>
      </c>
      <c r="G3620" s="536" t="s">
        <v>263</v>
      </c>
      <c r="H3620">
        <f t="shared" si="402"/>
        <v>27503.671232876706</v>
      </c>
    </row>
    <row r="3621" spans="1:8" ht="13.5" customHeight="1">
      <c r="A3621" s="532">
        <v>45243</v>
      </c>
      <c r="B3621" s="615">
        <v>403500</v>
      </c>
      <c r="C3621" s="615">
        <f t="shared" si="400"/>
        <v>449078.91780821915</v>
      </c>
      <c r="D3621" s="532">
        <f t="shared" si="401"/>
        <v>45274</v>
      </c>
      <c r="E3621" s="534">
        <v>31</v>
      </c>
      <c r="F3621" s="653">
        <v>1.33</v>
      </c>
      <c r="G3621" s="536" t="s">
        <v>257</v>
      </c>
      <c r="H3621">
        <f t="shared" si="402"/>
        <v>44108.63013698627</v>
      </c>
    </row>
    <row r="3622" spans="1:8" ht="13.5" customHeight="1">
      <c r="A3622" s="532">
        <v>45243</v>
      </c>
      <c r="B3622" s="615">
        <v>180000</v>
      </c>
      <c r="C3622" s="615">
        <f t="shared" si="400"/>
        <v>200332.60273972602</v>
      </c>
      <c r="D3622" s="532">
        <f t="shared" si="401"/>
        <v>45274</v>
      </c>
      <c r="E3622" s="534">
        <v>31</v>
      </c>
      <c r="F3622" s="653">
        <v>1.33</v>
      </c>
      <c r="G3622" s="536" t="s">
        <v>258</v>
      </c>
      <c r="H3622">
        <f t="shared" si="402"/>
        <v>19676.712328767113</v>
      </c>
    </row>
    <row r="3623" spans="1:8" ht="13.5" customHeight="1">
      <c r="A3623" s="532">
        <v>45244</v>
      </c>
      <c r="B3623" s="615">
        <v>140000</v>
      </c>
      <c r="C3623" s="615">
        <f t="shared" ref="A3623:C3627" si="403">B3623+(B3623*F3623/365*E3623)*1</f>
        <v>155814.24657534246</v>
      </c>
      <c r="D3623" s="532">
        <f t="shared" ref="A3623:D3627" si="404">+A3623+E3623</f>
        <v>45275</v>
      </c>
      <c r="E3623" s="534">
        <v>31</v>
      </c>
      <c r="F3623" s="653">
        <v>1.33</v>
      </c>
      <c r="G3623" s="536" t="s">
        <v>256</v>
      </c>
      <c r="H3623">
        <f t="shared" ref="A3623:H3627" si="405">(C3623-B3623)/E3623*30</f>
        <v>15304.109589041092</v>
      </c>
    </row>
    <row r="3624" spans="1:8" ht="13.5" customHeight="1">
      <c r="A3624" s="532">
        <v>45244</v>
      </c>
      <c r="B3624" s="615">
        <v>145700</v>
      </c>
      <c r="C3624" s="615">
        <f t="shared" si="403"/>
        <v>162158.11232876714</v>
      </c>
      <c r="D3624" s="532">
        <f t="shared" si="404"/>
        <v>45275</v>
      </c>
      <c r="E3624" s="534">
        <v>31</v>
      </c>
      <c r="F3624" s="653">
        <v>1.33</v>
      </c>
      <c r="G3624" s="536" t="s">
        <v>257</v>
      </c>
      <c r="H3624">
        <f t="shared" si="405"/>
        <v>15927.205479452068</v>
      </c>
    </row>
    <row r="3625" spans="1:8" ht="13.5" customHeight="1">
      <c r="A3625" s="532">
        <v>45244</v>
      </c>
      <c r="B3625" s="615">
        <v>115000</v>
      </c>
      <c r="C3625" s="615">
        <f t="shared" si="403"/>
        <v>127990.27397260274</v>
      </c>
      <c r="D3625" s="532">
        <f t="shared" si="404"/>
        <v>45275</v>
      </c>
      <c r="E3625" s="534">
        <v>31</v>
      </c>
      <c r="F3625" s="653">
        <v>1.33</v>
      </c>
      <c r="G3625" s="536" t="s">
        <v>258</v>
      </c>
      <c r="H3625">
        <f t="shared" si="405"/>
        <v>12571.232876712325</v>
      </c>
    </row>
    <row r="3626" spans="1:8" ht="13.5" customHeight="1">
      <c r="A3626" s="532">
        <v>45244</v>
      </c>
      <c r="B3626" s="615">
        <v>50000</v>
      </c>
      <c r="C3626" s="615">
        <f t="shared" si="403"/>
        <v>55647.945205479453</v>
      </c>
      <c r="D3626" s="532">
        <f t="shared" si="404"/>
        <v>45275</v>
      </c>
      <c r="E3626" s="534">
        <v>31</v>
      </c>
      <c r="F3626" s="653">
        <v>1.33</v>
      </c>
      <c r="G3626" s="536" t="s">
        <v>261</v>
      </c>
      <c r="H3626">
        <f t="shared" si="405"/>
        <v>5465.7534246575351</v>
      </c>
    </row>
    <row r="3627" spans="1:8" ht="13.5" customHeight="1">
      <c r="A3627" s="532">
        <v>45245</v>
      </c>
      <c r="B3627" s="615">
        <v>165000</v>
      </c>
      <c r="C3627" s="615">
        <f t="shared" si="403"/>
        <v>183036.98630136985</v>
      </c>
      <c r="D3627" s="532">
        <f t="shared" si="404"/>
        <v>45275</v>
      </c>
      <c r="E3627" s="534">
        <v>30</v>
      </c>
      <c r="F3627" s="653">
        <v>1.33</v>
      </c>
      <c r="G3627" s="536" t="s">
        <v>265</v>
      </c>
      <c r="H3627">
        <f t="shared" si="405"/>
        <v>18036.986301369849</v>
      </c>
    </row>
    <row r="3628" spans="1:8" ht="13.5" customHeight="1">
      <c r="A3628" s="532">
        <v>45246</v>
      </c>
      <c r="B3628" s="615">
        <v>730000</v>
      </c>
      <c r="C3628" s="615">
        <f t="shared" ref="A3628:C3634" si="406">B3628+(B3628*F3628/365*E3628)*1</f>
        <v>815120</v>
      </c>
      <c r="D3628" s="532">
        <f t="shared" ref="A3628:D3634" si="407">+A3628+E3628</f>
        <v>45278</v>
      </c>
      <c r="E3628" s="534">
        <v>32</v>
      </c>
      <c r="F3628" s="653">
        <v>1.33</v>
      </c>
      <c r="G3628" s="536" t="s">
        <v>256</v>
      </c>
      <c r="H3628">
        <f t="shared" ref="A3628:H3634" si="408">(C3628-B3628)/E3628*30</f>
        <v>79800</v>
      </c>
    </row>
    <row r="3629" spans="1:8" ht="13.5" customHeight="1">
      <c r="A3629" s="532">
        <v>45246</v>
      </c>
      <c r="B3629" s="615">
        <v>268600</v>
      </c>
      <c r="C3629" s="615">
        <f t="shared" si="406"/>
        <v>299919.49589041097</v>
      </c>
      <c r="D3629" s="532">
        <f t="shared" si="407"/>
        <v>45278</v>
      </c>
      <c r="E3629" s="534">
        <v>32</v>
      </c>
      <c r="F3629" s="653">
        <v>1.33</v>
      </c>
      <c r="G3629" s="536" t="s">
        <v>259</v>
      </c>
      <c r="H3629">
        <f t="shared" si="408"/>
        <v>29362.027397260281</v>
      </c>
    </row>
    <row r="3630" spans="1:8" ht="13.5" customHeight="1">
      <c r="A3630" s="532">
        <v>45246</v>
      </c>
      <c r="B3630" s="615">
        <v>130000</v>
      </c>
      <c r="C3630" s="615">
        <f t="shared" si="406"/>
        <v>145158.35616438356</v>
      </c>
      <c r="D3630" s="532">
        <f t="shared" si="407"/>
        <v>45278</v>
      </c>
      <c r="E3630" s="534">
        <v>32</v>
      </c>
      <c r="F3630" s="653">
        <v>1.33</v>
      </c>
      <c r="G3630" s="536" t="s">
        <v>258</v>
      </c>
      <c r="H3630">
        <f t="shared" si="408"/>
        <v>14210.958904109584</v>
      </c>
    </row>
    <row r="3631" spans="1:8" ht="13.5" customHeight="1">
      <c r="A3631" s="532">
        <v>45246</v>
      </c>
      <c r="B3631" s="615">
        <v>140700</v>
      </c>
      <c r="C3631" s="615">
        <f t="shared" si="406"/>
        <v>157106.00547945205</v>
      </c>
      <c r="D3631" s="532">
        <f t="shared" si="407"/>
        <v>45278</v>
      </c>
      <c r="E3631" s="534">
        <v>32</v>
      </c>
      <c r="F3631" s="653">
        <v>1.33</v>
      </c>
      <c r="G3631" s="536" t="s">
        <v>260</v>
      </c>
      <c r="H3631">
        <f t="shared" si="408"/>
        <v>15380.630136986301</v>
      </c>
    </row>
    <row r="3632" spans="1:8" ht="13.5" customHeight="1">
      <c r="A3632" s="532">
        <v>45246</v>
      </c>
      <c r="B3632" s="615">
        <v>164700</v>
      </c>
      <c r="C3632" s="615">
        <f t="shared" si="406"/>
        <v>183904.47123287671</v>
      </c>
      <c r="D3632" s="532">
        <f t="shared" si="407"/>
        <v>45278</v>
      </c>
      <c r="E3632" s="534">
        <v>32</v>
      </c>
      <c r="F3632" s="653">
        <v>1.33</v>
      </c>
      <c r="G3632" s="536" t="s">
        <v>265</v>
      </c>
      <c r="H3632">
        <f t="shared" si="408"/>
        <v>18004.191780821911</v>
      </c>
    </row>
    <row r="3633" spans="1:8" ht="13.5" customHeight="1">
      <c r="A3633" s="532">
        <v>45246</v>
      </c>
      <c r="B3633" s="615">
        <v>494700</v>
      </c>
      <c r="C3633" s="615">
        <f t="shared" si="406"/>
        <v>552383.3753424657</v>
      </c>
      <c r="D3633" s="532">
        <f t="shared" si="407"/>
        <v>45278</v>
      </c>
      <c r="E3633" s="534">
        <v>32</v>
      </c>
      <c r="F3633" s="653">
        <v>1.33</v>
      </c>
      <c r="G3633" s="536" t="s">
        <v>257</v>
      </c>
      <c r="H3633">
        <f t="shared" si="408"/>
        <v>54078.164383561598</v>
      </c>
    </row>
    <row r="3634" spans="1:8" ht="13.5" customHeight="1">
      <c r="A3634" s="532">
        <v>45246</v>
      </c>
      <c r="B3634" s="615">
        <v>148700</v>
      </c>
      <c r="C3634" s="615">
        <f t="shared" si="406"/>
        <v>166038.82739726026</v>
      </c>
      <c r="D3634" s="532">
        <f t="shared" si="407"/>
        <v>45278</v>
      </c>
      <c r="E3634" s="534">
        <v>32</v>
      </c>
      <c r="F3634" s="653">
        <v>1.33</v>
      </c>
      <c r="G3634" s="536" t="s">
        <v>261</v>
      </c>
      <c r="H3634">
        <f t="shared" si="408"/>
        <v>16255.150684931496</v>
      </c>
    </row>
    <row r="3635" spans="1:8" ht="13.5" customHeight="1">
      <c r="A3635" s="532">
        <v>45247</v>
      </c>
      <c r="B3635" s="615">
        <v>540000</v>
      </c>
      <c r="C3635" s="615">
        <f t="shared" ref="A3635:C3640" si="409">B3635+(B3635*F3635/365*E3635)*1</f>
        <v>602965.47945205483</v>
      </c>
      <c r="D3635" s="532">
        <f t="shared" ref="A3635:D3640" si="410">+A3635+E3635</f>
        <v>45279</v>
      </c>
      <c r="E3635" s="534">
        <v>32</v>
      </c>
      <c r="F3635" s="653">
        <v>1.33</v>
      </c>
      <c r="G3635" s="536" t="s">
        <v>256</v>
      </c>
      <c r="H3635">
        <f t="shared" ref="A3635:H3640" si="411">(C3635-B3635)/E3635*30</f>
        <v>59030.136986301404</v>
      </c>
    </row>
    <row r="3636" spans="1:8" ht="13.5" customHeight="1">
      <c r="A3636" s="532">
        <v>45247</v>
      </c>
      <c r="B3636" s="615">
        <v>59000</v>
      </c>
      <c r="C3636" s="615">
        <f t="shared" si="409"/>
        <v>65879.561643835623</v>
      </c>
      <c r="D3636" s="532">
        <f t="shared" si="410"/>
        <v>45279</v>
      </c>
      <c r="E3636" s="534">
        <v>32</v>
      </c>
      <c r="F3636" s="653">
        <v>1.33</v>
      </c>
      <c r="G3636" s="536" t="s">
        <v>260</v>
      </c>
      <c r="H3636">
        <f t="shared" si="411"/>
        <v>6449.5890410958964</v>
      </c>
    </row>
    <row r="3637" spans="1:8" ht="13.5" customHeight="1">
      <c r="A3637" s="532">
        <v>45247</v>
      </c>
      <c r="B3637" s="615">
        <v>83200</v>
      </c>
      <c r="C3637" s="615">
        <f t="shared" si="409"/>
        <v>92901.347945205474</v>
      </c>
      <c r="D3637" s="532">
        <f t="shared" si="410"/>
        <v>45279</v>
      </c>
      <c r="E3637" s="534">
        <v>32</v>
      </c>
      <c r="F3637" s="653">
        <v>1.33</v>
      </c>
      <c r="G3637" s="536" t="s">
        <v>265</v>
      </c>
      <c r="H3637">
        <f t="shared" si="411"/>
        <v>9095.0136986301331</v>
      </c>
    </row>
    <row r="3638" spans="1:8" ht="13.5" customHeight="1">
      <c r="A3638" s="532">
        <v>45247</v>
      </c>
      <c r="B3638" s="615">
        <v>115000</v>
      </c>
      <c r="C3638" s="615">
        <f t="shared" si="409"/>
        <v>128409.31506849315</v>
      </c>
      <c r="D3638" s="532">
        <f t="shared" si="410"/>
        <v>45279</v>
      </c>
      <c r="E3638" s="534">
        <v>32</v>
      </c>
      <c r="F3638" s="653">
        <v>1.33</v>
      </c>
      <c r="G3638" s="536" t="s">
        <v>258</v>
      </c>
      <c r="H3638">
        <f t="shared" si="411"/>
        <v>12571.232876712325</v>
      </c>
    </row>
    <row r="3639" spans="1:8" ht="13.5" customHeight="1">
      <c r="A3639" s="532">
        <v>45247</v>
      </c>
      <c r="B3639" s="615">
        <v>395500</v>
      </c>
      <c r="C3639" s="615">
        <f t="shared" si="409"/>
        <v>441616.38356164383</v>
      </c>
      <c r="D3639" s="532">
        <f t="shared" si="410"/>
        <v>45279</v>
      </c>
      <c r="E3639" s="534">
        <v>32</v>
      </c>
      <c r="F3639" s="653">
        <v>1.33</v>
      </c>
      <c r="G3639" s="536" t="s">
        <v>257</v>
      </c>
      <c r="H3639">
        <f t="shared" si="411"/>
        <v>43234.109589041094</v>
      </c>
    </row>
    <row r="3640" spans="1:8" ht="13.5" customHeight="1">
      <c r="A3640" s="532">
        <v>45247</v>
      </c>
      <c r="B3640" s="615">
        <v>432000</v>
      </c>
      <c r="C3640" s="615">
        <f t="shared" si="409"/>
        <v>482372.38356164383</v>
      </c>
      <c r="D3640" s="532">
        <f t="shared" si="410"/>
        <v>45279</v>
      </c>
      <c r="E3640" s="534">
        <v>32</v>
      </c>
      <c r="F3640" s="653">
        <v>1.33</v>
      </c>
      <c r="G3640" s="536" t="s">
        <v>261</v>
      </c>
      <c r="H3640">
        <f t="shared" si="411"/>
        <v>47224.109589041094</v>
      </c>
    </row>
    <row r="3641" spans="1:8" ht="13.5" customHeight="1">
      <c r="A3641" s="532">
        <v>45251</v>
      </c>
      <c r="B3641" s="615">
        <v>120000</v>
      </c>
      <c r="C3641" s="615">
        <f t="shared" ref="A3641:C3643" si="412">B3641+(B3641*F3641/365*E3641)*1</f>
        <v>133117.80821917808</v>
      </c>
      <c r="D3641" s="532">
        <f t="shared" ref="A3641:D3643" si="413">+A3641+E3641</f>
        <v>45281</v>
      </c>
      <c r="E3641" s="534">
        <v>30</v>
      </c>
      <c r="F3641" s="653">
        <v>1.33</v>
      </c>
      <c r="G3641" s="536" t="s">
        <v>256</v>
      </c>
      <c r="H3641">
        <f>(C3641-B3641)/E3641*30</f>
        <v>13117.808219178085</v>
      </c>
    </row>
    <row r="3642" spans="1:8" ht="13.5" customHeight="1">
      <c r="A3642" s="532">
        <v>45251</v>
      </c>
      <c r="B3642" s="615">
        <v>125000</v>
      </c>
      <c r="C3642" s="615">
        <f t="shared" si="412"/>
        <v>138664.38356164383</v>
      </c>
      <c r="D3642" s="532">
        <f t="shared" si="413"/>
        <v>45281</v>
      </c>
      <c r="E3642" s="534">
        <v>30</v>
      </c>
      <c r="F3642" s="653">
        <v>1.33</v>
      </c>
      <c r="G3642" s="536" t="s">
        <v>258</v>
      </c>
      <c r="H3642">
        <f t="shared" ref="A3642:H3643" si="414">(C3642-B3642)/E3642*30</f>
        <v>13664.38356164383</v>
      </c>
    </row>
    <row r="3643" spans="1:8" ht="13.5" customHeight="1">
      <c r="A3643" s="532">
        <v>45251</v>
      </c>
      <c r="B3643" s="615">
        <v>290000</v>
      </c>
      <c r="C3643" s="615">
        <f t="shared" si="412"/>
        <v>321701.36986301368</v>
      </c>
      <c r="D3643" s="532">
        <f t="shared" si="413"/>
        <v>45281</v>
      </c>
      <c r="E3643" s="534">
        <v>30</v>
      </c>
      <c r="F3643" s="653">
        <v>1.33</v>
      </c>
      <c r="G3643" s="536" t="s">
        <v>262</v>
      </c>
      <c r="H3643">
        <f t="shared" si="414"/>
        <v>31701.369863013682</v>
      </c>
    </row>
    <row r="3644" spans="1:8" ht="13.5" customHeight="1">
      <c r="A3644" s="532">
        <v>45252</v>
      </c>
      <c r="B3644" s="615">
        <v>85000</v>
      </c>
      <c r="C3644" s="615">
        <f t="shared" ref="A3644:C3649" si="415">B3644+(B3644*F3644/365*E3644)*1</f>
        <v>94291.780821917811</v>
      </c>
      <c r="D3644" s="532">
        <f t="shared" ref="A3644:D3649" si="416">+A3644+E3644</f>
        <v>45282</v>
      </c>
      <c r="E3644" s="534">
        <v>30</v>
      </c>
      <c r="F3644" s="653">
        <v>1.33</v>
      </c>
      <c r="G3644" s="536" t="s">
        <v>256</v>
      </c>
      <c r="H3644">
        <f t="shared" ref="A3644:H3649" si="417">(C3644-B3644)/E3644*30</f>
        <v>9291.7808219178114</v>
      </c>
    </row>
    <row r="3645" spans="1:8" ht="13.5" customHeight="1">
      <c r="A3645" s="532">
        <v>45252</v>
      </c>
      <c r="B3645" s="615">
        <v>67900</v>
      </c>
      <c r="C3645" s="615">
        <f t="shared" si="415"/>
        <v>75322.493150684924</v>
      </c>
      <c r="D3645" s="532">
        <f t="shared" si="416"/>
        <v>45282</v>
      </c>
      <c r="E3645" s="534">
        <v>30</v>
      </c>
      <c r="F3645" s="653">
        <v>1.33</v>
      </c>
      <c r="G3645" s="536" t="s">
        <v>259</v>
      </c>
      <c r="H3645">
        <f t="shared" si="417"/>
        <v>7422.4931506849243</v>
      </c>
    </row>
    <row r="3646" spans="1:8" ht="13.5" customHeight="1">
      <c r="A3646" s="532">
        <v>45252</v>
      </c>
      <c r="B3646" s="615">
        <v>274900</v>
      </c>
      <c r="C3646" s="615">
        <f t="shared" si="415"/>
        <v>304950.71232876711</v>
      </c>
      <c r="D3646" s="532">
        <f t="shared" si="416"/>
        <v>45282</v>
      </c>
      <c r="E3646" s="534">
        <v>30</v>
      </c>
      <c r="F3646" s="653">
        <v>1.33</v>
      </c>
      <c r="G3646" s="536" t="s">
        <v>257</v>
      </c>
      <c r="H3646">
        <f t="shared" si="417"/>
        <v>30050.712328767113</v>
      </c>
    </row>
    <row r="3647" spans="1:8" ht="13.5" customHeight="1">
      <c r="A3647" s="532">
        <v>45252</v>
      </c>
      <c r="B3647" s="615">
        <v>95000</v>
      </c>
      <c r="C3647" s="615">
        <f t="shared" si="415"/>
        <v>105384.93150684932</v>
      </c>
      <c r="D3647" s="532">
        <f t="shared" si="416"/>
        <v>45282</v>
      </c>
      <c r="E3647" s="534">
        <v>30</v>
      </c>
      <c r="F3647" s="653">
        <v>1.33</v>
      </c>
      <c r="G3647" s="536" t="s">
        <v>258</v>
      </c>
      <c r="H3647">
        <f t="shared" si="417"/>
        <v>10384.931506849316</v>
      </c>
    </row>
    <row r="3648" spans="1:8" ht="13.5" customHeight="1">
      <c r="A3648" s="532">
        <v>45252</v>
      </c>
      <c r="B3648" s="615">
        <v>11000</v>
      </c>
      <c r="C3648" s="615">
        <f t="shared" si="415"/>
        <v>12202.465753424658</v>
      </c>
      <c r="D3648" s="532">
        <f t="shared" si="416"/>
        <v>45282</v>
      </c>
      <c r="E3648" s="534">
        <v>30</v>
      </c>
      <c r="F3648" s="653">
        <v>1.33</v>
      </c>
      <c r="G3648" s="536" t="s">
        <v>260</v>
      </c>
      <c r="H3648">
        <f t="shared" si="417"/>
        <v>1202.465753424658</v>
      </c>
    </row>
    <row r="3649" spans="1:13" ht="13.5" customHeight="1">
      <c r="A3649" s="532">
        <v>45252</v>
      </c>
      <c r="B3649" s="615">
        <v>30000</v>
      </c>
      <c r="C3649" s="615">
        <f t="shared" si="415"/>
        <v>33279.452054794521</v>
      </c>
      <c r="D3649" s="532">
        <f t="shared" si="416"/>
        <v>45282</v>
      </c>
      <c r="E3649" s="534">
        <v>30</v>
      </c>
      <c r="F3649" s="653">
        <v>1.33</v>
      </c>
      <c r="G3649" s="536" t="s">
        <v>261</v>
      </c>
      <c r="H3649">
        <f t="shared" si="417"/>
        <v>3279.4520547945212</v>
      </c>
    </row>
    <row r="3650" spans="1:13" ht="13.5" customHeight="1">
      <c r="A3650" s="532">
        <v>45254</v>
      </c>
      <c r="B3650" s="615">
        <v>240000</v>
      </c>
      <c r="C3650" s="615">
        <f t="shared" ref="A3650:C3658" si="418">B3650+(B3650*F3650/365*E3650)*1</f>
        <v>267984.65753424657</v>
      </c>
      <c r="D3650" s="532">
        <f t="shared" ref="A3650:D3658" si="419">+A3650+E3650</f>
        <v>45286</v>
      </c>
      <c r="E3650" s="534">
        <v>32</v>
      </c>
      <c r="F3650" s="653">
        <v>1.33</v>
      </c>
      <c r="G3650" s="536" t="s">
        <v>256</v>
      </c>
    </row>
    <row r="3651" spans="1:13" ht="13.5" customHeight="1">
      <c r="A3651" s="532">
        <v>45253</v>
      </c>
      <c r="B3651" s="615">
        <v>38100</v>
      </c>
      <c r="C3651" s="615">
        <f t="shared" si="418"/>
        <v>42681.394520547947</v>
      </c>
      <c r="D3651" s="532">
        <f t="shared" si="419"/>
        <v>45286</v>
      </c>
      <c r="E3651" s="534">
        <v>33</v>
      </c>
      <c r="F3651" s="653">
        <v>1.33</v>
      </c>
      <c r="G3651" s="536" t="s">
        <v>261</v>
      </c>
    </row>
    <row r="3652" spans="1:13" ht="13.5" customHeight="1">
      <c r="A3652" s="532">
        <v>45253</v>
      </c>
      <c r="B3652" s="615">
        <v>63400</v>
      </c>
      <c r="C3652" s="615">
        <f t="shared" si="418"/>
        <v>71023.632876712334</v>
      </c>
      <c r="D3652" s="532">
        <f t="shared" si="419"/>
        <v>45286</v>
      </c>
      <c r="E3652" s="534">
        <v>33</v>
      </c>
      <c r="F3652" s="653">
        <v>1.33</v>
      </c>
      <c r="G3652" s="536" t="s">
        <v>260</v>
      </c>
    </row>
    <row r="3653" spans="1:13" ht="13.5" customHeight="1">
      <c r="A3653" s="532">
        <v>45253</v>
      </c>
      <c r="B3653" s="615">
        <v>240700</v>
      </c>
      <c r="C3653" s="615">
        <f t="shared" si="418"/>
        <v>269643.3506849315</v>
      </c>
      <c r="D3653" s="532">
        <f t="shared" si="419"/>
        <v>45286</v>
      </c>
      <c r="E3653" s="534">
        <v>33</v>
      </c>
      <c r="F3653" s="653">
        <v>1.33</v>
      </c>
      <c r="G3653" s="536" t="s">
        <v>257</v>
      </c>
    </row>
    <row r="3654" spans="1:13" ht="13.5" customHeight="1">
      <c r="A3654" s="532">
        <v>45253</v>
      </c>
      <c r="B3654" s="615">
        <v>100000</v>
      </c>
      <c r="C3654" s="615">
        <f t="shared" si="418"/>
        <v>112024.65753424658</v>
      </c>
      <c r="D3654" s="532">
        <f t="shared" si="419"/>
        <v>45286</v>
      </c>
      <c r="E3654" s="534">
        <v>33</v>
      </c>
      <c r="F3654" s="653">
        <v>1.33</v>
      </c>
      <c r="G3654" s="536" t="s">
        <v>258</v>
      </c>
    </row>
    <row r="3655" spans="1:13" ht="13.5" customHeight="1">
      <c r="A3655" s="532">
        <v>45254</v>
      </c>
      <c r="B3655" s="615">
        <v>93700</v>
      </c>
      <c r="C3655" s="615">
        <f t="shared" si="418"/>
        <v>104625.67671232877</v>
      </c>
      <c r="D3655" s="532">
        <f t="shared" si="419"/>
        <v>45286</v>
      </c>
      <c r="E3655" s="534">
        <v>32</v>
      </c>
      <c r="F3655" s="653">
        <v>1.33</v>
      </c>
      <c r="G3655" s="536" t="s">
        <v>261</v>
      </c>
    </row>
    <row r="3656" spans="1:13" ht="13.5" customHeight="1">
      <c r="A3656" s="532">
        <v>45254</v>
      </c>
      <c r="B3656" s="615">
        <v>243600</v>
      </c>
      <c r="C3656" s="615">
        <f t="shared" si="418"/>
        <v>272004.42739726027</v>
      </c>
      <c r="D3656" s="532">
        <f t="shared" si="419"/>
        <v>45286</v>
      </c>
      <c r="E3656" s="534">
        <v>32</v>
      </c>
      <c r="F3656" s="653">
        <v>1.33</v>
      </c>
      <c r="G3656" s="536" t="s">
        <v>257</v>
      </c>
    </row>
    <row r="3657" spans="1:13" ht="13.5" customHeight="1">
      <c r="A3657" s="532">
        <v>45254</v>
      </c>
      <c r="B3657" s="615">
        <v>75000</v>
      </c>
      <c r="C3657" s="615">
        <f t="shared" si="418"/>
        <v>83745.205479452052</v>
      </c>
      <c r="D3657" s="532">
        <f t="shared" si="419"/>
        <v>45286</v>
      </c>
      <c r="E3657" s="534">
        <v>32</v>
      </c>
      <c r="F3657" s="653">
        <v>1.33</v>
      </c>
      <c r="G3657" s="536" t="s">
        <v>260</v>
      </c>
    </row>
    <row r="3658" spans="1:13" ht="13.5" customHeight="1">
      <c r="A3658" s="532">
        <v>45254</v>
      </c>
      <c r="B3658" s="615">
        <v>113000</v>
      </c>
      <c r="C3658" s="615">
        <f t="shared" si="418"/>
        <v>126176.10958904109</v>
      </c>
      <c r="D3658" s="532">
        <f t="shared" si="419"/>
        <v>45286</v>
      </c>
      <c r="E3658" s="534">
        <v>32</v>
      </c>
      <c r="F3658" s="653">
        <v>1.33</v>
      </c>
      <c r="G3658" s="536" t="s">
        <v>263</v>
      </c>
    </row>
    <row r="3659" spans="1:13" ht="13.5" customHeight="1">
      <c r="A3659" s="532">
        <v>45257</v>
      </c>
      <c r="B3659" s="615">
        <v>80000</v>
      </c>
      <c r="C3659" s="615">
        <f t="shared" ref="A3659:C3666" si="420">B3659+(B3659*F3659/365*E3659)*1</f>
        <v>88745.205479452052</v>
      </c>
      <c r="D3659" s="532">
        <f t="shared" ref="A3659:D3666" si="421">+A3659+E3659</f>
        <v>45287</v>
      </c>
      <c r="E3659" s="534">
        <v>30</v>
      </c>
      <c r="F3659" s="653">
        <v>1.33</v>
      </c>
      <c r="G3659" s="536" t="s">
        <v>256</v>
      </c>
      <c r="H3659">
        <f t="shared" ref="A3659:H3666" si="422">(C3659-B3659)/E3659*30</f>
        <v>8745.2054794520518</v>
      </c>
      <c r="I3659" t="e">
        <f>VLOOKUP(Tabla1[[#This Row],[FECHA]],TablaUVA[#All],2)</f>
        <v>#VALUE!</v>
      </c>
      <c r="J3659" t="e">
        <f>VLOOKUP(Tabla1[[#This Row],[VTO.]],TablaUVA[#All],2)</f>
        <v>#VALUE!</v>
      </c>
      <c r="K3659" t="e">
        <f>+Tabla1[[#This Row],[DEPOSITADO]]/I3659</f>
        <v>#VALUE!</v>
      </c>
      <c r="L3659" t="e">
        <f>IF(Tabla1[[#This Row],[DIAS]]&gt;89,+K3659*J3659*(1+1%/365*Tabla1[[#This Row],[DIAS]]),Tabla1[[#This Row],[ACOBRAR]])</f>
        <v>#VALUE!</v>
      </c>
      <c r="M3659" t="e">
        <f>+L3659-Tabla1[[#This Row],[ACOBRAR]]</f>
        <v>#VALUE!</v>
      </c>
    </row>
    <row r="3660" spans="1:13" ht="13.5" customHeight="1">
      <c r="A3660" s="532">
        <v>45257</v>
      </c>
      <c r="B3660" s="615">
        <v>330000</v>
      </c>
      <c r="C3660" s="615">
        <f t="shared" si="420"/>
        <v>366073.9726027397</v>
      </c>
      <c r="D3660" s="532">
        <f t="shared" si="421"/>
        <v>45287</v>
      </c>
      <c r="E3660" s="534">
        <v>30</v>
      </c>
      <c r="F3660" s="653">
        <v>1.33</v>
      </c>
      <c r="G3660" s="536" t="s">
        <v>256</v>
      </c>
      <c r="H3660">
        <f t="shared" si="422"/>
        <v>36073.972602739697</v>
      </c>
      <c r="I3660" t="e">
        <f>VLOOKUP(Tabla1[[#This Row],[FECHA]],TablaUVA[#All],2)</f>
        <v>#VALUE!</v>
      </c>
      <c r="J3660" t="e">
        <f>VLOOKUP(Tabla1[[#This Row],[VTO.]],TablaUVA[#All],2)</f>
        <v>#VALUE!</v>
      </c>
      <c r="K3660" t="e">
        <f>+Tabla1[[#This Row],[DEPOSITADO]]/I3660</f>
        <v>#VALUE!</v>
      </c>
      <c r="L3660" t="e">
        <f>IF(Tabla1[[#This Row],[DIAS]]&gt;89,+K3660*J3660*(1+1%/365*Tabla1[[#This Row],[DIAS]]),Tabla1[[#This Row],[ACOBRAR]])</f>
        <v>#VALUE!</v>
      </c>
      <c r="M3660" t="e">
        <f>+L3660-Tabla1[[#This Row],[ACOBRAR]]</f>
        <v>#VALUE!</v>
      </c>
    </row>
    <row r="3661" spans="1:13" ht="13.5" customHeight="1">
      <c r="A3661" s="532">
        <v>45257</v>
      </c>
      <c r="B3661" s="615">
        <v>77100</v>
      </c>
      <c r="C3661" s="615">
        <f t="shared" si="420"/>
        <v>85528.191780821915</v>
      </c>
      <c r="D3661" s="532">
        <f t="shared" si="421"/>
        <v>45287</v>
      </c>
      <c r="E3661" s="534">
        <v>30</v>
      </c>
      <c r="F3661" s="653">
        <v>1.33</v>
      </c>
      <c r="G3661" s="536" t="s">
        <v>260</v>
      </c>
      <c r="H3661">
        <f t="shared" si="422"/>
        <v>8428.191780821915</v>
      </c>
      <c r="I3661" t="e">
        <f>VLOOKUP(Tabla1[[#This Row],[FECHA]],TablaUVA[#All],2)</f>
        <v>#VALUE!</v>
      </c>
      <c r="J3661" t="e">
        <f>VLOOKUP(Tabla1[[#This Row],[VTO.]],TablaUVA[#All],2)</f>
        <v>#VALUE!</v>
      </c>
      <c r="K3661" t="e">
        <f>+Tabla1[[#This Row],[DEPOSITADO]]/I3661</f>
        <v>#VALUE!</v>
      </c>
      <c r="L3661" t="e">
        <f>IF(Tabla1[[#This Row],[DIAS]]&gt;89,+K3661*J3661*(1+1%/365*Tabla1[[#This Row],[DIAS]]),Tabla1[[#This Row],[ACOBRAR]])</f>
        <v>#VALUE!</v>
      </c>
      <c r="M3661" t="e">
        <f>+L3661-Tabla1[[#This Row],[ACOBRAR]]</f>
        <v>#VALUE!</v>
      </c>
    </row>
    <row r="3662" spans="1:13" ht="13.5" customHeight="1">
      <c r="A3662" s="532">
        <v>45257</v>
      </c>
      <c r="B3662" s="615">
        <v>266500</v>
      </c>
      <c r="C3662" s="615">
        <f t="shared" si="420"/>
        <v>295632.46575342468</v>
      </c>
      <c r="D3662" s="532">
        <f t="shared" si="421"/>
        <v>45287</v>
      </c>
      <c r="E3662" s="534">
        <v>30</v>
      </c>
      <c r="F3662" s="653">
        <v>1.33</v>
      </c>
      <c r="G3662" s="536" t="s">
        <v>261</v>
      </c>
      <c r="H3662">
        <f t="shared" si="422"/>
        <v>29132.46575342468</v>
      </c>
      <c r="I3662" t="e">
        <f>VLOOKUP(Tabla1[[#This Row],[FECHA]],TablaUVA[#All],2)</f>
        <v>#VALUE!</v>
      </c>
      <c r="J3662" t="e">
        <f>VLOOKUP(Tabla1[[#This Row],[VTO.]],TablaUVA[#All],2)</f>
        <v>#VALUE!</v>
      </c>
      <c r="K3662" t="e">
        <f>+Tabla1[[#This Row],[DEPOSITADO]]/I3662</f>
        <v>#VALUE!</v>
      </c>
      <c r="L3662" t="e">
        <f>IF(Tabla1[[#This Row],[DIAS]]&gt;89,+K3662*J3662*(1+1%/365*Tabla1[[#This Row],[DIAS]]),Tabla1[[#This Row],[ACOBRAR]])</f>
        <v>#VALUE!</v>
      </c>
      <c r="M3662" t="e">
        <f>+L3662-Tabla1[[#This Row],[ACOBRAR]]</f>
        <v>#VALUE!</v>
      </c>
    </row>
    <row r="3663" spans="1:13" ht="13.5" customHeight="1">
      <c r="A3663" s="532">
        <v>45257</v>
      </c>
      <c r="B3663" s="615">
        <v>92100</v>
      </c>
      <c r="C3663" s="615">
        <f t="shared" si="420"/>
        <v>102167.91780821918</v>
      </c>
      <c r="D3663" s="532">
        <f t="shared" si="421"/>
        <v>45287</v>
      </c>
      <c r="E3663" s="534">
        <v>30</v>
      </c>
      <c r="F3663" s="653">
        <v>1.33</v>
      </c>
      <c r="G3663" s="536" t="s">
        <v>265</v>
      </c>
      <c r="H3663">
        <f t="shared" si="422"/>
        <v>10067.917808219179</v>
      </c>
      <c r="I3663" t="e">
        <f>VLOOKUP(Tabla1[[#This Row],[FECHA]],TablaUVA[#All],2)</f>
        <v>#VALUE!</v>
      </c>
      <c r="J3663" t="e">
        <f>VLOOKUP(Tabla1[[#This Row],[VTO.]],TablaUVA[#All],2)</f>
        <v>#VALUE!</v>
      </c>
      <c r="K3663" t="e">
        <f>+Tabla1[[#This Row],[DEPOSITADO]]/I3663</f>
        <v>#VALUE!</v>
      </c>
      <c r="L3663" t="e">
        <f>IF(Tabla1[[#This Row],[DIAS]]&gt;89,+K3663*J3663*(1+1%/365*Tabla1[[#This Row],[DIAS]]),Tabla1[[#This Row],[ACOBRAR]])</f>
        <v>#VALUE!</v>
      </c>
      <c r="M3663" t="e">
        <f>+L3663-Tabla1[[#This Row],[ACOBRAR]]</f>
        <v>#VALUE!</v>
      </c>
    </row>
    <row r="3664" spans="1:13" ht="13.5" customHeight="1">
      <c r="A3664" s="532">
        <v>45257</v>
      </c>
      <c r="B3664" s="615">
        <v>75000</v>
      </c>
      <c r="C3664" s="615">
        <f t="shared" si="420"/>
        <v>83198.630136986307</v>
      </c>
      <c r="D3664" s="532">
        <f t="shared" si="421"/>
        <v>45287</v>
      </c>
      <c r="E3664" s="534">
        <v>30</v>
      </c>
      <c r="F3664" s="653">
        <v>1.33</v>
      </c>
      <c r="G3664" s="536" t="s">
        <v>258</v>
      </c>
      <c r="H3664">
        <f t="shared" si="422"/>
        <v>8198.6301369863068</v>
      </c>
      <c r="I3664" t="e">
        <f>VLOOKUP(Tabla1[[#This Row],[FECHA]],TablaUVA[#All],2)</f>
        <v>#VALUE!</v>
      </c>
      <c r="J3664" t="e">
        <f>VLOOKUP(Tabla1[[#This Row],[VTO.]],TablaUVA[#All],2)</f>
        <v>#VALUE!</v>
      </c>
      <c r="K3664" t="e">
        <f>+Tabla1[[#This Row],[DEPOSITADO]]/I3664</f>
        <v>#VALUE!</v>
      </c>
      <c r="L3664" t="e">
        <f>IF(Tabla1[[#This Row],[DIAS]]&gt;89,+K3664*J3664*(1+1%/365*Tabla1[[#This Row],[DIAS]]),Tabla1[[#This Row],[ACOBRAR]])</f>
        <v>#VALUE!</v>
      </c>
      <c r="M3664" t="e">
        <f>+L3664-Tabla1[[#This Row],[ACOBRAR]]</f>
        <v>#VALUE!</v>
      </c>
    </row>
    <row r="3665" spans="1:14" ht="13.5" customHeight="1">
      <c r="A3665" s="532">
        <v>45257</v>
      </c>
      <c r="B3665" s="615">
        <v>25100</v>
      </c>
      <c r="C3665" s="615">
        <f t="shared" si="420"/>
        <v>27843.808219178081</v>
      </c>
      <c r="D3665" s="532">
        <f t="shared" si="421"/>
        <v>45287</v>
      </c>
      <c r="E3665" s="534">
        <v>30</v>
      </c>
      <c r="F3665" s="653">
        <v>1.33</v>
      </c>
      <c r="G3665" s="536" t="s">
        <v>259</v>
      </c>
      <c r="H3665">
        <f t="shared" si="422"/>
        <v>2743.8082191780813</v>
      </c>
      <c r="I3665" t="e">
        <f>VLOOKUP(Tabla1[[#This Row],[FECHA]],TablaUVA[#All],2)</f>
        <v>#VALUE!</v>
      </c>
      <c r="J3665" t="e">
        <f>VLOOKUP(Tabla1[[#This Row],[VTO.]],TablaUVA[#All],2)</f>
        <v>#VALUE!</v>
      </c>
      <c r="K3665" t="e">
        <f>+Tabla1[[#This Row],[DEPOSITADO]]/I3665</f>
        <v>#VALUE!</v>
      </c>
      <c r="L3665" t="e">
        <f>IF(Tabla1[[#This Row],[DIAS]]&gt;89,+K3665*J3665*(1+1%/365*Tabla1[[#This Row],[DIAS]]),Tabla1[[#This Row],[ACOBRAR]])</f>
        <v>#VALUE!</v>
      </c>
      <c r="M3665" t="e">
        <f>+L3665-Tabla1[[#This Row],[ACOBRAR]]</f>
        <v>#VALUE!</v>
      </c>
    </row>
    <row r="3666" spans="1:14" ht="13.5" customHeight="1">
      <c r="A3666" s="532">
        <v>45257</v>
      </c>
      <c r="B3666" s="615">
        <v>165000</v>
      </c>
      <c r="C3666" s="615">
        <f t="shared" si="420"/>
        <v>183036.98630136985</v>
      </c>
      <c r="D3666" s="532">
        <f t="shared" si="421"/>
        <v>45287</v>
      </c>
      <c r="E3666" s="534">
        <v>30</v>
      </c>
      <c r="F3666" s="653">
        <v>1.33</v>
      </c>
      <c r="G3666" s="536" t="s">
        <v>262</v>
      </c>
      <c r="H3666">
        <f t="shared" si="422"/>
        <v>18036.986301369849</v>
      </c>
      <c r="I3666" t="e">
        <f>VLOOKUP(Tabla1[[#This Row],[FECHA]],TablaUVA[#All],2)</f>
        <v>#VALUE!</v>
      </c>
      <c r="J3666" t="e">
        <f>VLOOKUP(Tabla1[[#This Row],[VTO.]],TablaUVA[#All],2)</f>
        <v>#VALUE!</v>
      </c>
      <c r="K3666" t="e">
        <f>+Tabla1[[#This Row],[DEPOSITADO]]/I3666</f>
        <v>#VALUE!</v>
      </c>
      <c r="L3666" t="e">
        <f>IF(Tabla1[[#This Row],[DIAS]]&gt;89,+K3666*J3666*(1+1%/365*Tabla1[[#This Row],[DIAS]]),Tabla1[[#This Row],[ACOBRAR]])</f>
        <v>#VALUE!</v>
      </c>
      <c r="M3666" t="e">
        <f>+L3666-Tabla1[[#This Row],[ACOBRAR]]</f>
        <v>#VALUE!</v>
      </c>
    </row>
    <row r="3667" spans="1:14" ht="13.5" customHeight="1">
      <c r="A3667" s="532">
        <v>45258</v>
      </c>
      <c r="B3667" s="615">
        <v>450000</v>
      </c>
      <c r="C3667" s="615">
        <f t="shared" ref="A3667:C3672" si="423">B3667+(B3667*F3667/365*E3667)*1</f>
        <v>499191.78082191781</v>
      </c>
      <c r="D3667" s="532">
        <f t="shared" ref="A3667:D3672" si="424">+A3667+E3667</f>
        <v>45288</v>
      </c>
      <c r="E3667" s="534">
        <v>30</v>
      </c>
      <c r="F3667" s="653">
        <v>1.33</v>
      </c>
      <c r="G3667" s="536" t="s">
        <v>256</v>
      </c>
      <c r="H3667">
        <f t="shared" ref="A3667:H3672" si="425">(C3667-B3667)/E3667*30</f>
        <v>49191.780821917811</v>
      </c>
      <c r="I3667" t="e">
        <f>VLOOKUP(Tabla1[[#This Row],[FECHA]],TablaUVA[#All],2)</f>
        <v>#VALUE!</v>
      </c>
      <c r="J3667" t="e">
        <f>VLOOKUP(Tabla1[[#This Row],[VTO.]],TablaUVA[#All],2)</f>
        <v>#VALUE!</v>
      </c>
      <c r="K3667" t="e">
        <f>+Tabla1[[#This Row],[DEPOSITADO]]/I3667</f>
        <v>#VALUE!</v>
      </c>
      <c r="L3667" t="e">
        <f>IF(Tabla1[[#This Row],[DIAS]]&gt;89,+K3667*J3667*(1+1%/365*Tabla1[[#This Row],[DIAS]]),Tabla1[[#This Row],[ACOBRAR]])</f>
        <v>#VALUE!</v>
      </c>
      <c r="M3667" t="e">
        <f>+L3667-Tabla1[[#This Row],[ACOBRAR]]</f>
        <v>#VALUE!</v>
      </c>
    </row>
    <row r="3668" spans="1:14" ht="13.5" customHeight="1">
      <c r="A3668" s="532">
        <v>45258</v>
      </c>
      <c r="B3668" s="615">
        <v>71700</v>
      </c>
      <c r="C3668" s="615">
        <f t="shared" si="423"/>
        <v>79537.890410958906</v>
      </c>
      <c r="D3668" s="532">
        <f t="shared" si="424"/>
        <v>45288</v>
      </c>
      <c r="E3668" s="534">
        <v>30</v>
      </c>
      <c r="F3668" s="653">
        <v>1.33</v>
      </c>
      <c r="G3668" s="536" t="s">
        <v>260</v>
      </c>
      <c r="H3668">
        <f t="shared" si="425"/>
        <v>7837.8904109589057</v>
      </c>
      <c r="I3668" t="e">
        <f>VLOOKUP(Tabla1[[#This Row],[FECHA]],TablaUVA[#All],2)</f>
        <v>#VALUE!</v>
      </c>
      <c r="J3668" t="e">
        <f>VLOOKUP(Tabla1[[#This Row],[VTO.]],TablaUVA[#All],2)</f>
        <v>#VALUE!</v>
      </c>
      <c r="K3668" t="e">
        <f>+Tabla1[[#This Row],[DEPOSITADO]]/I3668</f>
        <v>#VALUE!</v>
      </c>
      <c r="L3668" t="e">
        <f>IF(Tabla1[[#This Row],[DIAS]]&gt;89,+K3668*J3668*(1+1%/365*Tabla1[[#This Row],[DIAS]]),Tabla1[[#This Row],[ACOBRAR]])</f>
        <v>#VALUE!</v>
      </c>
      <c r="M3668" t="e">
        <f>+L3668-Tabla1[[#This Row],[ACOBRAR]]</f>
        <v>#VALUE!</v>
      </c>
    </row>
    <row r="3669" spans="1:14" ht="13.5" customHeight="1">
      <c r="A3669" s="532">
        <v>45258</v>
      </c>
      <c r="B3669" s="615">
        <v>156900</v>
      </c>
      <c r="C3669" s="615">
        <f t="shared" si="423"/>
        <v>174051.53424657535</v>
      </c>
      <c r="D3669" s="532">
        <f t="shared" si="424"/>
        <v>45288</v>
      </c>
      <c r="E3669" s="534">
        <v>30</v>
      </c>
      <c r="F3669" s="653">
        <v>1.33</v>
      </c>
      <c r="G3669" s="536" t="s">
        <v>265</v>
      </c>
      <c r="H3669">
        <f t="shared" si="425"/>
        <v>17151.534246575349</v>
      </c>
      <c r="I3669" t="e">
        <f>VLOOKUP(Tabla1[[#This Row],[FECHA]],TablaUVA[#All],2)</f>
        <v>#VALUE!</v>
      </c>
      <c r="J3669" t="e">
        <f>VLOOKUP(Tabla1[[#This Row],[VTO.]],TablaUVA[#All],2)</f>
        <v>#VALUE!</v>
      </c>
      <c r="K3669" t="e">
        <f>+Tabla1[[#This Row],[DEPOSITADO]]/I3669</f>
        <v>#VALUE!</v>
      </c>
      <c r="L3669" t="e">
        <f>IF(Tabla1[[#This Row],[DIAS]]&gt;89,+K3669*J3669*(1+1%/365*Tabla1[[#This Row],[DIAS]]),Tabla1[[#This Row],[ACOBRAR]])</f>
        <v>#VALUE!</v>
      </c>
      <c r="M3669" t="e">
        <f>+L3669-Tabla1[[#This Row],[ACOBRAR]]</f>
        <v>#VALUE!</v>
      </c>
    </row>
    <row r="3670" spans="1:14" ht="13.5" customHeight="1">
      <c r="A3670" s="532">
        <v>45258</v>
      </c>
      <c r="B3670" s="615">
        <v>60000</v>
      </c>
      <c r="C3670" s="615">
        <f t="shared" si="423"/>
        <v>66558.904109589042</v>
      </c>
      <c r="D3670" s="532">
        <f t="shared" si="424"/>
        <v>45288</v>
      </c>
      <c r="E3670" s="534">
        <v>30</v>
      </c>
      <c r="F3670" s="653">
        <v>1.33</v>
      </c>
      <c r="G3670" s="536" t="s">
        <v>261</v>
      </c>
      <c r="H3670">
        <f t="shared" si="425"/>
        <v>6558.9041095890425</v>
      </c>
      <c r="I3670" t="e">
        <f>VLOOKUP(Tabla1[[#This Row],[FECHA]],TablaUVA[#All],2)</f>
        <v>#VALUE!</v>
      </c>
      <c r="J3670" t="e">
        <f>VLOOKUP(Tabla1[[#This Row],[VTO.]],TablaUVA[#All],2)</f>
        <v>#VALUE!</v>
      </c>
      <c r="K3670" t="e">
        <f>+Tabla1[[#This Row],[DEPOSITADO]]/I3670</f>
        <v>#VALUE!</v>
      </c>
      <c r="L3670" t="e">
        <f>IF(Tabla1[[#This Row],[DIAS]]&gt;89,+K3670*J3670*(1+1%/365*Tabla1[[#This Row],[DIAS]]),Tabla1[[#This Row],[ACOBRAR]])</f>
        <v>#VALUE!</v>
      </c>
      <c r="M3670" t="e">
        <f>+L3670-Tabla1[[#This Row],[ACOBRAR]]</f>
        <v>#VALUE!</v>
      </c>
    </row>
    <row r="3671" spans="1:14" ht="13.5" customHeight="1">
      <c r="A3671" s="532">
        <v>45258</v>
      </c>
      <c r="B3671" s="615">
        <v>7300</v>
      </c>
      <c r="C3671" s="615">
        <f t="shared" si="423"/>
        <v>8098</v>
      </c>
      <c r="D3671" s="532">
        <f t="shared" si="424"/>
        <v>45288</v>
      </c>
      <c r="E3671" s="534">
        <v>30</v>
      </c>
      <c r="F3671" s="653">
        <v>1.33</v>
      </c>
      <c r="G3671" s="536" t="s">
        <v>259</v>
      </c>
      <c r="H3671">
        <f t="shared" si="425"/>
        <v>798</v>
      </c>
      <c r="I3671" t="e">
        <f>VLOOKUP(Tabla1[[#This Row],[FECHA]],TablaUVA[#All],2)</f>
        <v>#VALUE!</v>
      </c>
      <c r="J3671" t="e">
        <f>VLOOKUP(Tabla1[[#This Row],[VTO.]],TablaUVA[#All],2)</f>
        <v>#VALUE!</v>
      </c>
      <c r="K3671" t="e">
        <f>+Tabla1[[#This Row],[DEPOSITADO]]/I3671</f>
        <v>#VALUE!</v>
      </c>
      <c r="L3671" t="e">
        <f>IF(Tabla1[[#This Row],[DIAS]]&gt;89,+K3671*J3671*(1+1%/365*Tabla1[[#This Row],[DIAS]]),Tabla1[[#This Row],[ACOBRAR]])</f>
        <v>#VALUE!</v>
      </c>
      <c r="M3671" t="e">
        <f>+L3671-Tabla1[[#This Row],[ACOBRAR]]</f>
        <v>#VALUE!</v>
      </c>
    </row>
    <row r="3672" spans="1:14" ht="13.5" customHeight="1">
      <c r="A3672" s="532">
        <v>45258</v>
      </c>
      <c r="B3672" s="615">
        <v>58200</v>
      </c>
      <c r="C3672" s="615">
        <f t="shared" si="423"/>
        <v>64562.136986301368</v>
      </c>
      <c r="D3672" s="532">
        <f t="shared" si="424"/>
        <v>45288</v>
      </c>
      <c r="E3672" s="534">
        <v>30</v>
      </c>
      <c r="F3672" s="653">
        <v>1.33</v>
      </c>
      <c r="G3672" s="536" t="s">
        <v>257</v>
      </c>
      <c r="H3672">
        <f t="shared" si="425"/>
        <v>6362.1369863013679</v>
      </c>
      <c r="I3672" t="e">
        <f>VLOOKUP(Tabla1[[#This Row],[FECHA]],TablaUVA[#All],2)</f>
        <v>#VALUE!</v>
      </c>
      <c r="J3672" t="e">
        <f>VLOOKUP(Tabla1[[#This Row],[VTO.]],TablaUVA[#All],2)</f>
        <v>#VALUE!</v>
      </c>
      <c r="K3672" t="e">
        <f>+Tabla1[[#This Row],[DEPOSITADO]]/I3672</f>
        <v>#VALUE!</v>
      </c>
      <c r="L3672" t="e">
        <f>IF(Tabla1[[#This Row],[DIAS]]&gt;89,+K3672*J3672*(1+1%/365*Tabla1[[#This Row],[DIAS]]),Tabla1[[#This Row],[ACOBRAR]])</f>
        <v>#VALUE!</v>
      </c>
      <c r="M3672" t="e">
        <f>+L3672-Tabla1[[#This Row],[ACOBRAR]]</f>
        <v>#VALUE!</v>
      </c>
    </row>
    <row r="3673" spans="1:14" ht="13.5" customHeight="1">
      <c r="A3673" s="532">
        <v>45259</v>
      </c>
      <c r="B3673" s="615">
        <v>530000</v>
      </c>
      <c r="C3673" s="615">
        <f t="shared" ref="A3673:C3676" si="426">B3673+(B3673*F3673/365*E3673)*1</f>
        <v>587936.98630136985</v>
      </c>
      <c r="D3673" s="532">
        <f t="shared" ref="A3673:D3676" si="427">+A3673+E3673</f>
        <v>45289</v>
      </c>
      <c r="E3673" s="534">
        <v>30</v>
      </c>
      <c r="F3673" s="653">
        <v>1.33</v>
      </c>
      <c r="G3673" s="536" t="s">
        <v>256</v>
      </c>
      <c r="H3673">
        <f t="shared" ref="A3673:H3675" si="428">(C3673-B3673)/E3673*30</f>
        <v>57936.986301369849</v>
      </c>
      <c r="I3673" t="e">
        <f>VLOOKUP(Tabla1[[#This Row],[FECHA]],TablaUVA[#All],2)</f>
        <v>#VALUE!</v>
      </c>
      <c r="J3673" t="e">
        <f>VLOOKUP(Tabla1[[#This Row],[VTO.]],TablaUVA[#All],2)</f>
        <v>#VALUE!</v>
      </c>
      <c r="K3673" t="e">
        <f>+Tabla1[[#This Row],[DEPOSITADO]]/I3673</f>
        <v>#VALUE!</v>
      </c>
      <c r="L3673" t="e">
        <f>IF(Tabla1[[#This Row],[DIAS]]&gt;89,+K3673*J3673*(1+1%/365*Tabla1[[#This Row],[DIAS]]),Tabla1[[#This Row],[ACOBRAR]])</f>
        <v>#VALUE!</v>
      </c>
      <c r="M3673" t="e">
        <f>+L3673-Tabla1[[#This Row],[ACOBRAR]]</f>
        <v>#VALUE!</v>
      </c>
    </row>
    <row r="3674" spans="1:14" ht="13.5" customHeight="1">
      <c r="A3674" s="532">
        <v>45259</v>
      </c>
      <c r="B3674" s="615">
        <v>72900</v>
      </c>
      <c r="C3674" s="615">
        <f t="shared" si="426"/>
        <v>80869.068493150684</v>
      </c>
      <c r="D3674" s="532">
        <f t="shared" si="427"/>
        <v>45289</v>
      </c>
      <c r="E3674" s="534">
        <v>30</v>
      </c>
      <c r="F3674" s="653">
        <v>1.33</v>
      </c>
      <c r="G3674" s="536" t="s">
        <v>257</v>
      </c>
      <c r="H3674">
        <f t="shared" si="428"/>
        <v>7969.0684931506839</v>
      </c>
      <c r="I3674" t="e">
        <f>VLOOKUP(Tabla1[[#This Row],[FECHA]],TablaUVA[#All],2)</f>
        <v>#VALUE!</v>
      </c>
      <c r="J3674" t="e">
        <f>VLOOKUP(Tabla1[[#This Row],[VTO.]],TablaUVA[#All],2)</f>
        <v>#VALUE!</v>
      </c>
      <c r="K3674" t="e">
        <f>+Tabla1[[#This Row],[DEPOSITADO]]/I3674</f>
        <v>#VALUE!</v>
      </c>
      <c r="L3674" t="e">
        <f>IF(Tabla1[[#This Row],[DIAS]]&gt;89,+K3674*J3674*(1+1%/365*Tabla1[[#This Row],[DIAS]]),Tabla1[[#This Row],[ACOBRAR]])</f>
        <v>#VALUE!</v>
      </c>
      <c r="M3674" t="e">
        <f>+L3674-Tabla1[[#This Row],[ACOBRAR]]</f>
        <v>#VALUE!</v>
      </c>
    </row>
    <row r="3675" spans="1:14" ht="13.5" customHeight="1">
      <c r="A3675" s="532">
        <v>45259</v>
      </c>
      <c r="B3675" s="615">
        <v>93900</v>
      </c>
      <c r="C3675" s="615">
        <f t="shared" si="426"/>
        <v>104164.68493150685</v>
      </c>
      <c r="D3675" s="532">
        <f t="shared" si="427"/>
        <v>45289</v>
      </c>
      <c r="E3675" s="534">
        <v>30</v>
      </c>
      <c r="F3675" s="653">
        <v>1.33</v>
      </c>
      <c r="G3675" s="536" t="s">
        <v>261</v>
      </c>
      <c r="H3675">
        <f t="shared" si="428"/>
        <v>10264.684931506854</v>
      </c>
      <c r="I3675" t="e">
        <f>VLOOKUP(Tabla1[[#This Row],[FECHA]],TablaUVA[#All],2)</f>
        <v>#VALUE!</v>
      </c>
      <c r="J3675" t="e">
        <f>VLOOKUP(Tabla1[[#This Row],[VTO.]],TablaUVA[#All],2)</f>
        <v>#VALUE!</v>
      </c>
      <c r="K3675" t="e">
        <f>+Tabla1[[#This Row],[DEPOSITADO]]/I3675</f>
        <v>#VALUE!</v>
      </c>
      <c r="L3675" t="e">
        <f>IF(Tabla1[[#This Row],[DIAS]]&gt;89,+K3675*J3675*(1+1%/365*Tabla1[[#This Row],[DIAS]]),Tabla1[[#This Row],[ACOBRAR]])</f>
        <v>#VALUE!</v>
      </c>
      <c r="M3675" t="e">
        <f>+L3675-Tabla1[[#This Row],[ACOBRAR]]</f>
        <v>#VALUE!</v>
      </c>
      <c r="N3675" t="e">
        <f>+Tabla1[[#This Row],[DEPOSITADO]]/I3675</f>
        <v>#VALUE!</v>
      </c>
    </row>
    <row r="3676" spans="1:14" ht="13.5" customHeight="1">
      <c r="A3676" s="532">
        <v>45259</v>
      </c>
      <c r="B3676" s="615">
        <v>595000</v>
      </c>
      <c r="C3676" s="615">
        <f t="shared" si="426"/>
        <v>660042.46575342468</v>
      </c>
      <c r="D3676" s="532">
        <f t="shared" si="427"/>
        <v>45289</v>
      </c>
      <c r="E3676" s="534">
        <v>30</v>
      </c>
      <c r="F3676" s="653">
        <v>1.33</v>
      </c>
      <c r="G3676" s="536" t="s">
        <v>258</v>
      </c>
      <c r="H3676">
        <f>(C3676-B3676)/E3676*30</f>
        <v>65042.46575342468</v>
      </c>
      <c r="I3676" t="e">
        <f>VLOOKUP(Tabla1[[#This Row],[FECHA]],TablaUVA[#All],2)</f>
        <v>#VALUE!</v>
      </c>
      <c r="J3676" t="e">
        <f>VLOOKUP(Tabla1[[#This Row],[VTO.]],TablaUVA[#All],2)</f>
        <v>#VALUE!</v>
      </c>
      <c r="K3676" t="e">
        <f>+Tabla1[[#This Row],[DEPOSITADO]]/I3676</f>
        <v>#VALUE!</v>
      </c>
      <c r="L3676" t="e">
        <f>IF(Tabla1[[#This Row],[DIAS]]&gt;89,+K3676*J3676*(1+1%/365*Tabla1[[#This Row],[DIAS]]),Tabla1[[#This Row],[ACOBRAR]])</f>
        <v>#VALUE!</v>
      </c>
      <c r="M3676" t="e">
        <f>+L3676-Tabla1[[#This Row],[ACOBRAR]]</f>
        <v>#VALUE!</v>
      </c>
    </row>
    <row r="3677" spans="1:14" ht="13.5" customHeight="1" thickBot="1">
      <c r="A3677" s="532"/>
      <c r="B3677" s="615"/>
      <c r="C3677" s="615"/>
      <c r="D3677" s="532"/>
      <c r="E3677" s="534"/>
      <c r="F3677" s="653"/>
      <c r="G3677" s="536"/>
    </row>
    <row r="3678" spans="1:14" ht="14" thickTop="1" thickBot="1">
      <c r="A3678" s="2" t="s">
        <v>521</v>
      </c>
      <c r="B3678" s="3" t="s">
        <v>522</v>
      </c>
      <c r="C3678" s="3" t="s">
        <v>523</v>
      </c>
      <c r="D3678" s="5" t="s">
        <v>525</v>
      </c>
      <c r="E3678" s="4" t="s">
        <v>524</v>
      </c>
      <c r="F3678" s="4" t="s">
        <v>526</v>
      </c>
      <c r="G3678" s="6" t="s">
        <v>722</v>
      </c>
    </row>
    <row r="3679" spans="1:14" ht="13.5" customHeight="1" thickTop="1">
      <c r="A3679" s="532">
        <v>45261</v>
      </c>
      <c r="B3679" s="615">
        <v>87300</v>
      </c>
      <c r="C3679" s="615">
        <f t="shared" ref="A3679:C3684" si="429">B3679+(B3679*F3679/365*E3679)*1</f>
        <v>97479.419178082186</v>
      </c>
      <c r="D3679" s="532">
        <f t="shared" ref="A3679:D3684" si="430">+A3679+E3679</f>
        <v>45293</v>
      </c>
      <c r="E3679" s="534">
        <v>32</v>
      </c>
      <c r="F3679" s="653">
        <v>1.33</v>
      </c>
      <c r="G3679" s="536" t="s">
        <v>259</v>
      </c>
      <c r="H3679">
        <f t="shared" ref="A3679:H3684" si="431">(C3679-B3679)/E3679*30</f>
        <v>9543.2054794520482</v>
      </c>
      <c r="I3679" t="e">
        <f>VLOOKUP(Tabla1[[#This Row],[FECHA]],TablaUVA[#All],2)</f>
        <v>#VALUE!</v>
      </c>
      <c r="J3679" t="e">
        <f>VLOOKUP(Tabla1[[#This Row],[VTO.]],TablaUVA[#All],2)</f>
        <v>#VALUE!</v>
      </c>
      <c r="K3679" t="e">
        <f>+Tabla1[[#This Row],[DEPOSITADO]]/I3679</f>
        <v>#VALUE!</v>
      </c>
      <c r="L3679" t="e">
        <f>IF(Tabla1[[#This Row],[DIAS]]&gt;89,+K3679*J3679*(1+1%/365*Tabla1[[#This Row],[DIAS]]),Tabla1[[#This Row],[ACOBRAR]])</f>
        <v>#VALUE!</v>
      </c>
      <c r="M3679" t="e">
        <f>+L3679-Tabla1[[#This Row],[ACOBRAR]]</f>
        <v>#VALUE!</v>
      </c>
    </row>
    <row r="3680" spans="1:14" ht="13.5" customHeight="1">
      <c r="A3680" s="532">
        <v>45261</v>
      </c>
      <c r="B3680" s="615">
        <v>1140000</v>
      </c>
      <c r="C3680" s="615">
        <f t="shared" si="429"/>
        <v>1272927.1232876712</v>
      </c>
      <c r="D3680" s="532">
        <f t="shared" si="430"/>
        <v>45293</v>
      </c>
      <c r="E3680" s="534">
        <v>32</v>
      </c>
      <c r="F3680" s="653">
        <v>1.33</v>
      </c>
      <c r="G3680" s="536" t="s">
        <v>262</v>
      </c>
      <c r="H3680">
        <f t="shared" si="431"/>
        <v>124619.17808219179</v>
      </c>
      <c r="I3680" t="e">
        <f>VLOOKUP(Tabla1[[#This Row],[FECHA]],TablaUVA[#All],2)</f>
        <v>#VALUE!</v>
      </c>
      <c r="J3680" t="e">
        <f>VLOOKUP(Tabla1[[#This Row],[VTO.]],TablaUVA[#All],2)</f>
        <v>#VALUE!</v>
      </c>
      <c r="K3680" t="e">
        <f>+Tabla1[[#This Row],[DEPOSITADO]]/I3680</f>
        <v>#VALUE!</v>
      </c>
      <c r="L3680" t="e">
        <f>IF(Tabla1[[#This Row],[DIAS]]&gt;89,+K3680*J3680*(1+1%/365*Tabla1[[#This Row],[DIAS]]),Tabla1[[#This Row],[ACOBRAR]])</f>
        <v>#VALUE!</v>
      </c>
      <c r="M3680" t="e">
        <f>+L3680-Tabla1[[#This Row],[ACOBRAR]]</f>
        <v>#VALUE!</v>
      </c>
    </row>
    <row r="3681" spans="1:13" ht="13.5" customHeight="1">
      <c r="A3681" s="532">
        <v>45260</v>
      </c>
      <c r="B3681" s="615">
        <v>250000</v>
      </c>
      <c r="C3681" s="615">
        <f t="shared" si="429"/>
        <v>280061.64383561641</v>
      </c>
      <c r="D3681" s="532">
        <f t="shared" si="430"/>
        <v>45293</v>
      </c>
      <c r="E3681" s="534">
        <v>33</v>
      </c>
      <c r="F3681" s="653">
        <v>1.33</v>
      </c>
      <c r="G3681" s="536" t="s">
        <v>256</v>
      </c>
      <c r="H3681">
        <f t="shared" si="431"/>
        <v>27328.767123287649</v>
      </c>
      <c r="I3681" t="e">
        <f>VLOOKUP(Tabla1[[#This Row],[FECHA]],TablaUVA[#All],2)</f>
        <v>#VALUE!</v>
      </c>
      <c r="J3681" t="e">
        <f>VLOOKUP(Tabla1[[#This Row],[VTO.]],TablaUVA[#All],2)</f>
        <v>#VALUE!</v>
      </c>
      <c r="K3681" t="e">
        <f>+Tabla1[[#This Row],[DEPOSITADO]]/I3681</f>
        <v>#VALUE!</v>
      </c>
      <c r="L3681" t="e">
        <f>IF(Tabla1[[#This Row],[DIAS]]&gt;89,+K3681*J3681*(1+1%/365*Tabla1[[#This Row],[DIAS]]),Tabla1[[#This Row],[ACOBRAR]])</f>
        <v>#VALUE!</v>
      </c>
      <c r="M3681" t="e">
        <f>+L3681-Tabla1[[#This Row],[ACOBRAR]]</f>
        <v>#VALUE!</v>
      </c>
    </row>
    <row r="3682" spans="1:13" ht="13.5" customHeight="1">
      <c r="A3682" s="532">
        <v>45260</v>
      </c>
      <c r="B3682" s="615">
        <v>44400</v>
      </c>
      <c r="C3682" s="615">
        <f t="shared" si="429"/>
        <v>49738.94794520548</v>
      </c>
      <c r="D3682" s="532">
        <f t="shared" si="430"/>
        <v>45293</v>
      </c>
      <c r="E3682" s="534">
        <v>33</v>
      </c>
      <c r="F3682" s="653">
        <v>1.33</v>
      </c>
      <c r="G3682" s="536" t="s">
        <v>261</v>
      </c>
      <c r="H3682">
        <f t="shared" si="431"/>
        <v>4853.5890410958909</v>
      </c>
      <c r="I3682" t="e">
        <f>VLOOKUP(Tabla1[[#This Row],[FECHA]],TablaUVA[#All],2)</f>
        <v>#VALUE!</v>
      </c>
      <c r="J3682" t="e">
        <f>VLOOKUP(Tabla1[[#This Row],[VTO.]],TablaUVA[#All],2)</f>
        <v>#VALUE!</v>
      </c>
      <c r="K3682" t="e">
        <f>+Tabla1[[#This Row],[DEPOSITADO]]/I3682</f>
        <v>#VALUE!</v>
      </c>
      <c r="L3682" t="e">
        <f>IF(Tabla1[[#This Row],[DIAS]]&gt;89,+K3682*J3682*(1+1%/365*Tabla1[[#This Row],[DIAS]]),Tabla1[[#This Row],[ACOBRAR]])</f>
        <v>#VALUE!</v>
      </c>
      <c r="M3682" t="e">
        <f>+L3682-Tabla1[[#This Row],[ACOBRAR]]</f>
        <v>#VALUE!</v>
      </c>
    </row>
    <row r="3683" spans="1:13" ht="13.5" customHeight="1">
      <c r="A3683" s="532">
        <v>45260</v>
      </c>
      <c r="B3683" s="615">
        <v>190000</v>
      </c>
      <c r="C3683" s="615">
        <f t="shared" si="429"/>
        <v>212846.84931506848</v>
      </c>
      <c r="D3683" s="532">
        <f t="shared" si="430"/>
        <v>45293</v>
      </c>
      <c r="E3683" s="534">
        <v>33</v>
      </c>
      <c r="F3683" s="653">
        <v>1.33</v>
      </c>
      <c r="G3683" s="536" t="s">
        <v>258</v>
      </c>
      <c r="H3683">
        <f t="shared" si="431"/>
        <v>20769.863013698621</v>
      </c>
      <c r="I3683" t="e">
        <f>VLOOKUP(Tabla1[[#This Row],[FECHA]],TablaUVA[#All],2)</f>
        <v>#VALUE!</v>
      </c>
      <c r="J3683" t="e">
        <f>VLOOKUP(Tabla1[[#This Row],[VTO.]],TablaUVA[#All],2)</f>
        <v>#VALUE!</v>
      </c>
      <c r="K3683" t="e">
        <f>+Tabla1[[#This Row],[DEPOSITADO]]/I3683</f>
        <v>#VALUE!</v>
      </c>
      <c r="L3683" t="e">
        <f>IF(Tabla1[[#This Row],[DIAS]]&gt;89,+K3683*J3683*(1+1%/365*Tabla1[[#This Row],[DIAS]]),Tabla1[[#This Row],[ACOBRAR]])</f>
        <v>#VALUE!</v>
      </c>
      <c r="M3683" t="e">
        <f>+L3683-Tabla1[[#This Row],[ACOBRAR]]</f>
        <v>#VALUE!</v>
      </c>
    </row>
    <row r="3684" spans="1:13" ht="13.5" customHeight="1">
      <c r="A3684" s="532">
        <v>45260</v>
      </c>
      <c r="B3684" s="615">
        <v>295000</v>
      </c>
      <c r="C3684" s="615">
        <f t="shared" si="429"/>
        <v>330472.73972602742</v>
      </c>
      <c r="D3684" s="532">
        <f t="shared" si="430"/>
        <v>45293</v>
      </c>
      <c r="E3684" s="534">
        <v>33</v>
      </c>
      <c r="F3684" s="653">
        <v>1.33</v>
      </c>
      <c r="G3684" s="536" t="s">
        <v>262</v>
      </c>
      <c r="H3684">
        <f t="shared" si="431"/>
        <v>32247.945205479467</v>
      </c>
      <c r="I3684" t="e">
        <f>VLOOKUP(Tabla1[[#This Row],[FECHA]],TablaUVA[#All],2)</f>
        <v>#VALUE!</v>
      </c>
      <c r="J3684" t="e">
        <f>VLOOKUP(Tabla1[[#This Row],[VTO.]],TablaUVA[#All],2)</f>
        <v>#VALUE!</v>
      </c>
      <c r="K3684" t="e">
        <f>+Tabla1[[#This Row],[DEPOSITADO]]/I3684</f>
        <v>#VALUE!</v>
      </c>
      <c r="L3684" t="e">
        <f>IF(Tabla1[[#This Row],[DIAS]]&gt;89,+K3684*J3684*(1+1%/365*Tabla1[[#This Row],[DIAS]]),Tabla1[[#This Row],[ACOBRAR]])</f>
        <v>#VALUE!</v>
      </c>
      <c r="M3684" t="e">
        <f>+L3684-Tabla1[[#This Row],[ACOBRAR]]</f>
        <v>#VALUE!</v>
      </c>
    </row>
    <row r="3685" spans="1:13" ht="13.5" customHeight="1">
      <c r="A3685" s="532">
        <v>45264</v>
      </c>
      <c r="B3685" s="615">
        <v>106600</v>
      </c>
      <c r="C3685" s="615">
        <f>B3685+(B3685*F3685/365*E3685)*1</f>
        <v>118252.98630136986</v>
      </c>
      <c r="D3685" s="532">
        <f>+A3685+E3685</f>
        <v>45294</v>
      </c>
      <c r="E3685" s="534">
        <v>30</v>
      </c>
      <c r="F3685" s="653">
        <v>1.33</v>
      </c>
      <c r="G3685" s="536" t="s">
        <v>259</v>
      </c>
    </row>
    <row r="3686" spans="1:13" ht="13.5" customHeight="1">
      <c r="A3686" s="532">
        <v>45261</v>
      </c>
      <c r="B3686" s="615">
        <v>150000</v>
      </c>
      <c r="C3686" s="615">
        <f>B3686+(B3686*F3686/365*E3686)*1</f>
        <v>168036.98630136985</v>
      </c>
      <c r="D3686" s="532">
        <f>+A3686+E3686</f>
        <v>45294</v>
      </c>
      <c r="E3686" s="534">
        <v>33</v>
      </c>
      <c r="F3686" s="653">
        <v>1.33</v>
      </c>
      <c r="G3686" s="536" t="s">
        <v>256</v>
      </c>
    </row>
    <row r="3687" spans="1:13" ht="13.5" customHeight="1">
      <c r="A3687" s="532">
        <v>45261</v>
      </c>
      <c r="B3687" s="615">
        <v>30000</v>
      </c>
      <c r="C3687" s="615">
        <f>B3687+(B3687*F3687/365*E3687)*1</f>
        <v>33607.397260273974</v>
      </c>
      <c r="D3687" s="532">
        <f>+A3687+E3687</f>
        <v>45294</v>
      </c>
      <c r="E3687" s="534">
        <v>33</v>
      </c>
      <c r="F3687" s="653">
        <v>1.33</v>
      </c>
      <c r="G3687" s="536" t="s">
        <v>260</v>
      </c>
    </row>
    <row r="3688" spans="1:13" ht="13.5" customHeight="1">
      <c r="A3688" s="532">
        <v>45261</v>
      </c>
      <c r="B3688" s="615">
        <v>70000</v>
      </c>
      <c r="C3688" s="615">
        <f>B3688+(B3688*F3688/365*E3688)*1</f>
        <v>78417.260273972599</v>
      </c>
      <c r="D3688" s="532">
        <f>+A3688+E3688</f>
        <v>45294</v>
      </c>
      <c r="E3688" s="534">
        <v>33</v>
      </c>
      <c r="F3688" s="653">
        <v>1.33</v>
      </c>
      <c r="G3688" s="536" t="s">
        <v>258</v>
      </c>
    </row>
    <row r="3689" spans="1:13" ht="13.5" customHeight="1">
      <c r="A3689" s="532">
        <v>45261</v>
      </c>
      <c r="B3689" s="615">
        <v>70000</v>
      </c>
      <c r="C3689" s="615">
        <f>B3689+(B3689*F3689/365*E3689)*1</f>
        <v>78417.260273972599</v>
      </c>
      <c r="D3689" s="532">
        <f>+A3689+E3689</f>
        <v>45294</v>
      </c>
      <c r="E3689" s="534">
        <v>33</v>
      </c>
      <c r="F3689" s="653">
        <v>1.33</v>
      </c>
      <c r="G3689" s="536" t="s">
        <v>261</v>
      </c>
    </row>
    <row r="3690" spans="1:13" ht="13.5" customHeight="1">
      <c r="A3690" s="532">
        <v>45264</v>
      </c>
      <c r="B3690" s="615">
        <v>140000</v>
      </c>
      <c r="C3690" s="615">
        <f t="shared" ref="A3690:C3697" si="432">B3690+(B3690*F3690/365*E3690)*1</f>
        <v>155814.24657534246</v>
      </c>
      <c r="D3690" s="532">
        <f t="shared" ref="A3690:D3697" si="433">+A3690+E3690</f>
        <v>45295</v>
      </c>
      <c r="E3690" s="534">
        <v>31</v>
      </c>
      <c r="F3690" s="653">
        <v>1.33</v>
      </c>
      <c r="G3690" s="536" t="s">
        <v>256</v>
      </c>
    </row>
    <row r="3691" spans="1:13" ht="13.5" customHeight="1">
      <c r="A3691" s="532">
        <v>45264</v>
      </c>
      <c r="B3691" s="615">
        <v>69900</v>
      </c>
      <c r="C3691" s="615">
        <f t="shared" si="432"/>
        <v>77795.827397260276</v>
      </c>
      <c r="D3691" s="532">
        <f t="shared" si="433"/>
        <v>45295</v>
      </c>
      <c r="E3691" s="534">
        <v>31</v>
      </c>
      <c r="F3691" s="653">
        <v>1.33</v>
      </c>
      <c r="G3691" s="536" t="s">
        <v>265</v>
      </c>
    </row>
    <row r="3692" spans="1:13" ht="13.5" customHeight="1">
      <c r="A3692" s="532">
        <v>45264</v>
      </c>
      <c r="B3692" s="615">
        <v>74800</v>
      </c>
      <c r="C3692" s="615">
        <f t="shared" si="432"/>
        <v>83249.326027397256</v>
      </c>
      <c r="D3692" s="532">
        <f t="shared" si="433"/>
        <v>45295</v>
      </c>
      <c r="E3692" s="534">
        <v>31</v>
      </c>
      <c r="F3692" s="653">
        <v>1.33</v>
      </c>
      <c r="G3692" s="536" t="s">
        <v>257</v>
      </c>
    </row>
    <row r="3693" spans="1:13" ht="13.5" customHeight="1">
      <c r="A3693" s="532">
        <v>45264</v>
      </c>
      <c r="B3693" s="615">
        <v>65000</v>
      </c>
      <c r="C3693" s="615">
        <f t="shared" si="432"/>
        <v>72342.328767123283</v>
      </c>
      <c r="D3693" s="532">
        <f t="shared" si="433"/>
        <v>45295</v>
      </c>
      <c r="E3693" s="534">
        <v>31</v>
      </c>
      <c r="F3693" s="653">
        <v>1.33</v>
      </c>
      <c r="G3693" s="536" t="s">
        <v>258</v>
      </c>
    </row>
    <row r="3694" spans="1:13" ht="13.5" customHeight="1">
      <c r="A3694" s="532">
        <v>45264</v>
      </c>
      <c r="B3694" s="615">
        <v>44400</v>
      </c>
      <c r="C3694" s="615">
        <f t="shared" si="432"/>
        <v>49415.375342465755</v>
      </c>
      <c r="D3694" s="532">
        <f t="shared" si="433"/>
        <v>45295</v>
      </c>
      <c r="E3694" s="534">
        <v>31</v>
      </c>
      <c r="F3694" s="653">
        <v>1.33</v>
      </c>
      <c r="G3694" s="536" t="s">
        <v>261</v>
      </c>
    </row>
    <row r="3695" spans="1:13" ht="13.5" customHeight="1">
      <c r="A3695" s="532">
        <v>45264</v>
      </c>
      <c r="B3695" s="615">
        <v>30000</v>
      </c>
      <c r="C3695" s="615">
        <f t="shared" si="432"/>
        <v>33388.767123287675</v>
      </c>
      <c r="D3695" s="532">
        <f t="shared" si="433"/>
        <v>45295</v>
      </c>
      <c r="E3695" s="534">
        <v>31</v>
      </c>
      <c r="F3695" s="653">
        <v>1.33</v>
      </c>
      <c r="G3695" s="536" t="s">
        <v>261</v>
      </c>
    </row>
    <row r="3696" spans="1:13" ht="13.5" customHeight="1">
      <c r="A3696" s="532">
        <v>45264</v>
      </c>
      <c r="B3696" s="615">
        <v>123100</v>
      </c>
      <c r="C3696" s="615">
        <f t="shared" si="432"/>
        <v>137005.24109589041</v>
      </c>
      <c r="D3696" s="532">
        <f t="shared" si="433"/>
        <v>45295</v>
      </c>
      <c r="E3696" s="534">
        <v>31</v>
      </c>
      <c r="F3696" s="653">
        <v>1.33</v>
      </c>
      <c r="G3696" s="536" t="s">
        <v>260</v>
      </c>
    </row>
    <row r="3697" spans="1:8" ht="13.5" customHeight="1">
      <c r="A3697" s="532">
        <v>45264</v>
      </c>
      <c r="B3697" s="615">
        <v>70000</v>
      </c>
      <c r="C3697" s="615">
        <f t="shared" si="432"/>
        <v>77907.123287671231</v>
      </c>
      <c r="D3697" s="532">
        <f t="shared" si="433"/>
        <v>45295</v>
      </c>
      <c r="E3697" s="534">
        <v>31</v>
      </c>
      <c r="F3697" s="653">
        <v>1.33</v>
      </c>
      <c r="G3697" s="536" t="s">
        <v>262</v>
      </c>
    </row>
    <row r="3698" spans="1:8" ht="13.5" customHeight="1">
      <c r="A3698" s="532">
        <v>45265</v>
      </c>
      <c r="B3698" s="615">
        <v>115000</v>
      </c>
      <c r="C3698" s="615">
        <f t="shared" ref="A3698:C3700" si="434">B3698+(B3698*F3698/365*E3698)*1</f>
        <v>127990.27397260274</v>
      </c>
      <c r="D3698" s="532">
        <f t="shared" ref="A3698:D3700" si="435">+A3698+E3698</f>
        <v>45296</v>
      </c>
      <c r="E3698" s="534">
        <v>31</v>
      </c>
      <c r="F3698" s="653">
        <v>1.33</v>
      </c>
      <c r="G3698" s="536" t="s">
        <v>256</v>
      </c>
    </row>
    <row r="3699" spans="1:8" ht="13.5" customHeight="1">
      <c r="A3699" s="532">
        <v>45265</v>
      </c>
      <c r="B3699" s="615">
        <v>280000</v>
      </c>
      <c r="C3699" s="615">
        <f t="shared" si="434"/>
        <v>311628.49315068492</v>
      </c>
      <c r="D3699" s="532">
        <f t="shared" si="435"/>
        <v>45296</v>
      </c>
      <c r="E3699" s="534">
        <v>31</v>
      </c>
      <c r="F3699" s="653">
        <v>1.33</v>
      </c>
      <c r="G3699" s="536" t="s">
        <v>262</v>
      </c>
    </row>
    <row r="3700" spans="1:8" ht="13.5" customHeight="1">
      <c r="A3700" s="532">
        <v>45265</v>
      </c>
      <c r="B3700" s="615">
        <v>50000</v>
      </c>
      <c r="C3700" s="615">
        <f t="shared" si="434"/>
        <v>55647.945205479453</v>
      </c>
      <c r="D3700" s="532">
        <f t="shared" si="435"/>
        <v>45296</v>
      </c>
      <c r="E3700" s="534">
        <v>31</v>
      </c>
      <c r="F3700" s="653">
        <v>1.33</v>
      </c>
      <c r="G3700" s="536" t="s">
        <v>258</v>
      </c>
    </row>
    <row r="3701" spans="1:8" ht="13.5" customHeight="1">
      <c r="A3701" s="532">
        <v>45267</v>
      </c>
      <c r="B3701" s="615">
        <v>116200</v>
      </c>
      <c r="C3701" s="615">
        <f>B3701+(B3701*F3701/365*E3701)*1</f>
        <v>129749.23835616438</v>
      </c>
      <c r="D3701" s="532">
        <f>+A3701+E3701</f>
        <v>45299</v>
      </c>
      <c r="E3701" s="534">
        <v>32</v>
      </c>
      <c r="F3701" s="653">
        <v>1.33</v>
      </c>
      <c r="G3701" s="536" t="s">
        <v>259</v>
      </c>
    </row>
    <row r="3702" spans="1:8" ht="13.5" customHeight="1">
      <c r="A3702" s="532">
        <v>45267</v>
      </c>
      <c r="B3702" s="615">
        <v>79900</v>
      </c>
      <c r="C3702" s="615">
        <f>B3702+(B3702*F3702/365*E3702)*1</f>
        <v>89216.558904109581</v>
      </c>
      <c r="D3702" s="532">
        <f>+A3702+E3702</f>
        <v>45299</v>
      </c>
      <c r="E3702" s="534">
        <v>32</v>
      </c>
      <c r="F3702" s="653">
        <v>1.33</v>
      </c>
      <c r="G3702" s="536" t="s">
        <v>260</v>
      </c>
    </row>
    <row r="3703" spans="1:8" ht="13.5" customHeight="1">
      <c r="A3703" s="532">
        <v>45267</v>
      </c>
      <c r="B3703" s="615">
        <v>150000</v>
      </c>
      <c r="C3703" s="615">
        <f>B3703+(B3703*F3703/365*E3703)*1</f>
        <v>167490.4109589041</v>
      </c>
      <c r="D3703" s="532">
        <f>+A3703+E3703</f>
        <v>45299</v>
      </c>
      <c r="E3703" s="534">
        <v>32</v>
      </c>
      <c r="F3703" s="653">
        <v>1.33</v>
      </c>
      <c r="G3703" s="536" t="s">
        <v>257</v>
      </c>
    </row>
    <row r="3704" spans="1:8" ht="13.5" customHeight="1">
      <c r="A3704" s="532">
        <v>45267</v>
      </c>
      <c r="B3704" s="615">
        <v>44100</v>
      </c>
      <c r="C3704" s="615">
        <f>B3704+(B3704*F3704/365*E3704)*1</f>
        <v>49242.180821917806</v>
      </c>
      <c r="D3704" s="532">
        <f>+A3704+E3704</f>
        <v>45299</v>
      </c>
      <c r="E3704" s="534">
        <v>32</v>
      </c>
      <c r="F3704" s="653">
        <v>1.33</v>
      </c>
      <c r="G3704" s="536" t="s">
        <v>257</v>
      </c>
    </row>
    <row r="3705" spans="1:8" ht="13.5" customHeight="1">
      <c r="A3705" s="532">
        <v>45266</v>
      </c>
      <c r="B3705" s="615">
        <v>43400</v>
      </c>
      <c r="C3705" s="615">
        <f>B3705+(B3705*F3705/365*E3705)*1</f>
        <v>48618.701369863011</v>
      </c>
      <c r="D3705" s="532">
        <f>+A3705+E3705</f>
        <v>45299</v>
      </c>
      <c r="E3705" s="534">
        <v>33</v>
      </c>
      <c r="F3705" s="653">
        <v>1.33</v>
      </c>
      <c r="G3705" s="536" t="s">
        <v>260</v>
      </c>
    </row>
    <row r="3706" spans="1:8" ht="13.5" customHeight="1">
      <c r="A3706" s="532">
        <v>45210</v>
      </c>
      <c r="B3706" s="615">
        <v>50000</v>
      </c>
      <c r="C3706" s="615">
        <f t="shared" ref="A3706:C3711" si="436">B3706+(B3706*F3706/365*E3706)*1</f>
        <v>68477.990000000005</v>
      </c>
      <c r="D3706" s="532">
        <f t="shared" ref="A3706:D3711" si="437">+A3706+E3706</f>
        <v>45300</v>
      </c>
      <c r="E3706" s="534">
        <v>90</v>
      </c>
      <c r="F3706" s="653">
        <v>1.4987703000000006</v>
      </c>
      <c r="G3706" s="536" t="s">
        <v>265</v>
      </c>
      <c r="H3706">
        <f>50123.29+18354.7</f>
        <v>68477.990000000005</v>
      </c>
    </row>
    <row r="3707" spans="1:8" ht="13.5" customHeight="1">
      <c r="A3707" s="532">
        <v>45210</v>
      </c>
      <c r="B3707" s="615">
        <v>350000</v>
      </c>
      <c r="C3707" s="615">
        <f t="shared" si="436"/>
        <v>479345.94999999995</v>
      </c>
      <c r="D3707" s="532">
        <f t="shared" si="437"/>
        <v>45300</v>
      </c>
      <c r="E3707" s="534">
        <v>90</v>
      </c>
      <c r="F3707" s="653">
        <v>1.4987705317460316</v>
      </c>
      <c r="G3707" s="536" t="s">
        <v>257</v>
      </c>
      <c r="H3707">
        <f>350863.01+128482.94</f>
        <v>479345.95</v>
      </c>
    </row>
    <row r="3708" spans="1:8" ht="13.5" customHeight="1">
      <c r="A3708" s="532">
        <v>45210</v>
      </c>
      <c r="B3708" s="615">
        <v>50000</v>
      </c>
      <c r="C3708" s="615">
        <f t="shared" si="436"/>
        <v>68477.98</v>
      </c>
      <c r="D3708" s="532">
        <f t="shared" si="437"/>
        <v>45300</v>
      </c>
      <c r="E3708" s="534">
        <v>90</v>
      </c>
      <c r="F3708" s="653">
        <v>1.4987694888888887</v>
      </c>
      <c r="G3708" s="536" t="s">
        <v>261</v>
      </c>
      <c r="H3708">
        <v>68477.98</v>
      </c>
    </row>
    <row r="3709" spans="1:8" ht="13.5" customHeight="1">
      <c r="A3709" s="532">
        <v>45210</v>
      </c>
      <c r="B3709" s="615">
        <v>90000</v>
      </c>
      <c r="C3709" s="615">
        <f t="shared" si="436"/>
        <v>123260.12</v>
      </c>
      <c r="D3709" s="532">
        <f t="shared" si="437"/>
        <v>45300</v>
      </c>
      <c r="E3709" s="534">
        <v>90</v>
      </c>
      <c r="F3709" s="653">
        <v>1.4987584938271601</v>
      </c>
      <c r="G3709" s="536" t="s">
        <v>260</v>
      </c>
      <c r="H3709">
        <v>123260.12</v>
      </c>
    </row>
    <row r="3710" spans="1:8" ht="13.5" customHeight="1">
      <c r="A3710" s="532">
        <v>45210</v>
      </c>
      <c r="B3710" s="615">
        <v>250000</v>
      </c>
      <c r="C3710" s="615">
        <f t="shared" si="436"/>
        <v>342389.96</v>
      </c>
      <c r="D3710" s="532">
        <f t="shared" si="437"/>
        <v>45300</v>
      </c>
      <c r="E3710" s="534">
        <v>90</v>
      </c>
      <c r="F3710" s="653">
        <v>1.4987704622222227</v>
      </c>
      <c r="G3710" s="536" t="s">
        <v>256</v>
      </c>
      <c r="H3710">
        <f>250616.44+91773.52</f>
        <v>342389.96</v>
      </c>
    </row>
    <row r="3711" spans="1:8" ht="13.5" customHeight="1">
      <c r="A3711" s="532">
        <v>45210</v>
      </c>
      <c r="B3711" s="615">
        <v>60000</v>
      </c>
      <c r="C3711" s="615">
        <f t="shared" si="436"/>
        <v>82173.199999999983</v>
      </c>
      <c r="D3711" s="532">
        <f t="shared" si="437"/>
        <v>45300</v>
      </c>
      <c r="E3711" s="534">
        <v>90</v>
      </c>
      <c r="F3711" s="653">
        <v>1.4987440740740732</v>
      </c>
      <c r="G3711" s="536" t="s">
        <v>256</v>
      </c>
      <c r="H3711">
        <f>60147.95+22025.25</f>
        <v>82173.2</v>
      </c>
    </row>
    <row r="3712" spans="1:8" ht="13.5" customHeight="1">
      <c r="A3712" s="532">
        <v>45210</v>
      </c>
      <c r="B3712" s="615">
        <v>190000</v>
      </c>
      <c r="C3712" s="615">
        <f>B3712+(B3712*F3712/365*E3712)*1</f>
        <v>260217.86000000002</v>
      </c>
      <c r="D3712" s="532">
        <f>+A3712+E3712</f>
        <v>45300</v>
      </c>
      <c r="E3712" s="534">
        <v>90</v>
      </c>
      <c r="F3712" s="653">
        <v>1.4988022748538015</v>
      </c>
      <c r="G3712" s="536" t="s">
        <v>258</v>
      </c>
      <c r="H3712">
        <v>260217.86</v>
      </c>
    </row>
    <row r="3713" spans="1:15" ht="13.5" customHeight="1">
      <c r="A3713" s="532">
        <v>45211</v>
      </c>
      <c r="B3713" s="615">
        <v>70000</v>
      </c>
      <c r="C3713" s="615">
        <f t="shared" ref="A3713:C3718" si="438">B3713+(B3713*F3713/365*E3713)*1</f>
        <v>95868.12</v>
      </c>
      <c r="D3713" s="532">
        <f t="shared" ref="A3713:D3718" si="439">+A3713+E3713</f>
        <v>45301</v>
      </c>
      <c r="E3713" s="534">
        <v>90</v>
      </c>
      <c r="F3713" s="653">
        <v>1.498708539682539</v>
      </c>
      <c r="G3713" s="536" t="s">
        <v>257</v>
      </c>
      <c r="H3713">
        <f>70172.6+25695.52</f>
        <v>95868.12000000001</v>
      </c>
    </row>
    <row r="3714" spans="1:15" ht="13.5" customHeight="1">
      <c r="A3714" s="532">
        <v>45211</v>
      </c>
      <c r="B3714" s="615">
        <v>120000</v>
      </c>
      <c r="C3714" s="615">
        <f t="shared" si="438"/>
        <v>164345.06</v>
      </c>
      <c r="D3714" s="532">
        <f t="shared" si="439"/>
        <v>45301</v>
      </c>
      <c r="E3714" s="534">
        <v>90</v>
      </c>
      <c r="F3714" s="653">
        <v>1.4986987870370365</v>
      </c>
      <c r="G3714" s="536" t="s">
        <v>260</v>
      </c>
      <c r="H3714">
        <v>164345.06</v>
      </c>
    </row>
    <row r="3715" spans="1:15" ht="13.5" customHeight="1">
      <c r="A3715" s="532">
        <v>45211</v>
      </c>
      <c r="B3715" s="615">
        <v>225000</v>
      </c>
      <c r="C3715" s="615">
        <f>B3715+(B3715*F3715/365*E3715)*1</f>
        <v>308151.23</v>
      </c>
      <c r="D3715" s="532">
        <f t="shared" si="439"/>
        <v>45301</v>
      </c>
      <c r="E3715" s="534">
        <v>90</v>
      </c>
      <c r="F3715" s="653">
        <v>1.4987752567901227</v>
      </c>
      <c r="G3715" s="536" t="s">
        <v>263</v>
      </c>
      <c r="H3715">
        <f>307391.92+759.31</f>
        <v>308151.23</v>
      </c>
    </row>
    <row r="3716" spans="1:15" ht="13.5" customHeight="1">
      <c r="A3716" s="532">
        <v>45211</v>
      </c>
      <c r="B3716" s="615">
        <v>247000</v>
      </c>
      <c r="C3716" s="615">
        <f t="shared" si="438"/>
        <v>338277.15999999992</v>
      </c>
      <c r="D3716" s="532">
        <f t="shared" si="439"/>
        <v>45301</v>
      </c>
      <c r="E3716" s="534">
        <v>90</v>
      </c>
      <c r="F3716" s="653">
        <v>1.498702807017543</v>
      </c>
      <c r="G3716" s="536" t="s">
        <v>263</v>
      </c>
      <c r="H3716">
        <f>337445.3+831.86</f>
        <v>338277.16</v>
      </c>
    </row>
    <row r="3717" spans="1:15" ht="13.5" customHeight="1">
      <c r="A3717" s="532">
        <v>45211</v>
      </c>
      <c r="B3717" s="615">
        <v>100000</v>
      </c>
      <c r="C3717" s="615">
        <f t="shared" si="438"/>
        <v>136957.19</v>
      </c>
      <c r="D3717" s="532">
        <f t="shared" si="439"/>
        <v>45301</v>
      </c>
      <c r="E3717" s="534">
        <v>90</v>
      </c>
      <c r="F3717" s="653">
        <v>1.4988193722222218</v>
      </c>
      <c r="G3717" s="536" t="s">
        <v>258</v>
      </c>
      <c r="H3717">
        <v>136957.19</v>
      </c>
    </row>
    <row r="3718" spans="1:15" ht="13.5" customHeight="1">
      <c r="A3718" s="532">
        <v>45211</v>
      </c>
      <c r="B3718" s="615">
        <v>130000</v>
      </c>
      <c r="C3718" s="615">
        <f t="shared" si="438"/>
        <v>178040.82</v>
      </c>
      <c r="D3718" s="532">
        <f t="shared" si="439"/>
        <v>45301</v>
      </c>
      <c r="E3718" s="534">
        <v>90</v>
      </c>
      <c r="F3718" s="653">
        <v>1.4987093418803425</v>
      </c>
      <c r="G3718" s="536" t="s">
        <v>256</v>
      </c>
      <c r="H3718">
        <f>130320.55+47720.27</f>
        <v>178040.82</v>
      </c>
    </row>
    <row r="3719" spans="1:15" ht="13.5" customHeight="1">
      <c r="A3719" s="532">
        <v>45267</v>
      </c>
      <c r="B3719" s="615">
        <v>460000</v>
      </c>
      <c r="C3719" s="615">
        <f t="shared" ref="A3719:C3721" si="440">B3719+(B3719*F3719/365*E3719)*1</f>
        <v>518665.75342465751</v>
      </c>
      <c r="D3719" s="532">
        <f t="shared" ref="A3719:D3721" si="441">+A3719+E3719</f>
        <v>45302</v>
      </c>
      <c r="E3719" s="534">
        <v>35</v>
      </c>
      <c r="F3719" s="653">
        <v>1.33</v>
      </c>
      <c r="G3719" s="536" t="s">
        <v>262</v>
      </c>
    </row>
    <row r="3720" spans="1:15" ht="13.5" customHeight="1">
      <c r="A3720" s="532">
        <v>45267</v>
      </c>
      <c r="B3720" s="615">
        <v>230000</v>
      </c>
      <c r="C3720" s="615">
        <f t="shared" si="440"/>
        <v>259332.87671232875</v>
      </c>
      <c r="D3720" s="532">
        <f t="shared" si="441"/>
        <v>45302</v>
      </c>
      <c r="E3720" s="534">
        <v>35</v>
      </c>
      <c r="F3720" s="653">
        <v>1.33</v>
      </c>
      <c r="G3720" s="536" t="s">
        <v>258</v>
      </c>
    </row>
    <row r="3721" spans="1:15" ht="13.5" customHeight="1">
      <c r="A3721" s="532">
        <v>45267</v>
      </c>
      <c r="B3721" s="615">
        <v>125400</v>
      </c>
      <c r="C3721" s="615">
        <f t="shared" si="440"/>
        <v>141392.79452054793</v>
      </c>
      <c r="D3721" s="532">
        <f t="shared" si="441"/>
        <v>45302</v>
      </c>
      <c r="E3721" s="534">
        <v>35</v>
      </c>
      <c r="F3721" s="653">
        <v>1.33</v>
      </c>
      <c r="G3721" s="536" t="s">
        <v>261</v>
      </c>
      <c r="H3721">
        <v>141392.79</v>
      </c>
    </row>
    <row r="3722" spans="1:15" ht="13.5" customHeight="1">
      <c r="A3722" s="532">
        <v>45273</v>
      </c>
      <c r="B3722" s="615">
        <v>46000</v>
      </c>
      <c r="C3722" s="615">
        <f>B3722+(B3722*F3722/365*E3722)*1</f>
        <v>51028.493150684932</v>
      </c>
      <c r="D3722" s="532">
        <f>+A3722+E3722</f>
        <v>45303</v>
      </c>
      <c r="E3722" s="534">
        <v>30</v>
      </c>
      <c r="F3722" s="653">
        <v>1.33</v>
      </c>
      <c r="G3722" s="536" t="s">
        <v>259</v>
      </c>
      <c r="H3722">
        <f>(C3722-B3722)/E3722*30</f>
        <v>5028.4931506849316</v>
      </c>
      <c r="I3722" t="e">
        <f>VLOOKUP(Tabla1[[#This Row],[FECHA]],TablaUVA[#All],2)</f>
        <v>#VALUE!</v>
      </c>
      <c r="J3722" t="e">
        <f>VLOOKUP(Tabla1[[#This Row],[VTO.]],TablaUVA[#All],2)</f>
        <v>#VALUE!</v>
      </c>
      <c r="K3722" t="e">
        <f>+Tabla1[[#This Row],[DEPOSITADO]]/I3722</f>
        <v>#VALUE!</v>
      </c>
      <c r="L3722" t="e">
        <f>IF(Tabla1[[#This Row],[DIAS]]&gt;89,+K3722*J3722*(1+1%/365*Tabla1[[#This Row],[DIAS]]),Tabla1[[#This Row],[ACOBRAR]])</f>
        <v>#VALUE!</v>
      </c>
      <c r="M3722" t="e">
        <f>+L3722-Tabla1[[#This Row],[ACOBRAR]]</f>
        <v>#VALUE!</v>
      </c>
    </row>
    <row r="3723" spans="1:15" ht="13.5" customHeight="1">
      <c r="A3723" s="532">
        <v>45216</v>
      </c>
      <c r="B3723" s="615">
        <v>225000</v>
      </c>
      <c r="C3723" s="615">
        <v>310549.58357536601</v>
      </c>
      <c r="D3723" s="532">
        <f t="shared" ref="A3723:D3728" si="442">+A3723+E3723</f>
        <v>45306</v>
      </c>
      <c r="E3723" s="534">
        <v>90</v>
      </c>
      <c r="F3723" s="653">
        <v>0.38022037144607101</v>
      </c>
      <c r="G3723" s="536" t="s">
        <v>258</v>
      </c>
    </row>
    <row r="3724" spans="1:15" ht="13.5" customHeight="1">
      <c r="A3724" s="532">
        <v>45216</v>
      </c>
      <c r="B3724" s="615">
        <v>120000</v>
      </c>
      <c r="C3724" s="615">
        <v>165626.44457352851</v>
      </c>
      <c r="D3724" s="532">
        <f t="shared" si="442"/>
        <v>45306</v>
      </c>
      <c r="E3724" s="534">
        <v>90</v>
      </c>
      <c r="F3724" s="653">
        <v>0.38022037144607101</v>
      </c>
      <c r="G3724" s="536" t="s">
        <v>260</v>
      </c>
      <c r="H3724">
        <f t="shared" ref="A3724:H3728" si="443">(C3724-B3724)/E3724*30</f>
        <v>15208.814857842837</v>
      </c>
      <c r="I3724">
        <v>355.39</v>
      </c>
      <c r="J3724">
        <v>489.31</v>
      </c>
      <c r="K3724">
        <v>337.65722164382794</v>
      </c>
      <c r="L3724" t="e">
        <f>IF(Tabla1[[#This Row],[DIAS]]&gt;89,+K3724*J3724*(1+1%/365*Tabla1[[#This Row],[DIAS]]),Tabla1[[#This Row],[ACOBRAR]])</f>
        <v>#VALUE!</v>
      </c>
      <c r="M3724" t="e">
        <f>+L3724-Tabla1[[#This Row],[ACOBRAR]]</f>
        <v>#VALUE!</v>
      </c>
      <c r="N3724">
        <v>0.38022</v>
      </c>
      <c r="O3724">
        <f>+N3724*365/90</f>
        <v>1.5420033333333334</v>
      </c>
    </row>
    <row r="3725" spans="1:15" ht="13.5" customHeight="1">
      <c r="A3725" s="532">
        <v>45216</v>
      </c>
      <c r="B3725" s="615">
        <v>140000</v>
      </c>
      <c r="C3725" s="615">
        <v>193230.85200244994</v>
      </c>
      <c r="D3725" s="532">
        <f t="shared" si="442"/>
        <v>45306</v>
      </c>
      <c r="E3725" s="534">
        <v>90</v>
      </c>
      <c r="F3725" s="653">
        <v>0.38022037144607101</v>
      </c>
      <c r="G3725" s="536" t="s">
        <v>265</v>
      </c>
      <c r="H3725">
        <f t="shared" si="443"/>
        <v>17743.617334149982</v>
      </c>
      <c r="I3725">
        <v>355.39</v>
      </c>
      <c r="J3725">
        <v>489.31</v>
      </c>
      <c r="K3725">
        <v>393.93342525113258</v>
      </c>
      <c r="L3725" t="e">
        <f>IF(Tabla1[[#This Row],[DIAS]]&gt;89,+K3725*J3725*(1+1%/365*Tabla1[[#This Row],[DIAS]]),Tabla1[[#This Row],[ACOBRAR]])</f>
        <v>#VALUE!</v>
      </c>
      <c r="M3725" t="e">
        <f>+L3725-Tabla1[[#This Row],[ACOBRAR]]</f>
        <v>#VALUE!</v>
      </c>
      <c r="O3725">
        <f>+O3724*100</f>
        <v>154.20033333333333</v>
      </c>
    </row>
    <row r="3726" spans="1:15" ht="13.5" customHeight="1">
      <c r="A3726" s="532">
        <v>45216</v>
      </c>
      <c r="B3726" s="615">
        <v>750000</v>
      </c>
      <c r="C3726" s="615">
        <v>1035165.2785845533</v>
      </c>
      <c r="D3726" s="532">
        <f t="shared" si="442"/>
        <v>45306</v>
      </c>
      <c r="E3726" s="534">
        <v>90</v>
      </c>
      <c r="F3726" s="653">
        <v>0.38022037144607101</v>
      </c>
      <c r="G3726" s="536" t="s">
        <v>257</v>
      </c>
      <c r="H3726">
        <f t="shared" si="443"/>
        <v>95055.092861517769</v>
      </c>
      <c r="I3726">
        <v>355.39</v>
      </c>
      <c r="J3726">
        <v>489.31</v>
      </c>
      <c r="K3726">
        <v>2110.3576352739246</v>
      </c>
      <c r="L3726" t="e">
        <f>IF(Tabla1[[#This Row],[DIAS]]&gt;89,+K3726*J3726*(1+1%/365*Tabla1[[#This Row],[DIAS]]),Tabla1[[#This Row],[ACOBRAR]])</f>
        <v>#VALUE!</v>
      </c>
      <c r="M3726" t="e">
        <f>+L3726-Tabla1[[#This Row],[ACOBRAR]]</f>
        <v>#VALUE!</v>
      </c>
    </row>
    <row r="3727" spans="1:15" ht="13.5" customHeight="1">
      <c r="A3727" s="532">
        <v>45216</v>
      </c>
      <c r="B3727" s="615">
        <v>200000</v>
      </c>
      <c r="C3727" s="615">
        <v>276044.07428921422</v>
      </c>
      <c r="D3727" s="532">
        <f t="shared" si="442"/>
        <v>45306</v>
      </c>
      <c r="E3727" s="534">
        <v>90</v>
      </c>
      <c r="F3727" s="653">
        <v>0.38022037144607101</v>
      </c>
      <c r="G3727" s="536" t="s">
        <v>261</v>
      </c>
      <c r="H3727">
        <f t="shared" si="443"/>
        <v>25348.024763071404</v>
      </c>
      <c r="I3727">
        <v>355.39</v>
      </c>
      <c r="J3727">
        <v>489.31</v>
      </c>
      <c r="K3727">
        <v>562.76203607304649</v>
      </c>
      <c r="L3727" t="e">
        <f>IF(Tabla1[[#This Row],[DIAS]]&gt;89,+K3727*J3727*(1+1%/365*Tabla1[[#This Row],[DIAS]]),Tabla1[[#This Row],[ACOBRAR]])</f>
        <v>#VALUE!</v>
      </c>
      <c r="M3727" t="e">
        <f>+L3727-Tabla1[[#This Row],[ACOBRAR]]</f>
        <v>#VALUE!</v>
      </c>
    </row>
    <row r="3728" spans="1:15" ht="13.5" customHeight="1">
      <c r="A3728" s="532">
        <v>45216</v>
      </c>
      <c r="B3728" s="615">
        <v>700000</v>
      </c>
      <c r="C3728" s="615">
        <v>966154.2600122497</v>
      </c>
      <c r="D3728" s="532">
        <f t="shared" si="442"/>
        <v>45306</v>
      </c>
      <c r="E3728" s="534">
        <v>90</v>
      </c>
      <c r="F3728" s="653">
        <v>0.38022037144607101</v>
      </c>
      <c r="G3728" s="536" t="s">
        <v>256</v>
      </c>
      <c r="H3728">
        <f t="shared" si="443"/>
        <v>88718.086670749894</v>
      </c>
      <c r="I3728">
        <v>355.39</v>
      </c>
      <c r="J3728">
        <v>489.31</v>
      </c>
      <c r="K3728">
        <v>1969.6671262556629</v>
      </c>
      <c r="L3728" t="e">
        <f>IF(Tabla1[[#This Row],[DIAS]]&gt;89,+K3728*J3728*(1+1%/365*Tabla1[[#This Row],[DIAS]]),Tabla1[[#This Row],[ACOBRAR]])</f>
        <v>#VALUE!</v>
      </c>
      <c r="M3728" t="e">
        <f>+L3728-Tabla1[[#This Row],[ACOBRAR]]</f>
        <v>#VALUE!</v>
      </c>
      <c r="N3728" t="e">
        <f>SUM(M3723:M3728)</f>
        <v>#VALUE!</v>
      </c>
    </row>
    <row r="3729" spans="1:15" ht="13.5" customHeight="1">
      <c r="A3729" s="532">
        <v>45217</v>
      </c>
      <c r="B3729" s="615">
        <v>140000</v>
      </c>
      <c r="C3729" s="615">
        <v>191738.62431502124</v>
      </c>
      <c r="D3729" s="532">
        <v>45307</v>
      </c>
      <c r="E3729" s="534">
        <v>90</v>
      </c>
      <c r="F3729" s="653">
        <v>0.36956160225015178</v>
      </c>
      <c r="G3729" s="536" t="s">
        <v>261</v>
      </c>
      <c r="H3729">
        <v>17246.208105007077</v>
      </c>
      <c r="I3729">
        <v>362.35</v>
      </c>
      <c r="J3729">
        <v>495.04</v>
      </c>
      <c r="K3729">
        <v>386.36677245756863</v>
      </c>
      <c r="L3729">
        <v>191738.62431502124</v>
      </c>
      <c r="M3729" t="e">
        <f>+L3729-Tabla1[[#This Row],[ACOBRAR]]</f>
        <v>#VALUE!</v>
      </c>
      <c r="O3729" t="e">
        <f>+#REF!*100</f>
        <v>#REF!</v>
      </c>
    </row>
    <row r="3730" spans="1:15" ht="13.5" customHeight="1">
      <c r="A3730" s="532">
        <v>45217</v>
      </c>
      <c r="B3730" s="615">
        <v>80000</v>
      </c>
      <c r="C3730" s="615">
        <v>109564.92818001214</v>
      </c>
      <c r="D3730" s="532">
        <v>45307</v>
      </c>
      <c r="E3730" s="534">
        <v>90</v>
      </c>
      <c r="F3730" s="653">
        <v>0.36956160225015178</v>
      </c>
      <c r="G3730" s="536" t="s">
        <v>258</v>
      </c>
      <c r="H3730">
        <v>9854.9760600040463</v>
      </c>
      <c r="I3730">
        <v>362.35</v>
      </c>
      <c r="J3730">
        <v>495.04</v>
      </c>
      <c r="K3730">
        <v>220.78101283289635</v>
      </c>
      <c r="L3730">
        <v>109564.92818001212</v>
      </c>
      <c r="M3730" t="e">
        <f>+L3730-Tabla1[[#This Row],[ACOBRAR]]</f>
        <v>#VALUE!</v>
      </c>
    </row>
    <row r="3731" spans="1:15" ht="13.5" customHeight="1">
      <c r="A3731" s="532">
        <v>45217</v>
      </c>
      <c r="B3731" s="615">
        <v>240000</v>
      </c>
      <c r="C3731" s="615">
        <v>328694.7845400364</v>
      </c>
      <c r="D3731" s="532">
        <v>45307</v>
      </c>
      <c r="E3731" s="534">
        <v>90</v>
      </c>
      <c r="F3731" s="653">
        <v>0.36956160225015178</v>
      </c>
      <c r="G3731" s="536" t="s">
        <v>262</v>
      </c>
      <c r="H3731">
        <v>29564.928180012135</v>
      </c>
      <c r="I3731">
        <v>362.35</v>
      </c>
      <c r="J3731">
        <v>495.04</v>
      </c>
      <c r="K3731">
        <v>662.34303849868911</v>
      </c>
      <c r="L3731">
        <v>328694.7845400364</v>
      </c>
      <c r="M3731" t="e">
        <f>+L3731-Tabla1[[#This Row],[ACOBRAR]]</f>
        <v>#VALUE!</v>
      </c>
    </row>
    <row r="3732" spans="1:15" ht="13.5" customHeight="1">
      <c r="A3732" s="532">
        <v>45217</v>
      </c>
      <c r="B3732" s="615">
        <v>70000</v>
      </c>
      <c r="C3732" s="615">
        <v>95869.31215751062</v>
      </c>
      <c r="D3732" s="532">
        <v>45307</v>
      </c>
      <c r="E3732" s="534">
        <v>90</v>
      </c>
      <c r="F3732" s="653">
        <v>0.36956160225015178</v>
      </c>
      <c r="G3732" s="536" t="s">
        <v>265</v>
      </c>
      <c r="H3732">
        <v>8623.1040525035387</v>
      </c>
      <c r="I3732">
        <v>362.35</v>
      </c>
      <c r="J3732">
        <v>495.04</v>
      </c>
      <c r="K3732">
        <v>193.18338622878431</v>
      </c>
      <c r="L3732">
        <v>95869.31215751062</v>
      </c>
      <c r="M3732" t="e">
        <f>+L3732-Tabla1[[#This Row],[ACOBRAR]]</f>
        <v>#VALUE!</v>
      </c>
      <c r="N3732" t="e">
        <f>SUM(M3729:M3732)</f>
        <v>#VALUE!</v>
      </c>
    </row>
    <row r="3733" spans="1:15" ht="13.5" customHeight="1">
      <c r="A3733" s="532">
        <v>45217</v>
      </c>
      <c r="B3733" s="615">
        <v>80000</v>
      </c>
      <c r="C3733" s="615">
        <v>109564.92818001214</v>
      </c>
      <c r="D3733" s="532">
        <v>45307</v>
      </c>
      <c r="E3733" s="534">
        <v>90</v>
      </c>
      <c r="F3733" s="653">
        <v>0.36956160225015178</v>
      </c>
      <c r="G3733" s="536" t="s">
        <v>256</v>
      </c>
      <c r="H3733">
        <v>9854.9760600040463</v>
      </c>
      <c r="I3733">
        <v>362.35</v>
      </c>
      <c r="J3733">
        <v>495.04</v>
      </c>
      <c r="K3733">
        <v>220.78101283289635</v>
      </c>
      <c r="L3733">
        <v>109564.92818001212</v>
      </c>
      <c r="M3733" t="e">
        <f>+L3733-Tabla1[[#This Row],[ACOBRAR]]</f>
        <v>#VALUE!</v>
      </c>
    </row>
    <row r="3734" spans="1:15" ht="13.5" customHeight="1">
      <c r="A3734" s="532">
        <v>45222</v>
      </c>
      <c r="B3734" s="615">
        <v>160000</v>
      </c>
      <c r="C3734" s="615">
        <v>223058.48636807487</v>
      </c>
      <c r="D3734" s="532">
        <v>45313</v>
      </c>
      <c r="E3734" s="534">
        <v>91</v>
      </c>
      <c r="F3734" s="653">
        <v>0.39411553980046787</v>
      </c>
      <c r="G3734" s="536" t="s">
        <v>257</v>
      </c>
      <c r="H3734">
        <v>20788.511989475232</v>
      </c>
      <c r="I3734">
        <v>366.57</v>
      </c>
      <c r="J3734">
        <v>509.77</v>
      </c>
      <c r="K3734">
        <v>436.47870802302424</v>
      </c>
      <c r="L3734">
        <v>223058.48636807484</v>
      </c>
      <c r="M3734">
        <v>0</v>
      </c>
    </row>
    <row r="3735" spans="1:15" ht="13.5" customHeight="1">
      <c r="A3735" s="532">
        <v>45222</v>
      </c>
      <c r="B3735" s="615">
        <v>85000</v>
      </c>
      <c r="C3735" s="615">
        <v>118499.82088303976</v>
      </c>
      <c r="D3735" s="532">
        <v>45313</v>
      </c>
      <c r="E3735" s="534">
        <v>91</v>
      </c>
      <c r="F3735" s="653">
        <v>0.39411553980046787</v>
      </c>
      <c r="G3735" s="536" t="s">
        <v>258</v>
      </c>
      <c r="H3735">
        <v>11043.896994408713</v>
      </c>
      <c r="I3735">
        <v>366.57</v>
      </c>
      <c r="J3735">
        <v>509.77</v>
      </c>
      <c r="K3735">
        <v>231.87931363723163</v>
      </c>
      <c r="L3735">
        <v>118499.82088303978</v>
      </c>
      <c r="M3735">
        <v>0</v>
      </c>
    </row>
    <row r="3736" spans="1:15" ht="13.5" customHeight="1">
      <c r="A3736" s="532">
        <v>45224</v>
      </c>
      <c r="B3736" s="615">
        <v>85000</v>
      </c>
      <c r="C3736" s="615">
        <v>119275.57108903503</v>
      </c>
      <c r="D3736" s="532">
        <v>45314</v>
      </c>
      <c r="E3736" s="534">
        <v>90</v>
      </c>
      <c r="F3736" s="653">
        <v>0.40324201281217675</v>
      </c>
      <c r="G3736" s="536" t="s">
        <v>258</v>
      </c>
      <c r="H3736">
        <v>11425.190363011676</v>
      </c>
      <c r="I3736">
        <v>372.27</v>
      </c>
      <c r="J3736">
        <v>521.1</v>
      </c>
      <c r="K3736">
        <v>228.32890106643029</v>
      </c>
      <c r="L3736">
        <v>119275.57108903502</v>
      </c>
      <c r="M3736">
        <v>0</v>
      </c>
    </row>
    <row r="3737" spans="1:15" ht="13.5" customHeight="1">
      <c r="A3737" s="532">
        <v>45224</v>
      </c>
      <c r="B3737" s="615">
        <v>80000</v>
      </c>
      <c r="C3737" s="615">
        <v>112259.36102497415</v>
      </c>
      <c r="D3737" s="532">
        <v>45314</v>
      </c>
      <c r="E3737" s="534">
        <v>90</v>
      </c>
      <c r="F3737" s="653">
        <v>0.40324201281217675</v>
      </c>
      <c r="G3737" s="536" t="s">
        <v>261</v>
      </c>
      <c r="H3737">
        <v>10753.120341658048</v>
      </c>
      <c r="I3737">
        <v>372.27</v>
      </c>
      <c r="J3737">
        <v>521.1</v>
      </c>
      <c r="K3737">
        <v>214.89778923899323</v>
      </c>
      <c r="L3737">
        <v>112259.36102497415</v>
      </c>
      <c r="M3737">
        <v>0</v>
      </c>
    </row>
    <row r="3738" spans="1:15" ht="13.5" customHeight="1">
      <c r="A3738" s="532">
        <v>45224</v>
      </c>
      <c r="B3738" s="615">
        <v>230000</v>
      </c>
      <c r="C3738" s="615">
        <v>322745.66294680064</v>
      </c>
      <c r="D3738" s="532">
        <v>45314</v>
      </c>
      <c r="E3738" s="534">
        <v>90</v>
      </c>
      <c r="F3738" s="653">
        <v>0.40324201281217675</v>
      </c>
      <c r="G3738" s="536" t="s">
        <v>257</v>
      </c>
      <c r="H3738">
        <v>30915.220982266881</v>
      </c>
      <c r="I3738">
        <v>372.27</v>
      </c>
      <c r="J3738">
        <v>521.1</v>
      </c>
      <c r="K3738">
        <v>617.83114406210552</v>
      </c>
      <c r="L3738">
        <v>322745.66294680064</v>
      </c>
      <c r="M3738">
        <v>0</v>
      </c>
    </row>
    <row r="3739" spans="1:15" ht="13.5" customHeight="1">
      <c r="A3739" s="532">
        <v>45224</v>
      </c>
      <c r="B3739" s="615">
        <v>200000</v>
      </c>
      <c r="C3739" s="615">
        <v>280648.40256243537</v>
      </c>
      <c r="D3739" s="532">
        <v>45314</v>
      </c>
      <c r="E3739" s="534">
        <v>90</v>
      </c>
      <c r="F3739" s="653">
        <v>0.40324201281217675</v>
      </c>
      <c r="G3739" s="536" t="s">
        <v>260</v>
      </c>
      <c r="H3739">
        <v>26882.800854145124</v>
      </c>
      <c r="I3739">
        <v>372.27</v>
      </c>
      <c r="J3739">
        <v>521.1</v>
      </c>
      <c r="K3739">
        <v>537.24447309748302</v>
      </c>
      <c r="L3739">
        <v>280648.40256243537</v>
      </c>
      <c r="M3739">
        <v>0</v>
      </c>
      <c r="O3739" t="e">
        <v>#REF!</v>
      </c>
    </row>
    <row r="3740" spans="1:15" ht="13.5" customHeight="1">
      <c r="A3740" s="532">
        <v>45224</v>
      </c>
      <c r="B3740" s="615">
        <v>250000</v>
      </c>
      <c r="C3740" s="615">
        <v>350810.50320304418</v>
      </c>
      <c r="D3740" s="532">
        <v>45314</v>
      </c>
      <c r="E3740" s="534">
        <v>90</v>
      </c>
      <c r="F3740" s="653">
        <v>0.40324201281217675</v>
      </c>
      <c r="G3740" s="536" t="s">
        <v>263</v>
      </c>
      <c r="H3740">
        <v>33603.501067681391</v>
      </c>
      <c r="I3740">
        <v>372.27</v>
      </c>
      <c r="J3740">
        <v>521.1</v>
      </c>
      <c r="K3740">
        <v>671.55559137185378</v>
      </c>
      <c r="L3740">
        <v>350810.50320304418</v>
      </c>
      <c r="M3740">
        <v>0</v>
      </c>
    </row>
    <row r="3741" spans="1:15" ht="13.5" customHeight="1">
      <c r="A3741" s="532">
        <v>45224</v>
      </c>
      <c r="B3741" s="615">
        <v>225000</v>
      </c>
      <c r="C3741" s="615">
        <v>315729.45288273977</v>
      </c>
      <c r="D3741" s="532">
        <v>45314</v>
      </c>
      <c r="E3741" s="534">
        <v>90</v>
      </c>
      <c r="F3741" s="653">
        <v>0.40324201281217675</v>
      </c>
      <c r="G3741" s="536" t="s">
        <v>256</v>
      </c>
      <c r="H3741">
        <v>30243.150960913259</v>
      </c>
      <c r="I3741">
        <v>372.27</v>
      </c>
      <c r="J3741">
        <v>521.1</v>
      </c>
      <c r="K3741">
        <v>604.4000322346684</v>
      </c>
      <c r="L3741">
        <v>315729.45288273977</v>
      </c>
      <c r="M3741">
        <v>0</v>
      </c>
      <c r="N3741">
        <v>0</v>
      </c>
    </row>
    <row r="3742" spans="1:15" ht="13.5" customHeight="1">
      <c r="A3742" s="532">
        <v>45225</v>
      </c>
      <c r="B3742" s="615">
        <v>50000</v>
      </c>
      <c r="C3742" s="615">
        <v>70405.44111011285</v>
      </c>
      <c r="D3742" s="532">
        <v>45315</v>
      </c>
      <c r="E3742" s="534">
        <v>90</v>
      </c>
      <c r="F3742" s="653">
        <v>0.40810882220225686</v>
      </c>
      <c r="G3742" s="536" t="s">
        <v>260</v>
      </c>
      <c r="H3742">
        <v>6801.81370337095</v>
      </c>
      <c r="I3742">
        <v>373.71</v>
      </c>
      <c r="J3742">
        <v>524.92999999999995</v>
      </c>
      <c r="K3742">
        <v>133.79358325974687</v>
      </c>
      <c r="L3742">
        <v>70405.44111011285</v>
      </c>
      <c r="M3742">
        <v>0</v>
      </c>
    </row>
    <row r="3743" spans="1:15" ht="13.5" customHeight="1">
      <c r="A3743" s="532">
        <v>45225</v>
      </c>
      <c r="B3743" s="615">
        <v>220000</v>
      </c>
      <c r="C3743" s="615">
        <v>309783.94088449649</v>
      </c>
      <c r="D3743" s="532">
        <v>45315</v>
      </c>
      <c r="E3743" s="534">
        <v>90</v>
      </c>
      <c r="F3743" s="653">
        <v>0.40810882220225686</v>
      </c>
      <c r="G3743" s="536" t="s">
        <v>261</v>
      </c>
      <c r="H3743">
        <v>29927.980294832167</v>
      </c>
      <c r="I3743">
        <v>373.71</v>
      </c>
      <c r="J3743">
        <v>524.92999999999995</v>
      </c>
      <c r="K3743">
        <v>588.69176634288624</v>
      </c>
      <c r="L3743">
        <v>309783.94088449655</v>
      </c>
      <c r="M3743">
        <v>0</v>
      </c>
    </row>
    <row r="3744" spans="1:15" ht="13.5" customHeight="1">
      <c r="A3744" s="532">
        <v>45225</v>
      </c>
      <c r="B3744" s="615">
        <v>70000</v>
      </c>
      <c r="C3744" s="615">
        <v>98567.617554157987</v>
      </c>
      <c r="D3744" s="532">
        <v>45315</v>
      </c>
      <c r="E3744" s="534">
        <v>90</v>
      </c>
      <c r="F3744" s="653">
        <v>0.40810882220225686</v>
      </c>
      <c r="G3744" s="536" t="s">
        <v>265</v>
      </c>
      <c r="H3744">
        <v>9522.5391847193277</v>
      </c>
      <c r="I3744">
        <v>373.71</v>
      </c>
      <c r="J3744">
        <v>524.92999999999995</v>
      </c>
      <c r="K3744">
        <v>187.31101656364561</v>
      </c>
      <c r="L3744">
        <v>98567.617554157987</v>
      </c>
      <c r="M3744">
        <v>0</v>
      </c>
      <c r="O3744" t="e">
        <v>#REF!</v>
      </c>
    </row>
    <row r="3745" spans="1:15" ht="13.5" customHeight="1">
      <c r="A3745" s="532">
        <v>45225</v>
      </c>
      <c r="B3745" s="615">
        <v>40000</v>
      </c>
      <c r="C3745" s="615">
        <v>56324.352888090274</v>
      </c>
      <c r="D3745" s="532">
        <v>45315</v>
      </c>
      <c r="E3745" s="534">
        <v>90</v>
      </c>
      <c r="F3745" s="653">
        <v>0.40810882220225686</v>
      </c>
      <c r="G3745" s="536" t="s">
        <v>258</v>
      </c>
      <c r="H3745">
        <v>5441.4509626967574</v>
      </c>
      <c r="I3745">
        <v>373.71</v>
      </c>
      <c r="J3745">
        <v>524.92999999999995</v>
      </c>
      <c r="K3745">
        <v>107.0348666077975</v>
      </c>
      <c r="L3745">
        <v>56324.352888090274</v>
      </c>
      <c r="M3745">
        <v>0</v>
      </c>
    </row>
    <row r="3746" spans="1:15" ht="13.5" customHeight="1">
      <c r="A3746" s="532">
        <v>45225</v>
      </c>
      <c r="B3746" s="615">
        <v>250000</v>
      </c>
      <c r="C3746" s="615">
        <v>352027.20555056422</v>
      </c>
      <c r="D3746" s="532">
        <v>45315</v>
      </c>
      <c r="E3746" s="534">
        <v>90</v>
      </c>
      <c r="F3746" s="653">
        <v>0.40810882220225686</v>
      </c>
      <c r="G3746" s="536" t="s">
        <v>256</v>
      </c>
      <c r="H3746">
        <v>34009.068516854742</v>
      </c>
      <c r="I3746">
        <v>373.71</v>
      </c>
      <c r="J3746">
        <v>524.92999999999995</v>
      </c>
      <c r="K3746">
        <v>668.96791629873439</v>
      </c>
      <c r="L3746">
        <v>352027.20555056422</v>
      </c>
      <c r="M3746">
        <v>0</v>
      </c>
      <c r="N3746">
        <v>0</v>
      </c>
    </row>
    <row r="3747" spans="1:15" ht="13.5" customHeight="1">
      <c r="A3747" s="532">
        <v>45226</v>
      </c>
      <c r="B3747" s="615">
        <v>150000</v>
      </c>
      <c r="C3747" s="615">
        <v>211952.76519529172</v>
      </c>
      <c r="D3747" s="532">
        <v>45316</v>
      </c>
      <c r="E3747" s="534">
        <v>90</v>
      </c>
      <c r="F3747" s="653">
        <v>0.4130184346352781</v>
      </c>
      <c r="G3747" s="536" t="s">
        <v>723</v>
      </c>
      <c r="H3747">
        <v>20650.921731763909</v>
      </c>
      <c r="I3747">
        <v>375.15</v>
      </c>
      <c r="J3747">
        <v>528.79</v>
      </c>
      <c r="K3747">
        <v>399.84006397441027</v>
      </c>
      <c r="L3747">
        <v>211952.76519529172</v>
      </c>
      <c r="M3747">
        <v>0</v>
      </c>
    </row>
    <row r="3748" spans="1:15" ht="13.5" customHeight="1">
      <c r="A3748" s="532">
        <v>45226</v>
      </c>
      <c r="B3748" s="615">
        <v>150000</v>
      </c>
      <c r="C3748" s="615">
        <v>211952.76519529172</v>
      </c>
      <c r="D3748" s="532">
        <v>45316</v>
      </c>
      <c r="E3748" s="534">
        <v>90</v>
      </c>
      <c r="F3748" s="653">
        <v>0.4130184346352781</v>
      </c>
      <c r="G3748" s="536" t="s">
        <v>258</v>
      </c>
      <c r="H3748">
        <v>20650.921731763909</v>
      </c>
      <c r="I3748">
        <v>375.15</v>
      </c>
      <c r="J3748">
        <v>528.79</v>
      </c>
      <c r="K3748">
        <v>399.84006397441027</v>
      </c>
      <c r="L3748">
        <v>211952.76519529172</v>
      </c>
      <c r="M3748">
        <v>0</v>
      </c>
      <c r="O3748" t="e">
        <v>#REF!</v>
      </c>
    </row>
    <row r="3749" spans="1:15" ht="13.5" customHeight="1">
      <c r="A3749" s="532">
        <v>45226</v>
      </c>
      <c r="B3749" s="615">
        <v>60000</v>
      </c>
      <c r="C3749" s="615">
        <v>84781.106078116689</v>
      </c>
      <c r="D3749" s="532">
        <v>45316</v>
      </c>
      <c r="E3749" s="534">
        <v>90</v>
      </c>
      <c r="F3749" s="653">
        <v>0.4130184346352781</v>
      </c>
      <c r="G3749" s="536" t="s">
        <v>257</v>
      </c>
      <c r="H3749">
        <v>8260.3686927055624</v>
      </c>
      <c r="I3749">
        <v>375.15</v>
      </c>
      <c r="J3749">
        <v>528.79</v>
      </c>
      <c r="K3749">
        <v>159.93602558976411</v>
      </c>
      <c r="L3749">
        <v>84781.106078116703</v>
      </c>
      <c r="M3749">
        <v>0</v>
      </c>
      <c r="N3749">
        <v>0</v>
      </c>
    </row>
    <row r="3750" spans="1:15" ht="13.5" customHeight="1">
      <c r="A3750" s="532">
        <v>45226</v>
      </c>
      <c r="B3750" s="615">
        <v>170000</v>
      </c>
      <c r="C3750" s="615">
        <v>240213.13388799728</v>
      </c>
      <c r="D3750" s="532">
        <v>45316</v>
      </c>
      <c r="E3750" s="534">
        <v>90</v>
      </c>
      <c r="F3750" s="653">
        <v>0.4130184346352781</v>
      </c>
      <c r="G3750" s="536" t="s">
        <v>261</v>
      </c>
      <c r="H3750">
        <v>23404.37796266576</v>
      </c>
      <c r="I3750">
        <v>375.15</v>
      </c>
      <c r="J3750">
        <v>528.79</v>
      </c>
      <c r="K3750">
        <v>453.15207250433161</v>
      </c>
      <c r="L3750">
        <v>240213.13388799728</v>
      </c>
      <c r="M3750">
        <v>0</v>
      </c>
    </row>
    <row r="3751" spans="1:15" ht="13.5" customHeight="1">
      <c r="A3751" s="532">
        <v>45226</v>
      </c>
      <c r="B3751" s="615">
        <v>145000</v>
      </c>
      <c r="C3751" s="615">
        <v>204887.67302211531</v>
      </c>
      <c r="D3751" s="532">
        <v>45316</v>
      </c>
      <c r="E3751" s="534">
        <v>90</v>
      </c>
      <c r="F3751" s="653">
        <v>0.4130184346352781</v>
      </c>
      <c r="G3751" s="536" t="s">
        <v>724</v>
      </c>
      <c r="H3751">
        <v>19962.557674038435</v>
      </c>
      <c r="I3751">
        <v>375.15</v>
      </c>
      <c r="J3751">
        <v>528.79</v>
      </c>
      <c r="K3751">
        <v>386.51206184192989</v>
      </c>
      <c r="L3751">
        <v>204887.67302211534</v>
      </c>
      <c r="M3751">
        <v>0</v>
      </c>
    </row>
    <row r="3752" spans="1:15" ht="13.5" customHeight="1">
      <c r="A3752" s="532">
        <v>45226</v>
      </c>
      <c r="B3752" s="615">
        <v>135000</v>
      </c>
      <c r="C3752" s="615">
        <v>190757.48867576255</v>
      </c>
      <c r="D3752" s="532">
        <v>45316</v>
      </c>
      <c r="E3752" s="534">
        <v>90</v>
      </c>
      <c r="F3752" s="653">
        <v>0.4130184346352781</v>
      </c>
      <c r="G3752" s="536" t="s">
        <v>265</v>
      </c>
      <c r="H3752">
        <v>18585.829558587517</v>
      </c>
      <c r="I3752">
        <v>375.15</v>
      </c>
      <c r="J3752">
        <v>528.79</v>
      </c>
      <c r="K3752">
        <v>359.85605757696925</v>
      </c>
      <c r="L3752">
        <v>190757.48867576258</v>
      </c>
      <c r="M3752">
        <v>0</v>
      </c>
    </row>
    <row r="3753" spans="1:15" ht="13.5" customHeight="1">
      <c r="A3753" s="532">
        <v>45226</v>
      </c>
      <c r="B3753" s="615">
        <v>400000</v>
      </c>
      <c r="C3753" s="615">
        <v>565207.37385411118</v>
      </c>
      <c r="D3753" s="532">
        <v>45316</v>
      </c>
      <c r="E3753" s="534">
        <v>90</v>
      </c>
      <c r="F3753" s="653">
        <v>0.4130184346352781</v>
      </c>
      <c r="G3753" s="536" t="s">
        <v>256</v>
      </c>
      <c r="H3753">
        <v>55069.124618037065</v>
      </c>
      <c r="I3753">
        <v>375.15</v>
      </c>
      <c r="J3753">
        <v>528.79</v>
      </c>
      <c r="K3753">
        <v>1066.2401705984273</v>
      </c>
      <c r="L3753">
        <v>565207.3738541113</v>
      </c>
      <c r="M3753">
        <v>0</v>
      </c>
    </row>
    <row r="3754" spans="1:15" ht="13.5" customHeight="1">
      <c r="A3754" s="532">
        <v>45229</v>
      </c>
      <c r="B3754" s="615">
        <v>40000</v>
      </c>
      <c r="C3754" s="615">
        <v>57135.188499843578</v>
      </c>
      <c r="D3754" s="532">
        <v>45320</v>
      </c>
      <c r="E3754" s="534">
        <v>91</v>
      </c>
      <c r="F3754" s="653">
        <v>0.42837971249608953</v>
      </c>
      <c r="G3754" s="536" t="s">
        <v>261</v>
      </c>
      <c r="H3754">
        <v>5648.9632417066741</v>
      </c>
      <c r="I3754">
        <v>376.6</v>
      </c>
      <c r="J3754">
        <v>536.59</v>
      </c>
      <c r="K3754">
        <v>106.21348911311736</v>
      </c>
      <c r="L3754">
        <v>57135.188499843593</v>
      </c>
      <c r="M3754">
        <v>0</v>
      </c>
      <c r="N3754">
        <v>0</v>
      </c>
    </row>
    <row r="3755" spans="1:15" ht="13.5" customHeight="1">
      <c r="A3755" s="532">
        <v>45229</v>
      </c>
      <c r="B3755" s="615">
        <v>230000</v>
      </c>
      <c r="C3755" s="615">
        <v>328527.33387410059</v>
      </c>
      <c r="D3755" s="532">
        <v>45320</v>
      </c>
      <c r="E3755" s="534">
        <v>91</v>
      </c>
      <c r="F3755" s="653">
        <v>0.42837971249608953</v>
      </c>
      <c r="G3755" s="536" t="s">
        <v>258</v>
      </c>
      <c r="H3755">
        <v>32481.538639813378</v>
      </c>
      <c r="I3755">
        <v>376.6</v>
      </c>
      <c r="J3755">
        <v>536.59</v>
      </c>
      <c r="K3755">
        <v>610.72756240042486</v>
      </c>
      <c r="L3755">
        <v>328527.3338741007</v>
      </c>
      <c r="M3755">
        <v>0</v>
      </c>
    </row>
    <row r="3756" spans="1:15" ht="13.5" customHeight="1">
      <c r="A3756" s="532">
        <v>45229</v>
      </c>
      <c r="B3756" s="615">
        <v>200000</v>
      </c>
      <c r="C3756" s="615">
        <v>285675.94249921793</v>
      </c>
      <c r="D3756" s="532">
        <v>45320</v>
      </c>
      <c r="E3756" s="534">
        <v>91</v>
      </c>
      <c r="F3756" s="653">
        <v>0.42837971249608953</v>
      </c>
      <c r="G3756" s="536" t="s">
        <v>256</v>
      </c>
      <c r="H3756">
        <v>28244.816208533382</v>
      </c>
      <c r="I3756">
        <v>376.6</v>
      </c>
      <c r="J3756">
        <v>536.59</v>
      </c>
      <c r="K3756">
        <v>531.06744556558681</v>
      </c>
      <c r="L3756">
        <v>285675.94249921798</v>
      </c>
      <c r="M3756">
        <v>0</v>
      </c>
    </row>
    <row r="3757" spans="1:15" ht="13.5" customHeight="1">
      <c r="A3757" s="532">
        <v>45230</v>
      </c>
      <c r="B3757" s="615">
        <v>50000</v>
      </c>
      <c r="C3757" s="615">
        <v>72167.507876226911</v>
      </c>
      <c r="D3757" s="532">
        <v>45321</v>
      </c>
      <c r="E3757" s="534">
        <v>91</v>
      </c>
      <c r="F3757" s="653">
        <v>0.44335015752453821</v>
      </c>
      <c r="G3757" s="536" t="s">
        <v>261</v>
      </c>
      <c r="H3757">
        <v>7307.9696295253552</v>
      </c>
      <c r="I3757">
        <v>380.98</v>
      </c>
      <c r="J3757">
        <v>548.52</v>
      </c>
      <c r="K3757">
        <v>131.2404850648328</v>
      </c>
      <c r="L3757">
        <v>72167.507876226911</v>
      </c>
      <c r="M3757">
        <v>0</v>
      </c>
    </row>
    <row r="3758" spans="1:15" ht="13.5" customHeight="1">
      <c r="A3758" s="532">
        <v>45230</v>
      </c>
      <c r="B3758" s="615">
        <v>240000</v>
      </c>
      <c r="C3758" s="615">
        <v>346404.03780588915</v>
      </c>
      <c r="D3758" s="532">
        <v>45321</v>
      </c>
      <c r="E3758" s="534">
        <v>91</v>
      </c>
      <c r="F3758" s="653">
        <v>0.44335015752453821</v>
      </c>
      <c r="G3758" s="536" t="s">
        <v>262</v>
      </c>
      <c r="H3758">
        <v>35078.254221721698</v>
      </c>
      <c r="I3758">
        <v>380.98</v>
      </c>
      <c r="J3758">
        <v>548.52</v>
      </c>
      <c r="K3758">
        <v>629.9543283111974</v>
      </c>
      <c r="L3758">
        <v>346404.03780588915</v>
      </c>
      <c r="M3758">
        <v>0</v>
      </c>
    </row>
    <row r="3759" spans="1:15" ht="13.5" customHeight="1">
      <c r="A3759" s="532">
        <v>45230</v>
      </c>
      <c r="B3759" s="615">
        <v>200000</v>
      </c>
      <c r="C3759" s="615">
        <v>288670.03150490765</v>
      </c>
      <c r="D3759" s="532">
        <v>45321</v>
      </c>
      <c r="E3759" s="534">
        <v>91</v>
      </c>
      <c r="F3759" s="653">
        <v>0.44335015752453821</v>
      </c>
      <c r="G3759" s="536" t="s">
        <v>258</v>
      </c>
      <c r="H3759">
        <v>29231.878518101421</v>
      </c>
      <c r="I3759">
        <v>380.98</v>
      </c>
      <c r="J3759">
        <v>548.52</v>
      </c>
      <c r="K3759">
        <v>524.96194025933119</v>
      </c>
      <c r="L3759">
        <v>288670.03150490765</v>
      </c>
      <c r="M3759">
        <v>0</v>
      </c>
    </row>
    <row r="3760" spans="1:15" ht="13.5" customHeight="1">
      <c r="A3760" s="532">
        <v>45230</v>
      </c>
      <c r="B3760" s="615">
        <v>250000</v>
      </c>
      <c r="C3760" s="615">
        <v>360837.53938113456</v>
      </c>
      <c r="D3760" s="532">
        <v>45321</v>
      </c>
      <c r="E3760" s="534">
        <v>91</v>
      </c>
      <c r="F3760" s="653">
        <v>0.44335015752453821</v>
      </c>
      <c r="G3760" s="536" t="s">
        <v>256</v>
      </c>
      <c r="H3760">
        <v>36539.848147626777</v>
      </c>
      <c r="I3760">
        <v>380.98</v>
      </c>
      <c r="J3760">
        <v>548.52</v>
      </c>
      <c r="K3760">
        <v>656.20242532416398</v>
      </c>
      <c r="L3760">
        <v>360837.53938113456</v>
      </c>
      <c r="M3760">
        <v>0</v>
      </c>
    </row>
    <row r="3761" spans="1:14" ht="13.5" customHeight="1">
      <c r="A3761" s="532">
        <v>45231</v>
      </c>
      <c r="B3761" s="615">
        <v>70000</v>
      </c>
      <c r="C3761" s="615">
        <v>101382.97162779668</v>
      </c>
      <c r="D3761" s="532">
        <v>45322</v>
      </c>
      <c r="E3761" s="534">
        <v>91</v>
      </c>
      <c r="F3761" s="653">
        <v>0.44832816611138115</v>
      </c>
      <c r="G3761" s="536" t="s">
        <v>257</v>
      </c>
      <c r="H3761">
        <v>10346.034602570335</v>
      </c>
      <c r="I3761">
        <v>382.46</v>
      </c>
      <c r="J3761">
        <v>552.54999999999995</v>
      </c>
      <c r="K3761">
        <v>183.02567588767454</v>
      </c>
      <c r="L3761">
        <v>101382.97162779669</v>
      </c>
      <c r="M3761">
        <v>0</v>
      </c>
      <c r="N3761">
        <v>0</v>
      </c>
    </row>
    <row r="3762" spans="1:14" ht="13.5" customHeight="1">
      <c r="A3762" s="532">
        <v>45231</v>
      </c>
      <c r="B3762" s="615">
        <v>500000</v>
      </c>
      <c r="C3762" s="615">
        <v>724164.08305569063</v>
      </c>
      <c r="D3762" s="532">
        <v>45322</v>
      </c>
      <c r="E3762" s="534">
        <v>91</v>
      </c>
      <c r="F3762" s="653">
        <v>0.44832816611138115</v>
      </c>
      <c r="G3762" s="536" t="s">
        <v>262</v>
      </c>
      <c r="H3762">
        <v>73900.247161216699</v>
      </c>
      <c r="I3762">
        <v>382.46</v>
      </c>
      <c r="J3762">
        <v>552.54999999999995</v>
      </c>
      <c r="K3762">
        <v>1307.3262563405324</v>
      </c>
      <c r="L3762">
        <v>724164.08305569063</v>
      </c>
      <c r="M3762">
        <v>0</v>
      </c>
    </row>
    <row r="3763" spans="1:14" ht="13.5" customHeight="1">
      <c r="A3763" s="532">
        <v>45231</v>
      </c>
      <c r="B3763" s="615">
        <v>200000</v>
      </c>
      <c r="C3763" s="615">
        <v>289665.63322227623</v>
      </c>
      <c r="D3763" s="532">
        <v>45322</v>
      </c>
      <c r="E3763" s="534">
        <v>91</v>
      </c>
      <c r="F3763" s="653">
        <v>0.44832816611138115</v>
      </c>
      <c r="G3763" s="536" t="s">
        <v>256</v>
      </c>
      <c r="H3763">
        <v>29560.09886448667</v>
      </c>
      <c r="I3763">
        <v>382.46</v>
      </c>
      <c r="J3763">
        <v>552.54999999999995</v>
      </c>
      <c r="K3763">
        <v>522.930502536213</v>
      </c>
      <c r="L3763">
        <v>289665.63322227629</v>
      </c>
      <c r="M3763">
        <v>0</v>
      </c>
    </row>
    <row r="3764" spans="1:14" ht="13.5" customHeight="1">
      <c r="A3764" s="532">
        <v>45231</v>
      </c>
      <c r="B3764" s="615">
        <v>150000</v>
      </c>
      <c r="C3764" s="615">
        <v>217249.22491670717</v>
      </c>
      <c r="D3764" s="532">
        <v>45322</v>
      </c>
      <c r="E3764" s="534">
        <v>91</v>
      </c>
      <c r="F3764" s="653">
        <v>0.44832816611138115</v>
      </c>
      <c r="G3764" s="536" t="s">
        <v>256</v>
      </c>
      <c r="H3764">
        <v>22170.074148365002</v>
      </c>
      <c r="I3764">
        <v>382.46</v>
      </c>
      <c r="J3764">
        <v>552.54999999999995</v>
      </c>
      <c r="K3764">
        <v>392.19787690215975</v>
      </c>
      <c r="L3764">
        <v>217249.2249167072</v>
      </c>
      <c r="M3764">
        <v>0</v>
      </c>
    </row>
    <row r="3765" spans="1:14" ht="13.5" customHeight="1">
      <c r="A3765" s="532">
        <v>45233</v>
      </c>
      <c r="B3765" s="615">
        <v>60000</v>
      </c>
      <c r="C3765" s="615">
        <v>86865.106274386315</v>
      </c>
      <c r="D3765" s="532">
        <v>45323</v>
      </c>
      <c r="E3765" s="534">
        <v>90</v>
      </c>
      <c r="F3765" s="653">
        <v>0.44775177123977183</v>
      </c>
      <c r="G3765" s="536" t="s">
        <v>257</v>
      </c>
      <c r="H3765">
        <v>8955.0354247954383</v>
      </c>
      <c r="I3765">
        <v>385.42</v>
      </c>
      <c r="J3765">
        <v>556.62</v>
      </c>
      <c r="K3765">
        <v>155.67432930309792</v>
      </c>
      <c r="L3765">
        <v>86865.106274386315</v>
      </c>
      <c r="M3765">
        <v>0</v>
      </c>
      <c r="N3765">
        <v>0</v>
      </c>
    </row>
    <row r="3766" spans="1:14" ht="13.5" customHeight="1">
      <c r="A3766" s="532">
        <v>45233</v>
      </c>
      <c r="B3766" s="615">
        <v>60000</v>
      </c>
      <c r="C3766" s="615">
        <v>86865.106274386315</v>
      </c>
      <c r="D3766" s="532">
        <v>45323</v>
      </c>
      <c r="E3766" s="534">
        <v>90</v>
      </c>
      <c r="F3766" s="653">
        <v>0.44775177123977183</v>
      </c>
      <c r="G3766" s="536" t="s">
        <v>265</v>
      </c>
      <c r="H3766">
        <v>8955.0354247954383</v>
      </c>
      <c r="I3766">
        <v>385.42</v>
      </c>
      <c r="J3766">
        <v>556.62</v>
      </c>
      <c r="K3766">
        <v>155.67432930309792</v>
      </c>
      <c r="L3766">
        <v>86865.106274386315</v>
      </c>
      <c r="M3766">
        <v>0</v>
      </c>
    </row>
    <row r="3767" spans="1:14" ht="13.5" customHeight="1">
      <c r="A3767" s="532">
        <v>45233</v>
      </c>
      <c r="B3767" s="615">
        <v>280000</v>
      </c>
      <c r="C3767" s="615">
        <v>405370.49594713614</v>
      </c>
      <c r="D3767" s="532">
        <v>45323</v>
      </c>
      <c r="E3767" s="534">
        <v>90</v>
      </c>
      <c r="F3767" s="653">
        <v>0.44775177123977183</v>
      </c>
      <c r="G3767" s="536" t="s">
        <v>262</v>
      </c>
      <c r="H3767">
        <v>41790.165315712045</v>
      </c>
      <c r="I3767">
        <v>385.42</v>
      </c>
      <c r="J3767">
        <v>556.62</v>
      </c>
      <c r="K3767">
        <v>726.48020341445692</v>
      </c>
      <c r="L3767">
        <v>405370.49594713614</v>
      </c>
      <c r="M3767">
        <v>0</v>
      </c>
    </row>
    <row r="3768" spans="1:14" ht="13.5" customHeight="1">
      <c r="A3768" s="532">
        <v>45233</v>
      </c>
      <c r="B3768" s="615">
        <v>120000</v>
      </c>
      <c r="C3768" s="615">
        <v>173730.21254877263</v>
      </c>
      <c r="D3768" s="532">
        <v>45323</v>
      </c>
      <c r="E3768" s="534">
        <v>90</v>
      </c>
      <c r="F3768" s="653">
        <v>0.44775177123977183</v>
      </c>
      <c r="G3768" s="536" t="s">
        <v>256</v>
      </c>
      <c r="H3768">
        <v>17910.070849590877</v>
      </c>
      <c r="I3768">
        <v>385.42</v>
      </c>
      <c r="J3768">
        <v>556.62</v>
      </c>
      <c r="K3768">
        <v>311.34865860619584</v>
      </c>
      <c r="L3768">
        <v>173730.21254877263</v>
      </c>
      <c r="M3768">
        <v>0</v>
      </c>
    </row>
    <row r="3769" spans="1:14" ht="13.5" customHeight="1">
      <c r="A3769" s="532">
        <v>45294</v>
      </c>
      <c r="B3769" s="615">
        <v>72000</v>
      </c>
      <c r="C3769" s="615">
        <v>85846.049680163502</v>
      </c>
      <c r="D3769" s="532">
        <v>45324</v>
      </c>
      <c r="E3769" s="534">
        <v>30</v>
      </c>
      <c r="F3769" s="653">
        <v>0.19230624555782638</v>
      </c>
      <c r="G3769" s="536" t="s">
        <v>259</v>
      </c>
      <c r="H3769">
        <v>13846.049680163502</v>
      </c>
      <c r="I3769">
        <v>470.66</v>
      </c>
      <c r="J3769">
        <v>560.71</v>
      </c>
      <c r="K3769">
        <v>152.97667105766371</v>
      </c>
      <c r="L3769">
        <v>85846.049680163502</v>
      </c>
      <c r="M3769">
        <v>0</v>
      </c>
    </row>
    <row r="3770" spans="1:14" ht="13.5" customHeight="1">
      <c r="A3770" s="532">
        <v>45299</v>
      </c>
      <c r="B3770" s="615">
        <v>119000</v>
      </c>
      <c r="C3770" s="615">
        <f>B3770+(B3770*F3770/365*E3770)*1</f>
        <v>129758.90410958904</v>
      </c>
      <c r="D3770" s="532">
        <f t="shared" ref="A3770:D3770" si="444">+A3770+E3770</f>
        <v>45329</v>
      </c>
      <c r="E3770" s="534">
        <v>30</v>
      </c>
      <c r="F3770" s="653">
        <v>1.1000000000000001</v>
      </c>
      <c r="G3770" s="536" t="s">
        <v>259</v>
      </c>
    </row>
    <row r="3771" spans="1:14" ht="13.5" customHeight="1">
      <c r="A3771" s="532">
        <v>45260</v>
      </c>
      <c r="B3771" s="615">
        <v>200000</v>
      </c>
      <c r="C3771" s="615">
        <v>320021.58039070084</v>
      </c>
      <c r="D3771" s="532">
        <v>45350</v>
      </c>
      <c r="E3771" s="534">
        <v>90</v>
      </c>
      <c r="F3771" s="653">
        <v>0.60010790195350405</v>
      </c>
      <c r="G3771" s="536" t="s">
        <v>256</v>
      </c>
      <c r="H3771">
        <v>40007.193463566946</v>
      </c>
      <c r="I3771">
        <v>420.6</v>
      </c>
      <c r="J3771">
        <v>671.35</v>
      </c>
      <c r="K3771">
        <v>475.51117451260103</v>
      </c>
      <c r="L3771">
        <v>320021.58039070084</v>
      </c>
      <c r="M3771">
        <v>0</v>
      </c>
    </row>
    <row r="3772" spans="1:14" ht="13.5" customHeight="1">
      <c r="A3772" s="532">
        <v>45260</v>
      </c>
      <c r="B3772" s="615">
        <v>30000</v>
      </c>
      <c r="C3772" s="615">
        <v>48003.237058605118</v>
      </c>
      <c r="D3772" s="532">
        <v>45350</v>
      </c>
      <c r="E3772" s="534">
        <v>90</v>
      </c>
      <c r="F3772" s="653">
        <v>0.60010790195350405</v>
      </c>
      <c r="G3772" s="536" t="s">
        <v>261</v>
      </c>
      <c r="H3772">
        <v>6001.0790195350401</v>
      </c>
      <c r="I3772">
        <v>420.6</v>
      </c>
      <c r="J3772">
        <v>671.35</v>
      </c>
      <c r="K3772">
        <v>71.326676176890146</v>
      </c>
      <c r="L3772">
        <v>48003.237058605118</v>
      </c>
      <c r="M3772">
        <v>0</v>
      </c>
    </row>
    <row r="3773" spans="1:14" ht="13.5" customHeight="1">
      <c r="A3773" s="532">
        <v>45260</v>
      </c>
      <c r="B3773" s="615">
        <v>150000</v>
      </c>
      <c r="C3773" s="615">
        <v>240016.1852930256</v>
      </c>
      <c r="D3773" s="532">
        <v>45350</v>
      </c>
      <c r="E3773" s="534">
        <v>90</v>
      </c>
      <c r="F3773" s="653">
        <v>0.60010790195350405</v>
      </c>
      <c r="G3773" s="536" t="s">
        <v>258</v>
      </c>
      <c r="H3773">
        <v>30005.395097675198</v>
      </c>
      <c r="I3773">
        <v>420.6</v>
      </c>
      <c r="J3773">
        <v>671.35</v>
      </c>
      <c r="K3773">
        <v>356.63338088445079</v>
      </c>
      <c r="L3773">
        <v>240016.1852930256</v>
      </c>
      <c r="M3773">
        <v>0</v>
      </c>
    </row>
    <row r="3774" spans="1:14" ht="13.5" customHeight="1">
      <c r="A3774" s="532">
        <v>45260</v>
      </c>
      <c r="B3774" s="615">
        <v>250000</v>
      </c>
      <c r="C3774" s="615">
        <v>400026.97548837599</v>
      </c>
      <c r="D3774" s="532">
        <v>45350</v>
      </c>
      <c r="E3774" s="534">
        <v>90</v>
      </c>
      <c r="F3774" s="653">
        <v>0.60010790195350405</v>
      </c>
      <c r="G3774" s="536" t="s">
        <v>262</v>
      </c>
      <c r="H3774">
        <v>50008.991829458661</v>
      </c>
      <c r="I3774">
        <v>420.6</v>
      </c>
      <c r="J3774">
        <v>671.35</v>
      </c>
      <c r="K3774">
        <v>594.38896814075133</v>
      </c>
      <c r="L3774">
        <v>400026.97548837605</v>
      </c>
      <c r="M3774">
        <v>0</v>
      </c>
    </row>
    <row r="3775" spans="1:14" ht="13.5" customHeight="1">
      <c r="A3775" s="532">
        <v>45261</v>
      </c>
      <c r="B3775" s="615">
        <v>150000</v>
      </c>
      <c r="C3775" s="615">
        <v>240929.8028036521</v>
      </c>
      <c r="D3775" s="532">
        <v>45351</v>
      </c>
      <c r="E3775" s="534">
        <v>90</v>
      </c>
      <c r="F3775" s="653">
        <v>0.60619868535768062</v>
      </c>
      <c r="G3775" s="536" t="s">
        <v>256</v>
      </c>
      <c r="H3775">
        <v>30309.934267884033</v>
      </c>
      <c r="I3775">
        <v>421.72</v>
      </c>
      <c r="J3775">
        <v>675.7</v>
      </c>
      <c r="K3775">
        <v>355.68623731385753</v>
      </c>
      <c r="L3775">
        <v>240929.8028036521</v>
      </c>
      <c r="M3775">
        <v>0</v>
      </c>
    </row>
    <row r="3776" spans="1:14" ht="13.5" customHeight="1">
      <c r="A3776" s="532">
        <v>45261</v>
      </c>
      <c r="B3776" s="615">
        <v>70000</v>
      </c>
      <c r="C3776" s="615">
        <v>112433.90797503764</v>
      </c>
      <c r="D3776" s="532">
        <v>45351</v>
      </c>
      <c r="E3776" s="534">
        <v>90</v>
      </c>
      <c r="F3776" s="653">
        <v>0.60619868535768062</v>
      </c>
      <c r="G3776" s="536" t="s">
        <v>258</v>
      </c>
      <c r="H3776">
        <v>14144.635991679213</v>
      </c>
      <c r="I3776">
        <v>421.72</v>
      </c>
      <c r="J3776">
        <v>675.7</v>
      </c>
      <c r="K3776">
        <v>165.98691074646683</v>
      </c>
      <c r="L3776">
        <v>112433.90797503764</v>
      </c>
      <c r="M3776">
        <v>0</v>
      </c>
    </row>
    <row r="3777" spans="1:14" ht="13.5" customHeight="1">
      <c r="A3777" s="532">
        <v>45261</v>
      </c>
      <c r="B3777" s="615">
        <v>1000000</v>
      </c>
      <c r="C3777" s="615">
        <v>1606198.6853576805</v>
      </c>
      <c r="D3777" s="532">
        <v>45351</v>
      </c>
      <c r="E3777" s="534">
        <v>90</v>
      </c>
      <c r="F3777" s="653">
        <v>0.60619868535768062</v>
      </c>
      <c r="G3777" s="536" t="s">
        <v>262</v>
      </c>
      <c r="H3777">
        <v>202066.2284525602</v>
      </c>
      <c r="I3777">
        <v>421.72</v>
      </c>
      <c r="J3777">
        <v>675.7</v>
      </c>
      <c r="K3777">
        <v>2371.2415820923834</v>
      </c>
      <c r="L3777">
        <v>1606198.6853576805</v>
      </c>
      <c r="M3777">
        <v>0</v>
      </c>
    </row>
    <row r="3778" spans="1:14" ht="13.5" customHeight="1">
      <c r="A3778" s="532">
        <v>45264</v>
      </c>
      <c r="B3778" s="615">
        <v>140000</v>
      </c>
      <c r="C3778" s="615">
        <v>227192.58265375809</v>
      </c>
      <c r="D3778" s="532">
        <v>45355</v>
      </c>
      <c r="E3778" s="534">
        <v>91</v>
      </c>
      <c r="F3778" s="653">
        <v>0.62280416181255771</v>
      </c>
      <c r="G3778" s="536" t="s">
        <v>256</v>
      </c>
      <c r="H3778">
        <v>28744.807468271898</v>
      </c>
      <c r="I3778">
        <v>422.84</v>
      </c>
      <c r="J3778">
        <v>684.48</v>
      </c>
      <c r="K3778">
        <v>331.09450383123641</v>
      </c>
      <c r="L3778">
        <v>227192.58265375809</v>
      </c>
      <c r="M3778">
        <v>0</v>
      </c>
    </row>
    <row r="3779" spans="1:14" ht="13.5" customHeight="1">
      <c r="A3779" s="532">
        <v>45264</v>
      </c>
      <c r="B3779" s="615">
        <v>70000</v>
      </c>
      <c r="C3779" s="615">
        <v>113596.29132687904</v>
      </c>
      <c r="D3779" s="532">
        <v>45355</v>
      </c>
      <c r="E3779" s="534">
        <v>91</v>
      </c>
      <c r="F3779" s="653">
        <v>0.62280416181255771</v>
      </c>
      <c r="G3779" s="536" t="s">
        <v>265</v>
      </c>
      <c r="H3779">
        <v>14372.403734135949</v>
      </c>
      <c r="I3779">
        <v>422.84</v>
      </c>
      <c r="J3779">
        <v>684.48</v>
      </c>
      <c r="K3779">
        <v>165.5472519156182</v>
      </c>
      <c r="L3779">
        <v>113596.29132687904</v>
      </c>
      <c r="M3779">
        <v>0</v>
      </c>
    </row>
    <row r="3780" spans="1:14" ht="13.5" customHeight="1">
      <c r="A3780" s="532">
        <v>45264</v>
      </c>
      <c r="B3780" s="615">
        <v>75000</v>
      </c>
      <c r="C3780" s="615">
        <v>121710.31213594183</v>
      </c>
      <c r="D3780" s="532">
        <v>45355</v>
      </c>
      <c r="E3780" s="534">
        <v>91</v>
      </c>
      <c r="F3780" s="653">
        <v>0.62280416181255771</v>
      </c>
      <c r="G3780" s="536" t="s">
        <v>257</v>
      </c>
      <c r="H3780">
        <v>15399.004000859946</v>
      </c>
      <c r="I3780">
        <v>422.84</v>
      </c>
      <c r="J3780">
        <v>684.48</v>
      </c>
      <c r="K3780">
        <v>177.37205562387666</v>
      </c>
      <c r="L3780">
        <v>121710.31213594184</v>
      </c>
      <c r="M3780">
        <v>0</v>
      </c>
    </row>
    <row r="3781" spans="1:14" ht="13.5" customHeight="1">
      <c r="A3781" s="532">
        <v>45264</v>
      </c>
      <c r="B3781" s="615">
        <v>65000</v>
      </c>
      <c r="C3781" s="615">
        <v>105482.27051781626</v>
      </c>
      <c r="D3781" s="532">
        <v>45355</v>
      </c>
      <c r="E3781" s="534">
        <v>91</v>
      </c>
      <c r="F3781" s="653">
        <v>0.62280416181255771</v>
      </c>
      <c r="G3781" s="536" t="s">
        <v>258</v>
      </c>
      <c r="H3781">
        <v>13345.803467411954</v>
      </c>
      <c r="I3781">
        <v>422.84</v>
      </c>
      <c r="J3781">
        <v>684.48</v>
      </c>
      <c r="K3781">
        <v>153.72244820735978</v>
      </c>
      <c r="L3781">
        <v>105482.27051781626</v>
      </c>
      <c r="M3781">
        <v>0</v>
      </c>
    </row>
    <row r="3782" spans="1:14" ht="13.5" customHeight="1">
      <c r="A3782" s="532">
        <v>45264</v>
      </c>
      <c r="B3782" s="615">
        <v>70000</v>
      </c>
      <c r="C3782" s="615">
        <v>113596.29132687904</v>
      </c>
      <c r="D3782" s="532">
        <v>45355</v>
      </c>
      <c r="E3782" s="534">
        <v>91</v>
      </c>
      <c r="F3782" s="653">
        <v>0.62280416181255771</v>
      </c>
      <c r="G3782" s="536" t="s">
        <v>261</v>
      </c>
      <c r="H3782">
        <v>14372.403734135949</v>
      </c>
      <c r="I3782">
        <v>422.84</v>
      </c>
      <c r="J3782">
        <v>684.48</v>
      </c>
      <c r="K3782">
        <v>165.5472519156182</v>
      </c>
      <c r="L3782">
        <v>113596.29132687904</v>
      </c>
      <c r="M3782">
        <v>0</v>
      </c>
      <c r="N3782">
        <v>1.6187683284457479</v>
      </c>
    </row>
    <row r="3783" spans="1:14" ht="13.5" customHeight="1">
      <c r="A3783" s="532">
        <v>45264</v>
      </c>
      <c r="B3783" s="615">
        <v>30000</v>
      </c>
      <c r="C3783" s="615">
        <v>48684.124854376729</v>
      </c>
      <c r="D3783" s="532">
        <v>45355</v>
      </c>
      <c r="E3783" s="534">
        <v>91</v>
      </c>
      <c r="F3783" s="653">
        <v>0.62280416181255771</v>
      </c>
      <c r="G3783" s="536" t="s">
        <v>261</v>
      </c>
      <c r="H3783">
        <v>6159.6016003439763</v>
      </c>
      <c r="I3783">
        <v>422.84</v>
      </c>
      <c r="J3783">
        <v>684.48</v>
      </c>
      <c r="K3783">
        <v>70.948822249550659</v>
      </c>
      <c r="L3783">
        <v>48684.124854376736</v>
      </c>
      <c r="M3783">
        <v>0</v>
      </c>
    </row>
    <row r="3784" spans="1:14" ht="13.5" customHeight="1">
      <c r="A3784" s="532">
        <v>45264</v>
      </c>
      <c r="B3784" s="615">
        <v>100000</v>
      </c>
      <c r="C3784" s="615">
        <v>162280.41618125577</v>
      </c>
      <c r="D3784" s="532">
        <v>45355</v>
      </c>
      <c r="E3784" s="534">
        <v>91</v>
      </c>
      <c r="F3784" s="653">
        <v>0.62280416181255771</v>
      </c>
      <c r="G3784" s="536" t="s">
        <v>260</v>
      </c>
      <c r="H3784">
        <v>20532.005334479923</v>
      </c>
      <c r="I3784">
        <v>422.84</v>
      </c>
      <c r="J3784">
        <v>684.48</v>
      </c>
      <c r="K3784">
        <v>236.49607416516886</v>
      </c>
      <c r="L3784">
        <v>162280.41618125577</v>
      </c>
      <c r="M3784">
        <v>0</v>
      </c>
    </row>
    <row r="3785" spans="1:14" ht="13.5" customHeight="1">
      <c r="A3785" s="532">
        <v>45264</v>
      </c>
      <c r="B3785" s="615">
        <v>70000</v>
      </c>
      <c r="C3785" s="615">
        <v>113596.29132687904</v>
      </c>
      <c r="D3785" s="532">
        <v>45355</v>
      </c>
      <c r="E3785" s="534">
        <v>91</v>
      </c>
      <c r="F3785" s="653">
        <v>0.62280416181255771</v>
      </c>
      <c r="G3785" s="536" t="s">
        <v>262</v>
      </c>
      <c r="H3785">
        <v>14372.403734135949</v>
      </c>
      <c r="I3785">
        <v>422.84</v>
      </c>
      <c r="J3785">
        <v>684.48</v>
      </c>
      <c r="K3785">
        <v>165.5472519156182</v>
      </c>
      <c r="L3785">
        <v>113596.29132687904</v>
      </c>
      <c r="M3785">
        <v>0</v>
      </c>
    </row>
    <row r="3786" spans="1:14" ht="13.5" customHeight="1">
      <c r="A3786" s="532">
        <v>45265</v>
      </c>
      <c r="B3786" s="615">
        <v>115000</v>
      </c>
      <c r="C3786" s="615">
        <v>188767.04706489606</v>
      </c>
      <c r="D3786" s="532">
        <v>45356</v>
      </c>
      <c r="E3786" s="534">
        <v>91</v>
      </c>
      <c r="F3786" s="653">
        <v>0.64145258317300913</v>
      </c>
      <c r="G3786" s="536" t="s">
        <v>256</v>
      </c>
      <c r="H3786">
        <v>24318.806724691007</v>
      </c>
      <c r="I3786">
        <v>426.22</v>
      </c>
      <c r="J3786">
        <v>697.88</v>
      </c>
      <c r="K3786">
        <v>269.81371122894279</v>
      </c>
      <c r="L3786">
        <v>188767.04706489603</v>
      </c>
      <c r="M3786">
        <v>0</v>
      </c>
    </row>
    <row r="3787" spans="1:14" ht="13.5" customHeight="1">
      <c r="A3787" s="532">
        <v>45265</v>
      </c>
      <c r="B3787" s="615">
        <v>275000</v>
      </c>
      <c r="C3787" s="615">
        <v>451399.46</v>
      </c>
      <c r="D3787" s="532">
        <v>45356</v>
      </c>
      <c r="E3787" s="534">
        <v>91</v>
      </c>
      <c r="F3787" s="653">
        <v>0.64145258317300913</v>
      </c>
      <c r="G3787" s="536" t="s">
        <v>262</v>
      </c>
      <c r="H3787">
        <v>59211.007677508525</v>
      </c>
      <c r="I3787">
        <v>426.22</v>
      </c>
      <c r="J3787">
        <v>697.88</v>
      </c>
      <c r="K3787">
        <v>656.93773168786072</v>
      </c>
      <c r="L3787">
        <v>459606.72328844259</v>
      </c>
      <c r="M3787">
        <v>0</v>
      </c>
    </row>
    <row r="3788" spans="1:14" ht="13.5" customHeight="1">
      <c r="A3788" s="532">
        <v>45265</v>
      </c>
      <c r="B3788" s="615">
        <v>50000</v>
      </c>
      <c r="C3788" s="615">
        <v>82072.629158650452</v>
      </c>
      <c r="D3788" s="532">
        <v>45356</v>
      </c>
      <c r="E3788" s="534">
        <v>91</v>
      </c>
      <c r="F3788" s="653">
        <v>0.64145258317300913</v>
      </c>
      <c r="G3788" s="536" t="s">
        <v>258</v>
      </c>
      <c r="H3788">
        <v>10573.394228126523</v>
      </c>
      <c r="I3788">
        <v>426.22</v>
      </c>
      <c r="J3788">
        <v>697.88</v>
      </c>
      <c r="K3788">
        <v>117.31030922997512</v>
      </c>
      <c r="L3788">
        <v>82072.629158650452</v>
      </c>
      <c r="M3788">
        <v>0</v>
      </c>
    </row>
    <row r="3789" spans="1:14" ht="13.5" customHeight="1">
      <c r="A3789" s="532">
        <v>45267</v>
      </c>
      <c r="B3789" s="615">
        <v>250000</v>
      </c>
      <c r="C3789" s="615">
        <v>410821.69082445296</v>
      </c>
      <c r="D3789" s="532">
        <v>45357</v>
      </c>
      <c r="E3789" s="534">
        <v>90</v>
      </c>
      <c r="F3789" s="653">
        <v>0.64328676329781187</v>
      </c>
      <c r="G3789" s="536" t="s">
        <v>262</v>
      </c>
      <c r="H3789">
        <v>53607.230274817652</v>
      </c>
      <c r="I3789">
        <v>428.49</v>
      </c>
      <c r="J3789">
        <v>702.4</v>
      </c>
      <c r="K3789">
        <v>583.44418772900178</v>
      </c>
      <c r="L3789">
        <v>410821.6908244529</v>
      </c>
      <c r="M3789">
        <v>0</v>
      </c>
    </row>
    <row r="3790" spans="1:14" ht="13.5" customHeight="1">
      <c r="A3790" s="532">
        <v>45266</v>
      </c>
      <c r="B3790" s="615">
        <v>43000</v>
      </c>
      <c r="C3790" s="615">
        <v>70850.105598949653</v>
      </c>
      <c r="D3790" s="532">
        <v>45357</v>
      </c>
      <c r="E3790" s="534">
        <v>91</v>
      </c>
      <c r="F3790" s="653">
        <v>0.64767687439417787</v>
      </c>
      <c r="G3790" s="536" t="s">
        <v>260</v>
      </c>
      <c r="H3790">
        <v>9181.3534941592261</v>
      </c>
      <c r="I3790">
        <v>427.36</v>
      </c>
      <c r="J3790">
        <v>702.4</v>
      </c>
      <c r="K3790">
        <v>100.61774616248596</v>
      </c>
      <c r="L3790">
        <v>70850.105598949653</v>
      </c>
      <c r="M3790">
        <v>0</v>
      </c>
    </row>
    <row r="3791" spans="1:14" ht="13.5" customHeight="1">
      <c r="A3791" s="532">
        <v>45327</v>
      </c>
      <c r="B3791" s="615">
        <v>80000</v>
      </c>
      <c r="C3791" s="615">
        <v>87333.333333333343</v>
      </c>
      <c r="D3791" s="532">
        <v>45357</v>
      </c>
      <c r="E3791" s="534">
        <v>30</v>
      </c>
      <c r="F3791" s="653">
        <v>9.1666666666666674E-2</v>
      </c>
      <c r="G3791" s="536" t="s">
        <v>259</v>
      </c>
      <c r="H3791">
        <v>7333.333333333343</v>
      </c>
      <c r="I3791">
        <v>564.83000000000004</v>
      </c>
      <c r="J3791">
        <v>702.4</v>
      </c>
      <c r="K3791">
        <v>141.63553635607173</v>
      </c>
      <c r="L3791">
        <v>87333.333333333343</v>
      </c>
      <c r="M3791">
        <v>0</v>
      </c>
    </row>
    <row r="3792" spans="1:14" ht="13.5" customHeight="1">
      <c r="A3792" s="532">
        <v>45329</v>
      </c>
      <c r="B3792" s="615">
        <v>130000</v>
      </c>
      <c r="C3792" s="615">
        <v>141753.41999999998</v>
      </c>
      <c r="D3792" s="532">
        <v>45359</v>
      </c>
      <c r="E3792" s="534">
        <v>30</v>
      </c>
      <c r="F3792" s="653">
        <v>9.0410923076923083E-2</v>
      </c>
      <c r="G3792" s="536" t="s">
        <v>259</v>
      </c>
      <c r="H3792">
        <v>11753.419999999984</v>
      </c>
      <c r="I3792">
        <v>581.63</v>
      </c>
      <c r="J3792">
        <v>711.53</v>
      </c>
      <c r="K3792">
        <v>223.50979144817151</v>
      </c>
      <c r="L3792">
        <v>141753.41999999998</v>
      </c>
      <c r="M3792">
        <v>0</v>
      </c>
    </row>
    <row r="3793" spans="1:13" ht="13.5" customHeight="1">
      <c r="A3793" s="532">
        <v>45271</v>
      </c>
      <c r="B3793" s="615">
        <v>265300</v>
      </c>
      <c r="C3793" s="615">
        <v>443314.45056402753</v>
      </c>
      <c r="D3793" s="532">
        <v>45362</v>
      </c>
      <c r="E3793" s="534">
        <v>91</v>
      </c>
      <c r="F3793" s="653">
        <v>0.67099302888815493</v>
      </c>
      <c r="G3793" s="536" t="s">
        <v>258</v>
      </c>
      <c r="H3793">
        <v>58686.08260352556</v>
      </c>
      <c r="I3793">
        <v>429.64</v>
      </c>
      <c r="J3793">
        <v>716.14</v>
      </c>
      <c r="K3793">
        <v>617.49371566893217</v>
      </c>
      <c r="L3793">
        <v>443314.45056402747</v>
      </c>
      <c r="M3793">
        <v>0</v>
      </c>
    </row>
    <row r="3794" spans="1:13" ht="13.5" customHeight="1">
      <c r="A3794" s="532">
        <v>45271</v>
      </c>
      <c r="B3794" s="615">
        <v>235200</v>
      </c>
      <c r="C3794" s="615">
        <v>393017.56039449404</v>
      </c>
      <c r="D3794" s="532">
        <v>45362</v>
      </c>
      <c r="E3794" s="534">
        <v>91</v>
      </c>
      <c r="F3794" s="653">
        <v>0.67099302888815493</v>
      </c>
      <c r="G3794" s="536" t="s">
        <v>260</v>
      </c>
      <c r="H3794">
        <v>52027.767163020013</v>
      </c>
      <c r="I3794">
        <v>429.64</v>
      </c>
      <c r="J3794">
        <v>716.14</v>
      </c>
      <c r="K3794">
        <v>547.43506191229869</v>
      </c>
      <c r="L3794">
        <v>393017.56039449404</v>
      </c>
      <c r="M3794">
        <v>0</v>
      </c>
    </row>
    <row r="3795" spans="1:13" ht="13.5" customHeight="1">
      <c r="A3795" s="532">
        <v>45271</v>
      </c>
      <c r="B3795" s="615">
        <v>250000</v>
      </c>
      <c r="C3795" s="615">
        <v>417748.25722203875</v>
      </c>
      <c r="D3795" s="532">
        <v>45362</v>
      </c>
      <c r="E3795" s="534">
        <v>91</v>
      </c>
      <c r="F3795" s="653">
        <v>0.67099302888815493</v>
      </c>
      <c r="G3795" s="536" t="s">
        <v>265</v>
      </c>
      <c r="H3795">
        <v>55301.623260012777</v>
      </c>
      <c r="I3795">
        <v>429.64</v>
      </c>
      <c r="J3795">
        <v>716.14</v>
      </c>
      <c r="K3795">
        <v>581.88250628433104</v>
      </c>
      <c r="L3795">
        <v>417748.25722203869</v>
      </c>
      <c r="M3795">
        <v>0</v>
      </c>
    </row>
    <row r="3796" spans="1:13" ht="13.5" customHeight="1">
      <c r="A3796" s="532">
        <v>45271</v>
      </c>
      <c r="B3796" s="615">
        <v>150000</v>
      </c>
      <c r="C3796" s="615">
        <v>250648.95433322323</v>
      </c>
      <c r="D3796" s="532">
        <v>45362</v>
      </c>
      <c r="E3796" s="534">
        <v>91</v>
      </c>
      <c r="F3796" s="653">
        <v>0.67099302888815493</v>
      </c>
      <c r="G3796" s="536" t="s">
        <v>265</v>
      </c>
      <c r="H3796">
        <v>33180.973956007656</v>
      </c>
      <c r="I3796">
        <v>429.64</v>
      </c>
      <c r="J3796">
        <v>716.14</v>
      </c>
      <c r="K3796">
        <v>349.12950377059866</v>
      </c>
      <c r="L3796">
        <v>250648.95433322326</v>
      </c>
      <c r="M3796">
        <v>0</v>
      </c>
    </row>
    <row r="3797" spans="1:13" ht="13.5" customHeight="1">
      <c r="A3797" s="532">
        <v>45271</v>
      </c>
      <c r="B3797" s="615">
        <v>100000</v>
      </c>
      <c r="C3797" s="615">
        <v>167099.30288881549</v>
      </c>
      <c r="D3797" s="532">
        <v>45362</v>
      </c>
      <c r="E3797" s="534">
        <v>91</v>
      </c>
      <c r="F3797" s="653">
        <v>0.67099302888815493</v>
      </c>
      <c r="G3797" s="536" t="s">
        <v>260</v>
      </c>
      <c r="H3797">
        <v>22120.649304005106</v>
      </c>
      <c r="I3797">
        <v>429.64</v>
      </c>
      <c r="J3797">
        <v>716.14</v>
      </c>
      <c r="K3797">
        <v>232.75300251373244</v>
      </c>
      <c r="L3797">
        <v>167099.30288881549</v>
      </c>
      <c r="M3797">
        <v>0</v>
      </c>
    </row>
    <row r="3798" spans="1:13" ht="13.5" customHeight="1">
      <c r="A3798" s="532">
        <v>45272</v>
      </c>
      <c r="B3798" s="615">
        <v>130000</v>
      </c>
      <c r="C3798" s="615">
        <v>219137.66579102859</v>
      </c>
      <c r="D3798" s="532">
        <v>45363</v>
      </c>
      <c r="E3798" s="534">
        <v>91</v>
      </c>
      <c r="F3798" s="653">
        <v>0.68567435223868145</v>
      </c>
      <c r="G3798" s="536" t="s">
        <v>260</v>
      </c>
      <c r="H3798">
        <v>29386.043667372061</v>
      </c>
      <c r="I3798">
        <v>434.23</v>
      </c>
      <c r="J3798">
        <v>730.15</v>
      </c>
      <c r="K3798">
        <v>299.38051263155467</v>
      </c>
      <c r="L3798">
        <v>219137.66579102859</v>
      </c>
      <c r="M3798">
        <v>0</v>
      </c>
    </row>
    <row r="3799" spans="1:13" ht="13.5" customHeight="1">
      <c r="A3799" s="532">
        <v>45272</v>
      </c>
      <c r="B3799" s="615">
        <v>785000</v>
      </c>
      <c r="C3799" s="615">
        <v>1323254.3665073649</v>
      </c>
      <c r="D3799" s="532">
        <v>45363</v>
      </c>
      <c r="E3799" s="534">
        <v>91</v>
      </c>
      <c r="F3799" s="653">
        <v>0.68567435223868145</v>
      </c>
      <c r="G3799" s="536" t="s">
        <v>262</v>
      </c>
      <c r="H3799">
        <v>177446.49445297744</v>
      </c>
      <c r="I3799">
        <v>434.23</v>
      </c>
      <c r="J3799">
        <v>730.15</v>
      </c>
      <c r="K3799">
        <v>1807.7977108905418</v>
      </c>
      <c r="L3799">
        <v>1323254.3665073651</v>
      </c>
      <c r="M3799">
        <v>0</v>
      </c>
    </row>
    <row r="3800" spans="1:13" ht="13.5" customHeight="1">
      <c r="A3800" s="532">
        <v>45272</v>
      </c>
      <c r="B3800" s="615">
        <v>151000</v>
      </c>
      <c r="C3800" s="615">
        <v>254536.82718804089</v>
      </c>
      <c r="D3800" s="532">
        <v>45363</v>
      </c>
      <c r="E3800" s="534">
        <v>91</v>
      </c>
      <c r="F3800" s="653">
        <v>0.68567435223868145</v>
      </c>
      <c r="G3800" s="536" t="s">
        <v>261</v>
      </c>
      <c r="H3800">
        <v>34133.019952101393</v>
      </c>
      <c r="I3800">
        <v>434.23</v>
      </c>
      <c r="J3800">
        <v>730.15</v>
      </c>
      <c r="K3800">
        <v>347.74198005665198</v>
      </c>
      <c r="L3800">
        <v>254536.82718804089</v>
      </c>
      <c r="M3800">
        <v>0</v>
      </c>
    </row>
    <row r="3801" spans="1:13" ht="13.5" customHeight="1">
      <c r="A3801" s="532">
        <v>45272</v>
      </c>
      <c r="B3801" s="615">
        <v>208500</v>
      </c>
      <c r="C3801" s="615">
        <v>351463.10244176508</v>
      </c>
      <c r="D3801" s="532">
        <v>45363</v>
      </c>
      <c r="E3801" s="534">
        <v>91</v>
      </c>
      <c r="F3801" s="653">
        <v>0.68567435223868145</v>
      </c>
      <c r="G3801" s="536" t="s">
        <v>260</v>
      </c>
      <c r="H3801">
        <v>47130.693112669811</v>
      </c>
      <c r="I3801">
        <v>434.23</v>
      </c>
      <c r="J3801">
        <v>730.15</v>
      </c>
      <c r="K3801">
        <v>480.1602837206089</v>
      </c>
      <c r="L3801">
        <v>351463.10244176508</v>
      </c>
      <c r="M3801">
        <v>0</v>
      </c>
    </row>
    <row r="3802" spans="1:13" ht="13.5" customHeight="1">
      <c r="A3802" s="532">
        <v>45272</v>
      </c>
      <c r="B3802" s="615">
        <v>95000</v>
      </c>
      <c r="C3802" s="615">
        <v>160139.06346267473</v>
      </c>
      <c r="D3802" s="532">
        <v>45363</v>
      </c>
      <c r="E3802" s="534">
        <v>91</v>
      </c>
      <c r="F3802" s="653">
        <v>0.68567435223868145</v>
      </c>
      <c r="G3802" s="536" t="s">
        <v>258</v>
      </c>
      <c r="H3802">
        <v>21474.416526156503</v>
      </c>
      <c r="I3802">
        <v>434.23</v>
      </c>
      <c r="J3802">
        <v>730.15</v>
      </c>
      <c r="K3802">
        <v>218.77806692305919</v>
      </c>
      <c r="L3802">
        <v>160139.06346267473</v>
      </c>
      <c r="M3802">
        <v>0</v>
      </c>
    </row>
    <row r="3803" spans="1:13" ht="13.5" customHeight="1">
      <c r="A3803" s="532">
        <v>45272</v>
      </c>
      <c r="B3803" s="615">
        <v>38000</v>
      </c>
      <c r="C3803" s="615">
        <v>64055.625385069892</v>
      </c>
      <c r="D3803" s="532">
        <v>45363</v>
      </c>
      <c r="E3803" s="534">
        <v>91</v>
      </c>
      <c r="F3803" s="653">
        <v>0.68567435223868145</v>
      </c>
      <c r="G3803" s="536" t="s">
        <v>261</v>
      </c>
      <c r="H3803">
        <v>8589.7666104626005</v>
      </c>
      <c r="I3803">
        <v>434.23</v>
      </c>
      <c r="J3803">
        <v>730.15</v>
      </c>
      <c r="K3803">
        <v>87.511226769223683</v>
      </c>
      <c r="L3803">
        <v>64055.625385069899</v>
      </c>
      <c r="M3803">
        <v>0</v>
      </c>
    </row>
    <row r="3804" spans="1:13" ht="13.5" customHeight="1">
      <c r="A3804" s="532">
        <v>45272</v>
      </c>
      <c r="B3804" s="615">
        <v>120000</v>
      </c>
      <c r="C3804" s="615">
        <v>202280.92226864176</v>
      </c>
      <c r="D3804" s="532">
        <v>45363</v>
      </c>
      <c r="E3804" s="534">
        <v>91</v>
      </c>
      <c r="F3804" s="653">
        <v>0.68567435223868145</v>
      </c>
      <c r="G3804" s="536" t="s">
        <v>258</v>
      </c>
      <c r="H3804">
        <v>27125.578769881897</v>
      </c>
      <c r="I3804">
        <v>434.23</v>
      </c>
      <c r="J3804">
        <v>730.15</v>
      </c>
      <c r="K3804">
        <v>276.35124242912741</v>
      </c>
      <c r="L3804">
        <v>202280.92226864179</v>
      </c>
      <c r="M3804">
        <v>0</v>
      </c>
    </row>
    <row r="3805" spans="1:13" ht="13.5" customHeight="1">
      <c r="A3805" s="532">
        <v>45273</v>
      </c>
      <c r="B3805" s="615">
        <v>113200</v>
      </c>
      <c r="C3805" s="615">
        <v>191547.19384521284</v>
      </c>
      <c r="D3805" s="532">
        <v>45364</v>
      </c>
      <c r="E3805" s="534">
        <v>91</v>
      </c>
      <c r="F3805" s="653">
        <v>0.69211301983403573</v>
      </c>
      <c r="G3805" s="536" t="s">
        <v>261</v>
      </c>
      <c r="H3805">
        <v>25828.74522369654</v>
      </c>
      <c r="I3805">
        <v>435.38</v>
      </c>
      <c r="J3805">
        <v>734.88</v>
      </c>
      <c r="K3805">
        <v>260.00275621296339</v>
      </c>
      <c r="L3805">
        <v>191547.19384521284</v>
      </c>
      <c r="M3805">
        <v>0</v>
      </c>
    </row>
    <row r="3806" spans="1:13" ht="13.5" customHeight="1">
      <c r="A3806" s="532">
        <v>45273</v>
      </c>
      <c r="B3806" s="615">
        <v>284000</v>
      </c>
      <c r="C3806" s="615">
        <v>480560.09763286612</v>
      </c>
      <c r="D3806" s="532">
        <v>45364</v>
      </c>
      <c r="E3806" s="534">
        <v>91</v>
      </c>
      <c r="F3806" s="653">
        <v>0.69211301983403573</v>
      </c>
      <c r="G3806" s="536" t="s">
        <v>260</v>
      </c>
      <c r="H3806">
        <v>64800.032186659162</v>
      </c>
      <c r="I3806">
        <v>435.38</v>
      </c>
      <c r="J3806">
        <v>734.88</v>
      </c>
      <c r="K3806">
        <v>652.30373466856543</v>
      </c>
      <c r="L3806">
        <v>480560.09763286618</v>
      </c>
      <c r="M3806">
        <v>0</v>
      </c>
    </row>
    <row r="3807" spans="1:13" ht="13.5" customHeight="1">
      <c r="A3807" s="532">
        <v>45273</v>
      </c>
      <c r="B3807" s="615">
        <v>224600</v>
      </c>
      <c r="C3807" s="615">
        <v>380048.58425472444</v>
      </c>
      <c r="D3807" s="532">
        <v>45364</v>
      </c>
      <c r="E3807" s="534">
        <v>91</v>
      </c>
      <c r="F3807" s="653">
        <v>0.69211301983403573</v>
      </c>
      <c r="G3807" s="536" t="s">
        <v>260</v>
      </c>
      <c r="H3807">
        <v>51246.786018041028</v>
      </c>
      <c r="I3807">
        <v>435.38</v>
      </c>
      <c r="J3807">
        <v>734.88</v>
      </c>
      <c r="K3807">
        <v>515.87119298084428</v>
      </c>
      <c r="L3807">
        <v>380048.58425472438</v>
      </c>
      <c r="M3807">
        <v>0</v>
      </c>
    </row>
    <row r="3808" spans="1:13" ht="13.5" customHeight="1">
      <c r="A3808" s="532">
        <v>45273</v>
      </c>
      <c r="B3808" s="615">
        <v>180000</v>
      </c>
      <c r="C3808" s="615">
        <v>304580.34357012645</v>
      </c>
      <c r="D3808" s="532">
        <v>45364</v>
      </c>
      <c r="E3808" s="534">
        <v>91</v>
      </c>
      <c r="F3808" s="653">
        <v>0.69211301983403573</v>
      </c>
      <c r="G3808" s="536" t="s">
        <v>260</v>
      </c>
      <c r="H3808">
        <v>41070.442935206527</v>
      </c>
      <c r="I3808">
        <v>435.38</v>
      </c>
      <c r="J3808">
        <v>734.88</v>
      </c>
      <c r="K3808">
        <v>413.43194450824569</v>
      </c>
      <c r="L3808">
        <v>304580.3435701264</v>
      </c>
      <c r="M3808">
        <v>0</v>
      </c>
    </row>
    <row r="3809" spans="1:13" ht="13.5" customHeight="1">
      <c r="A3809" s="532">
        <v>45274</v>
      </c>
      <c r="B3809" s="615">
        <v>311000</v>
      </c>
      <c r="C3809" s="615">
        <v>528255.49163691315</v>
      </c>
      <c r="D3809" s="532">
        <v>45365</v>
      </c>
      <c r="E3809" s="534">
        <v>91</v>
      </c>
      <c r="F3809" s="653">
        <v>0.69857071265888471</v>
      </c>
      <c r="G3809" s="536" t="s">
        <v>260</v>
      </c>
      <c r="H3809">
        <v>71622.689550630705</v>
      </c>
      <c r="I3809">
        <v>436.54</v>
      </c>
      <c r="J3809">
        <v>739.65</v>
      </c>
      <c r="K3809">
        <v>712.42039675631099</v>
      </c>
      <c r="L3809">
        <v>528255.49163691315</v>
      </c>
      <c r="M3809">
        <v>0</v>
      </c>
    </row>
    <row r="3810" spans="1:13" ht="13.5" customHeight="1">
      <c r="A3810" s="532">
        <v>45274</v>
      </c>
      <c r="B3810" s="615">
        <v>710400</v>
      </c>
      <c r="C3810" s="615">
        <v>1206664.6342728718</v>
      </c>
      <c r="D3810" s="532">
        <v>45365</v>
      </c>
      <c r="E3810" s="534">
        <v>91</v>
      </c>
      <c r="F3810" s="653">
        <v>0.69857071265888471</v>
      </c>
      <c r="G3810" s="536" t="s">
        <v>260</v>
      </c>
      <c r="H3810">
        <v>163603.72558446322</v>
      </c>
      <c r="I3810">
        <v>436.54</v>
      </c>
      <c r="J3810">
        <v>739.65</v>
      </c>
      <c r="K3810">
        <v>1627.3422824941586</v>
      </c>
      <c r="L3810">
        <v>1206664.6342728715</v>
      </c>
      <c r="M3810">
        <v>0</v>
      </c>
    </row>
    <row r="3811" spans="1:13" ht="13.5" customHeight="1">
      <c r="A3811" s="532">
        <v>45274</v>
      </c>
      <c r="B3811" s="615">
        <v>280000</v>
      </c>
      <c r="C3811" s="615">
        <v>475599.79954448773</v>
      </c>
      <c r="D3811" s="532">
        <v>45365</v>
      </c>
      <c r="E3811" s="534">
        <v>91</v>
      </c>
      <c r="F3811" s="653">
        <v>0.69857071265888471</v>
      </c>
      <c r="G3811" s="536" t="s">
        <v>260</v>
      </c>
      <c r="H3811">
        <v>64483.450399281668</v>
      </c>
      <c r="I3811">
        <v>436.54</v>
      </c>
      <c r="J3811">
        <v>739.65</v>
      </c>
      <c r="K3811">
        <v>641.40743116323813</v>
      </c>
      <c r="L3811">
        <v>475599.79954448767</v>
      </c>
      <c r="M3811">
        <v>0</v>
      </c>
    </row>
    <row r="3812" spans="1:13" ht="13.5" customHeight="1">
      <c r="A3812" s="532">
        <v>45274</v>
      </c>
      <c r="B3812" s="615">
        <v>620000</v>
      </c>
      <c r="C3812" s="615">
        <v>1053113.8418485085</v>
      </c>
      <c r="D3812" s="532">
        <v>45365</v>
      </c>
      <c r="E3812" s="534">
        <v>91</v>
      </c>
      <c r="F3812" s="653">
        <v>0.69857071265888471</v>
      </c>
      <c r="G3812" s="536" t="s">
        <v>258</v>
      </c>
      <c r="H3812">
        <v>142784.78302698082</v>
      </c>
      <c r="I3812">
        <v>436.54</v>
      </c>
      <c r="J3812">
        <v>739.65</v>
      </c>
      <c r="K3812">
        <v>1420.2593118614559</v>
      </c>
      <c r="L3812">
        <v>1053113.8418485087</v>
      </c>
      <c r="M3812">
        <v>0</v>
      </c>
    </row>
    <row r="3813" spans="1:13" ht="13.5" customHeight="1">
      <c r="A3813" s="532">
        <v>45274</v>
      </c>
      <c r="B3813" s="615">
        <v>223800</v>
      </c>
      <c r="C3813" s="615">
        <v>380140.12549305841</v>
      </c>
      <c r="D3813" s="532">
        <v>45365</v>
      </c>
      <c r="E3813" s="534">
        <v>91</v>
      </c>
      <c r="F3813" s="653">
        <v>0.69857071265888471</v>
      </c>
      <c r="G3813" s="536" t="s">
        <v>261</v>
      </c>
      <c r="H3813">
        <v>51540.700711997277</v>
      </c>
      <c r="I3813">
        <v>436.54</v>
      </c>
      <c r="J3813">
        <v>739.65</v>
      </c>
      <c r="K3813">
        <v>512.66779676547389</v>
      </c>
      <c r="L3813">
        <v>380140.12549305835</v>
      </c>
      <c r="M3813">
        <v>0</v>
      </c>
    </row>
    <row r="3814" spans="1:13" ht="13.5" customHeight="1">
      <c r="A3814" s="532">
        <v>45275</v>
      </c>
      <c r="B3814" s="615">
        <v>290000</v>
      </c>
      <c r="C3814" s="615">
        <v>494461.59542565281</v>
      </c>
      <c r="D3814" s="532">
        <v>45366</v>
      </c>
      <c r="E3814" s="534">
        <v>91</v>
      </c>
      <c r="F3814" s="653">
        <v>0.70503998422638903</v>
      </c>
      <c r="G3814" s="536" t="s">
        <v>258</v>
      </c>
      <c r="H3814">
        <v>67404.921568896534</v>
      </c>
      <c r="I3814">
        <v>437.7</v>
      </c>
      <c r="J3814">
        <v>744.44</v>
      </c>
      <c r="K3814">
        <v>662.55426090929859</v>
      </c>
      <c r="L3814">
        <v>494461.59542565281</v>
      </c>
      <c r="M3814">
        <v>0</v>
      </c>
    </row>
    <row r="3815" spans="1:13" ht="13.5" customHeight="1">
      <c r="A3815" s="532">
        <v>45275</v>
      </c>
      <c r="B3815" s="615">
        <v>55600</v>
      </c>
      <c r="C3815" s="615">
        <v>94800.223122987227</v>
      </c>
      <c r="D3815" s="532">
        <v>45366</v>
      </c>
      <c r="E3815" s="534">
        <v>91</v>
      </c>
      <c r="F3815" s="653">
        <v>0.70503998422638903</v>
      </c>
      <c r="G3815" s="536" t="s">
        <v>261</v>
      </c>
      <c r="H3815">
        <v>12923.15048010568</v>
      </c>
      <c r="I3815">
        <v>437.7</v>
      </c>
      <c r="J3815">
        <v>744.44</v>
      </c>
      <c r="K3815">
        <v>127.02764450536898</v>
      </c>
      <c r="L3815">
        <v>94800.223122987227</v>
      </c>
      <c r="M3815">
        <v>0</v>
      </c>
    </row>
    <row r="3816" spans="1:13" ht="13.5" customHeight="1">
      <c r="A3816" s="532">
        <v>45275</v>
      </c>
      <c r="B3816" s="615">
        <v>340000</v>
      </c>
      <c r="C3816" s="615">
        <v>579713.5946369723</v>
      </c>
      <c r="D3816" s="532">
        <v>45366</v>
      </c>
      <c r="E3816" s="534">
        <v>91</v>
      </c>
      <c r="F3816" s="653">
        <v>0.70503998422638903</v>
      </c>
      <c r="G3816" s="536" t="s">
        <v>258</v>
      </c>
      <c r="H3816">
        <v>79026.459770430432</v>
      </c>
      <c r="I3816">
        <v>437.7</v>
      </c>
      <c r="J3816">
        <v>744.44</v>
      </c>
      <c r="K3816">
        <v>776.78775416952249</v>
      </c>
      <c r="L3816">
        <v>579713.59463697218</v>
      </c>
      <c r="M3816">
        <v>0</v>
      </c>
    </row>
    <row r="3817" spans="1:13" ht="13.5" customHeight="1">
      <c r="A3817" s="532">
        <v>45275</v>
      </c>
      <c r="B3817" s="615">
        <v>100000</v>
      </c>
      <c r="C3817" s="615">
        <v>170503.99842263889</v>
      </c>
      <c r="D3817" s="532">
        <v>45366</v>
      </c>
      <c r="E3817" s="534">
        <v>91</v>
      </c>
      <c r="F3817" s="653">
        <v>0.70503998422638903</v>
      </c>
      <c r="G3817" s="536" t="s">
        <v>261</v>
      </c>
      <c r="H3817">
        <v>23243.076403067764</v>
      </c>
      <c r="I3817">
        <v>437.7</v>
      </c>
      <c r="J3817">
        <v>744.44</v>
      </c>
      <c r="K3817">
        <v>228.46698652044779</v>
      </c>
      <c r="L3817">
        <v>170503.99842263889</v>
      </c>
      <c r="M3817">
        <v>0</v>
      </c>
    </row>
    <row r="3818" spans="1:13" ht="13.5" customHeight="1">
      <c r="A3818" s="532">
        <v>45278</v>
      </c>
      <c r="B3818" s="615">
        <v>155000</v>
      </c>
      <c r="C3818" s="615">
        <v>265283.21097987948</v>
      </c>
      <c r="D3818" s="532">
        <v>45369</v>
      </c>
      <c r="E3818" s="534">
        <v>91</v>
      </c>
      <c r="F3818" s="653">
        <v>0.7115045869669645</v>
      </c>
      <c r="G3818" s="536" t="s">
        <v>258</v>
      </c>
      <c r="H3818">
        <v>36357.102520839384</v>
      </c>
      <c r="I3818">
        <v>438.87</v>
      </c>
      <c r="J3818">
        <v>749.26</v>
      </c>
      <c r="K3818">
        <v>353.17975710347025</v>
      </c>
      <c r="L3818">
        <v>265283.21097987948</v>
      </c>
      <c r="M3818">
        <v>0</v>
      </c>
    </row>
    <row r="3819" spans="1:13" ht="13.5" customHeight="1">
      <c r="A3819" s="532">
        <v>45278</v>
      </c>
      <c r="B3819" s="615">
        <v>207000</v>
      </c>
      <c r="C3819" s="615">
        <v>354281.44950216165</v>
      </c>
      <c r="D3819" s="532">
        <v>45369</v>
      </c>
      <c r="E3819" s="534">
        <v>91</v>
      </c>
      <c r="F3819" s="653">
        <v>0.7115045869669645</v>
      </c>
      <c r="G3819" s="536" t="s">
        <v>260</v>
      </c>
      <c r="H3819">
        <v>48554.324011701647</v>
      </c>
      <c r="I3819">
        <v>438.87</v>
      </c>
      <c r="J3819">
        <v>749.26</v>
      </c>
      <c r="K3819">
        <v>471.66586916398933</v>
      </c>
      <c r="L3819">
        <v>354281.4495021617</v>
      </c>
      <c r="M3819">
        <v>0</v>
      </c>
    </row>
    <row r="3820" spans="1:13" ht="13.5" customHeight="1">
      <c r="A3820" s="532">
        <v>45278</v>
      </c>
      <c r="B3820" s="615">
        <v>552000</v>
      </c>
      <c r="C3820" s="615">
        <v>944750.53200576443</v>
      </c>
      <c r="D3820" s="532">
        <v>45369</v>
      </c>
      <c r="E3820" s="534">
        <v>91</v>
      </c>
      <c r="F3820" s="653">
        <v>0.7115045869669645</v>
      </c>
      <c r="G3820" s="536" t="s">
        <v>266</v>
      </c>
      <c r="H3820">
        <v>129478.19736453774</v>
      </c>
      <c r="I3820">
        <v>438.87</v>
      </c>
      <c r="J3820">
        <v>749.26</v>
      </c>
      <c r="K3820">
        <v>1257.7756511039715</v>
      </c>
      <c r="L3820">
        <v>944750.53200576443</v>
      </c>
      <c r="M3820">
        <v>0</v>
      </c>
    </row>
    <row r="3821" spans="1:13" ht="13.5" customHeight="1">
      <c r="A3821" s="532">
        <v>45278</v>
      </c>
      <c r="B3821" s="615">
        <v>815000</v>
      </c>
      <c r="C3821" s="615">
        <v>1394876.2383780761</v>
      </c>
      <c r="D3821" s="532">
        <v>45369</v>
      </c>
      <c r="E3821" s="534">
        <v>91</v>
      </c>
      <c r="F3821" s="653">
        <v>0.7115045869669645</v>
      </c>
      <c r="G3821" s="536" t="s">
        <v>258</v>
      </c>
      <c r="H3821">
        <v>191167.99067409104</v>
      </c>
      <c r="I3821">
        <v>438.87</v>
      </c>
      <c r="J3821">
        <v>749.26</v>
      </c>
      <c r="K3821">
        <v>1857.0419486408275</v>
      </c>
      <c r="L3821">
        <v>1394876.2383780761</v>
      </c>
      <c r="M3821">
        <v>0</v>
      </c>
    </row>
    <row r="3822" spans="1:13" ht="13.5" customHeight="1">
      <c r="A3822" s="532">
        <v>45278</v>
      </c>
      <c r="B3822" s="615">
        <v>482400</v>
      </c>
      <c r="C3822" s="615">
        <v>825629.81275286363</v>
      </c>
      <c r="D3822" s="532">
        <v>45369</v>
      </c>
      <c r="E3822" s="534">
        <v>91</v>
      </c>
      <c r="F3822" s="653">
        <v>0.7115045869669645</v>
      </c>
      <c r="G3822" s="536" t="s">
        <v>263</v>
      </c>
      <c r="H3822">
        <v>113152.68552292208</v>
      </c>
      <c r="I3822">
        <v>438.87</v>
      </c>
      <c r="J3822">
        <v>749.26</v>
      </c>
      <c r="K3822">
        <v>1099.1865472691229</v>
      </c>
      <c r="L3822">
        <v>825629.81275286374</v>
      </c>
      <c r="M3822">
        <v>0</v>
      </c>
    </row>
    <row r="3823" spans="1:13" ht="13.5" customHeight="1">
      <c r="A3823" s="532">
        <v>45279</v>
      </c>
      <c r="B3823" s="615">
        <v>442000</v>
      </c>
      <c r="C3823" s="615">
        <v>756759.21002766502</v>
      </c>
      <c r="D3823" s="532">
        <v>45370</v>
      </c>
      <c r="E3823" s="534">
        <v>91</v>
      </c>
      <c r="F3823" s="653">
        <v>0.71212490956485297</v>
      </c>
      <c r="G3823" s="536" t="s">
        <v>266</v>
      </c>
      <c r="H3823">
        <v>103766.77253659286</v>
      </c>
      <c r="I3823">
        <v>444.01</v>
      </c>
      <c r="J3823">
        <v>758.31</v>
      </c>
      <c r="K3823">
        <v>995.47307493074481</v>
      </c>
      <c r="L3823">
        <v>756759.21002766502</v>
      </c>
      <c r="M3823">
        <v>0</v>
      </c>
    </row>
    <row r="3824" spans="1:13" ht="13.5" customHeight="1">
      <c r="A3824" s="532">
        <v>45279</v>
      </c>
      <c r="B3824" s="615">
        <v>50000</v>
      </c>
      <c r="C3824" s="615">
        <v>85606.24547824265</v>
      </c>
      <c r="D3824" s="532">
        <v>45370</v>
      </c>
      <c r="E3824" s="534">
        <v>91</v>
      </c>
      <c r="F3824" s="653">
        <v>0.71212490956485297</v>
      </c>
      <c r="G3824" s="536" t="s">
        <v>261</v>
      </c>
      <c r="H3824">
        <v>11738.322685134939</v>
      </c>
      <c r="I3824">
        <v>444.01</v>
      </c>
      <c r="J3824">
        <v>758.31</v>
      </c>
      <c r="K3824">
        <v>112.61007634963177</v>
      </c>
      <c r="L3824">
        <v>85606.24547824265</v>
      </c>
      <c r="M3824">
        <v>0</v>
      </c>
    </row>
    <row r="3825" spans="1:13" ht="13.5" customHeight="1">
      <c r="A3825" s="532">
        <v>45279</v>
      </c>
      <c r="B3825" s="615">
        <v>548400</v>
      </c>
      <c r="C3825" s="615">
        <v>938929.30040536541</v>
      </c>
      <c r="D3825" s="532">
        <v>45370</v>
      </c>
      <c r="E3825" s="534">
        <v>91</v>
      </c>
      <c r="F3825" s="653">
        <v>0.71212490956485297</v>
      </c>
      <c r="G3825" s="536" t="s">
        <v>260</v>
      </c>
      <c r="H3825">
        <v>128745.92321056004</v>
      </c>
      <c r="I3825">
        <v>444.01</v>
      </c>
      <c r="J3825">
        <v>758.31</v>
      </c>
      <c r="K3825">
        <v>1235.1073174027613</v>
      </c>
      <c r="L3825">
        <v>938929.30040536541</v>
      </c>
      <c r="M3825">
        <v>0</v>
      </c>
    </row>
    <row r="3826" spans="1:13" ht="13.5" customHeight="1">
      <c r="A3826" s="532">
        <v>45279</v>
      </c>
      <c r="B3826" s="615">
        <v>990000</v>
      </c>
      <c r="C3826" s="615">
        <v>1695003.6604692044</v>
      </c>
      <c r="D3826" s="532">
        <v>45370</v>
      </c>
      <c r="E3826" s="534">
        <v>91</v>
      </c>
      <c r="F3826" s="653">
        <v>0.71212490956485297</v>
      </c>
      <c r="G3826" s="536" t="s">
        <v>258</v>
      </c>
      <c r="H3826">
        <v>232418.7891656718</v>
      </c>
      <c r="I3826">
        <v>444.01</v>
      </c>
      <c r="J3826">
        <v>758.31</v>
      </c>
      <c r="K3826">
        <v>2229.6795117227089</v>
      </c>
      <c r="L3826">
        <v>1695003.6604692042</v>
      </c>
      <c r="M3826">
        <v>0</v>
      </c>
    </row>
    <row r="3827" spans="1:13" ht="13.5" customHeight="1">
      <c r="A3827" s="532">
        <v>45279</v>
      </c>
      <c r="B3827" s="615">
        <v>370000</v>
      </c>
      <c r="C3827" s="615">
        <v>633486.21653899562</v>
      </c>
      <c r="D3827" s="532">
        <v>45370</v>
      </c>
      <c r="E3827" s="534">
        <v>91</v>
      </c>
      <c r="F3827" s="653">
        <v>0.71212490956485297</v>
      </c>
      <c r="G3827" s="536" t="s">
        <v>262</v>
      </c>
      <c r="H3827">
        <v>86863.587869998562</v>
      </c>
      <c r="I3827">
        <v>444.01</v>
      </c>
      <c r="J3827">
        <v>758.31</v>
      </c>
      <c r="K3827">
        <v>833.31456498727505</v>
      </c>
      <c r="L3827">
        <v>633486.21653899562</v>
      </c>
      <c r="M3827">
        <v>0</v>
      </c>
    </row>
    <row r="3828" spans="1:13" ht="13.5" customHeight="1">
      <c r="A3828" s="532">
        <v>45279</v>
      </c>
      <c r="B3828" s="615">
        <v>93000</v>
      </c>
      <c r="C3828" s="615">
        <v>159227.61658953133</v>
      </c>
      <c r="D3828" s="532">
        <v>45370</v>
      </c>
      <c r="E3828" s="534">
        <v>91</v>
      </c>
      <c r="F3828" s="653">
        <v>0.71212490956485297</v>
      </c>
      <c r="G3828" s="536" t="s">
        <v>263</v>
      </c>
      <c r="H3828">
        <v>21833.280194350988</v>
      </c>
      <c r="I3828">
        <v>444.01</v>
      </c>
      <c r="J3828">
        <v>758.31</v>
      </c>
      <c r="K3828">
        <v>209.4547420103151</v>
      </c>
      <c r="L3828">
        <v>159227.61658953133</v>
      </c>
      <c r="M3828">
        <v>0</v>
      </c>
    </row>
    <row r="3829" spans="1:13" ht="13.5" customHeight="1">
      <c r="A3829" s="532">
        <v>45280</v>
      </c>
      <c r="B3829" s="615">
        <v>200000</v>
      </c>
      <c r="C3829" s="615">
        <v>342463.39133753872</v>
      </c>
      <c r="D3829" s="532">
        <v>45371</v>
      </c>
      <c r="E3829" s="534">
        <v>91</v>
      </c>
      <c r="F3829" s="653">
        <v>0.71231695668769368</v>
      </c>
      <c r="G3829" s="536" t="s">
        <v>258</v>
      </c>
      <c r="H3829">
        <v>46965.953188199579</v>
      </c>
      <c r="I3829">
        <v>445.74</v>
      </c>
      <c r="J3829">
        <v>761.35</v>
      </c>
      <c r="K3829">
        <v>448.69206263741194</v>
      </c>
      <c r="L3829">
        <v>342463.39133753878</v>
      </c>
      <c r="M3829">
        <v>0</v>
      </c>
    </row>
    <row r="3830" spans="1:13" ht="13.5" customHeight="1">
      <c r="A3830" s="532">
        <v>45281</v>
      </c>
      <c r="B3830" s="615">
        <v>145000</v>
      </c>
      <c r="C3830" s="615">
        <v>248311.28952269693</v>
      </c>
      <c r="D3830" s="532">
        <v>45372</v>
      </c>
      <c r="E3830" s="534">
        <v>91</v>
      </c>
      <c r="F3830" s="653">
        <v>0.71249165188066854</v>
      </c>
      <c r="G3830" s="536" t="s">
        <v>258</v>
      </c>
      <c r="H3830">
        <v>34058.66687561437</v>
      </c>
      <c r="I3830">
        <v>447.48</v>
      </c>
      <c r="J3830">
        <v>764.4</v>
      </c>
      <c r="K3830">
        <v>324.03682846160723</v>
      </c>
      <c r="L3830">
        <v>248311.28952269696</v>
      </c>
      <c r="M3830">
        <v>0</v>
      </c>
    </row>
    <row r="3831" spans="1:13" ht="13.5" customHeight="1">
      <c r="A3831" s="532">
        <v>45281</v>
      </c>
      <c r="B3831" s="615">
        <v>320000</v>
      </c>
      <c r="C3831" s="615">
        <v>547997.32860181388</v>
      </c>
      <c r="D3831" s="532">
        <v>45372</v>
      </c>
      <c r="E3831" s="534">
        <v>91</v>
      </c>
      <c r="F3831" s="653">
        <v>0.71249165188066854</v>
      </c>
      <c r="G3831" s="536" t="s">
        <v>262</v>
      </c>
      <c r="H3831">
        <v>75163.954484114467</v>
      </c>
      <c r="I3831">
        <v>447.48</v>
      </c>
      <c r="J3831">
        <v>764.4</v>
      </c>
      <c r="K3831">
        <v>715.115759363547</v>
      </c>
      <c r="L3831">
        <v>547997.32860181411</v>
      </c>
      <c r="M3831">
        <v>0</v>
      </c>
    </row>
    <row r="3832" spans="1:13" ht="13.5" customHeight="1">
      <c r="A3832" s="532">
        <v>45282</v>
      </c>
      <c r="B3832" s="615">
        <v>180000</v>
      </c>
      <c r="C3832" s="615">
        <v>307046.14208006201</v>
      </c>
      <c r="D3832" s="532">
        <v>45372</v>
      </c>
      <c r="E3832" s="534">
        <v>90</v>
      </c>
      <c r="F3832" s="653">
        <v>0.70581190044478892</v>
      </c>
      <c r="G3832" s="536" t="s">
        <v>258</v>
      </c>
      <c r="H3832">
        <v>42348.714026687339</v>
      </c>
      <c r="I3832">
        <v>449.22</v>
      </c>
      <c r="J3832">
        <v>764.4</v>
      </c>
      <c r="K3832">
        <v>400.6945371978095</v>
      </c>
      <c r="L3832">
        <v>307046.14208006201</v>
      </c>
      <c r="M3832">
        <v>0</v>
      </c>
    </row>
    <row r="3833" spans="1:13" ht="13.5" customHeight="1">
      <c r="A3833" s="532">
        <v>45282</v>
      </c>
      <c r="B3833" s="615">
        <v>33300</v>
      </c>
      <c r="C3833" s="615">
        <v>56803.536284811475</v>
      </c>
      <c r="D3833" s="532">
        <v>45372</v>
      </c>
      <c r="E3833" s="534">
        <v>90</v>
      </c>
      <c r="F3833" s="653">
        <v>0.70581190044478892</v>
      </c>
      <c r="G3833" s="536" t="s">
        <v>261</v>
      </c>
      <c r="H3833">
        <v>7834.5120949371576</v>
      </c>
      <c r="I3833">
        <v>449.22</v>
      </c>
      <c r="J3833">
        <v>764.4</v>
      </c>
      <c r="K3833">
        <v>74.128489381594761</v>
      </c>
      <c r="L3833">
        <v>56803.536284811475</v>
      </c>
      <c r="M3833">
        <v>0</v>
      </c>
    </row>
    <row r="3834" spans="1:13" ht="13.5" customHeight="1">
      <c r="A3834" s="532">
        <v>45282</v>
      </c>
      <c r="B3834" s="615">
        <v>241000</v>
      </c>
      <c r="C3834" s="615">
        <v>411100.66800719412</v>
      </c>
      <c r="D3834" s="532">
        <v>45372</v>
      </c>
      <c r="E3834" s="534">
        <v>90</v>
      </c>
      <c r="F3834" s="653">
        <v>0.70581190044478892</v>
      </c>
      <c r="G3834" s="536" t="s">
        <v>266</v>
      </c>
      <c r="H3834">
        <v>56700.222669064708</v>
      </c>
      <c r="I3834">
        <v>449.22</v>
      </c>
      <c r="J3834">
        <v>764.4</v>
      </c>
      <c r="K3834">
        <v>536.48546369262272</v>
      </c>
      <c r="L3834">
        <v>411100.66800719412</v>
      </c>
      <c r="M3834">
        <v>0</v>
      </c>
    </row>
    <row r="3835" spans="1:13" ht="13.5" customHeight="1">
      <c r="A3835" s="532">
        <v>45286</v>
      </c>
      <c r="B3835" s="615">
        <v>542000</v>
      </c>
      <c r="C3835" s="615">
        <v>928359.88915218052</v>
      </c>
      <c r="D3835" s="532">
        <v>45376</v>
      </c>
      <c r="E3835" s="534">
        <v>90</v>
      </c>
      <c r="F3835" s="653">
        <v>0.71284112389701204</v>
      </c>
      <c r="G3835" s="536" t="s">
        <v>266</v>
      </c>
      <c r="H3835">
        <v>128786.62971739352</v>
      </c>
      <c r="I3835">
        <v>450.97</v>
      </c>
      <c r="J3835">
        <v>770.54</v>
      </c>
      <c r="K3835">
        <v>1201.8537818480165</v>
      </c>
      <c r="L3835">
        <v>928359.88915218064</v>
      </c>
      <c r="M3835">
        <v>0</v>
      </c>
    </row>
    <row r="3836" spans="1:13" ht="13.5" customHeight="1">
      <c r="A3836" s="532">
        <v>45286</v>
      </c>
      <c r="B3836" s="615">
        <v>147000</v>
      </c>
      <c r="C3836" s="615">
        <v>251787.64521286078</v>
      </c>
      <c r="D3836" s="532">
        <v>45376</v>
      </c>
      <c r="E3836" s="534">
        <v>90</v>
      </c>
      <c r="F3836" s="653">
        <v>0.71284112389701204</v>
      </c>
      <c r="G3836" s="536" t="s">
        <v>261</v>
      </c>
      <c r="H3836">
        <v>34929.215070953593</v>
      </c>
      <c r="I3836">
        <v>450.97</v>
      </c>
      <c r="J3836">
        <v>770.54</v>
      </c>
      <c r="K3836">
        <v>325.96403308424061</v>
      </c>
      <c r="L3836">
        <v>251787.64521286078</v>
      </c>
      <c r="M3836">
        <v>0</v>
      </c>
    </row>
    <row r="3837" spans="1:13" ht="13.5" customHeight="1">
      <c r="A3837" s="532">
        <v>45286</v>
      </c>
      <c r="B3837" s="615">
        <v>244600</v>
      </c>
      <c r="C3837" s="615">
        <v>418960.93890520913</v>
      </c>
      <c r="D3837" s="532">
        <v>45376</v>
      </c>
      <c r="E3837" s="534">
        <v>90</v>
      </c>
      <c r="F3837" s="653">
        <v>0.71284112389701204</v>
      </c>
      <c r="G3837" s="536" t="s">
        <v>260</v>
      </c>
      <c r="H3837">
        <v>58120.312968403043</v>
      </c>
      <c r="I3837">
        <v>450.97</v>
      </c>
      <c r="J3837">
        <v>770.54</v>
      </c>
      <c r="K3837">
        <v>542.38641151296088</v>
      </c>
      <c r="L3837">
        <v>418960.93890520907</v>
      </c>
      <c r="M3837">
        <v>0</v>
      </c>
    </row>
    <row r="3838" spans="1:13" ht="13.5" customHeight="1">
      <c r="A3838" s="532">
        <v>45286</v>
      </c>
      <c r="B3838" s="615">
        <v>290000</v>
      </c>
      <c r="C3838" s="615">
        <v>496723.9259301335</v>
      </c>
      <c r="D3838" s="532">
        <v>45376</v>
      </c>
      <c r="E3838" s="534">
        <v>90</v>
      </c>
      <c r="F3838" s="653">
        <v>0.71284112389701204</v>
      </c>
      <c r="G3838" s="536" t="s">
        <v>258</v>
      </c>
      <c r="H3838">
        <v>68907.975310044494</v>
      </c>
      <c r="I3838">
        <v>450.97</v>
      </c>
      <c r="J3838">
        <v>770.54</v>
      </c>
      <c r="K3838">
        <v>643.05829656074684</v>
      </c>
      <c r="L3838">
        <v>496723.9259301335</v>
      </c>
      <c r="M3838">
        <v>0</v>
      </c>
    </row>
    <row r="3839" spans="1:13" ht="13.5" customHeight="1">
      <c r="A3839" s="532">
        <v>45286</v>
      </c>
      <c r="B3839" s="615">
        <v>269000</v>
      </c>
      <c r="C3839" s="615">
        <v>460754.26232829626</v>
      </c>
      <c r="D3839" s="532">
        <v>45376</v>
      </c>
      <c r="E3839" s="534">
        <v>90</v>
      </c>
      <c r="F3839" s="653">
        <v>0.71284112389701204</v>
      </c>
      <c r="G3839" s="536" t="s">
        <v>261</v>
      </c>
      <c r="H3839">
        <v>63918.08744276542</v>
      </c>
      <c r="I3839">
        <v>450.97</v>
      </c>
      <c r="J3839">
        <v>770.54</v>
      </c>
      <c r="K3839">
        <v>596.49200612014101</v>
      </c>
      <c r="L3839">
        <v>460754.26232829626</v>
      </c>
      <c r="M3839">
        <v>0</v>
      </c>
    </row>
    <row r="3840" spans="1:13" ht="13.5" customHeight="1">
      <c r="A3840" s="532">
        <v>45286</v>
      </c>
      <c r="B3840" s="615">
        <v>20000</v>
      </c>
      <c r="C3840" s="615">
        <v>34256.822477940244</v>
      </c>
      <c r="D3840" s="532">
        <v>45376</v>
      </c>
      <c r="E3840" s="534">
        <v>90</v>
      </c>
      <c r="F3840" s="653">
        <v>0.71284112389701204</v>
      </c>
      <c r="G3840" s="536" t="s">
        <v>258</v>
      </c>
      <c r="H3840">
        <v>4752.2741593134151</v>
      </c>
      <c r="I3840">
        <v>450.97</v>
      </c>
      <c r="J3840">
        <v>770.54</v>
      </c>
      <c r="K3840">
        <v>44.348848038672195</v>
      </c>
      <c r="L3840">
        <v>34256.822477940244</v>
      </c>
      <c r="M3840">
        <v>0</v>
      </c>
    </row>
    <row r="3841" spans="1:13" ht="13.5" customHeight="1">
      <c r="A3841" s="532">
        <v>45286</v>
      </c>
      <c r="B3841" s="615">
        <v>60000</v>
      </c>
      <c r="C3841" s="615">
        <v>102770.46743382073</v>
      </c>
      <c r="D3841" s="532">
        <v>45376</v>
      </c>
      <c r="E3841" s="534">
        <v>90</v>
      </c>
      <c r="F3841" s="653">
        <v>0.71284112389701204</v>
      </c>
      <c r="G3841" s="536" t="s">
        <v>261</v>
      </c>
      <c r="H3841">
        <v>14256.822477940243</v>
      </c>
      <c r="I3841">
        <v>450.97</v>
      </c>
      <c r="J3841">
        <v>770.54</v>
      </c>
      <c r="K3841">
        <v>133.04654411601658</v>
      </c>
      <c r="L3841">
        <v>102770.46743382071</v>
      </c>
      <c r="M3841">
        <v>0</v>
      </c>
    </row>
    <row r="3842" spans="1:13" ht="13.5" customHeight="1">
      <c r="A3842" s="532">
        <v>45287</v>
      </c>
      <c r="B3842" s="615">
        <v>381300</v>
      </c>
      <c r="C3842" s="615">
        <v>650800.5832769823</v>
      </c>
      <c r="D3842" s="532">
        <v>45377</v>
      </c>
      <c r="E3842" s="534">
        <v>90</v>
      </c>
      <c r="F3842" s="653">
        <v>0.70679408150270717</v>
      </c>
      <c r="G3842" s="536" t="s">
        <v>261</v>
      </c>
      <c r="H3842">
        <v>89833.527758994096</v>
      </c>
      <c r="I3842">
        <v>458.03</v>
      </c>
      <c r="J3842">
        <v>779.84</v>
      </c>
      <c r="K3842">
        <v>832.47822195052731</v>
      </c>
      <c r="L3842">
        <v>650800.5832769823</v>
      </c>
      <c r="M3842">
        <v>0</v>
      </c>
    </row>
    <row r="3843" spans="1:13" ht="13.5" customHeight="1">
      <c r="A3843" s="532">
        <v>45287</v>
      </c>
      <c r="B3843" s="615">
        <v>395000</v>
      </c>
      <c r="C3843" s="615">
        <v>674183.66219356935</v>
      </c>
      <c r="D3843" s="532">
        <v>45377</v>
      </c>
      <c r="E3843" s="534">
        <v>90</v>
      </c>
      <c r="F3843" s="653">
        <v>0.70679408150270717</v>
      </c>
      <c r="G3843" s="536" t="s">
        <v>725</v>
      </c>
      <c r="H3843">
        <v>93061.220731189795</v>
      </c>
      <c r="I3843">
        <v>458.03</v>
      </c>
      <c r="J3843">
        <v>779.84</v>
      </c>
      <c r="K3843">
        <v>862.38892648953129</v>
      </c>
      <c r="L3843">
        <v>674183.66219356935</v>
      </c>
      <c r="M3843">
        <v>0</v>
      </c>
    </row>
    <row r="3844" spans="1:13" ht="13.5" customHeight="1">
      <c r="A3844" s="532">
        <v>45287</v>
      </c>
      <c r="B3844" s="615">
        <v>270000</v>
      </c>
      <c r="C3844" s="615">
        <v>460834.40200573095</v>
      </c>
      <c r="D3844" s="532">
        <v>45377</v>
      </c>
      <c r="E3844" s="534">
        <v>90</v>
      </c>
      <c r="F3844" s="653">
        <v>0.70679408150270717</v>
      </c>
      <c r="G3844" s="536" t="s">
        <v>726</v>
      </c>
      <c r="H3844">
        <v>63611.467335243658</v>
      </c>
      <c r="I3844">
        <v>458.03</v>
      </c>
      <c r="J3844">
        <v>779.84</v>
      </c>
      <c r="K3844">
        <v>589.48103835993277</v>
      </c>
      <c r="L3844">
        <v>460834.40200573095</v>
      </c>
      <c r="M3844">
        <v>0</v>
      </c>
    </row>
    <row r="3845" spans="1:13" ht="13.5" customHeight="1">
      <c r="A3845" s="532">
        <v>45287</v>
      </c>
      <c r="B3845" s="615">
        <v>102000</v>
      </c>
      <c r="C3845" s="615">
        <v>174092.99631327612</v>
      </c>
      <c r="D3845" s="532">
        <v>45377</v>
      </c>
      <c r="E3845" s="534">
        <v>90</v>
      </c>
      <c r="F3845" s="653">
        <v>0.70679408150270717</v>
      </c>
      <c r="G3845" s="536" t="s">
        <v>266</v>
      </c>
      <c r="H3845">
        <v>24030.99877109204</v>
      </c>
      <c r="I3845">
        <v>458.03</v>
      </c>
      <c r="J3845">
        <v>779.84</v>
      </c>
      <c r="K3845">
        <v>222.6928367137524</v>
      </c>
      <c r="L3845">
        <v>174092.99631327615</v>
      </c>
      <c r="M3845">
        <v>0</v>
      </c>
    </row>
    <row r="3846" spans="1:13" ht="13.5" customHeight="1">
      <c r="A3846" s="532">
        <v>45287</v>
      </c>
      <c r="B3846" s="615">
        <v>30000</v>
      </c>
      <c r="C3846" s="615">
        <v>51203.822445081212</v>
      </c>
      <c r="D3846" s="532">
        <v>45377</v>
      </c>
      <c r="E3846" s="534">
        <v>90</v>
      </c>
      <c r="F3846" s="653">
        <v>0.70679408150270717</v>
      </c>
      <c r="G3846" s="536" t="s">
        <v>258</v>
      </c>
      <c r="H3846">
        <v>7067.940815027071</v>
      </c>
      <c r="I3846">
        <v>458.03</v>
      </c>
      <c r="J3846">
        <v>779.84</v>
      </c>
      <c r="K3846">
        <v>65.497893151103639</v>
      </c>
      <c r="L3846">
        <v>51203.822445081212</v>
      </c>
      <c r="M3846">
        <v>0</v>
      </c>
    </row>
    <row r="3847" spans="1:13" ht="13.5" customHeight="1">
      <c r="A3847" s="532">
        <v>45288</v>
      </c>
      <c r="B3847" s="615">
        <v>100000</v>
      </c>
      <c r="C3847" s="615">
        <v>170698.8943914595</v>
      </c>
      <c r="D3847" s="532">
        <v>45378</v>
      </c>
      <c r="E3847" s="534">
        <v>90</v>
      </c>
      <c r="F3847" s="653">
        <v>0.70698894391459488</v>
      </c>
      <c r="G3847" s="536" t="s">
        <v>258</v>
      </c>
      <c r="H3847">
        <v>23566.298130486499</v>
      </c>
      <c r="I3847">
        <v>459.81</v>
      </c>
      <c r="J3847">
        <v>782.96</v>
      </c>
      <c r="K3847">
        <v>217.48113351166785</v>
      </c>
      <c r="L3847">
        <v>170698.8943914595</v>
      </c>
      <c r="M3847">
        <v>0</v>
      </c>
    </row>
    <row r="3848" spans="1:13" ht="13.5" customHeight="1">
      <c r="A3848" s="532">
        <v>45288</v>
      </c>
      <c r="B3848" s="615">
        <v>66000</v>
      </c>
      <c r="C3848" s="615">
        <v>112661.27029836326</v>
      </c>
      <c r="D3848" s="532">
        <v>45378</v>
      </c>
      <c r="E3848" s="534">
        <v>90</v>
      </c>
      <c r="F3848" s="653">
        <v>0.70698894391459488</v>
      </c>
      <c r="G3848" s="536" t="s">
        <v>261</v>
      </c>
      <c r="H3848">
        <v>15553.756766121089</v>
      </c>
      <c r="I3848">
        <v>459.81</v>
      </c>
      <c r="J3848">
        <v>782.96</v>
      </c>
      <c r="K3848">
        <v>143.53754811770079</v>
      </c>
      <c r="L3848">
        <v>112661.27029836326</v>
      </c>
      <c r="M3848">
        <v>0</v>
      </c>
    </row>
    <row r="3849" spans="1:13" ht="13.5" customHeight="1">
      <c r="A3849" s="532">
        <v>45288</v>
      </c>
      <c r="B3849" s="615">
        <v>65000</v>
      </c>
      <c r="C3849" s="615">
        <v>110954.28135444867</v>
      </c>
      <c r="D3849" s="532">
        <v>45378</v>
      </c>
      <c r="E3849" s="534">
        <v>90</v>
      </c>
      <c r="F3849" s="653">
        <v>0.70698894391459488</v>
      </c>
      <c r="G3849" s="536" t="s">
        <v>266</v>
      </c>
      <c r="H3849">
        <v>15318.093784816225</v>
      </c>
      <c r="I3849">
        <v>459.81</v>
      </c>
      <c r="J3849">
        <v>782.96</v>
      </c>
      <c r="K3849">
        <v>141.36273678258411</v>
      </c>
      <c r="L3849">
        <v>110954.28135444866</v>
      </c>
      <c r="M3849">
        <v>0</v>
      </c>
    </row>
    <row r="3850" spans="1:13" ht="13.5" customHeight="1">
      <c r="A3850" s="532">
        <v>45288</v>
      </c>
      <c r="B3850" s="615">
        <v>200600</v>
      </c>
      <c r="C3850" s="615">
        <v>342421.98214926774</v>
      </c>
      <c r="D3850" s="532">
        <v>45378</v>
      </c>
      <c r="E3850" s="534">
        <v>90</v>
      </c>
      <c r="F3850" s="653">
        <v>0.70698894391459488</v>
      </c>
      <c r="G3850" s="536" t="s">
        <v>261</v>
      </c>
      <c r="H3850" s="596">
        <f>SUM(B3679:B3850)</f>
        <v>34143700</v>
      </c>
      <c r="I3850">
        <v>459.81</v>
      </c>
      <c r="J3850">
        <v>782.96</v>
      </c>
      <c r="K3850">
        <v>436.26715382440574</v>
      </c>
      <c r="L3850">
        <v>342421.98214926774</v>
      </c>
      <c r="M3850">
        <v>0</v>
      </c>
    </row>
    <row r="3851" spans="1:13" ht="13.5" customHeight="1">
      <c r="A3851" s="532">
        <v>45357</v>
      </c>
      <c r="B3851" s="615">
        <v>60000</v>
      </c>
      <c r="C3851" s="615">
        <f>B3851+(B3851*F3851/365*E3851)*1</f>
        <v>65424.66</v>
      </c>
      <c r="D3851" s="532">
        <f>+A3851+E3851</f>
        <v>45387</v>
      </c>
      <c r="E3851" s="534">
        <v>30</v>
      </c>
      <c r="F3851" s="653">
        <v>1.100000500000001</v>
      </c>
      <c r="G3851" s="536" t="s">
        <v>259</v>
      </c>
      <c r="H3851">
        <v>5500.0000000000073</v>
      </c>
      <c r="I3851">
        <v>702.4</v>
      </c>
      <c r="J3851">
        <v>811.66</v>
      </c>
      <c r="K3851">
        <v>85.421412300683372</v>
      </c>
      <c r="L3851">
        <v>65500.000000000007</v>
      </c>
      <c r="M3851">
        <v>0</v>
      </c>
    </row>
    <row r="3852" spans="1:13" ht="13.5" customHeight="1">
      <c r="A3852" s="532">
        <v>45358</v>
      </c>
      <c r="B3852" s="615">
        <v>66300</v>
      </c>
      <c r="C3852" s="615">
        <v>72377.500000000015</v>
      </c>
      <c r="D3852" s="532">
        <v>45390</v>
      </c>
      <c r="E3852" s="534">
        <v>32</v>
      </c>
      <c r="F3852" s="653">
        <v>9.1666666666666674E-2</v>
      </c>
      <c r="G3852" s="536" t="s">
        <v>261</v>
      </c>
      <c r="H3852">
        <v>5697.6562500000136</v>
      </c>
      <c r="I3852">
        <v>706.95</v>
      </c>
      <c r="J3852">
        <v>814.91</v>
      </c>
      <c r="K3852">
        <v>93.783152981116061</v>
      </c>
      <c r="L3852">
        <v>72377.500000000015</v>
      </c>
      <c r="M3852">
        <v>0</v>
      </c>
    </row>
    <row r="3853" spans="1:13" ht="13.5" customHeight="1">
      <c r="A3853" s="532">
        <v>45358</v>
      </c>
      <c r="B3853" s="615">
        <v>100000</v>
      </c>
      <c r="C3853" s="615">
        <f>B3853+(B3853*F3853/365*E3853)*1</f>
        <v>109643.78000000004</v>
      </c>
      <c r="D3853" s="532">
        <f>+A3853+E3853</f>
        <v>45390</v>
      </c>
      <c r="E3853" s="534">
        <v>32</v>
      </c>
      <c r="F3853" s="653">
        <v>1.0999936562500054</v>
      </c>
      <c r="G3853" s="536" t="s">
        <v>264</v>
      </c>
      <c r="H3853">
        <v>8451.2812499999964</v>
      </c>
      <c r="I3853">
        <v>706.95</v>
      </c>
      <c r="J3853">
        <v>814.91</v>
      </c>
      <c r="K3853">
        <v>141.452719428531</v>
      </c>
      <c r="L3853">
        <v>109014.7</v>
      </c>
      <c r="M3853">
        <v>0</v>
      </c>
    </row>
    <row r="3854" spans="1:13" ht="13.5" customHeight="1">
      <c r="A3854" s="532">
        <v>45359</v>
      </c>
      <c r="B3854" s="615">
        <v>141000</v>
      </c>
      <c r="C3854" s="615">
        <v>153925.00000000003</v>
      </c>
      <c r="D3854" s="532">
        <v>45390</v>
      </c>
      <c r="E3854" s="534">
        <v>31</v>
      </c>
      <c r="F3854" s="653">
        <v>9.1666666666666674E-2</v>
      </c>
      <c r="G3854" s="536" t="s">
        <v>259</v>
      </c>
      <c r="H3854">
        <v>12508.064516129059</v>
      </c>
      <c r="I3854">
        <v>711.53</v>
      </c>
      <c r="J3854">
        <v>814.91</v>
      </c>
      <c r="K3854">
        <v>198.16451871319552</v>
      </c>
      <c r="L3854">
        <v>153925.00000000003</v>
      </c>
      <c r="M3854">
        <v>0</v>
      </c>
    </row>
    <row r="3855" spans="1:13" ht="13.5" customHeight="1">
      <c r="A3855" s="532">
        <v>45362</v>
      </c>
      <c r="B3855" s="615">
        <v>71000</v>
      </c>
      <c r="C3855" s="615">
        <f>B3855+(B3855*F3855/365*E3855)*1</f>
        <v>77419.178082191778</v>
      </c>
      <c r="D3855" s="532">
        <f>+A3855+E3855</f>
        <v>45392</v>
      </c>
      <c r="E3855" s="534">
        <v>30</v>
      </c>
      <c r="F3855" s="653">
        <v>1.1000000000000001</v>
      </c>
      <c r="G3855" s="536" t="s">
        <v>260</v>
      </c>
      <c r="H3855">
        <v>6508.333333333343</v>
      </c>
      <c r="I3855">
        <v>716.14</v>
      </c>
      <c r="J3855">
        <v>828.05</v>
      </c>
      <c r="K3855">
        <v>99.142625743569695</v>
      </c>
      <c r="L3855">
        <v>77508.333333333343</v>
      </c>
      <c r="M3855">
        <v>0</v>
      </c>
    </row>
    <row r="3856" spans="1:13" ht="13.5" customHeight="1">
      <c r="A3856" s="532">
        <v>45362</v>
      </c>
      <c r="B3856" s="615">
        <v>60400</v>
      </c>
      <c r="C3856" s="615">
        <f>B3856+(B3856*F3856/365*E3856)*1</f>
        <v>65860.821917808222</v>
      </c>
      <c r="D3856" s="532">
        <f>+A3856+E3856</f>
        <v>45392</v>
      </c>
      <c r="E3856" s="534">
        <v>30</v>
      </c>
      <c r="F3856" s="653">
        <v>1.1000000000000001</v>
      </c>
      <c r="G3856" s="536" t="s">
        <v>265</v>
      </c>
      <c r="H3856">
        <v>5536.6666666666715</v>
      </c>
      <c r="I3856">
        <v>716.14</v>
      </c>
      <c r="J3856">
        <v>828.05</v>
      </c>
      <c r="K3856">
        <v>84.341050632557881</v>
      </c>
      <c r="L3856">
        <v>65936.666666666672</v>
      </c>
      <c r="M3856">
        <v>0</v>
      </c>
    </row>
    <row r="3857" spans="1:13" ht="13.5" customHeight="1">
      <c r="A3857" s="532">
        <v>45362</v>
      </c>
      <c r="B3857" s="615">
        <v>40900</v>
      </c>
      <c r="C3857" s="615">
        <f t="shared" ref="A3857:C3857" si="445">B3857+(B3857*F3857/365*E3857)*1</f>
        <v>44597.808219178085</v>
      </c>
      <c r="D3857" s="532">
        <f>+A3857+E3857</f>
        <v>45392</v>
      </c>
      <c r="E3857" s="534">
        <v>30</v>
      </c>
      <c r="F3857" s="653">
        <v>1.1000000000000001</v>
      </c>
      <c r="G3857" s="536" t="s">
        <v>264</v>
      </c>
      <c r="H3857">
        <v>3749.1666666666715</v>
      </c>
      <c r="I3857">
        <v>716.14</v>
      </c>
      <c r="J3857">
        <v>828.05</v>
      </c>
      <c r="K3857">
        <v>57.111737928338037</v>
      </c>
      <c r="L3857">
        <v>44649.166666666672</v>
      </c>
      <c r="M3857">
        <v>0</v>
      </c>
    </row>
    <row r="3858" spans="1:13" ht="13.5" customHeight="1">
      <c r="A3858" s="532">
        <v>45363</v>
      </c>
      <c r="B3858" s="615">
        <v>140000</v>
      </c>
      <c r="C3858" s="615">
        <f t="shared" ref="A3858:C3858" si="446">B3858+(B3858*F3858/365*E3858)*1</f>
        <v>148054.79452054793</v>
      </c>
      <c r="D3858" s="532">
        <f>+A3858+E3858</f>
        <v>45393</v>
      </c>
      <c r="E3858" s="534">
        <v>30</v>
      </c>
      <c r="F3858" s="653">
        <v>0.7</v>
      </c>
      <c r="G3858" s="536" t="s">
        <v>262</v>
      </c>
      <c r="H3858">
        <v>8166.666666666657</v>
      </c>
      <c r="I3858">
        <v>730.15</v>
      </c>
      <c r="J3858">
        <v>831.37</v>
      </c>
      <c r="K3858">
        <v>191.74142299527495</v>
      </c>
      <c r="L3858">
        <v>148166.66666666666</v>
      </c>
      <c r="M3858">
        <v>0</v>
      </c>
    </row>
    <row r="3859" spans="1:13" ht="13.5" customHeight="1">
      <c r="A3859" s="532">
        <v>45363</v>
      </c>
      <c r="B3859" s="615">
        <v>50000</v>
      </c>
      <c r="C3859" s="615">
        <f t="shared" ref="A3859:C3860" si="447">B3859+(B3859*F3859/365*E3859)*1</f>
        <v>53082.191780821915</v>
      </c>
      <c r="D3859" s="532">
        <f t="shared" ref="A3859:D3860" si="448">+A3859+E3859</f>
        <v>45393</v>
      </c>
      <c r="E3859" s="534">
        <v>30</v>
      </c>
      <c r="F3859" s="653">
        <v>0.75</v>
      </c>
      <c r="G3859" s="536" t="s">
        <v>260</v>
      </c>
      <c r="H3859">
        <v>3125</v>
      </c>
      <c r="I3859">
        <v>730.15</v>
      </c>
      <c r="J3859">
        <v>831.37</v>
      </c>
      <c r="K3859">
        <v>68.479079641169619</v>
      </c>
      <c r="L3859">
        <v>53125</v>
      </c>
      <c r="M3859">
        <v>0</v>
      </c>
    </row>
    <row r="3860" spans="1:13" ht="13.5" customHeight="1">
      <c r="A3860" s="532">
        <v>45363</v>
      </c>
      <c r="B3860" s="615">
        <v>50000</v>
      </c>
      <c r="C3860" s="615">
        <f t="shared" si="447"/>
        <v>53082.191780821915</v>
      </c>
      <c r="D3860" s="532">
        <f t="shared" si="448"/>
        <v>45393</v>
      </c>
      <c r="E3860" s="534">
        <v>30</v>
      </c>
      <c r="F3860" s="653">
        <v>0.75</v>
      </c>
      <c r="G3860" s="536" t="s">
        <v>260</v>
      </c>
      <c r="H3860">
        <v>3125</v>
      </c>
      <c r="I3860">
        <v>730.15</v>
      </c>
      <c r="J3860">
        <v>831.37</v>
      </c>
      <c r="K3860">
        <v>68.479079641169619</v>
      </c>
      <c r="L3860">
        <v>53125</v>
      </c>
      <c r="M3860">
        <v>0</v>
      </c>
    </row>
    <row r="3861" spans="1:13" ht="13.5" customHeight="1">
      <c r="A3861" s="532">
        <v>45364</v>
      </c>
      <c r="B3861" s="615">
        <v>105000</v>
      </c>
      <c r="C3861" s="615">
        <f t="shared" ref="A3861:C3861" si="449">B3861+(B3861*F3861/365*E3861)*1</f>
        <v>111472.60273972603</v>
      </c>
      <c r="D3861" s="532">
        <f t="shared" ref="A3861:D3861" si="450">+A3861+E3861</f>
        <v>45394</v>
      </c>
      <c r="E3861" s="534">
        <v>30</v>
      </c>
      <c r="F3861" s="653">
        <v>0.75</v>
      </c>
      <c r="G3861" s="536" t="s">
        <v>260</v>
      </c>
      <c r="H3861">
        <v>6562.5</v>
      </c>
      <c r="I3861">
        <v>734.88</v>
      </c>
      <c r="J3861">
        <v>834.7</v>
      </c>
      <c r="K3861">
        <v>142.88047028086217</v>
      </c>
      <c r="L3861">
        <v>111562.5</v>
      </c>
      <c r="M3861">
        <v>0</v>
      </c>
    </row>
    <row r="3862" spans="1:13" ht="13.5" customHeight="1">
      <c r="A3862" s="532">
        <v>45364</v>
      </c>
      <c r="B3862" s="615">
        <v>100000</v>
      </c>
      <c r="C3862" s="615">
        <f t="shared" ref="A3862:C3864" si="451">B3862+(B3862*F3862/365*E3862)*1</f>
        <v>106164.38356164383</v>
      </c>
      <c r="D3862" s="532">
        <f t="shared" ref="A3862:D3864" si="452">+A3862+E3862</f>
        <v>45394</v>
      </c>
      <c r="E3862" s="534">
        <v>30</v>
      </c>
      <c r="F3862" s="653">
        <v>0.75</v>
      </c>
      <c r="G3862" s="536" t="s">
        <v>261</v>
      </c>
      <c r="H3862">
        <v>6250</v>
      </c>
      <c r="I3862">
        <v>734.88</v>
      </c>
      <c r="J3862">
        <v>834.7</v>
      </c>
      <c r="K3862">
        <v>136.0766383627259</v>
      </c>
      <c r="L3862">
        <v>106250</v>
      </c>
      <c r="M3862">
        <v>0</v>
      </c>
    </row>
    <row r="3863" spans="1:13" ht="13.5" customHeight="1">
      <c r="A3863" s="532">
        <v>45364</v>
      </c>
      <c r="B3863" s="615">
        <v>50000</v>
      </c>
      <c r="C3863" s="615">
        <f t="shared" si="451"/>
        <v>52876.71232876712</v>
      </c>
      <c r="D3863" s="532">
        <f t="shared" si="452"/>
        <v>45394</v>
      </c>
      <c r="E3863" s="534">
        <v>30</v>
      </c>
      <c r="F3863" s="653">
        <v>0.7</v>
      </c>
      <c r="G3863" s="536" t="s">
        <v>257</v>
      </c>
      <c r="H3863">
        <v>3125</v>
      </c>
      <c r="I3863">
        <v>734.88</v>
      </c>
      <c r="J3863">
        <v>834.7</v>
      </c>
      <c r="K3863">
        <v>68.038319181362951</v>
      </c>
      <c r="L3863">
        <v>53125</v>
      </c>
      <c r="M3863">
        <v>0</v>
      </c>
    </row>
    <row r="3864" spans="1:13" ht="13.5" customHeight="1">
      <c r="A3864" s="532">
        <v>45364</v>
      </c>
      <c r="B3864" s="615">
        <v>100000</v>
      </c>
      <c r="C3864" s="615">
        <f t="shared" si="451"/>
        <v>106164.38356164383</v>
      </c>
      <c r="D3864" s="532">
        <f t="shared" si="452"/>
        <v>45394</v>
      </c>
      <c r="E3864" s="534">
        <v>30</v>
      </c>
      <c r="F3864" s="653">
        <v>0.75</v>
      </c>
      <c r="G3864" s="536" t="s">
        <v>258</v>
      </c>
      <c r="H3864">
        <v>6250</v>
      </c>
      <c r="I3864">
        <v>734.88</v>
      </c>
      <c r="J3864">
        <v>834.7</v>
      </c>
      <c r="K3864">
        <v>136.0766383627259</v>
      </c>
      <c r="L3864">
        <v>106250</v>
      </c>
      <c r="M3864">
        <v>0</v>
      </c>
    </row>
    <row r="3865" spans="1:13" ht="13.5" customHeight="1">
      <c r="A3865" s="532">
        <v>45365</v>
      </c>
      <c r="B3865" s="615">
        <v>150000</v>
      </c>
      <c r="C3865" s="615">
        <f t="shared" ref="A3865:C3865" si="453">B3865+(B3865*F3865/365*E3865)*1</f>
        <v>158753.42465753425</v>
      </c>
      <c r="D3865" s="532">
        <f t="shared" ref="A3865:D3865" si="454">+A3865+E3865</f>
        <v>45395</v>
      </c>
      <c r="E3865" s="534">
        <v>30</v>
      </c>
      <c r="F3865" s="653">
        <v>0.71</v>
      </c>
      <c r="G3865" s="536" t="s">
        <v>260</v>
      </c>
      <c r="H3865">
        <f t="shared" ref="A3865:H3869" si="455">(C3865-B3865)/E3865*30</f>
        <v>8753.4246575342549</v>
      </c>
      <c r="I3865" t="e">
        <f>VLOOKUP(Tabla1[[#This Row],[FECHA]],TablaUVA[#All],2)</f>
        <v>#VALUE!</v>
      </c>
      <c r="J3865" t="e">
        <f>VLOOKUP(Tabla1[[#This Row],[VTO.]],TablaUVA[#All],2)</f>
        <v>#VALUE!</v>
      </c>
      <c r="K3865" t="e">
        <f>+Tabla1[[#This Row],[DEPOSITADO]]/I3865</f>
        <v>#VALUE!</v>
      </c>
      <c r="L3865" t="e">
        <f>IF(Tabla1[[#This Row],[DIAS]]&gt;89,+K3865*J3865*(1+1%/365*Tabla1[[#This Row],[DIAS]]),Tabla1[[#This Row],[ACOBRAR]])</f>
        <v>#VALUE!</v>
      </c>
      <c r="M3865" t="e">
        <f>+L3865-Tabla1[[#This Row],[ACOBRAR]]</f>
        <v>#VALUE!</v>
      </c>
    </row>
    <row r="3866" spans="1:13" ht="13.5" customHeight="1">
      <c r="A3866" s="532">
        <v>45365</v>
      </c>
      <c r="B3866" s="615">
        <v>150000</v>
      </c>
      <c r="C3866" s="615">
        <f t="shared" ref="A3866:C3869" si="456">B3866+(B3866*F3866/365*E3866)*1</f>
        <v>158630.13698630137</v>
      </c>
      <c r="D3866" s="532">
        <f t="shared" ref="A3866:D3869" si="457">+A3866+E3866</f>
        <v>45395</v>
      </c>
      <c r="E3866" s="534">
        <v>30</v>
      </c>
      <c r="F3866" s="653">
        <v>0.7</v>
      </c>
      <c r="G3866" s="536" t="s">
        <v>258</v>
      </c>
      <c r="H3866">
        <f t="shared" si="455"/>
        <v>8630.1369863013679</v>
      </c>
      <c r="I3866" t="e">
        <f>VLOOKUP(Tabla1[[#This Row],[FECHA]],TablaUVA[#All],2)</f>
        <v>#VALUE!</v>
      </c>
      <c r="J3866" t="e">
        <f>VLOOKUP(Tabla1[[#This Row],[VTO.]],TablaUVA[#All],2)</f>
        <v>#VALUE!</v>
      </c>
      <c r="K3866" t="e">
        <f>+Tabla1[[#This Row],[DEPOSITADO]]/I3866</f>
        <v>#VALUE!</v>
      </c>
      <c r="L3866" t="e">
        <f>IF(Tabla1[[#This Row],[DIAS]]&gt;89,+K3866*J3866*(1+1%/365*Tabla1[[#This Row],[DIAS]]),Tabla1[[#This Row],[ACOBRAR]])</f>
        <v>#VALUE!</v>
      </c>
      <c r="M3866" t="e">
        <f>+L3866-Tabla1[[#This Row],[ACOBRAR]]</f>
        <v>#VALUE!</v>
      </c>
    </row>
    <row r="3867" spans="1:13" ht="13.5" customHeight="1">
      <c r="A3867" s="532">
        <v>45365</v>
      </c>
      <c r="B3867" s="615">
        <v>30000</v>
      </c>
      <c r="C3867" s="615">
        <f t="shared" si="456"/>
        <v>31750.68493150685</v>
      </c>
      <c r="D3867" s="532">
        <f t="shared" si="457"/>
        <v>45395</v>
      </c>
      <c r="E3867" s="534">
        <v>30</v>
      </c>
      <c r="F3867" s="653">
        <v>0.71</v>
      </c>
      <c r="G3867" s="536" t="s">
        <v>261</v>
      </c>
      <c r="H3867">
        <f t="shared" si="455"/>
        <v>1750.6849315068503</v>
      </c>
      <c r="I3867" t="e">
        <f>VLOOKUP(Tabla1[[#This Row],[FECHA]],TablaUVA[#All],2)</f>
        <v>#VALUE!</v>
      </c>
      <c r="J3867" t="e">
        <f>VLOOKUP(Tabla1[[#This Row],[VTO.]],TablaUVA[#All],2)</f>
        <v>#VALUE!</v>
      </c>
      <c r="K3867" t="e">
        <f>+Tabla1[[#This Row],[DEPOSITADO]]/I3867</f>
        <v>#VALUE!</v>
      </c>
      <c r="L3867" t="e">
        <f>IF(Tabla1[[#This Row],[DIAS]]&gt;89,+K3867*J3867*(1+1%/365*Tabla1[[#This Row],[DIAS]]),Tabla1[[#This Row],[ACOBRAR]])</f>
        <v>#VALUE!</v>
      </c>
      <c r="M3867" t="e">
        <f>+L3867-Tabla1[[#This Row],[ACOBRAR]]</f>
        <v>#VALUE!</v>
      </c>
    </row>
    <row r="3868" spans="1:13" ht="13.5" customHeight="1">
      <c r="A3868" s="532">
        <v>45366</v>
      </c>
      <c r="B3868" s="615">
        <v>150000</v>
      </c>
      <c r="C3868" s="615">
        <f t="shared" si="456"/>
        <v>158630.13698630137</v>
      </c>
      <c r="D3868" s="532">
        <f t="shared" si="457"/>
        <v>45396</v>
      </c>
      <c r="E3868" s="534">
        <v>30</v>
      </c>
      <c r="F3868" s="653">
        <v>0.7</v>
      </c>
      <c r="G3868" s="536" t="s">
        <v>258</v>
      </c>
      <c r="H3868">
        <f t="shared" si="455"/>
        <v>8630.1369863013679</v>
      </c>
      <c r="I3868" t="e">
        <f>VLOOKUP(Tabla1[[#This Row],[FECHA]],TablaUVA[#All],2)</f>
        <v>#VALUE!</v>
      </c>
      <c r="J3868" t="e">
        <f>VLOOKUP(Tabla1[[#This Row],[VTO.]],TablaUVA[#All],2)</f>
        <v>#VALUE!</v>
      </c>
      <c r="K3868" t="e">
        <f>+Tabla1[[#This Row],[DEPOSITADO]]/I3868</f>
        <v>#VALUE!</v>
      </c>
      <c r="L3868" t="e">
        <f>IF(Tabla1[[#This Row],[DIAS]]&gt;89,+K3868*J3868*(1+1%/365*Tabla1[[#This Row],[DIAS]]),Tabla1[[#This Row],[ACOBRAR]])</f>
        <v>#VALUE!</v>
      </c>
      <c r="M3868" t="e">
        <f>+L3868-Tabla1[[#This Row],[ACOBRAR]]</f>
        <v>#VALUE!</v>
      </c>
    </row>
    <row r="3869" spans="1:13" ht="13.5" customHeight="1">
      <c r="A3869" s="532">
        <v>45366</v>
      </c>
      <c r="B3869" s="615">
        <v>96000</v>
      </c>
      <c r="C3869" s="615">
        <f t="shared" si="456"/>
        <v>101523.28767123287</v>
      </c>
      <c r="D3869" s="532">
        <f t="shared" si="457"/>
        <v>45396</v>
      </c>
      <c r="E3869" s="534">
        <v>30</v>
      </c>
      <c r="F3869" s="653">
        <v>0.7</v>
      </c>
      <c r="G3869" s="536" t="s">
        <v>264</v>
      </c>
      <c r="H3869">
        <f t="shared" si="455"/>
        <v>5523.2876712328725</v>
      </c>
      <c r="I3869" t="e">
        <f>VLOOKUP(Tabla1[[#This Row],[FECHA]],TablaUVA[#All],2)</f>
        <v>#VALUE!</v>
      </c>
      <c r="J3869" t="e">
        <f>VLOOKUP(Tabla1[[#This Row],[VTO.]],TablaUVA[#All],2)</f>
        <v>#VALUE!</v>
      </c>
      <c r="K3869" t="e">
        <f>+Tabla1[[#This Row],[DEPOSITADO]]/I3869</f>
        <v>#VALUE!</v>
      </c>
      <c r="L3869" t="e">
        <f>IF(Tabla1[[#This Row],[DIAS]]&gt;89,+K3869*J3869*(1+1%/365*Tabla1[[#This Row],[DIAS]]),Tabla1[[#This Row],[ACOBRAR]])</f>
        <v>#VALUE!</v>
      </c>
      <c r="M3869" t="e">
        <f>+L3869-Tabla1[[#This Row],[ACOBRAR]]</f>
        <v>#VALUE!</v>
      </c>
    </row>
    <row r="3870" spans="1:13" ht="13.5" customHeight="1">
      <c r="A3870" s="532">
        <v>45369</v>
      </c>
      <c r="B3870" s="615">
        <v>190000</v>
      </c>
      <c r="C3870" s="615">
        <f t="shared" ref="A3870:C3870" si="458">B3870+(B3870*F3870/365*E3870)*1</f>
        <v>201087.67123287672</v>
      </c>
      <c r="D3870" s="532">
        <f t="shared" ref="A3870:D3870" si="459">+A3870+E3870</f>
        <v>45399</v>
      </c>
      <c r="E3870" s="534">
        <v>30</v>
      </c>
      <c r="F3870" s="653">
        <f>71%</f>
        <v>0.71</v>
      </c>
      <c r="G3870" s="536" t="s">
        <v>260</v>
      </c>
      <c r="H3870">
        <f t="shared" ref="A3870:H3871" si="460">(C3870-B3870)/E3870*30</f>
        <v>11087.671232876717</v>
      </c>
      <c r="I3870" t="e">
        <f>VLOOKUP(Tabla1[[#This Row],[FECHA]],TablaUVA[#All],2)</f>
        <v>#VALUE!</v>
      </c>
      <c r="J3870" t="e">
        <f>VLOOKUP(Tabla1[[#This Row],[VTO.]],TablaUVA[#All],2)</f>
        <v>#VALUE!</v>
      </c>
      <c r="K3870" t="e">
        <f>+Tabla1[[#This Row],[DEPOSITADO]]/I3870</f>
        <v>#VALUE!</v>
      </c>
      <c r="L3870" t="e">
        <f>IF(Tabla1[[#This Row],[DIAS]]&gt;89,+K3870*J3870*(1+1%/365*Tabla1[[#This Row],[DIAS]]),Tabla1[[#This Row],[ACOBRAR]])</f>
        <v>#VALUE!</v>
      </c>
      <c r="M3870" t="e">
        <f>+L3870-Tabla1[[#This Row],[ACOBRAR]]</f>
        <v>#VALUE!</v>
      </c>
    </row>
    <row r="3871" spans="1:13" ht="13.5" customHeight="1">
      <c r="A3871" s="532">
        <v>45369</v>
      </c>
      <c r="B3871" s="615">
        <v>165000</v>
      </c>
      <c r="C3871" s="615">
        <f t="shared" ref="A3871:C3871" si="461">B3871+(B3871*F3871/365*E3871)*1</f>
        <v>174628.76712328766</v>
      </c>
      <c r="D3871" s="532">
        <f t="shared" ref="A3871:D3871" si="462">+A3871+E3871</f>
        <v>45399</v>
      </c>
      <c r="E3871" s="534">
        <v>30</v>
      </c>
      <c r="F3871" s="653">
        <f>71%</f>
        <v>0.71</v>
      </c>
      <c r="G3871" s="536" t="s">
        <v>260</v>
      </c>
      <c r="H3871">
        <f t="shared" si="460"/>
        <v>9628.7671232876601</v>
      </c>
      <c r="I3871" t="e">
        <f>VLOOKUP(Tabla1[[#This Row],[FECHA]],TablaUVA[#All],2)</f>
        <v>#VALUE!</v>
      </c>
      <c r="J3871" t="e">
        <f>VLOOKUP(Tabla1[[#This Row],[VTO.]],TablaUVA[#All],2)</f>
        <v>#VALUE!</v>
      </c>
      <c r="K3871" t="e">
        <f>+Tabla1[[#This Row],[DEPOSITADO]]/I3871</f>
        <v>#VALUE!</v>
      </c>
      <c r="L3871" t="e">
        <f>IF(Tabla1[[#This Row],[DIAS]]&gt;89,+K3871*J3871*(1+1%/365*Tabla1[[#This Row],[DIAS]]),Tabla1[[#This Row],[ACOBRAR]])</f>
        <v>#VALUE!</v>
      </c>
      <c r="M3871" t="e">
        <f>+L3871-Tabla1[[#This Row],[ACOBRAR]]</f>
        <v>#VALUE!</v>
      </c>
    </row>
    <row r="3872" spans="1:13" ht="13.5" customHeight="1">
      <c r="A3872" s="532">
        <v>45370</v>
      </c>
      <c r="B3872" s="615">
        <v>139000</v>
      </c>
      <c r="C3872" s="615">
        <f t="shared" ref="A3872:C3872" si="463">B3872+(B3872*F3872/365*E3872)*1</f>
        <v>147111.50684931508</v>
      </c>
      <c r="D3872" s="532">
        <f t="shared" ref="A3872:D3872" si="464">+A3872+E3872</f>
        <v>45400</v>
      </c>
      <c r="E3872" s="534">
        <v>30</v>
      </c>
      <c r="F3872" s="653">
        <f>71%</f>
        <v>0.71</v>
      </c>
      <c r="G3872" s="536" t="s">
        <v>260</v>
      </c>
      <c r="H3872">
        <f t="shared" ref="A3872:H3873" si="465">(C3872-B3872)/E3872*30</f>
        <v>8111.5068493150748</v>
      </c>
      <c r="I3872" t="e">
        <f>VLOOKUP(Tabla1[[#This Row],[FECHA]],TablaUVA[#All],2)</f>
        <v>#VALUE!</v>
      </c>
      <c r="J3872" t="e">
        <f>VLOOKUP(Tabla1[[#This Row],[VTO.]],TablaUVA[#All],2)</f>
        <v>#VALUE!</v>
      </c>
      <c r="K3872" t="e">
        <f>+Tabla1[[#This Row],[DEPOSITADO]]/I3872</f>
        <v>#VALUE!</v>
      </c>
      <c r="L3872" t="e">
        <f>IF(Tabla1[[#This Row],[DIAS]]&gt;89,+K3872*J3872*(1+1%/365*Tabla1[[#This Row],[DIAS]]),Tabla1[[#This Row],[ACOBRAR]])</f>
        <v>#VALUE!</v>
      </c>
      <c r="M3872" t="e">
        <f>+L3872-Tabla1[[#This Row],[ACOBRAR]]</f>
        <v>#VALUE!</v>
      </c>
    </row>
    <row r="3873" spans="1:13" ht="13.5" customHeight="1">
      <c r="A3873" s="532">
        <v>45370</v>
      </c>
      <c r="B3873" s="615">
        <v>185000</v>
      </c>
      <c r="C3873" s="615">
        <f t="shared" ref="A3873:C3873" si="466">B3873+(B3873*F3873/365*E3873)*1</f>
        <v>195643.83561643836</v>
      </c>
      <c r="D3873" s="532">
        <f t="shared" ref="A3873:D3873" si="467">+A3873+E3873</f>
        <v>45400</v>
      </c>
      <c r="E3873" s="534">
        <v>30</v>
      </c>
      <c r="F3873" s="653">
        <f>70%</f>
        <v>0.7</v>
      </c>
      <c r="G3873" s="536" t="s">
        <v>261</v>
      </c>
      <c r="H3873">
        <f t="shared" si="465"/>
        <v>10643.835616438359</v>
      </c>
      <c r="I3873" t="e">
        <f>VLOOKUP(Tabla1[[#This Row],[FECHA]],TablaUVA[#All],2)</f>
        <v>#VALUE!</v>
      </c>
      <c r="J3873" t="e">
        <f>VLOOKUP(Tabla1[[#This Row],[VTO.]],TablaUVA[#All],2)</f>
        <v>#VALUE!</v>
      </c>
      <c r="K3873" t="e">
        <f>+Tabla1[[#This Row],[DEPOSITADO]]/I3873</f>
        <v>#VALUE!</v>
      </c>
      <c r="L3873" t="e">
        <f>IF(Tabla1[[#This Row],[DIAS]]&gt;89,+K3873*J3873*(1+1%/365*Tabla1[[#This Row],[DIAS]]),Tabla1[[#This Row],[ACOBRAR]])</f>
        <v>#VALUE!</v>
      </c>
      <c r="M3873" t="e">
        <f>+L3873-Tabla1[[#This Row],[ACOBRAR]]</f>
        <v>#VALUE!</v>
      </c>
    </row>
    <row r="3874" spans="1:13" ht="13.5" customHeight="1">
      <c r="A3874" s="532">
        <v>45371</v>
      </c>
      <c r="B3874" s="615">
        <v>43000</v>
      </c>
      <c r="C3874" s="615">
        <f t="shared" ref="A3874:C3874" si="468">B3874+(B3874*F3874/365*E3874)*1</f>
        <v>45509.315068493153</v>
      </c>
      <c r="D3874" s="532">
        <f t="shared" ref="A3874:D3874" si="469">+A3874+E3874</f>
        <v>45401</v>
      </c>
      <c r="E3874" s="534">
        <v>30</v>
      </c>
      <c r="F3874" s="653">
        <f>71%</f>
        <v>0.71</v>
      </c>
      <c r="G3874" s="536" t="s">
        <v>260</v>
      </c>
      <c r="H3874">
        <v>2544.1666666666642</v>
      </c>
      <c r="I3874">
        <v>761.35</v>
      </c>
      <c r="J3874">
        <v>857.06</v>
      </c>
      <c r="K3874">
        <v>56.478623497734283</v>
      </c>
      <c r="L3874">
        <v>45544.166666666664</v>
      </c>
      <c r="M3874">
        <v>0</v>
      </c>
    </row>
    <row r="3875" spans="1:13" ht="13.5" customHeight="1">
      <c r="A3875" s="532">
        <v>45372</v>
      </c>
      <c r="B3875" s="615">
        <v>150000</v>
      </c>
      <c r="C3875" s="615">
        <f t="shared" ref="A3875:C3875" si="470">B3875+(B3875*F3875/365*E3875)*1</f>
        <v>159205.4794520548</v>
      </c>
      <c r="D3875" s="532">
        <f t="shared" ref="A3875:D3875" si="471">+A3875+E3875</f>
        <v>45404</v>
      </c>
      <c r="E3875" s="534">
        <v>32</v>
      </c>
      <c r="F3875" s="653">
        <v>0.7</v>
      </c>
      <c r="G3875" s="536" t="s">
        <v>256</v>
      </c>
      <c r="H3875">
        <f>(C3875-B3875)/E3875*30</f>
        <v>8630.136986301377</v>
      </c>
      <c r="I3875" t="e">
        <f>VLOOKUP(Tabla1[[#This Row],[FECHA]],TablaUVA[#All],2)</f>
        <v>#VALUE!</v>
      </c>
      <c r="J3875" t="e">
        <f>VLOOKUP(Tabla1[[#This Row],[VTO.]],TablaUVA[#All],2)</f>
        <v>#VALUE!</v>
      </c>
      <c r="K3875" t="e">
        <f>+Tabla1[[#This Row],[DEPOSITADO]]/I3875</f>
        <v>#VALUE!</v>
      </c>
      <c r="L3875" t="e">
        <f>IF(Tabla1[[#This Row],[DIAS]]&gt;89,+K3875*J3875*(1+1%/365*Tabla1[[#This Row],[DIAS]]),Tabla1[[#This Row],[ACOBRAR]])</f>
        <v>#VALUE!</v>
      </c>
      <c r="M3875" t="e">
        <f>+L3875-Tabla1[[#This Row],[ACOBRAR]]</f>
        <v>#VALUE!</v>
      </c>
    </row>
    <row r="3876" spans="1:13" ht="13.5" customHeight="1">
      <c r="A3876" s="532">
        <v>45372</v>
      </c>
      <c r="B3876" s="615">
        <v>57000</v>
      </c>
      <c r="C3876" s="615">
        <f t="shared" ref="A3876:C3878" si="472">B3876+(B3876*F3876/365*E3876)*1</f>
        <v>60498.082191780821</v>
      </c>
      <c r="D3876" s="532">
        <f t="shared" ref="A3876:D3878" si="473">+A3876+E3876</f>
        <v>45404</v>
      </c>
      <c r="E3876" s="534">
        <v>32</v>
      </c>
      <c r="F3876" s="653">
        <v>0.7</v>
      </c>
      <c r="G3876" s="536" t="s">
        <v>261</v>
      </c>
      <c r="H3876">
        <f>(C3876-B3876)/E3876*30</f>
        <v>3279.4520547945194</v>
      </c>
      <c r="I3876" t="e">
        <f>VLOOKUP(Tabla1[[#This Row],[FECHA]],TablaUVA[#All],2)</f>
        <v>#VALUE!</v>
      </c>
      <c r="J3876" t="e">
        <f>VLOOKUP(Tabla1[[#This Row],[VTO.]],TablaUVA[#All],2)</f>
        <v>#VALUE!</v>
      </c>
      <c r="K3876" t="e">
        <f>+Tabla1[[#This Row],[DEPOSITADO]]/I3876</f>
        <v>#VALUE!</v>
      </c>
      <c r="L3876" t="e">
        <f>IF(Tabla1[[#This Row],[DIAS]]&gt;89,+K3876*J3876*(1+1%/365*Tabla1[[#This Row],[DIAS]]),Tabla1[[#This Row],[ACOBRAR]])</f>
        <v>#VALUE!</v>
      </c>
      <c r="M3876" t="e">
        <f>+L3876-Tabla1[[#This Row],[ACOBRAR]]</f>
        <v>#VALUE!</v>
      </c>
    </row>
    <row r="3877" spans="1:13" ht="13.5" customHeight="1">
      <c r="A3877" s="532">
        <v>45372</v>
      </c>
      <c r="B3877" s="615">
        <v>100000</v>
      </c>
      <c r="C3877" s="615">
        <f t="shared" si="472"/>
        <v>106136.98630136986</v>
      </c>
      <c r="D3877" s="532">
        <f t="shared" si="473"/>
        <v>45404</v>
      </c>
      <c r="E3877" s="534">
        <v>32</v>
      </c>
      <c r="F3877" s="653">
        <v>0.7</v>
      </c>
      <c r="G3877" s="536" t="s">
        <v>256</v>
      </c>
      <c r="H3877">
        <f>(C3877-B3877)/E3877*30</f>
        <v>5753.4246575342468</v>
      </c>
      <c r="I3877" t="e">
        <f>VLOOKUP(Tabla1[[#This Row],[FECHA]],TablaUVA[#All],2)</f>
        <v>#VALUE!</v>
      </c>
      <c r="J3877" t="e">
        <f>VLOOKUP(Tabla1[[#This Row],[VTO.]],TablaUVA[#All],2)</f>
        <v>#VALUE!</v>
      </c>
      <c r="K3877" t="e">
        <f>+Tabla1[[#This Row],[DEPOSITADO]]/I3877</f>
        <v>#VALUE!</v>
      </c>
      <c r="L3877" t="e">
        <f>IF(Tabla1[[#This Row],[DIAS]]&gt;89,+K3877*J3877*(1+1%/365*Tabla1[[#This Row],[DIAS]]),Tabla1[[#This Row],[ACOBRAR]])</f>
        <v>#VALUE!</v>
      </c>
      <c r="M3877" t="e">
        <f>+L3877-Tabla1[[#This Row],[ACOBRAR]]</f>
        <v>#VALUE!</v>
      </c>
    </row>
    <row r="3878" spans="1:13" ht="13.5" customHeight="1">
      <c r="A3878" s="532">
        <v>45373</v>
      </c>
      <c r="B3878" s="615">
        <v>20800</v>
      </c>
      <c r="C3878" s="615">
        <f t="shared" si="472"/>
        <v>22036.602739726026</v>
      </c>
      <c r="D3878" s="532">
        <f t="shared" si="473"/>
        <v>45404</v>
      </c>
      <c r="E3878" s="534">
        <v>31</v>
      </c>
      <c r="F3878" s="653">
        <v>0.7</v>
      </c>
      <c r="G3878" s="536" t="s">
        <v>259</v>
      </c>
      <c r="H3878">
        <f>(C3878-B3878)/E3878*30</f>
        <v>1196.7123287671218</v>
      </c>
      <c r="I3878" t="e">
        <f>VLOOKUP(Tabla1[[#This Row],[FECHA]],TablaUVA[#All],2)</f>
        <v>#VALUE!</v>
      </c>
      <c r="J3878" t="e">
        <f>VLOOKUP(Tabla1[[#This Row],[VTO.]],TablaUVA[#All],2)</f>
        <v>#VALUE!</v>
      </c>
      <c r="K3878" t="e">
        <f>+Tabla1[[#This Row],[DEPOSITADO]]/I3878</f>
        <v>#VALUE!</v>
      </c>
      <c r="L3878" t="e">
        <f>IF(Tabla1[[#This Row],[DIAS]]&gt;89,+K3878*J3878*(1+1%/365*Tabla1[[#This Row],[DIAS]]),Tabla1[[#This Row],[ACOBRAR]])</f>
        <v>#VALUE!</v>
      </c>
      <c r="M3878" t="e">
        <f>+L3878-Tabla1[[#This Row],[ACOBRAR]]</f>
        <v>#VALUE!</v>
      </c>
    </row>
    <row r="3879" spans="1:13" ht="13.5" customHeight="1">
      <c r="A3879" s="532">
        <v>45376</v>
      </c>
      <c r="B3879" s="615">
        <v>115000</v>
      </c>
      <c r="C3879" s="615">
        <f t="shared" ref="A3879:C3881" si="474">B3879+(B3879*F3879/365*E3879)*1</f>
        <v>121616.43835616438</v>
      </c>
      <c r="D3879" s="532">
        <f t="shared" ref="A3879:D3887" si="475">+A3879+E3879</f>
        <v>45406</v>
      </c>
      <c r="E3879" s="534">
        <v>30</v>
      </c>
      <c r="F3879" s="653">
        <v>0.7</v>
      </c>
      <c r="G3879" s="536" t="s">
        <v>261</v>
      </c>
      <c r="H3879">
        <v>6708.3333333333285</v>
      </c>
      <c r="I3879">
        <v>770.54</v>
      </c>
      <c r="J3879">
        <v>872.1</v>
      </c>
      <c r="K3879">
        <v>149.24598333636152</v>
      </c>
      <c r="L3879">
        <v>121708.33333333333</v>
      </c>
      <c r="M3879">
        <v>0</v>
      </c>
    </row>
    <row r="3880" spans="1:13" ht="13.5" customHeight="1">
      <c r="A3880" s="532">
        <v>45376</v>
      </c>
      <c r="B3880" s="615">
        <v>118000</v>
      </c>
      <c r="C3880" s="615">
        <f t="shared" si="474"/>
        <v>124886.02739726027</v>
      </c>
      <c r="D3880" s="532">
        <f t="shared" si="475"/>
        <v>45406</v>
      </c>
      <c r="E3880" s="534">
        <v>30</v>
      </c>
      <c r="F3880" s="653">
        <v>0.71</v>
      </c>
      <c r="G3880" s="536" t="s">
        <v>260</v>
      </c>
      <c r="H3880">
        <v>6981.666666666657</v>
      </c>
      <c r="I3880">
        <v>770.54</v>
      </c>
      <c r="J3880">
        <v>872.1</v>
      </c>
      <c r="K3880">
        <v>153.13935681470139</v>
      </c>
      <c r="L3880">
        <v>124981.66666666666</v>
      </c>
      <c r="M3880">
        <v>0</v>
      </c>
    </row>
    <row r="3881" spans="1:13" ht="13.5" customHeight="1">
      <c r="A3881" s="532">
        <v>45376</v>
      </c>
      <c r="B3881" s="615">
        <v>95000</v>
      </c>
      <c r="C3881" s="615">
        <f t="shared" si="474"/>
        <v>100465.75342465754</v>
      </c>
      <c r="D3881" s="532">
        <f t="shared" si="475"/>
        <v>45406</v>
      </c>
      <c r="E3881" s="534">
        <v>30</v>
      </c>
      <c r="F3881" s="653">
        <v>0.7</v>
      </c>
      <c r="G3881" s="536" t="s">
        <v>256</v>
      </c>
      <c r="H3881">
        <v>5541.6666666666715</v>
      </c>
      <c r="I3881">
        <v>770.54</v>
      </c>
      <c r="J3881">
        <v>872.1</v>
      </c>
      <c r="K3881">
        <v>123.29016014742908</v>
      </c>
      <c r="L3881">
        <v>100541.66666666667</v>
      </c>
      <c r="M3881">
        <v>0</v>
      </c>
    </row>
    <row r="3882" spans="1:13" ht="13.5" customHeight="1">
      <c r="A3882" s="532">
        <v>45377</v>
      </c>
      <c r="B3882" s="615">
        <v>100000</v>
      </c>
      <c r="C3882" s="615">
        <f t="shared" ref="A3882:C3884" si="476">B3882+(B3882*F3882/365*E3882)*1</f>
        <v>105753.42465753424</v>
      </c>
      <c r="D3882" s="532">
        <f t="shared" si="475"/>
        <v>45407</v>
      </c>
      <c r="E3882" s="534">
        <v>30</v>
      </c>
      <c r="F3882" s="653">
        <v>0.7</v>
      </c>
      <c r="G3882" s="536" t="s">
        <v>261</v>
      </c>
      <c r="H3882">
        <f t="shared" ref="A3882:H3884" si="477">(C3882-B3882)/E3882*30</f>
        <v>5753.4246575342404</v>
      </c>
      <c r="I3882" t="e">
        <f>VLOOKUP(Tabla1[[#This Row],[FECHA]],TablaUVA[#All],2)</f>
        <v>#VALUE!</v>
      </c>
      <c r="J3882" t="e">
        <f>VLOOKUP(Tabla1[[#This Row],[VTO.]],TablaUVA[#All],2)</f>
        <v>#VALUE!</v>
      </c>
      <c r="K3882" t="e">
        <f>+Tabla1[[#This Row],[DEPOSITADO]]/I3882</f>
        <v>#VALUE!</v>
      </c>
      <c r="L3882" t="e">
        <f>IF(Tabla1[[#This Row],[DIAS]]&gt;89,+K3882*J3882*(1+1%/365*Tabla1[[#This Row],[DIAS]]),Tabla1[[#This Row],[ACOBRAR]])</f>
        <v>#VALUE!</v>
      </c>
      <c r="M3882" t="e">
        <f>+L3882-Tabla1[[#This Row],[ACOBRAR]]</f>
        <v>#VALUE!</v>
      </c>
    </row>
    <row r="3883" spans="1:13" ht="13.5" customHeight="1">
      <c r="A3883" s="532">
        <v>45377</v>
      </c>
      <c r="B3883" s="615">
        <v>100000</v>
      </c>
      <c r="C3883" s="615">
        <f t="shared" si="476"/>
        <v>105753.42465753424</v>
      </c>
      <c r="D3883" s="532">
        <f t="shared" si="475"/>
        <v>45407</v>
      </c>
      <c r="E3883" s="534">
        <v>30</v>
      </c>
      <c r="F3883" s="653">
        <v>0.7</v>
      </c>
      <c r="G3883" s="536" t="s">
        <v>261</v>
      </c>
      <c r="H3883">
        <f t="shared" si="477"/>
        <v>5753.4246575342404</v>
      </c>
      <c r="I3883" t="e">
        <f>VLOOKUP(Tabla1[[#This Row],[FECHA]],TablaUVA[#All],2)</f>
        <v>#VALUE!</v>
      </c>
      <c r="J3883" t="e">
        <f>VLOOKUP(Tabla1[[#This Row],[VTO.]],TablaUVA[#All],2)</f>
        <v>#VALUE!</v>
      </c>
      <c r="K3883" t="e">
        <f>+Tabla1[[#This Row],[DEPOSITADO]]/I3883</f>
        <v>#VALUE!</v>
      </c>
      <c r="L3883" t="e">
        <f>IF(Tabla1[[#This Row],[DIAS]]&gt;89,+K3883*J3883*(1+1%/365*Tabla1[[#This Row],[DIAS]]),Tabla1[[#This Row],[ACOBRAR]])</f>
        <v>#VALUE!</v>
      </c>
      <c r="M3883" t="e">
        <f>+L3883-Tabla1[[#This Row],[ACOBRAR]]</f>
        <v>#VALUE!</v>
      </c>
    </row>
    <row r="3884" spans="1:13" ht="13.5" customHeight="1">
      <c r="A3884" s="532">
        <v>45377</v>
      </c>
      <c r="B3884" s="615">
        <v>150000</v>
      </c>
      <c r="C3884" s="615">
        <f t="shared" si="476"/>
        <v>158630.13698630137</v>
      </c>
      <c r="D3884" s="532">
        <f t="shared" si="475"/>
        <v>45407</v>
      </c>
      <c r="E3884" s="534">
        <v>30</v>
      </c>
      <c r="F3884" s="653">
        <v>0.7</v>
      </c>
      <c r="G3884" s="536" t="s">
        <v>258</v>
      </c>
      <c r="H3884">
        <f t="shared" si="477"/>
        <v>8630.1369863013679</v>
      </c>
      <c r="I3884" t="e">
        <f>VLOOKUP(Tabla1[[#This Row],[FECHA]],TablaUVA[#All],2)</f>
        <v>#VALUE!</v>
      </c>
      <c r="J3884" t="e">
        <f>VLOOKUP(Tabla1[[#This Row],[VTO.]],TablaUVA[#All],2)</f>
        <v>#VALUE!</v>
      </c>
      <c r="K3884" t="e">
        <f>+Tabla1[[#This Row],[DEPOSITADO]]/I3884</f>
        <v>#VALUE!</v>
      </c>
      <c r="L3884" t="e">
        <f>IF(Tabla1[[#This Row],[DIAS]]&gt;89,+K3884*J3884*(1+1%/365*Tabla1[[#This Row],[DIAS]]),Tabla1[[#This Row],[ACOBRAR]])</f>
        <v>#VALUE!</v>
      </c>
      <c r="M3884" t="e">
        <f>+L3884-Tabla1[[#This Row],[ACOBRAR]]</f>
        <v>#VALUE!</v>
      </c>
    </row>
    <row r="3885" spans="1:13" ht="13.5" customHeight="1">
      <c r="A3885" s="532">
        <v>45378</v>
      </c>
      <c r="B3885" s="615">
        <v>150000</v>
      </c>
      <c r="C3885" s="615">
        <f t="shared" ref="A3885:C3885" si="478">B3885+(B3885*F3885/365*E3885)*1</f>
        <v>158630.13698630137</v>
      </c>
      <c r="D3885" s="532">
        <f t="shared" si="475"/>
        <v>45408</v>
      </c>
      <c r="E3885" s="534">
        <v>30</v>
      </c>
      <c r="F3885" s="653">
        <v>0.7</v>
      </c>
      <c r="G3885" s="536" t="s">
        <v>261</v>
      </c>
      <c r="H3885">
        <f>(C3885-B3885)/E3885*30</f>
        <v>8630.1369863013679</v>
      </c>
      <c r="I3885" t="e">
        <f>VLOOKUP(Tabla1[[#This Row],[FECHA]],TablaUVA[#All],2)</f>
        <v>#VALUE!</v>
      </c>
      <c r="J3885" t="e">
        <f>VLOOKUP(Tabla1[[#This Row],[VTO.]],TablaUVA[#All],2)</f>
        <v>#VALUE!</v>
      </c>
      <c r="K3885" t="e">
        <f>+Tabla1[[#This Row],[DEPOSITADO]]/I3885</f>
        <v>#VALUE!</v>
      </c>
      <c r="L3885" t="e">
        <f>IF(Tabla1[[#This Row],[DIAS]]&gt;89,+K3885*J3885*(1+1%/365*Tabla1[[#This Row],[DIAS]]),Tabla1[[#This Row],[ACOBRAR]])</f>
        <v>#VALUE!</v>
      </c>
      <c r="M3885" t="e">
        <f>+L3885-Tabla1[[#This Row],[ACOBRAR]]</f>
        <v>#VALUE!</v>
      </c>
    </row>
    <row r="3886" spans="1:13" ht="13.5" customHeight="1">
      <c r="A3886" s="532">
        <v>45378</v>
      </c>
      <c r="B3886" s="615">
        <v>92800</v>
      </c>
      <c r="C3886" s="615">
        <f t="shared" ref="A3886:C3886" si="479">B3886+(B3886*F3886/365*E3886)*1</f>
        <v>98139.178082191778</v>
      </c>
      <c r="D3886" s="532">
        <f t="shared" si="475"/>
        <v>45408</v>
      </c>
      <c r="E3886" s="534">
        <v>30</v>
      </c>
      <c r="F3886" s="653">
        <v>0.7</v>
      </c>
      <c r="G3886" s="536" t="s">
        <v>259</v>
      </c>
      <c r="H3886">
        <f>(C3886-B3886)/E3886*30</f>
        <v>5339.1780821917782</v>
      </c>
      <c r="I3886" t="e">
        <f>VLOOKUP(Tabla1[[#This Row],[FECHA]],TablaUVA[#All],2)</f>
        <v>#VALUE!</v>
      </c>
      <c r="J3886" t="e">
        <f>VLOOKUP(Tabla1[[#This Row],[VTO.]],TablaUVA[#All],2)</f>
        <v>#VALUE!</v>
      </c>
      <c r="K3886" t="e">
        <f>+Tabla1[[#This Row],[DEPOSITADO]]/I3886</f>
        <v>#VALUE!</v>
      </c>
      <c r="L3886" t="e">
        <f>IF(Tabla1[[#This Row],[DIAS]]&gt;89,+K3886*J3886*(1+1%/365*Tabla1[[#This Row],[DIAS]]),Tabla1[[#This Row],[ACOBRAR]])</f>
        <v>#VALUE!</v>
      </c>
      <c r="M3886" t="e">
        <f>+L3886-Tabla1[[#This Row],[ACOBRAR]]</f>
        <v>#VALUE!</v>
      </c>
    </row>
    <row r="3887" spans="1:13" ht="13.5" customHeight="1">
      <c r="A3887" s="532">
        <v>45385</v>
      </c>
      <c r="B3887" s="615">
        <v>250000</v>
      </c>
      <c r="C3887" s="615">
        <f t="shared" ref="A3887:C3887" si="480">B3887+(B3887*F3887/365*E3887)*1</f>
        <v>264383.56164383562</v>
      </c>
      <c r="D3887" s="532">
        <f t="shared" si="475"/>
        <v>45415</v>
      </c>
      <c r="E3887" s="534">
        <v>30</v>
      </c>
      <c r="F3887" s="653">
        <v>0.7</v>
      </c>
      <c r="G3887" s="536" t="s">
        <v>262</v>
      </c>
      <c r="H3887">
        <v>14383.561643835623</v>
      </c>
      <c r="I3887">
        <v>786.1</v>
      </c>
      <c r="J3887">
        <v>899.84</v>
      </c>
      <c r="K3887">
        <v>318.0256964762753</v>
      </c>
      <c r="L3887">
        <v>264383.56164383562</v>
      </c>
      <c r="M3887">
        <v>0</v>
      </c>
    </row>
    <row r="3888" spans="1:13" ht="13.5" customHeight="1">
      <c r="A3888" s="532">
        <v>45387</v>
      </c>
      <c r="B3888" s="615">
        <v>30400</v>
      </c>
      <c r="C3888" s="615">
        <f>B3888+(B3888*F3888/365*E3888)*1</f>
        <v>32207.342465753423</v>
      </c>
      <c r="D3888" s="532">
        <f t="shared" ref="A3888:D3888" si="481">+A3888+E3888</f>
        <v>45418</v>
      </c>
      <c r="E3888" s="534">
        <v>31</v>
      </c>
      <c r="F3888" s="653">
        <v>0.7</v>
      </c>
      <c r="G3888" s="536" t="s">
        <v>259</v>
      </c>
      <c r="H3888">
        <f t="shared" ref="A3888:H3889" si="482">(C3888-B3888)/E3888*30</f>
        <v>1749.0410958904097</v>
      </c>
      <c r="I3888" t="e">
        <f>VLOOKUP(Tabla1[[#This Row],[FECHA]],TablaUVA[#All],2)</f>
        <v>#VALUE!</v>
      </c>
      <c r="J3888" t="e">
        <f>VLOOKUP(Tabla1[[#This Row],[VTO.]],TablaUVA[#All],2)</f>
        <v>#VALUE!</v>
      </c>
      <c r="K3888" t="e">
        <f>+Tabla1[[#This Row],[DEPOSITADO]]/I3888</f>
        <v>#VALUE!</v>
      </c>
      <c r="L3888" t="e">
        <f>IF(Tabla1[[#This Row],[DIAS]]&gt;89,+K3888*J3888*(1+1%/365*Tabla1[[#This Row],[DIAS]]),Tabla1[[#This Row],[ACOBRAR]])</f>
        <v>#VALUE!</v>
      </c>
      <c r="M3888" t="e">
        <f>+L3888-Tabla1[[#This Row],[ACOBRAR]]</f>
        <v>#VALUE!</v>
      </c>
    </row>
    <row r="3889" spans="1:13" ht="13.5" customHeight="1">
      <c r="A3889" s="532">
        <v>45386</v>
      </c>
      <c r="B3889" s="615">
        <v>140000</v>
      </c>
      <c r="C3889" s="615">
        <f t="shared" ref="A3889:C3889" si="483">B3889+(B3889*F3889/365*E3889)*1</f>
        <v>148591.78082191781</v>
      </c>
      <c r="D3889" s="532">
        <f t="shared" ref="A3889:D3889" si="484">+A3889+E3889</f>
        <v>45418</v>
      </c>
      <c r="E3889" s="534">
        <v>32</v>
      </c>
      <c r="F3889" s="653">
        <v>0.7</v>
      </c>
      <c r="G3889" s="536" t="s">
        <v>258</v>
      </c>
      <c r="H3889">
        <f t="shared" si="482"/>
        <v>8054.7945205479482</v>
      </c>
      <c r="I3889" t="e">
        <f>VLOOKUP(Tabla1[[#This Row],[FECHA]],TablaUVA[#All],2)</f>
        <v>#VALUE!</v>
      </c>
      <c r="J3889" t="e">
        <f>VLOOKUP(Tabla1[[#This Row],[VTO.]],TablaUVA[#All],2)</f>
        <v>#VALUE!</v>
      </c>
      <c r="K3889" t="e">
        <f>+Tabla1[[#This Row],[DEPOSITADO]]/I3889</f>
        <v>#VALUE!</v>
      </c>
      <c r="L3889" t="e">
        <f>IF(Tabla1[[#This Row],[DIAS]]&gt;89,+K3889*J3889*(1+1%/365*Tabla1[[#This Row],[DIAS]]),Tabla1[[#This Row],[ACOBRAR]])</f>
        <v>#VALUE!</v>
      </c>
      <c r="M3889" t="e">
        <f>+L3889-Tabla1[[#This Row],[ACOBRAR]]</f>
        <v>#VALUE!</v>
      </c>
    </row>
    <row r="3890" spans="1:13" ht="13.5" customHeight="1">
      <c r="A3890" s="532">
        <v>45390</v>
      </c>
      <c r="B3890" s="615">
        <v>104000</v>
      </c>
      <c r="C3890" s="615">
        <f t="shared" ref="A3890:C3890" si="485">B3890+(B3890*F3890/365*E3890)*1</f>
        <v>109983.56164383562</v>
      </c>
      <c r="D3890" s="532">
        <f t="shared" ref="A3890:D3890" si="486">+A3890+E3890</f>
        <v>45420</v>
      </c>
      <c r="E3890" s="534">
        <v>30</v>
      </c>
      <c r="F3890" s="653">
        <v>0.7</v>
      </c>
      <c r="G3890" s="536" t="s">
        <v>259</v>
      </c>
      <c r="H3890">
        <f t="shared" ref="A3890:H3891" si="487">(C3890-B3890)/E3890*30</f>
        <v>5983.5616438356228</v>
      </c>
      <c r="I3890" t="e">
        <f>VLOOKUP(Tabla1[[#This Row],[FECHA]],TablaUVA[#All],2)</f>
        <v>#VALUE!</v>
      </c>
      <c r="J3890" t="e">
        <f>VLOOKUP(Tabla1[[#This Row],[VTO.]],TablaUVA[#All],2)</f>
        <v>#VALUE!</v>
      </c>
      <c r="K3890" t="e">
        <f>+Tabla1[[#This Row],[DEPOSITADO]]/I3890</f>
        <v>#VALUE!</v>
      </c>
      <c r="L3890" t="e">
        <f>IF(Tabla1[[#This Row],[DIAS]]&gt;89,+K3890*J3890*(1+1%/365*Tabla1[[#This Row],[DIAS]]),Tabla1[[#This Row],[ACOBRAR]])</f>
        <v>#VALUE!</v>
      </c>
      <c r="M3890" t="e">
        <f>+L3890-Tabla1[[#This Row],[ACOBRAR]]</f>
        <v>#VALUE!</v>
      </c>
    </row>
    <row r="3891" spans="1:13" ht="13.5" customHeight="1">
      <c r="A3891" s="532">
        <v>45390</v>
      </c>
      <c r="B3891" s="615">
        <v>100000</v>
      </c>
      <c r="C3891" s="615">
        <f t="shared" ref="A3891:C3891" si="488">B3891+(B3891*F3891/365*E3891)*1</f>
        <v>105753.42465753424</v>
      </c>
      <c r="D3891" s="532">
        <f t="shared" ref="A3891:D3891" si="489">+A3891+E3891</f>
        <v>45420</v>
      </c>
      <c r="E3891" s="534">
        <v>30</v>
      </c>
      <c r="F3891" s="653">
        <v>0.7</v>
      </c>
      <c r="G3891" s="536" t="s">
        <v>262</v>
      </c>
      <c r="H3891">
        <f t="shared" si="487"/>
        <v>5753.4246575342404</v>
      </c>
      <c r="I3891" t="e">
        <f>VLOOKUP(Tabla1[[#This Row],[FECHA]],TablaUVA[#All],2)</f>
        <v>#VALUE!</v>
      </c>
      <c r="J3891" t="e">
        <f>VLOOKUP(Tabla1[[#This Row],[VTO.]],TablaUVA[#All],2)</f>
        <v>#VALUE!</v>
      </c>
      <c r="K3891" t="e">
        <f>+Tabla1[[#This Row],[DEPOSITADO]]/I3891</f>
        <v>#VALUE!</v>
      </c>
      <c r="L3891" t="e">
        <f>IF(Tabla1[[#This Row],[DIAS]]&gt;89,+K3891*J3891*(1+1%/365*Tabla1[[#This Row],[DIAS]]),Tabla1[[#This Row],[ACOBRAR]])</f>
        <v>#VALUE!</v>
      </c>
      <c r="M3891" t="e">
        <f>+L3891-Tabla1[[#This Row],[ACOBRAR]]</f>
        <v>#VALUE!</v>
      </c>
    </row>
    <row r="3892" spans="1:13" ht="13.5" customHeight="1">
      <c r="A3892" s="532">
        <v>45391</v>
      </c>
      <c r="B3892" s="615">
        <v>100000</v>
      </c>
      <c r="C3892" s="615">
        <f t="shared" ref="A3892:C3893" si="490">B3892+(B3892*F3892/365*E3892)*1</f>
        <v>105342.46575342465</v>
      </c>
      <c r="D3892" s="532">
        <f t="shared" ref="A3892:D3893" si="491">+A3892+E3892</f>
        <v>45421</v>
      </c>
      <c r="E3892" s="534">
        <v>30</v>
      </c>
      <c r="F3892" s="653">
        <v>0.65</v>
      </c>
      <c r="G3892" s="536" t="s">
        <v>261</v>
      </c>
      <c r="H3892">
        <f t="shared" ref="A3892:H3893" si="492">(C3892-B3892)/E3892*30</f>
        <v>5342.4657534246508</v>
      </c>
      <c r="I3892" t="e">
        <f>VLOOKUP(Tabla1[[#This Row],[FECHA]],TablaUVA[#All],2)</f>
        <v>#VALUE!</v>
      </c>
      <c r="J3892" t="e">
        <f>VLOOKUP(Tabla1[[#This Row],[VTO.]],TablaUVA[#All],2)</f>
        <v>#VALUE!</v>
      </c>
      <c r="K3892" t="e">
        <f>+Tabla1[[#This Row],[DEPOSITADO]]/I3892</f>
        <v>#VALUE!</v>
      </c>
      <c r="L3892" t="e">
        <f>IF(Tabla1[[#This Row],[DIAS]]&gt;89,+K3892*J3892*(1+1%/365*Tabla1[[#This Row],[DIAS]]),Tabla1[[#This Row],[ACOBRAR]])</f>
        <v>#VALUE!</v>
      </c>
      <c r="M3892" t="e">
        <f>+L3892-Tabla1[[#This Row],[ACOBRAR]]</f>
        <v>#VALUE!</v>
      </c>
    </row>
    <row r="3893" spans="1:13" ht="13.5" customHeight="1">
      <c r="A3893" s="532">
        <v>45391</v>
      </c>
      <c r="B3893" s="615">
        <v>100000</v>
      </c>
      <c r="C3893" s="615">
        <f t="shared" si="490"/>
        <v>105753.42465753424</v>
      </c>
      <c r="D3893" s="532">
        <f t="shared" si="491"/>
        <v>45421</v>
      </c>
      <c r="E3893" s="534">
        <v>30</v>
      </c>
      <c r="F3893" s="653">
        <v>0.7</v>
      </c>
      <c r="G3893" s="536" t="s">
        <v>258</v>
      </c>
      <c r="H3893">
        <f t="shared" si="492"/>
        <v>5753.4246575342404</v>
      </c>
      <c r="I3893" t="e">
        <f>VLOOKUP(Tabla1[[#This Row],[FECHA]],TablaUVA[#All],2)</f>
        <v>#VALUE!</v>
      </c>
      <c r="J3893" t="e">
        <f>VLOOKUP(Tabla1[[#This Row],[VTO.]],TablaUVA[#All],2)</f>
        <v>#VALUE!</v>
      </c>
      <c r="K3893" t="e">
        <f>+Tabla1[[#This Row],[DEPOSITADO]]/I3893</f>
        <v>#VALUE!</v>
      </c>
      <c r="L3893" t="e">
        <f>IF(Tabla1[[#This Row],[DIAS]]&gt;89,+K3893*J3893*(1+1%/365*Tabla1[[#This Row],[DIAS]]),Tabla1[[#This Row],[ACOBRAR]])</f>
        <v>#VALUE!</v>
      </c>
      <c r="M3893" t="e">
        <f>+L3893-Tabla1[[#This Row],[ACOBRAR]]</f>
        <v>#VALUE!</v>
      </c>
    </row>
    <row r="3894" spans="1:13" ht="13.5" customHeight="1">
      <c r="A3894" s="532">
        <v>45392</v>
      </c>
      <c r="B3894" s="615">
        <v>200000</v>
      </c>
      <c r="C3894" s="615">
        <f t="shared" ref="A3894:C3894" si="493">B3894+(B3894*F3894/365*E3894)*1</f>
        <v>211506.84931506848</v>
      </c>
      <c r="D3894" s="532">
        <f t="shared" ref="A3894:D3894" si="494">+A3894+E3894</f>
        <v>45422</v>
      </c>
      <c r="E3894" s="534">
        <v>30</v>
      </c>
      <c r="F3894" s="653">
        <v>0.7</v>
      </c>
      <c r="G3894" s="536" t="s">
        <v>258</v>
      </c>
      <c r="H3894">
        <f t="shared" ref="A3894:H3894" si="495">(C3894-B3894)/E3894*30</f>
        <v>11506.849315068481</v>
      </c>
      <c r="I3894" t="e">
        <f>VLOOKUP(Tabla1[[#This Row],[FECHA]],TablaUVA[#All],2)</f>
        <v>#VALUE!</v>
      </c>
      <c r="J3894" t="e">
        <f>VLOOKUP(Tabla1[[#This Row],[VTO.]],TablaUVA[#All],2)</f>
        <v>#VALUE!</v>
      </c>
      <c r="K3894" t="e">
        <f>+Tabla1[[#This Row],[DEPOSITADO]]/I3894</f>
        <v>#VALUE!</v>
      </c>
      <c r="L3894" t="e">
        <f>IF(Tabla1[[#This Row],[DIAS]]&gt;89,+K3894*J3894*(1+1%/365*Tabla1[[#This Row],[DIAS]]),Tabla1[[#This Row],[ACOBRAR]])</f>
        <v>#VALUE!</v>
      </c>
      <c r="M3894" t="e">
        <f>+L3894-Tabla1[[#This Row],[ACOBRAR]]</f>
        <v>#VALUE!</v>
      </c>
    </row>
    <row r="3895" spans="1:13" ht="13.5" customHeight="1">
      <c r="A3895" s="532">
        <v>45394</v>
      </c>
      <c r="B3895" s="615">
        <v>112000</v>
      </c>
      <c r="C3895" s="615">
        <f t="shared" ref="A3895:C3895" si="496">B3895+(B3895*F3895/365*E3895)*1</f>
        <v>117802.5205479452</v>
      </c>
      <c r="D3895" s="532">
        <f t="shared" ref="A3895:D3895" si="497">+A3895+E3895</f>
        <v>45425</v>
      </c>
      <c r="E3895" s="534">
        <v>31</v>
      </c>
      <c r="F3895" s="653">
        <v>0.61</v>
      </c>
      <c r="G3895" s="536" t="s">
        <v>260</v>
      </c>
      <c r="H3895">
        <f t="shared" ref="A3895:H3900" si="498">(C3895-B3895)/E3895*30</f>
        <v>5615.3424657534179</v>
      </c>
      <c r="I3895" t="e">
        <f>VLOOKUP(Tabla1[[#This Row],[FECHA]],TablaUVA[#All],2)</f>
        <v>#VALUE!</v>
      </c>
      <c r="J3895" t="e">
        <f>VLOOKUP(Tabla1[[#This Row],[VTO.]],TablaUVA[#All],2)</f>
        <v>#VALUE!</v>
      </c>
      <c r="K3895" t="e">
        <f>+Tabla1[[#This Row],[DEPOSITADO]]/I3895</f>
        <v>#VALUE!</v>
      </c>
      <c r="L3895" t="e">
        <f>IF(Tabla1[[#This Row],[DIAS]]&gt;89,+K3895*J3895*(1+1%/365*Tabla1[[#This Row],[DIAS]]),Tabla1[[#This Row],[ACOBRAR]])</f>
        <v>#VALUE!</v>
      </c>
      <c r="M3895" t="e">
        <f>+L3895-Tabla1[[#This Row],[ACOBRAR]]</f>
        <v>#VALUE!</v>
      </c>
    </row>
    <row r="3896" spans="1:13" ht="13.5" customHeight="1">
      <c r="A3896" s="532">
        <v>45394</v>
      </c>
      <c r="B3896" s="615">
        <v>106000</v>
      </c>
      <c r="C3896" s="615">
        <f t="shared" ref="A3896:C3900" si="499">B3896+(B3896*F3896/365*E3896)*1</f>
        <v>111401.64383561644</v>
      </c>
      <c r="D3896" s="532">
        <f t="shared" ref="A3896:D3900" si="500">+A3896+E3896</f>
        <v>45425</v>
      </c>
      <c r="E3896" s="534">
        <v>31</v>
      </c>
      <c r="F3896" s="653">
        <v>0.6</v>
      </c>
      <c r="G3896" s="536" t="s">
        <v>261</v>
      </c>
      <c r="H3896">
        <f t="shared" si="498"/>
        <v>5227.3972602739777</v>
      </c>
      <c r="I3896" t="e">
        <f>VLOOKUP(Tabla1[[#This Row],[FECHA]],TablaUVA[#All],2)</f>
        <v>#VALUE!</v>
      </c>
      <c r="J3896" t="e">
        <f>VLOOKUP(Tabla1[[#This Row],[VTO.]],TablaUVA[#All],2)</f>
        <v>#VALUE!</v>
      </c>
      <c r="K3896" t="e">
        <f>+Tabla1[[#This Row],[DEPOSITADO]]/I3896</f>
        <v>#VALUE!</v>
      </c>
      <c r="L3896" t="e">
        <f>IF(Tabla1[[#This Row],[DIAS]]&gt;89,+K3896*J3896*(1+1%/365*Tabla1[[#This Row],[DIAS]]),Tabla1[[#This Row],[ACOBRAR]])</f>
        <v>#VALUE!</v>
      </c>
      <c r="M3896" t="e">
        <f>+L3896-Tabla1[[#This Row],[ACOBRAR]]</f>
        <v>#VALUE!</v>
      </c>
    </row>
    <row r="3897" spans="1:13" ht="13.5" customHeight="1">
      <c r="A3897" s="532">
        <v>45394</v>
      </c>
      <c r="B3897" s="615">
        <v>20000</v>
      </c>
      <c r="C3897" s="615">
        <f t="shared" si="499"/>
        <v>21019.178082191782</v>
      </c>
      <c r="D3897" s="532">
        <f t="shared" si="500"/>
        <v>45425</v>
      </c>
      <c r="E3897" s="534">
        <v>31</v>
      </c>
      <c r="F3897" s="653">
        <v>0.6</v>
      </c>
      <c r="G3897" s="536" t="s">
        <v>259</v>
      </c>
      <c r="H3897">
        <f t="shared" si="498"/>
        <v>986.30136986301466</v>
      </c>
      <c r="I3897" t="e">
        <f>VLOOKUP(Tabla1[[#This Row],[FECHA]],TablaUVA[#All],2)</f>
        <v>#VALUE!</v>
      </c>
      <c r="J3897" t="e">
        <f>VLOOKUP(Tabla1[[#This Row],[VTO.]],TablaUVA[#All],2)</f>
        <v>#VALUE!</v>
      </c>
      <c r="K3897" t="e">
        <f>+Tabla1[[#This Row],[DEPOSITADO]]/I3897</f>
        <v>#VALUE!</v>
      </c>
      <c r="L3897" t="e">
        <f>IF(Tabla1[[#This Row],[DIAS]]&gt;89,+K3897*J3897*(1+1%/365*Tabla1[[#This Row],[DIAS]]),Tabla1[[#This Row],[ACOBRAR]])</f>
        <v>#VALUE!</v>
      </c>
      <c r="M3897" t="e">
        <f>+L3897-Tabla1[[#This Row],[ACOBRAR]]</f>
        <v>#VALUE!</v>
      </c>
    </row>
    <row r="3898" spans="1:13" ht="13.5" customHeight="1">
      <c r="A3898" s="532">
        <v>45394</v>
      </c>
      <c r="B3898" s="615">
        <v>80000</v>
      </c>
      <c r="C3898" s="615">
        <f t="shared" si="499"/>
        <v>84076.712328767127</v>
      </c>
      <c r="D3898" s="532">
        <f t="shared" si="500"/>
        <v>45425</v>
      </c>
      <c r="E3898" s="534">
        <v>31</v>
      </c>
      <c r="F3898" s="653">
        <v>0.6</v>
      </c>
      <c r="G3898" s="536" t="s">
        <v>258</v>
      </c>
      <c r="H3898">
        <f t="shared" si="498"/>
        <v>3945.2054794520586</v>
      </c>
      <c r="I3898" t="e">
        <f>VLOOKUP(Tabla1[[#This Row],[FECHA]],TablaUVA[#All],2)</f>
        <v>#VALUE!</v>
      </c>
      <c r="J3898" t="e">
        <f>VLOOKUP(Tabla1[[#This Row],[VTO.]],TablaUVA[#All],2)</f>
        <v>#VALUE!</v>
      </c>
      <c r="K3898" t="e">
        <f>+Tabla1[[#This Row],[DEPOSITADO]]/I3898</f>
        <v>#VALUE!</v>
      </c>
      <c r="L3898" t="e">
        <f>IF(Tabla1[[#This Row],[DIAS]]&gt;89,+K3898*J3898*(1+1%/365*Tabla1[[#This Row],[DIAS]]),Tabla1[[#This Row],[ACOBRAR]])</f>
        <v>#VALUE!</v>
      </c>
      <c r="M3898" t="e">
        <f>+L3898-Tabla1[[#This Row],[ACOBRAR]]</f>
        <v>#VALUE!</v>
      </c>
    </row>
    <row r="3899" spans="1:13" ht="13.5" customHeight="1">
      <c r="A3899" s="532">
        <v>45394</v>
      </c>
      <c r="B3899" s="615">
        <v>70000</v>
      </c>
      <c r="C3899" s="615">
        <f t="shared" si="499"/>
        <v>73507.671232876717</v>
      </c>
      <c r="D3899" s="532">
        <f t="shared" si="500"/>
        <v>45425</v>
      </c>
      <c r="E3899" s="534">
        <v>31</v>
      </c>
      <c r="F3899" s="653">
        <v>0.59</v>
      </c>
      <c r="G3899" s="536" t="s">
        <v>256</v>
      </c>
      <c r="H3899">
        <f t="shared" si="498"/>
        <v>3394.5205479452102</v>
      </c>
      <c r="I3899" t="e">
        <f>VLOOKUP(Tabla1[[#This Row],[FECHA]],TablaUVA[#All],2)</f>
        <v>#VALUE!</v>
      </c>
      <c r="J3899" t="e">
        <f>VLOOKUP(Tabla1[[#This Row],[VTO.]],TablaUVA[#All],2)</f>
        <v>#VALUE!</v>
      </c>
      <c r="K3899" t="e">
        <f>+Tabla1[[#This Row],[DEPOSITADO]]/I3899</f>
        <v>#VALUE!</v>
      </c>
      <c r="L3899" t="e">
        <f>IF(Tabla1[[#This Row],[DIAS]]&gt;89,+K3899*J3899*(1+1%/365*Tabla1[[#This Row],[DIAS]]),Tabla1[[#This Row],[ACOBRAR]])</f>
        <v>#VALUE!</v>
      </c>
      <c r="M3899" t="e">
        <f>+L3899-Tabla1[[#This Row],[ACOBRAR]]</f>
        <v>#VALUE!</v>
      </c>
    </row>
    <row r="3900" spans="1:13" ht="13.5" customHeight="1">
      <c r="A3900" s="532">
        <v>45393</v>
      </c>
      <c r="B3900" s="615">
        <v>200000</v>
      </c>
      <c r="C3900" s="615">
        <f t="shared" si="499"/>
        <v>210520.54794520547</v>
      </c>
      <c r="D3900" s="532">
        <f t="shared" si="500"/>
        <v>45425</v>
      </c>
      <c r="E3900" s="534">
        <v>32</v>
      </c>
      <c r="F3900" s="653">
        <v>0.6</v>
      </c>
      <c r="G3900" s="536" t="s">
        <v>258</v>
      </c>
      <c r="H3900">
        <f t="shared" si="498"/>
        <v>9863.0136986301295</v>
      </c>
      <c r="I3900" t="e">
        <f>VLOOKUP(Tabla1[[#This Row],[FECHA]],TablaUVA[#All],2)</f>
        <v>#VALUE!</v>
      </c>
      <c r="J3900" t="e">
        <f>VLOOKUP(Tabla1[[#This Row],[VTO.]],TablaUVA[#All],2)</f>
        <v>#VALUE!</v>
      </c>
      <c r="K3900" t="e">
        <f>+Tabla1[[#This Row],[DEPOSITADO]]/I3900</f>
        <v>#VALUE!</v>
      </c>
      <c r="L3900" t="e">
        <f>IF(Tabla1[[#This Row],[DIAS]]&gt;89,+K3900*J3900*(1+1%/365*Tabla1[[#This Row],[DIAS]]),Tabla1[[#This Row],[ACOBRAR]])</f>
        <v>#VALUE!</v>
      </c>
      <c r="M3900" t="e">
        <f>+L3900-Tabla1[[#This Row],[ACOBRAR]]</f>
        <v>#VALUE!</v>
      </c>
    </row>
    <row r="3901" spans="1:13" ht="13.5" customHeight="1">
      <c r="A3901" s="532">
        <v>45397</v>
      </c>
      <c r="B3901" s="615">
        <v>215000</v>
      </c>
      <c r="C3901" s="615">
        <f t="shared" ref="A3901:C3901" si="501">B3901+(B3901*F3901/365*E3901)*1</f>
        <v>225779.45205479453</v>
      </c>
      <c r="D3901" s="532">
        <f t="shared" ref="A3901:D3901" si="502">+A3901+E3901</f>
        <v>45427</v>
      </c>
      <c r="E3901" s="534">
        <v>30</v>
      </c>
      <c r="F3901" s="653">
        <v>0.61</v>
      </c>
      <c r="G3901" s="536" t="s">
        <v>260</v>
      </c>
      <c r="H3901">
        <f t="shared" ref="A3901:H3901" si="503">(C3901-B3901)/E3901*30</f>
        <v>10779.452054794529</v>
      </c>
      <c r="I3901" t="e">
        <f>VLOOKUP(Tabla1[[#This Row],[FECHA]],TablaUVA[#All],2)</f>
        <v>#VALUE!</v>
      </c>
      <c r="J3901" t="e">
        <f>VLOOKUP(Tabla1[[#This Row],[VTO.]],TablaUVA[#All],2)</f>
        <v>#VALUE!</v>
      </c>
      <c r="K3901" t="e">
        <f>+Tabla1[[#This Row],[DEPOSITADO]]/I3901</f>
        <v>#VALUE!</v>
      </c>
      <c r="L3901" t="e">
        <f>IF(Tabla1[[#This Row],[DIAS]]&gt;89,+K3901*J3901*(1+1%/365*Tabla1[[#This Row],[DIAS]]),Tabla1[[#This Row],[ACOBRAR]])</f>
        <v>#VALUE!</v>
      </c>
      <c r="M3901" t="e">
        <f>+L3901-Tabla1[[#This Row],[ACOBRAR]]</f>
        <v>#VALUE!</v>
      </c>
    </row>
    <row r="3902" spans="1:13" ht="13.5" customHeight="1">
      <c r="A3902" s="532">
        <v>45399</v>
      </c>
      <c r="B3902" s="615">
        <v>49000</v>
      </c>
      <c r="C3902" s="615">
        <f t="shared" ref="A3902:C3902" si="504">B3902+(B3902*F3902/365*E3902)*1</f>
        <v>51456.71232876712</v>
      </c>
      <c r="D3902" s="532">
        <f t="shared" ref="A3902:D3902" si="505">+A3902+E3902</f>
        <v>45429</v>
      </c>
      <c r="E3902" s="534">
        <v>30</v>
      </c>
      <c r="F3902" s="653">
        <v>0.61</v>
      </c>
      <c r="G3902" s="536" t="s">
        <v>260</v>
      </c>
      <c r="H3902">
        <f t="shared" ref="A3902:H3902" si="506">(C3902-B3902)/E3902*30</f>
        <v>2456.7123287671202</v>
      </c>
      <c r="I3902" t="e">
        <f>VLOOKUP(Tabla1[[#This Row],[FECHA]],TablaUVA[#All],2)</f>
        <v>#VALUE!</v>
      </c>
      <c r="J3902" t="e">
        <f>VLOOKUP(Tabla1[[#This Row],[VTO.]],TablaUVA[#All],2)</f>
        <v>#VALUE!</v>
      </c>
      <c r="K3902" t="e">
        <f>+Tabla1[[#This Row],[DEPOSITADO]]/I3902</f>
        <v>#VALUE!</v>
      </c>
      <c r="L3902" t="e">
        <f>IF(Tabla1[[#This Row],[DIAS]]&gt;89,+K3902*J3902*(1+1%/365*Tabla1[[#This Row],[DIAS]]),Tabla1[[#This Row],[ACOBRAR]])</f>
        <v>#VALUE!</v>
      </c>
      <c r="M3902" t="e">
        <f>+L3902-Tabla1[[#This Row],[ACOBRAR]]</f>
        <v>#VALUE!</v>
      </c>
    </row>
    <row r="3903" spans="1:13" ht="13.5" customHeight="1">
      <c r="A3903" s="532">
        <v>45401</v>
      </c>
      <c r="B3903" s="615">
        <v>36000</v>
      </c>
      <c r="C3903" s="615">
        <f t="shared" ref="A3903:C3906" si="507">B3903+(B3903*F3903/365*E3903)*1</f>
        <v>37865.095890410958</v>
      </c>
      <c r="D3903" s="532">
        <f t="shared" ref="A3903:D3906" si="508">+A3903+E3903</f>
        <v>45432</v>
      </c>
      <c r="E3903" s="534">
        <v>31</v>
      </c>
      <c r="F3903" s="653">
        <v>0.61</v>
      </c>
      <c r="G3903" s="536" t="s">
        <v>260</v>
      </c>
      <c r="H3903">
        <f t="shared" ref="A3903:H3906" si="509">(C3903-B3903)/E3903*30</f>
        <v>1804.9315068493136</v>
      </c>
      <c r="I3903" t="e">
        <f>VLOOKUP(Tabla1[[#This Row],[FECHA]],TablaUVA[#All],2)</f>
        <v>#VALUE!</v>
      </c>
      <c r="J3903" t="e">
        <f>VLOOKUP(Tabla1[[#This Row],[VTO.]],TablaUVA[#All],2)</f>
        <v>#VALUE!</v>
      </c>
      <c r="K3903" t="e">
        <f>+Tabla1[[#This Row],[DEPOSITADO]]/I3903</f>
        <v>#VALUE!</v>
      </c>
      <c r="L3903" t="e">
        <f>IF(Tabla1[[#This Row],[DIAS]]&gt;89,+K3903*J3903*(1+1%/365*Tabla1[[#This Row],[DIAS]]),Tabla1[[#This Row],[ACOBRAR]])</f>
        <v>#VALUE!</v>
      </c>
      <c r="M3903" t="e">
        <f>+L3903-Tabla1[[#This Row],[ACOBRAR]]</f>
        <v>#VALUE!</v>
      </c>
    </row>
    <row r="3904" spans="1:13" ht="13.5" customHeight="1">
      <c r="A3904" s="532">
        <v>45401</v>
      </c>
      <c r="B3904" s="615">
        <v>262400</v>
      </c>
      <c r="C3904" s="615">
        <f t="shared" si="507"/>
        <v>275771.61643835617</v>
      </c>
      <c r="D3904" s="532">
        <f t="shared" si="508"/>
        <v>45432</v>
      </c>
      <c r="E3904" s="534">
        <v>31</v>
      </c>
      <c r="F3904" s="653">
        <v>0.6</v>
      </c>
      <c r="G3904" s="536" t="s">
        <v>259</v>
      </c>
      <c r="H3904">
        <f t="shared" si="509"/>
        <v>12940.273972602745</v>
      </c>
      <c r="I3904" t="e">
        <f>VLOOKUP(Tabla1[[#This Row],[FECHA]],TablaUVA[#All],2)</f>
        <v>#VALUE!</v>
      </c>
      <c r="J3904" t="e">
        <f>VLOOKUP(Tabla1[[#This Row],[VTO.]],TablaUVA[#All],2)</f>
        <v>#VALUE!</v>
      </c>
      <c r="K3904" t="e">
        <f>+Tabla1[[#This Row],[DEPOSITADO]]/I3904</f>
        <v>#VALUE!</v>
      </c>
      <c r="L3904" t="e">
        <f>IF(Tabla1[[#This Row],[DIAS]]&gt;89,+K3904*J3904*(1+1%/365*Tabla1[[#This Row],[DIAS]]),Tabla1[[#This Row],[ACOBRAR]])</f>
        <v>#VALUE!</v>
      </c>
      <c r="M3904" t="e">
        <f>+L3904-Tabla1[[#This Row],[ACOBRAR]]</f>
        <v>#VALUE!</v>
      </c>
    </row>
    <row r="3905" spans="1:13" ht="13.5" customHeight="1">
      <c r="A3905" s="532">
        <v>45400</v>
      </c>
      <c r="B3905" s="615">
        <v>147000</v>
      </c>
      <c r="C3905" s="615">
        <f t="shared" si="507"/>
        <v>154861.4794520548</v>
      </c>
      <c r="D3905" s="532">
        <f t="shared" si="508"/>
        <v>45432</v>
      </c>
      <c r="E3905" s="534">
        <v>32</v>
      </c>
      <c r="F3905" s="653">
        <v>0.61</v>
      </c>
      <c r="G3905" s="536" t="s">
        <v>260</v>
      </c>
      <c r="H3905">
        <f t="shared" si="509"/>
        <v>7370.136986301377</v>
      </c>
      <c r="I3905" t="e">
        <f>VLOOKUP(Tabla1[[#This Row],[FECHA]],TablaUVA[#All],2)</f>
        <v>#VALUE!</v>
      </c>
      <c r="J3905" t="e">
        <f>VLOOKUP(Tabla1[[#This Row],[VTO.]],TablaUVA[#All],2)</f>
        <v>#VALUE!</v>
      </c>
      <c r="K3905" t="e">
        <f>+Tabla1[[#This Row],[DEPOSITADO]]/I3905</f>
        <v>#VALUE!</v>
      </c>
      <c r="L3905" t="e">
        <f>IF(Tabla1[[#This Row],[DIAS]]&gt;89,+K3905*J3905*(1+1%/365*Tabla1[[#This Row],[DIAS]]),Tabla1[[#This Row],[ACOBRAR]])</f>
        <v>#VALUE!</v>
      </c>
      <c r="M3905" t="e">
        <f>+L3905-Tabla1[[#This Row],[ACOBRAR]]</f>
        <v>#VALUE!</v>
      </c>
    </row>
    <row r="3906" spans="1:13" ht="13.5" customHeight="1">
      <c r="A3906" s="532">
        <v>45400</v>
      </c>
      <c r="B3906" s="615">
        <v>184000</v>
      </c>
      <c r="C3906" s="615">
        <f t="shared" si="507"/>
        <v>193678.90410958903</v>
      </c>
      <c r="D3906" s="532">
        <f t="shared" si="508"/>
        <v>45432</v>
      </c>
      <c r="E3906" s="534">
        <v>32</v>
      </c>
      <c r="F3906" s="653">
        <v>0.6</v>
      </c>
      <c r="G3906" s="536" t="s">
        <v>261</v>
      </c>
      <c r="H3906">
        <f t="shared" si="509"/>
        <v>9073.9726027397137</v>
      </c>
      <c r="I3906" t="e">
        <f>VLOOKUP(Tabla1[[#This Row],[FECHA]],TablaUVA[#All],2)</f>
        <v>#VALUE!</v>
      </c>
      <c r="J3906" t="e">
        <f>VLOOKUP(Tabla1[[#This Row],[VTO.]],TablaUVA[#All],2)</f>
        <v>#VALUE!</v>
      </c>
      <c r="K3906" t="e">
        <f>+Tabla1[[#This Row],[DEPOSITADO]]/I3906</f>
        <v>#VALUE!</v>
      </c>
      <c r="L3906" t="e">
        <f>IF(Tabla1[[#This Row],[DIAS]]&gt;89,+K3906*J3906*(1+1%/365*Tabla1[[#This Row],[DIAS]]),Tabla1[[#This Row],[ACOBRAR]])</f>
        <v>#VALUE!</v>
      </c>
      <c r="M3906" t="e">
        <f>+L3906-Tabla1[[#This Row],[ACOBRAR]]</f>
        <v>#VALUE!</v>
      </c>
    </row>
    <row r="3907" spans="1:13" ht="13.5" customHeight="1">
      <c r="A3907" s="532">
        <v>45404</v>
      </c>
      <c r="B3907" s="615">
        <v>120000</v>
      </c>
      <c r="C3907" s="615">
        <f t="shared" ref="A3907:C3908" si="510">B3907+(B3907*F3907/365*E3907)*1</f>
        <v>125819.17808219178</v>
      </c>
      <c r="D3907" s="532">
        <f t="shared" ref="A3907:D3908" si="511">+A3907+E3907</f>
        <v>45434</v>
      </c>
      <c r="E3907" s="534">
        <v>30</v>
      </c>
      <c r="F3907" s="653">
        <v>0.59</v>
      </c>
      <c r="G3907" s="536" t="s">
        <v>256</v>
      </c>
      <c r="H3907">
        <f t="shared" ref="A3907:H3908" si="512">(C3907-B3907)/E3907*30</f>
        <v>5819.1780821917782</v>
      </c>
      <c r="I3907" t="e">
        <f>VLOOKUP(Tabla1[[#This Row],[FECHA]],TablaUVA[#All],2)</f>
        <v>#VALUE!</v>
      </c>
      <c r="J3907" t="e">
        <f>VLOOKUP(Tabla1[[#This Row],[VTO.]],TablaUVA[#All],2)</f>
        <v>#VALUE!</v>
      </c>
      <c r="K3907" t="e">
        <f>+Tabla1[[#This Row],[DEPOSITADO]]/I3907</f>
        <v>#VALUE!</v>
      </c>
      <c r="L3907" t="e">
        <f>IF(Tabla1[[#This Row],[DIAS]]&gt;89,+K3907*J3907*(1+1%/365*Tabla1[[#This Row],[DIAS]]),Tabla1[[#This Row],[ACOBRAR]])</f>
        <v>#VALUE!</v>
      </c>
      <c r="M3907" t="e">
        <f>+L3907-Tabla1[[#This Row],[ACOBRAR]]</f>
        <v>#VALUE!</v>
      </c>
    </row>
    <row r="3908" spans="1:13" ht="13.5" customHeight="1">
      <c r="A3908" s="532">
        <v>45404</v>
      </c>
      <c r="B3908" s="615">
        <v>51000</v>
      </c>
      <c r="C3908" s="615">
        <f t="shared" si="510"/>
        <v>53515.068493150684</v>
      </c>
      <c r="D3908" s="532">
        <f t="shared" si="511"/>
        <v>45434</v>
      </c>
      <c r="E3908" s="534">
        <v>30</v>
      </c>
      <c r="F3908" s="653">
        <v>0.6</v>
      </c>
      <c r="G3908" s="536" t="s">
        <v>261</v>
      </c>
      <c r="H3908">
        <f t="shared" si="512"/>
        <v>2515.0684931506839</v>
      </c>
      <c r="I3908" t="e">
        <f>VLOOKUP(Tabla1[[#This Row],[FECHA]],TablaUVA[#All],2)</f>
        <v>#VALUE!</v>
      </c>
      <c r="J3908" t="e">
        <f>VLOOKUP(Tabla1[[#This Row],[VTO.]],TablaUVA[#All],2)</f>
        <v>#VALUE!</v>
      </c>
      <c r="K3908" t="e">
        <f>+Tabla1[[#This Row],[DEPOSITADO]]/I3908</f>
        <v>#VALUE!</v>
      </c>
      <c r="L3908" t="e">
        <f>IF(Tabla1[[#This Row],[DIAS]]&gt;89,+K3908*J3908*(1+1%/365*Tabla1[[#This Row],[DIAS]]),Tabla1[[#This Row],[ACOBRAR]])</f>
        <v>#VALUE!</v>
      </c>
      <c r="M3908" t="e">
        <f>+L3908-Tabla1[[#This Row],[ACOBRAR]]</f>
        <v>#VALUE!</v>
      </c>
    </row>
    <row r="3909" spans="1:13" ht="13.5" customHeight="1">
      <c r="A3909" s="532">
        <v>45405</v>
      </c>
      <c r="B3909" s="615">
        <v>186000</v>
      </c>
      <c r="C3909" s="615">
        <f t="shared" ref="A3909:C3910" si="513">B3909+(B3909*F3909/365*E3909)*1</f>
        <v>195172.60273972602</v>
      </c>
      <c r="D3909" s="532">
        <f t="shared" ref="A3909:D3910" si="514">+A3909+E3909</f>
        <v>45435</v>
      </c>
      <c r="E3909" s="534">
        <v>30</v>
      </c>
      <c r="F3909" s="653">
        <v>0.6</v>
      </c>
      <c r="G3909" s="536" t="s">
        <v>264</v>
      </c>
      <c r="H3909">
        <f t="shared" ref="A3909:H3910" si="515">(C3909-B3909)/E3909*30</f>
        <v>9172.6027397260186</v>
      </c>
      <c r="I3909" t="e">
        <f>VLOOKUP(Tabla1[[#This Row],[FECHA]],TablaUVA[#All],2)</f>
        <v>#VALUE!</v>
      </c>
      <c r="J3909" t="e">
        <f>VLOOKUP(Tabla1[[#This Row],[VTO.]],TablaUVA[#All],2)</f>
        <v>#VALUE!</v>
      </c>
      <c r="K3909" t="e">
        <f>+Tabla1[[#This Row],[DEPOSITADO]]/I3909</f>
        <v>#VALUE!</v>
      </c>
      <c r="L3909" t="e">
        <f>IF(Tabla1[[#This Row],[DIAS]]&gt;89,+K3909*J3909*(1+1%/365*Tabla1[[#This Row],[DIAS]]),Tabla1[[#This Row],[ACOBRAR]])</f>
        <v>#VALUE!</v>
      </c>
      <c r="M3909" t="e">
        <f>+L3909-Tabla1[[#This Row],[ACOBRAR]]</f>
        <v>#VALUE!</v>
      </c>
    </row>
    <row r="3910" spans="1:13" ht="13.5" customHeight="1">
      <c r="A3910" s="532">
        <v>45405</v>
      </c>
      <c r="B3910" s="615">
        <v>124000</v>
      </c>
      <c r="C3910" s="615">
        <f t="shared" si="513"/>
        <v>130115.06849315068</v>
      </c>
      <c r="D3910" s="532">
        <f t="shared" si="514"/>
        <v>45435</v>
      </c>
      <c r="E3910" s="534">
        <v>30</v>
      </c>
      <c r="F3910" s="653">
        <v>0.6</v>
      </c>
      <c r="G3910" s="536" t="s">
        <v>261</v>
      </c>
      <c r="H3910">
        <f t="shared" si="515"/>
        <v>6115.0684931506839</v>
      </c>
      <c r="I3910" t="e">
        <f>VLOOKUP(Tabla1[[#This Row],[FECHA]],TablaUVA[#All],2)</f>
        <v>#VALUE!</v>
      </c>
      <c r="J3910" t="e">
        <f>VLOOKUP(Tabla1[[#This Row],[VTO.]],TablaUVA[#All],2)</f>
        <v>#VALUE!</v>
      </c>
      <c r="K3910" t="e">
        <f>+Tabla1[[#This Row],[DEPOSITADO]]/I3910</f>
        <v>#VALUE!</v>
      </c>
      <c r="L3910" t="e">
        <f>IF(Tabla1[[#This Row],[DIAS]]&gt;89,+K3910*J3910*(1+1%/365*Tabla1[[#This Row],[DIAS]]),Tabla1[[#This Row],[ACOBRAR]])</f>
        <v>#VALUE!</v>
      </c>
      <c r="M3910" t="e">
        <f>+L3910-Tabla1[[#This Row],[ACOBRAR]]</f>
        <v>#VALUE!</v>
      </c>
    </row>
    <row r="3911" spans="1:13" ht="13.5" customHeight="1">
      <c r="A3911" s="532">
        <v>45406</v>
      </c>
      <c r="B3911" s="615">
        <v>121000</v>
      </c>
      <c r="C3911" s="615">
        <f t="shared" ref="A3911:C3913" si="516">B3911+(B3911*F3911/365*E3911)*1</f>
        <v>126967.12328767123</v>
      </c>
      <c r="D3911" s="532">
        <f t="shared" ref="A3911:D3913" si="517">+A3911+E3911</f>
        <v>45436</v>
      </c>
      <c r="E3911" s="534">
        <v>30</v>
      </c>
      <c r="F3911" s="653">
        <v>0.6</v>
      </c>
      <c r="G3911" s="536" t="s">
        <v>261</v>
      </c>
      <c r="H3911">
        <f t="shared" ref="A3911:H3913" si="518">(C3911-B3911)/E3911*30</f>
        <v>5967.1232876712311</v>
      </c>
      <c r="I3911" t="e">
        <f>VLOOKUP(Tabla1[[#This Row],[FECHA]],TablaUVA[#All],2)</f>
        <v>#VALUE!</v>
      </c>
      <c r="J3911" t="e">
        <f>VLOOKUP(Tabla1[[#This Row],[VTO.]],TablaUVA[#All],2)</f>
        <v>#VALUE!</v>
      </c>
      <c r="K3911" t="e">
        <f>+Tabla1[[#This Row],[DEPOSITADO]]/I3911</f>
        <v>#VALUE!</v>
      </c>
      <c r="L3911" t="e">
        <f>IF(Tabla1[[#This Row],[DIAS]]&gt;89,+K3911*J3911*(1+1%/365*Tabla1[[#This Row],[DIAS]]),Tabla1[[#This Row],[ACOBRAR]])</f>
        <v>#VALUE!</v>
      </c>
      <c r="M3911" t="e">
        <f>+L3911-Tabla1[[#This Row],[ACOBRAR]]</f>
        <v>#VALUE!</v>
      </c>
    </row>
    <row r="3912" spans="1:13" ht="13.5" customHeight="1">
      <c r="A3912" s="532">
        <v>45406</v>
      </c>
      <c r="B3912" s="615">
        <v>25000</v>
      </c>
      <c r="C3912" s="615">
        <f t="shared" si="516"/>
        <v>26253.424657534248</v>
      </c>
      <c r="D3912" s="532">
        <f t="shared" si="517"/>
        <v>45436</v>
      </c>
      <c r="E3912" s="534">
        <v>30</v>
      </c>
      <c r="F3912" s="653">
        <v>0.61</v>
      </c>
      <c r="G3912" s="536" t="s">
        <v>260</v>
      </c>
      <c r="H3912">
        <f t="shared" si="518"/>
        <v>1253.4246575342477</v>
      </c>
      <c r="I3912" t="e">
        <f>VLOOKUP(Tabla1[[#This Row],[FECHA]],TablaUVA[#All],2)</f>
        <v>#VALUE!</v>
      </c>
      <c r="J3912" t="e">
        <f>VLOOKUP(Tabla1[[#This Row],[VTO.]],TablaUVA[#All],2)</f>
        <v>#VALUE!</v>
      </c>
      <c r="K3912" t="e">
        <f>+Tabla1[[#This Row],[DEPOSITADO]]/I3912</f>
        <v>#VALUE!</v>
      </c>
      <c r="L3912" t="e">
        <f>IF(Tabla1[[#This Row],[DIAS]]&gt;89,+K3912*J3912*(1+1%/365*Tabla1[[#This Row],[DIAS]]),Tabla1[[#This Row],[ACOBRAR]])</f>
        <v>#VALUE!</v>
      </c>
      <c r="M3912" t="e">
        <f>+L3912-Tabla1[[#This Row],[ACOBRAR]]</f>
        <v>#VALUE!</v>
      </c>
    </row>
    <row r="3913" spans="1:13" ht="13.5" customHeight="1">
      <c r="A3913" s="532">
        <v>45406</v>
      </c>
      <c r="B3913" s="615">
        <v>210000</v>
      </c>
      <c r="C3913" s="615">
        <f t="shared" si="516"/>
        <v>220356.16438356164</v>
      </c>
      <c r="D3913" s="532">
        <f t="shared" si="517"/>
        <v>45436</v>
      </c>
      <c r="E3913" s="534">
        <v>30</v>
      </c>
      <c r="F3913" s="653">
        <v>0.6</v>
      </c>
      <c r="G3913" s="536" t="s">
        <v>264</v>
      </c>
      <c r="H3913">
        <f t="shared" si="518"/>
        <v>10356.164383561641</v>
      </c>
      <c r="I3913" t="e">
        <f>VLOOKUP(Tabla1[[#This Row],[FECHA]],TablaUVA[#All],2)</f>
        <v>#VALUE!</v>
      </c>
      <c r="J3913" t="e">
        <f>VLOOKUP(Tabla1[[#This Row],[VTO.]],TablaUVA[#All],2)</f>
        <v>#VALUE!</v>
      </c>
      <c r="K3913" t="e">
        <f>+Tabla1[[#This Row],[DEPOSITADO]]/I3913</f>
        <v>#VALUE!</v>
      </c>
      <c r="L3913" t="e">
        <f>IF(Tabla1[[#This Row],[DIAS]]&gt;89,+K3913*J3913*(1+1%/365*Tabla1[[#This Row],[DIAS]]),Tabla1[[#This Row],[ACOBRAR]])</f>
        <v>#VALUE!</v>
      </c>
      <c r="M3913" t="e">
        <f>+L3913-Tabla1[[#This Row],[ACOBRAR]]</f>
        <v>#VALUE!</v>
      </c>
    </row>
    <row r="3914" spans="1:13" ht="13.5" customHeight="1">
      <c r="A3914" s="532">
        <v>45408</v>
      </c>
      <c r="B3914" s="615">
        <v>98000</v>
      </c>
      <c r="C3914" s="615">
        <f t="shared" ref="A3914:C3915" si="519">B3914+(B3914*F3914/365*E3914)*1</f>
        <v>102161.64383561644</v>
      </c>
      <c r="D3914" s="532">
        <f t="shared" ref="A3914:D3915" si="520">+A3914+E3914</f>
        <v>45439</v>
      </c>
      <c r="E3914" s="534">
        <v>31</v>
      </c>
      <c r="F3914" s="653">
        <v>0.5</v>
      </c>
      <c r="G3914" s="536" t="s">
        <v>259</v>
      </c>
      <c r="H3914">
        <f t="shared" ref="A3914:H3915" si="521">(C3914-B3914)/E3914*30</f>
        <v>4027.3972602739777</v>
      </c>
      <c r="I3914" t="e">
        <f>VLOOKUP(Tabla1[[#This Row],[FECHA]],TablaUVA[#All],2)</f>
        <v>#VALUE!</v>
      </c>
      <c r="J3914" t="e">
        <f>VLOOKUP(Tabla1[[#This Row],[VTO.]],TablaUVA[#All],2)</f>
        <v>#VALUE!</v>
      </c>
      <c r="K3914" t="e">
        <f>+Tabla1[[#This Row],[DEPOSITADO]]/I3914</f>
        <v>#VALUE!</v>
      </c>
      <c r="L3914" t="e">
        <f>IF(Tabla1[[#This Row],[DIAS]]&gt;89,+K3914*J3914*(1+1%/365*Tabla1[[#This Row],[DIAS]]),Tabla1[[#This Row],[ACOBRAR]])</f>
        <v>#VALUE!</v>
      </c>
      <c r="M3914" t="e">
        <f>+L3914-Tabla1[[#This Row],[ACOBRAR]]</f>
        <v>#VALUE!</v>
      </c>
    </row>
    <row r="3915" spans="1:13" ht="13.5" customHeight="1">
      <c r="A3915" s="532">
        <v>45407</v>
      </c>
      <c r="B3915" s="615">
        <v>212000</v>
      </c>
      <c r="C3915" s="615">
        <f t="shared" si="519"/>
        <v>223151.78082191781</v>
      </c>
      <c r="D3915" s="532">
        <f t="shared" si="520"/>
        <v>45439</v>
      </c>
      <c r="E3915" s="534">
        <v>32</v>
      </c>
      <c r="F3915" s="653">
        <v>0.6</v>
      </c>
      <c r="G3915" s="536" t="s">
        <v>261</v>
      </c>
      <c r="H3915">
        <f t="shared" si="521"/>
        <v>10454.794520547948</v>
      </c>
      <c r="I3915" t="e">
        <f>VLOOKUP(Tabla1[[#This Row],[FECHA]],TablaUVA[#All],2)</f>
        <v>#VALUE!</v>
      </c>
      <c r="J3915" t="e">
        <f>VLOOKUP(Tabla1[[#This Row],[VTO.]],TablaUVA[#All],2)</f>
        <v>#VALUE!</v>
      </c>
      <c r="K3915" t="e">
        <f>+Tabla1[[#This Row],[DEPOSITADO]]/I3915</f>
        <v>#VALUE!</v>
      </c>
      <c r="L3915" t="e">
        <f>IF(Tabla1[[#This Row],[DIAS]]&gt;89,+K3915*J3915*(1+1%/365*Tabla1[[#This Row],[DIAS]]),Tabla1[[#This Row],[ACOBRAR]])</f>
        <v>#VALUE!</v>
      </c>
      <c r="M3915" t="e">
        <f>+L3915-Tabla1[[#This Row],[ACOBRAR]]</f>
        <v>#VALUE!</v>
      </c>
    </row>
    <row r="3916" spans="1:13" ht="13.5" customHeight="1">
      <c r="A3916" s="532">
        <v>45411</v>
      </c>
      <c r="B3916" s="615">
        <v>46500</v>
      </c>
      <c r="C3916" s="615">
        <f t="shared" ref="A3916:C3917" si="522">B3916+(B3916*F3916/365*E3916)*1</f>
        <v>48410.95890410959</v>
      </c>
      <c r="D3916" s="532">
        <f t="shared" ref="A3916:D3917" si="523">+A3916+E3916</f>
        <v>45441</v>
      </c>
      <c r="E3916" s="534">
        <v>30</v>
      </c>
      <c r="F3916" s="653">
        <v>0.5</v>
      </c>
      <c r="G3916" s="536" t="s">
        <v>259</v>
      </c>
      <c r="H3916">
        <f t="shared" ref="A3916:H3917" si="524">(C3916-B3916)/E3916*30</f>
        <v>1910.9589041095896</v>
      </c>
      <c r="I3916" t="e">
        <f>VLOOKUP(Tabla1[[#This Row],[FECHA]],TablaUVA[#All],2)</f>
        <v>#VALUE!</v>
      </c>
      <c r="J3916" t="e">
        <f>VLOOKUP(Tabla1[[#This Row],[VTO.]],TablaUVA[#All],2)</f>
        <v>#VALUE!</v>
      </c>
      <c r="K3916" t="e">
        <f>+Tabla1[[#This Row],[DEPOSITADO]]/I3916</f>
        <v>#VALUE!</v>
      </c>
      <c r="L3916" t="e">
        <f>IF(Tabla1[[#This Row],[DIAS]]&gt;89,+K3916*J3916*(1+1%/365*Tabla1[[#This Row],[DIAS]]),Tabla1[[#This Row],[ACOBRAR]])</f>
        <v>#VALUE!</v>
      </c>
      <c r="M3916" t="e">
        <f>+L3916-Tabla1[[#This Row],[ACOBRAR]]</f>
        <v>#VALUE!</v>
      </c>
    </row>
    <row r="3917" spans="1:13" ht="13.5" customHeight="1">
      <c r="A3917" s="532">
        <v>45411</v>
      </c>
      <c r="B3917" s="615">
        <v>120000</v>
      </c>
      <c r="C3917" s="615">
        <f t="shared" si="522"/>
        <v>124832.87671232877</v>
      </c>
      <c r="D3917" s="532">
        <f t="shared" si="523"/>
        <v>45441</v>
      </c>
      <c r="E3917" s="534">
        <v>30</v>
      </c>
      <c r="F3917" s="653">
        <v>0.49</v>
      </c>
      <c r="G3917" s="536" t="s">
        <v>256</v>
      </c>
      <c r="H3917">
        <f t="shared" si="524"/>
        <v>4832.8767123287689</v>
      </c>
      <c r="I3917" t="e">
        <f>VLOOKUP(Tabla1[[#This Row],[FECHA]],TablaUVA[#All],2)</f>
        <v>#VALUE!</v>
      </c>
      <c r="J3917" t="e">
        <f>VLOOKUP(Tabla1[[#This Row],[VTO.]],TablaUVA[#All],2)</f>
        <v>#VALUE!</v>
      </c>
      <c r="K3917" t="e">
        <f>+Tabla1[[#This Row],[DEPOSITADO]]/I3917</f>
        <v>#VALUE!</v>
      </c>
      <c r="L3917" t="e">
        <f>IF(Tabla1[[#This Row],[DIAS]]&gt;89,+K3917*J3917*(1+1%/365*Tabla1[[#This Row],[DIAS]]),Tabla1[[#This Row],[ACOBRAR]])</f>
        <v>#VALUE!</v>
      </c>
      <c r="M3917" t="e">
        <f>+L3917-Tabla1[[#This Row],[ACOBRAR]]</f>
        <v>#VALUE!</v>
      </c>
    </row>
    <row r="3918" spans="1:13" ht="13.5" customHeight="1">
      <c r="A3918" s="532">
        <v>45412</v>
      </c>
      <c r="B3918" s="615">
        <v>80000</v>
      </c>
      <c r="C3918" s="615">
        <f t="shared" ref="A3918:C3918" si="525">B3918+(B3918*F3918/365*E3918)*1</f>
        <v>83254.794520547948</v>
      </c>
      <c r="D3918" s="532">
        <f t="shared" ref="A3918:D3918" si="526">+A3918+E3918</f>
        <v>45442</v>
      </c>
      <c r="E3918" s="534">
        <v>30</v>
      </c>
      <c r="F3918" s="653">
        <v>0.495</v>
      </c>
      <c r="G3918" s="536" t="s">
        <v>258</v>
      </c>
      <c r="H3918">
        <f>(C3918-B3918)/E3918*30</f>
        <v>3254.7945205479482</v>
      </c>
      <c r="I3918" t="e">
        <f>VLOOKUP(Tabla1[[#This Row],[FECHA]],TablaUVA[#All],2)</f>
        <v>#VALUE!</v>
      </c>
      <c r="J3918" t="e">
        <f>VLOOKUP(Tabla1[[#This Row],[VTO.]],TablaUVA[#All],2)</f>
        <v>#VALUE!</v>
      </c>
      <c r="K3918" t="e">
        <f>+Tabla1[[#This Row],[DEPOSITADO]]/I3918</f>
        <v>#VALUE!</v>
      </c>
      <c r="L3918" t="e">
        <f>IF(Tabla1[[#This Row],[DIAS]]&gt;89,+K3918*J3918*(1+1%/365*Tabla1[[#This Row],[DIAS]]),Tabla1[[#This Row],[ACOBRAR]])</f>
        <v>#VALUE!</v>
      </c>
      <c r="M3918" t="e">
        <f>+L3918-Tabla1[[#This Row],[ACOBRAR]]</f>
        <v>#VALUE!</v>
      </c>
    </row>
    <row r="3919" spans="1:13" ht="13.5" customHeight="1">
      <c r="A3919" s="532">
        <v>45414</v>
      </c>
      <c r="B3919" s="615">
        <v>300000</v>
      </c>
      <c r="C3919" s="615">
        <f t="shared" ref="A3919:C3919" si="527">B3919+(B3919*F3919/365*E3919)*1</f>
        <v>310257.53424657532</v>
      </c>
      <c r="D3919" s="532">
        <f t="shared" ref="A3919:D3919" si="528">+A3919+E3919</f>
        <v>45446</v>
      </c>
      <c r="E3919" s="534">
        <v>32</v>
      </c>
      <c r="F3919" s="653">
        <v>0.39</v>
      </c>
      <c r="G3919" s="536" t="s">
        <v>262</v>
      </c>
      <c r="H3919">
        <v>9616.4383561643626</v>
      </c>
      <c r="I3919">
        <v>893.6</v>
      </c>
      <c r="J3919">
        <v>983.35</v>
      </c>
      <c r="K3919">
        <v>335.72068039391223</v>
      </c>
      <c r="L3919">
        <v>310257.53424657532</v>
      </c>
      <c r="M3919">
        <v>0</v>
      </c>
    </row>
    <row r="3920" spans="1:13" ht="13.5" customHeight="1">
      <c r="A3920" s="532">
        <v>45414</v>
      </c>
      <c r="B3920" s="615">
        <v>70000</v>
      </c>
      <c r="C3920" s="615">
        <f t="shared" ref="A3920:C3920" si="529">B3920+(B3920*F3920/365*E3920)*1</f>
        <v>72393.42465753424</v>
      </c>
      <c r="D3920" s="532">
        <f t="shared" ref="A3920:D3920" si="530">+A3920+E3920</f>
        <v>45446</v>
      </c>
      <c r="E3920" s="534">
        <v>32</v>
      </c>
      <c r="F3920" s="653">
        <v>0.39</v>
      </c>
      <c r="G3920" s="536" t="s">
        <v>258</v>
      </c>
      <c r="H3920">
        <v>2243.8356164383504</v>
      </c>
      <c r="I3920">
        <v>893.6</v>
      </c>
      <c r="J3920">
        <v>983.35</v>
      </c>
      <c r="K3920">
        <v>78.334825425246194</v>
      </c>
      <c r="L3920">
        <v>72393.42465753424</v>
      </c>
      <c r="M3920">
        <v>0</v>
      </c>
    </row>
    <row r="3921" spans="1:13" ht="13.5" customHeight="1">
      <c r="A3921" s="532">
        <v>45422</v>
      </c>
      <c r="B3921" s="615">
        <v>60000</v>
      </c>
      <c r="C3921" s="615">
        <f>B3921+(B3921*F3921/365*E3921)*1</f>
        <v>62038.356164383564</v>
      </c>
      <c r="D3921" s="532">
        <f t="shared" ref="A3921:D3923" si="531">+A3921+E3921</f>
        <v>45453</v>
      </c>
      <c r="E3921" s="534">
        <v>31</v>
      </c>
      <c r="F3921" s="653">
        <v>0.4</v>
      </c>
      <c r="G3921" s="536" t="s">
        <v>258</v>
      </c>
      <c r="H3921">
        <f t="shared" ref="A3921:H3923" si="532">(C3921-B3921)/E3921*30</f>
        <v>1972.6027397260293</v>
      </c>
      <c r="I3921" t="e">
        <f>VLOOKUP(Tabla1[[#This Row],[FECHA]],TablaUVA[#All],2)</f>
        <v>#VALUE!</v>
      </c>
      <c r="J3921" t="e">
        <f>VLOOKUP(Tabla1[[#This Row],[VTO.]],TablaUVA[#All],2)</f>
        <v>#VALUE!</v>
      </c>
      <c r="K3921" t="e">
        <f>+Tabla1[[#This Row],[DEPOSITADO]]/I3921</f>
        <v>#VALUE!</v>
      </c>
      <c r="L3921" t="e">
        <f>IF(Tabla1[[#This Row],[DIAS]]&gt;89,+K3921*J3921*(1+1%/365*Tabla1[[#This Row],[DIAS]]),Tabla1[[#This Row],[ACOBRAR]])</f>
        <v>#VALUE!</v>
      </c>
      <c r="M3921" t="e">
        <f>+L3921-Tabla1[[#This Row],[ACOBRAR]]</f>
        <v>#VALUE!</v>
      </c>
    </row>
    <row r="3922" spans="1:13" ht="13.5" customHeight="1">
      <c r="A3922" s="532">
        <v>45422</v>
      </c>
      <c r="B3922" s="615">
        <v>56000</v>
      </c>
      <c r="C3922" s="615">
        <f>B3922+(B3922*F3922/365*E3922)*1</f>
        <v>57950.027397260274</v>
      </c>
      <c r="D3922" s="532">
        <f t="shared" si="531"/>
        <v>45453</v>
      </c>
      <c r="E3922" s="534">
        <v>31</v>
      </c>
      <c r="F3922" s="653">
        <v>0.41</v>
      </c>
      <c r="G3922" s="536" t="s">
        <v>259</v>
      </c>
      <c r="H3922">
        <f t="shared" si="532"/>
        <v>1887.1232876712324</v>
      </c>
      <c r="I3922" t="e">
        <f>VLOOKUP(Tabla1[[#This Row],[FECHA]],TablaUVA[#All],2)</f>
        <v>#VALUE!</v>
      </c>
      <c r="J3922" t="e">
        <f>VLOOKUP(Tabla1[[#This Row],[VTO.]],TablaUVA[#All],2)</f>
        <v>#VALUE!</v>
      </c>
      <c r="K3922" t="e">
        <f>+Tabla1[[#This Row],[DEPOSITADO]]/I3922</f>
        <v>#VALUE!</v>
      </c>
      <c r="L3922" t="e">
        <f>IF(Tabla1[[#This Row],[DIAS]]&gt;89,+K3922*J3922*(1+1%/365*Tabla1[[#This Row],[DIAS]]),Tabla1[[#This Row],[ACOBRAR]])</f>
        <v>#VALUE!</v>
      </c>
      <c r="M3922" t="e">
        <f>+L3922-Tabla1[[#This Row],[ACOBRAR]]</f>
        <v>#VALUE!</v>
      </c>
    </row>
    <row r="3923" spans="1:13" ht="13.5" customHeight="1">
      <c r="A3923" s="532">
        <v>45421</v>
      </c>
      <c r="B3923" s="615">
        <v>90000</v>
      </c>
      <c r="C3923" s="615">
        <f>B3923+(B3923*F3923/365*E3923)*1</f>
        <v>93235.068493150684</v>
      </c>
      <c r="D3923" s="532">
        <f t="shared" si="531"/>
        <v>45453</v>
      </c>
      <c r="E3923" s="534">
        <v>32</v>
      </c>
      <c r="F3923" s="653">
        <v>0.41</v>
      </c>
      <c r="G3923" s="536" t="s">
        <v>259</v>
      </c>
      <c r="H3923">
        <f t="shared" si="532"/>
        <v>3032.8767123287662</v>
      </c>
      <c r="I3923" t="e">
        <f>VLOOKUP(Tabla1[[#This Row],[FECHA]],TablaUVA[#All],2)</f>
        <v>#VALUE!</v>
      </c>
      <c r="J3923" t="e">
        <f>VLOOKUP(Tabla1[[#This Row],[VTO.]],TablaUVA[#All],2)</f>
        <v>#VALUE!</v>
      </c>
      <c r="K3923" t="e">
        <f>+Tabla1[[#This Row],[DEPOSITADO]]/I3923</f>
        <v>#VALUE!</v>
      </c>
      <c r="L3923" t="e">
        <f>IF(Tabla1[[#This Row],[DIAS]]&gt;89,+K3923*J3923*(1+1%/365*Tabla1[[#This Row],[DIAS]]),Tabla1[[#This Row],[ACOBRAR]])</f>
        <v>#VALUE!</v>
      </c>
      <c r="M3923" t="e">
        <f>+L3923-Tabla1[[#This Row],[ACOBRAR]]</f>
        <v>#VALUE!</v>
      </c>
    </row>
    <row r="3924" spans="1:13" ht="13.5" customHeight="1">
      <c r="A3924" s="532">
        <v>45371</v>
      </c>
      <c r="B3924" s="615">
        <v>710000</v>
      </c>
      <c r="C3924" s="615">
        <f>B3924+(B3924*F3924/365*E3924)*1</f>
        <v>952627.67999999993</v>
      </c>
      <c r="D3924" s="532">
        <v>45461</v>
      </c>
      <c r="E3924" s="534">
        <v>90</v>
      </c>
      <c r="F3924" s="653">
        <v>1.3859014585289513</v>
      </c>
      <c r="G3924" s="536" t="s">
        <v>260</v>
      </c>
      <c r="H3924">
        <f t="shared" ref="A3924:H3924" si="533">(C3924-B3924)/E3924*30</f>
        <v>80875.893333333312</v>
      </c>
      <c r="I3924" t="e">
        <f>VLOOKUP(Tabla1[[#This Row],[FECHA]],TablaUVA[#All],2)</f>
        <v>#VALUE!</v>
      </c>
      <c r="J3924" t="e">
        <f>VLOOKUP(Tabla1[[#This Row],[VTO.]],TablaUVA[#All],2)</f>
        <v>#VALUE!</v>
      </c>
      <c r="K3924" t="e">
        <f>+Tabla1[[#This Row],[DEPOSITADO]]/I3924</f>
        <v>#VALUE!</v>
      </c>
      <c r="L3924" t="e">
        <f>IF(Tabla1[[#This Row],[DIAS]]&gt;89,+K3924*J3924*(1+1%/365*Tabla1[[#This Row],[DIAS]]),Tabla1[[#This Row],[ACOBRAR]])</f>
        <v>#VALUE!</v>
      </c>
      <c r="M3924" t="e">
        <f>+L3924-Tabla1[[#This Row],[ACOBRAR]]</f>
        <v>#VALUE!</v>
      </c>
    </row>
    <row r="3925" spans="1:13" ht="13.5" customHeight="1">
      <c r="A3925" s="532">
        <v>45432</v>
      </c>
      <c r="B3925" s="615">
        <v>258000</v>
      </c>
      <c r="C3925" s="615">
        <f>B3925+(B3925*F3925/365*E3925)*1</f>
        <v>264573.69863013696</v>
      </c>
      <c r="D3925" s="532">
        <f t="shared" ref="A3925:D3925" si="534">+A3925+E3925</f>
        <v>45462</v>
      </c>
      <c r="E3925" s="534">
        <v>30</v>
      </c>
      <c r="F3925" s="653">
        <v>0.31</v>
      </c>
      <c r="G3925" s="536" t="s">
        <v>259</v>
      </c>
      <c r="H3925">
        <f t="shared" ref="A3925:H3925" si="535">(C3925-B3925)/E3925*30</f>
        <v>6573.6986301369616</v>
      </c>
      <c r="I3925" t="e">
        <f>VLOOKUP(Tabla1[[#This Row],[FECHA]],TablaUVA[#All],2)</f>
        <v>#VALUE!</v>
      </c>
      <c r="J3925" t="e">
        <f>VLOOKUP(Tabla1[[#This Row],[VTO.]],TablaUVA[#All],2)</f>
        <v>#VALUE!</v>
      </c>
      <c r="K3925" t="e">
        <f>+Tabla1[[#This Row],[DEPOSITADO]]/I3925</f>
        <v>#VALUE!</v>
      </c>
      <c r="L3925" t="e">
        <f>IF(Tabla1[[#This Row],[DIAS]]&gt;89,+K3925*J3925*(1+1%/365*Tabla1[[#This Row],[DIAS]]),Tabla1[[#This Row],[ACOBRAR]])</f>
        <v>#VALUE!</v>
      </c>
      <c r="M3925" t="e">
        <f>+L3925-Tabla1[[#This Row],[ACOBRAR]]</f>
        <v>#VALUE!</v>
      </c>
    </row>
    <row r="3926" spans="1:13" ht="13.5" customHeight="1">
      <c r="A3926" s="532">
        <v>45376</v>
      </c>
      <c r="B3926" s="615">
        <v>300000</v>
      </c>
      <c r="C3926" s="615">
        <v>400998.00140161446</v>
      </c>
      <c r="D3926" s="532">
        <v>45467</v>
      </c>
      <c r="E3926" s="534">
        <v>91</v>
      </c>
      <c r="F3926" s="653">
        <v>0.33666000467204826</v>
      </c>
      <c r="G3926" s="536" t="s">
        <v>260</v>
      </c>
      <c r="H3926" s="835" t="s">
        <v>727</v>
      </c>
      <c r="I3926" s="835" t="s">
        <v>722</v>
      </c>
      <c r="K3926">
        <v>389.3373478339866</v>
      </c>
      <c r="L3926">
        <v>401997.74984346511</v>
      </c>
      <c r="M3926">
        <v>999.74844185065012</v>
      </c>
    </row>
    <row r="3927" spans="1:13" ht="13.5" customHeight="1">
      <c r="A3927" s="532">
        <v>45439</v>
      </c>
      <c r="B3927" s="615">
        <v>100000</v>
      </c>
      <c r="C3927" s="615">
        <f>B3927+(B3927*F3927/365*E3927)*1</f>
        <v>102547.94520547945</v>
      </c>
      <c r="D3927" s="532">
        <f t="shared" ref="A3927:D3928" si="536">+A3927+E3927</f>
        <v>45469</v>
      </c>
      <c r="E3927" s="534">
        <v>30</v>
      </c>
      <c r="F3927" s="653">
        <v>0.31</v>
      </c>
      <c r="G3927" s="536" t="s">
        <v>259</v>
      </c>
      <c r="H3927">
        <f t="shared" ref="A3927:H3930" si="537">(C3927-B3927)/E3927*30</f>
        <v>2547.9452054794529</v>
      </c>
      <c r="I3927" t="e">
        <f>VLOOKUP(Tabla1[[#This Row],[FECHA]],TablaUVA[#All],2)</f>
        <v>#VALUE!</v>
      </c>
      <c r="J3927" t="e">
        <f>VLOOKUP(Tabla1[[#This Row],[VTO.]],TablaUVA[#All],2)</f>
        <v>#VALUE!</v>
      </c>
      <c r="K3927" t="e">
        <f>+Tabla1[[#This Row],[DEPOSITADO]]/I3927</f>
        <v>#VALUE!</v>
      </c>
      <c r="L3927" t="e">
        <f>IF(Tabla1[[#This Row],[DIAS]]&gt;89,+K3927*J3927*(1+1%/365*Tabla1[[#This Row],[DIAS]]),Tabla1[[#This Row],[ACOBRAR]])</f>
        <v>#VALUE!</v>
      </c>
      <c r="M3927" t="e">
        <f>+L3927-Tabla1[[#This Row],[ACOBRAR]]</f>
        <v>#VALUE!</v>
      </c>
    </row>
    <row r="3928" spans="1:13" ht="13.5" customHeight="1">
      <c r="A3928" s="532">
        <v>45439</v>
      </c>
      <c r="B3928" s="615">
        <v>212000</v>
      </c>
      <c r="C3928" s="615">
        <f>B3928+(B3928*F3928/365*E3928)*1</f>
        <v>217401.64383561644</v>
      </c>
      <c r="D3928" s="532">
        <f t="shared" si="536"/>
        <v>45469</v>
      </c>
      <c r="E3928" s="534">
        <v>30</v>
      </c>
      <c r="F3928" s="653">
        <v>0.31</v>
      </c>
      <c r="G3928" s="536" t="s">
        <v>259</v>
      </c>
      <c r="H3928">
        <f t="shared" si="537"/>
        <v>5401.6438356164435</v>
      </c>
      <c r="I3928" t="e">
        <f>VLOOKUP(Tabla1[[#This Row],[FECHA]],TablaUVA[#All],2)</f>
        <v>#VALUE!</v>
      </c>
      <c r="J3928" t="e">
        <f>VLOOKUP(Tabla1[[#This Row],[VTO.]],TablaUVA[#All],2)</f>
        <v>#VALUE!</v>
      </c>
      <c r="K3928" t="e">
        <f>+Tabla1[[#This Row],[DEPOSITADO]]/I3928</f>
        <v>#VALUE!</v>
      </c>
      <c r="L3928" t="e">
        <f>IF(Tabla1[[#This Row],[DIAS]]&gt;89,+K3928*J3928*(1+1%/365*Tabla1[[#This Row],[DIAS]]),Tabla1[[#This Row],[ACOBRAR]])</f>
        <v>#VALUE!</v>
      </c>
      <c r="M3928" t="e">
        <f>+L3928-Tabla1[[#This Row],[ACOBRAR]]</f>
        <v>#VALUE!</v>
      </c>
    </row>
    <row r="3929" spans="1:13" ht="13.5" customHeight="1">
      <c r="A3929" s="532">
        <v>45289</v>
      </c>
      <c r="B3929" s="615">
        <v>565000</v>
      </c>
      <c r="C3929" s="615">
        <v>1277346.9725315161</v>
      </c>
      <c r="D3929" s="532">
        <v>45469</v>
      </c>
      <c r="E3929" s="534">
        <v>180</v>
      </c>
      <c r="F3929" s="653">
        <v>1.2607911018256921</v>
      </c>
      <c r="G3929" s="536" t="s">
        <v>263</v>
      </c>
      <c r="H3929">
        <f t="shared" si="537"/>
        <v>118724.49542191935</v>
      </c>
      <c r="I3929" t="e">
        <f>VLOOKUP(Tabla1[[#This Row],[FECHA]],TablaUVA[#All],2)</f>
        <v>#VALUE!</v>
      </c>
      <c r="J3929" t="e">
        <f>VLOOKUP(Tabla1[[#This Row],[VTO.]],TablaUVA[#All],2)</f>
        <v>#VALUE!</v>
      </c>
      <c r="K3929" t="e">
        <f>+Tabla1[[#This Row],[DEPOSITADO]]/I3929</f>
        <v>#VALUE!</v>
      </c>
      <c r="L3929" t="e">
        <f>IF(Tabla1[[#This Row],[DIAS]]&gt;89,+K3929*J3929*(1+1%/365*Tabla1[[#This Row],[DIAS]]),Tabla1[[#This Row],[ACOBRAR]])</f>
        <v>#VALUE!</v>
      </c>
      <c r="M3929" t="e">
        <f>+L3929-Tabla1[[#This Row],[ACOBRAR]]</f>
        <v>#VALUE!</v>
      </c>
    </row>
    <row r="3930" spans="1:13" ht="13.5" customHeight="1">
      <c r="A3930" s="532">
        <v>45289</v>
      </c>
      <c r="B3930" s="615">
        <v>350000</v>
      </c>
      <c r="C3930" s="615">
        <f>B3930+(B3930*F3930/365*E3930)*1</f>
        <v>539863.01369863015</v>
      </c>
      <c r="D3930" s="532">
        <f t="shared" ref="A3930:D3930" si="538">+A3930+E3930</f>
        <v>45469</v>
      </c>
      <c r="E3930" s="534">
        <v>180</v>
      </c>
      <c r="F3930" s="653">
        <v>1.1000000000000001</v>
      </c>
      <c r="G3930" s="536" t="s">
        <v>263</v>
      </c>
      <c r="H3930">
        <f t="shared" si="537"/>
        <v>31643.835616438359</v>
      </c>
      <c r="I3930" t="e">
        <f>VLOOKUP(Tabla1[[#This Row],[FECHA]],TablaUVA[#All],2)</f>
        <v>#VALUE!</v>
      </c>
      <c r="J3930" t="e">
        <f>VLOOKUP(Tabla1[[#This Row],[VTO.]],TablaUVA[#All],2)</f>
        <v>#VALUE!</v>
      </c>
      <c r="K3930" t="e">
        <f>+Tabla1[[#This Row],[DEPOSITADO]]/I3930</f>
        <v>#VALUE!</v>
      </c>
      <c r="L3930" t="e">
        <f>IF(Tabla1[[#This Row],[DIAS]]&gt;89,+K3930*J3930*(1+1%/365*Tabla1[[#This Row],[DIAS]]),Tabla1[[#This Row],[ACOBRAR]])</f>
        <v>#VALUE!</v>
      </c>
      <c r="M3930" t="e">
        <f>+L3930-Tabla1[[#This Row],[ACOBRAR]]</f>
        <v>#VALUE!</v>
      </c>
    </row>
    <row r="3931" spans="1:13" ht="13.5" customHeight="1">
      <c r="A3931" s="532">
        <v>45441</v>
      </c>
      <c r="B3931" s="615">
        <v>48400</v>
      </c>
      <c r="C3931" s="615">
        <f>B3931+(B3931*F3931/365*E3931)*1</f>
        <v>49633.205479452052</v>
      </c>
      <c r="D3931" s="532">
        <f t="shared" ref="A3931:D3931" si="539">+A3931+E3931</f>
        <v>45471</v>
      </c>
      <c r="E3931" s="534">
        <v>30</v>
      </c>
      <c r="F3931" s="653">
        <v>0.31</v>
      </c>
      <c r="G3931" s="536" t="s">
        <v>259</v>
      </c>
      <c r="H3931">
        <f>(C3931-B3931)/E3931*30</f>
        <v>1233.2054794520518</v>
      </c>
      <c r="I3931" t="e">
        <f>VLOOKUP(Tabla1[[#This Row],[FECHA]],TablaUVA[#All],2)</f>
        <v>#VALUE!</v>
      </c>
      <c r="J3931" t="e">
        <f>VLOOKUP(Tabla1[[#This Row],[VTO.]],TablaUVA[#All],2)</f>
        <v>#VALUE!</v>
      </c>
      <c r="K3931" t="e">
        <f>+Tabla1[[#This Row],[DEPOSITADO]]/I3931</f>
        <v>#VALUE!</v>
      </c>
      <c r="L3931" t="e">
        <f>IF(Tabla1[[#This Row],[DIAS]]&gt;89,+K3931*J3931*(1+1%/365*Tabla1[[#This Row],[DIAS]]),Tabla1[[#This Row],[ACOBRAR]])</f>
        <v>#VALUE!</v>
      </c>
      <c r="M3931" t="e">
        <f>+L3931-Tabla1[[#This Row],[ACOBRAR]]</f>
        <v>#VALUE!</v>
      </c>
    </row>
    <row r="3932" spans="1:13" ht="13.5" customHeight="1">
      <c r="A3932" s="532">
        <v>45293</v>
      </c>
      <c r="B3932" s="615">
        <v>400000</v>
      </c>
      <c r="C3932" s="615">
        <v>904541.08560313587</v>
      </c>
      <c r="D3932" s="532">
        <v>45474</v>
      </c>
      <c r="E3932" s="534">
        <v>181</v>
      </c>
      <c r="F3932" s="653">
        <v>1.2613527140078395</v>
      </c>
      <c r="G3932" s="536" t="s">
        <v>256</v>
      </c>
      <c r="H3932">
        <v>83625.594298862299</v>
      </c>
      <c r="I3932">
        <v>463.4</v>
      </c>
      <c r="J3932">
        <v>1042.74</v>
      </c>
      <c r="K3932">
        <v>863.18515321536472</v>
      </c>
      <c r="L3932">
        <v>904541.08560313587</v>
      </c>
      <c r="M3932">
        <v>0</v>
      </c>
    </row>
    <row r="3933" spans="1:13" ht="13.5" customHeight="1">
      <c r="A3933" s="532">
        <v>45293</v>
      </c>
      <c r="B3933" s="615">
        <v>1980000</v>
      </c>
      <c r="C3933" s="615">
        <v>4477478.3737355219</v>
      </c>
      <c r="D3933" s="532">
        <v>45474</v>
      </c>
      <c r="E3933" s="534">
        <v>181</v>
      </c>
      <c r="F3933" s="653">
        <v>1.2613527140078395</v>
      </c>
      <c r="G3933" s="536" t="s">
        <v>263</v>
      </c>
      <c r="H3933">
        <v>413946.69177936827</v>
      </c>
      <c r="I3933">
        <v>463.4</v>
      </c>
      <c r="J3933">
        <v>1042.74</v>
      </c>
      <c r="K3933">
        <v>4272.7665084160553</v>
      </c>
      <c r="L3933">
        <v>4477478.3737355229</v>
      </c>
      <c r="M3933">
        <v>0</v>
      </c>
    </row>
    <row r="3934" spans="1:13" ht="13.5" customHeight="1">
      <c r="A3934" s="532">
        <v>45294</v>
      </c>
      <c r="B3934" s="615">
        <v>170000</v>
      </c>
      <c r="C3934" s="615">
        <v>380060.91246975237</v>
      </c>
      <c r="D3934" s="532">
        <v>45475</v>
      </c>
      <c r="E3934" s="534">
        <v>181</v>
      </c>
      <c r="F3934" s="653">
        <v>1.2356524262926611</v>
      </c>
      <c r="G3934" s="536" t="s">
        <v>256</v>
      </c>
      <c r="H3934">
        <f t="shared" ref="A3934:H3938" si="540">(C3934-B3934)/E3934*30</f>
        <v>34816.72582371586</v>
      </c>
      <c r="I3934">
        <f>170843.01+209217.89</f>
        <v>380060.9</v>
      </c>
      <c r="J3934">
        <f t="shared" ref="A3934:J3938" si="541">+C3934-I3934</f>
        <v>1.2469752342440188E-2</v>
      </c>
      <c r="K3934" t="e">
        <f>+Tabla1[[#This Row],[DEPOSITADO]]/I3934</f>
        <v>#VALUE!</v>
      </c>
      <c r="L3934" t="e">
        <f>IF(Tabla1[[#This Row],[DIAS]]&gt;89,+K3934*J3934*(1+1%/365*Tabla1[[#This Row],[DIAS]]),Tabla1[[#This Row],[ACOBRAR]])</f>
        <v>#VALUE!</v>
      </c>
      <c r="M3934" t="e">
        <f>+L3934-Tabla1[[#This Row],[ACOBRAR]]</f>
        <v>#VALUE!</v>
      </c>
    </row>
    <row r="3935" spans="1:13" ht="13.5" customHeight="1">
      <c r="A3935" s="532">
        <v>45294</v>
      </c>
      <c r="B3935" s="615">
        <v>100000</v>
      </c>
      <c r="C3935" s="615">
        <v>223565.24262926611</v>
      </c>
      <c r="D3935" s="532">
        <v>45475</v>
      </c>
      <c r="E3935" s="534">
        <v>181</v>
      </c>
      <c r="F3935" s="653">
        <v>1.2356524262926611</v>
      </c>
      <c r="G3935" s="536" t="s">
        <v>256</v>
      </c>
      <c r="H3935">
        <f t="shared" si="540"/>
        <v>20480.426955126979</v>
      </c>
      <c r="I3935">
        <f>100495.89+123069.35</f>
        <v>223565.24</v>
      </c>
      <c r="J3935">
        <f t="shared" si="541"/>
        <v>2.629266120493412E-3</v>
      </c>
      <c r="K3935" t="e">
        <f>+Tabla1[[#This Row],[DEPOSITADO]]/I3935</f>
        <v>#VALUE!</v>
      </c>
      <c r="L3935" t="e">
        <f>IF(Tabla1[[#This Row],[DIAS]]&gt;89,+K3935*J3935*(1+1%/365*Tabla1[[#This Row],[DIAS]]),Tabla1[[#This Row],[ACOBRAR]])</f>
        <v>#VALUE!</v>
      </c>
      <c r="M3935" t="e">
        <f>+L3935-Tabla1[[#This Row],[ACOBRAR]]</f>
        <v>#VALUE!</v>
      </c>
    </row>
    <row r="3936" spans="1:13" ht="13.5" customHeight="1">
      <c r="A3936" s="532">
        <v>45295</v>
      </c>
      <c r="B3936" s="615">
        <v>155000</v>
      </c>
      <c r="C3936" s="615">
        <v>345174.58605342661</v>
      </c>
      <c r="D3936" s="532">
        <v>45475</v>
      </c>
      <c r="E3936" s="534">
        <v>180</v>
      </c>
      <c r="F3936" s="653">
        <v>1.2269328132479136</v>
      </c>
      <c r="G3936" s="536" t="s">
        <v>265</v>
      </c>
      <c r="H3936">
        <f t="shared" si="540"/>
        <v>31695.764342237766</v>
      </c>
      <c r="I3936">
        <f>155764.38+189410.19</f>
        <v>345174.57</v>
      </c>
      <c r="J3936">
        <f t="shared" si="541"/>
        <v>1.6053426603320986E-2</v>
      </c>
      <c r="K3936" t="e">
        <f>+Tabla1[[#This Row],[DEPOSITADO]]/I3936</f>
        <v>#VALUE!</v>
      </c>
      <c r="L3936" t="e">
        <f>IF(Tabla1[[#This Row],[DIAS]]&gt;89,+K3936*J3936*(1+1%/365*Tabla1[[#This Row],[DIAS]]),Tabla1[[#This Row],[ACOBRAR]])</f>
        <v>#VALUE!</v>
      </c>
      <c r="M3936" t="e">
        <f>+L3936-Tabla1[[#This Row],[ACOBRAR]]</f>
        <v>#VALUE!</v>
      </c>
    </row>
    <row r="3937" spans="1:14" ht="13.5" customHeight="1">
      <c r="A3937" s="532">
        <v>45295</v>
      </c>
      <c r="B3937" s="615">
        <v>78000</v>
      </c>
      <c r="C3937" s="615">
        <v>173700.75943333725</v>
      </c>
      <c r="D3937" s="532">
        <v>45475</v>
      </c>
      <c r="E3937" s="534">
        <v>180</v>
      </c>
      <c r="F3937" s="653">
        <v>1.2269328132479136</v>
      </c>
      <c r="G3937" s="536" t="s">
        <v>265</v>
      </c>
      <c r="H3937">
        <f t="shared" si="540"/>
        <v>15950.126572222875</v>
      </c>
      <c r="I3937">
        <f>78384.66+95316.1</f>
        <v>173700.76</v>
      </c>
      <c r="J3937">
        <f t="shared" si="541"/>
        <v>-5.666627548635006E-4</v>
      </c>
      <c r="K3937" t="e">
        <f>+Tabla1[[#This Row],[DEPOSITADO]]/I3937</f>
        <v>#VALUE!</v>
      </c>
      <c r="L3937" t="e">
        <f>IF(Tabla1[[#This Row],[DIAS]]&gt;89,+K3937*J3937*(1+1%/365*Tabla1[[#This Row],[DIAS]]),Tabla1[[#This Row],[ACOBRAR]])</f>
        <v>#VALUE!</v>
      </c>
      <c r="M3937" t="e">
        <f>+L3937-Tabla1[[#This Row],[ACOBRAR]]</f>
        <v>#VALUE!</v>
      </c>
    </row>
    <row r="3938" spans="1:14" ht="13.5" customHeight="1">
      <c r="A3938" s="532">
        <v>45295</v>
      </c>
      <c r="B3938" s="615">
        <v>141300</v>
      </c>
      <c r="C3938" s="615">
        <v>314665.60651193018</v>
      </c>
      <c r="D3938" s="532">
        <v>45475</v>
      </c>
      <c r="E3938" s="534">
        <v>180</v>
      </c>
      <c r="F3938" s="653">
        <v>1.2269328132479136</v>
      </c>
      <c r="G3938" s="536" t="s">
        <v>257</v>
      </c>
      <c r="H3938">
        <f t="shared" si="540"/>
        <v>28894.267751988362</v>
      </c>
      <c r="I3938">
        <f>172668.78+141996.82</f>
        <v>314665.59999999998</v>
      </c>
      <c r="J3938">
        <f t="shared" si="541"/>
        <v>6.5119302016682923E-3</v>
      </c>
      <c r="K3938" t="e">
        <f>+Tabla1[[#This Row],[DEPOSITADO]]/I3938</f>
        <v>#VALUE!</v>
      </c>
      <c r="L3938" t="e">
        <f>IF(Tabla1[[#This Row],[DIAS]]&gt;89,+K3938*J3938*(1+1%/365*Tabla1[[#This Row],[DIAS]]),Tabla1[[#This Row],[ACOBRAR]])</f>
        <v>#VALUE!</v>
      </c>
      <c r="M3938" t="e">
        <f>+L3938-Tabla1[[#This Row],[ACOBRAR]]</f>
        <v>#VALUE!</v>
      </c>
    </row>
    <row r="3939" spans="1:14" ht="13.5" customHeight="1">
      <c r="A3939" s="532">
        <v>45295</v>
      </c>
      <c r="B3939" s="615">
        <v>327000</v>
      </c>
      <c r="C3939" s="615">
        <v>728207.02993206773</v>
      </c>
      <c r="D3939" s="532">
        <v>45475</v>
      </c>
      <c r="E3939" s="534">
        <v>180</v>
      </c>
      <c r="F3939" s="653">
        <v>1.2269328132479136</v>
      </c>
      <c r="G3939" s="536" t="s">
        <v>261</v>
      </c>
      <c r="J3939" s="93" t="s">
        <v>728</v>
      </c>
      <c r="K3939" s="93" t="s">
        <v>729</v>
      </c>
      <c r="L3939" s="93" t="s">
        <v>730</v>
      </c>
      <c r="M3939" t="e">
        <f>+L3939-Tabla1[[#This Row],[ACOBRAR]]</f>
        <v>#VALUE!</v>
      </c>
    </row>
    <row r="3940" spans="1:14" ht="13.5" customHeight="1">
      <c r="A3940" s="831">
        <v>45295</v>
      </c>
      <c r="B3940" s="832">
        <v>365000</v>
      </c>
      <c r="C3940" s="832">
        <v>812830.47683548846</v>
      </c>
      <c r="D3940" s="831">
        <v>45475</v>
      </c>
      <c r="E3940" s="697">
        <v>180</v>
      </c>
      <c r="F3940" s="833">
        <v>1.2269328132479136</v>
      </c>
      <c r="G3940" s="834" t="s">
        <v>260</v>
      </c>
      <c r="H3940" s="596">
        <v>812830.48</v>
      </c>
      <c r="I3940" s="596">
        <v>812830.48</v>
      </c>
      <c r="J3940" s="591">
        <f>+H3940-I3940</f>
        <v>0</v>
      </c>
      <c r="K3940">
        <v>472.49</v>
      </c>
      <c r="L3940">
        <f>+J3940*K3940</f>
        <v>0</v>
      </c>
      <c r="M3940">
        <v>1047.04</v>
      </c>
      <c r="N3940">
        <f>+J3940*M3940</f>
        <v>0</v>
      </c>
    </row>
    <row r="3941" spans="1:14" ht="13.5" customHeight="1">
      <c r="A3941" s="532">
        <v>45296</v>
      </c>
      <c r="B3941" s="615">
        <v>280000</v>
      </c>
      <c r="C3941" s="615">
        <v>621970.67517585738</v>
      </c>
      <c r="D3941" s="532">
        <v>45476</v>
      </c>
      <c r="E3941" s="534">
        <v>180</v>
      </c>
      <c r="F3941" s="653">
        <v>1.2213238399137762</v>
      </c>
      <c r="G3941" s="536" t="s">
        <v>256</v>
      </c>
      <c r="H3941">
        <v>56995.112529309561</v>
      </c>
      <c r="I3941">
        <v>474.33</v>
      </c>
      <c r="J3941">
        <v>1048.47</v>
      </c>
      <c r="K3941">
        <v>590.30632681888142</v>
      </c>
      <c r="L3941">
        <v>621970.67517585726</v>
      </c>
      <c r="M3941">
        <v>0</v>
      </c>
    </row>
    <row r="3942" spans="1:14" ht="13.5" customHeight="1">
      <c r="A3942" s="532">
        <v>45296</v>
      </c>
      <c r="B3942" s="615">
        <v>100000</v>
      </c>
      <c r="C3942" s="615">
        <v>222132.38399137763</v>
      </c>
      <c r="D3942" s="532">
        <v>45476</v>
      </c>
      <c r="E3942" s="534">
        <v>180</v>
      </c>
      <c r="F3942" s="653">
        <v>1.2213238399137762</v>
      </c>
      <c r="G3942" s="536" t="s">
        <v>262</v>
      </c>
      <c r="H3942">
        <v>20355.397331896271</v>
      </c>
      <c r="I3942">
        <v>474.33</v>
      </c>
      <c r="J3942">
        <v>1048.47</v>
      </c>
      <c r="K3942">
        <v>210.82368814960049</v>
      </c>
      <c r="L3942">
        <v>222132.38399137757</v>
      </c>
      <c r="M3942">
        <v>0</v>
      </c>
    </row>
    <row r="3943" spans="1:14" ht="13.5" customHeight="1">
      <c r="A3943" s="532">
        <v>45296</v>
      </c>
      <c r="B3943" s="615">
        <v>50000</v>
      </c>
      <c r="C3943" s="615">
        <v>111066.19199568882</v>
      </c>
      <c r="D3943" s="532">
        <v>45476</v>
      </c>
      <c r="E3943" s="534">
        <v>180</v>
      </c>
      <c r="F3943" s="653">
        <v>1.2213238399137762</v>
      </c>
      <c r="G3943" s="536" t="s">
        <v>258</v>
      </c>
      <c r="H3943">
        <v>10177.698665948135</v>
      </c>
      <c r="I3943">
        <v>474.33</v>
      </c>
      <c r="J3943">
        <v>1048.47</v>
      </c>
      <c r="K3943">
        <v>105.41184407480024</v>
      </c>
      <c r="L3943">
        <v>111066.19199568879</v>
      </c>
      <c r="M3943">
        <v>0</v>
      </c>
    </row>
    <row r="3944" spans="1:14" ht="13.5" customHeight="1">
      <c r="A3944" s="532">
        <v>45296</v>
      </c>
      <c r="B3944" s="615">
        <v>215000</v>
      </c>
      <c r="C3944" s="615">
        <v>477584.62558146188</v>
      </c>
      <c r="D3944" s="532">
        <v>45476</v>
      </c>
      <c r="E3944" s="534">
        <v>180</v>
      </c>
      <c r="F3944" s="653">
        <v>1.2213238399137762</v>
      </c>
      <c r="G3944" s="536" t="s">
        <v>257</v>
      </c>
      <c r="H3944">
        <v>43764.104263576985</v>
      </c>
      <c r="I3944">
        <v>474.33</v>
      </c>
      <c r="J3944">
        <v>1048.47</v>
      </c>
      <c r="K3944">
        <v>453.27092952164105</v>
      </c>
      <c r="L3944">
        <v>477584.62558146176</v>
      </c>
      <c r="M3944">
        <v>0</v>
      </c>
    </row>
    <row r="3945" spans="1:14" ht="13.5" customHeight="1">
      <c r="A3945" s="532">
        <v>45296</v>
      </c>
      <c r="B3945" s="615">
        <v>300000</v>
      </c>
      <c r="C3945" s="615">
        <v>666397.15197413287</v>
      </c>
      <c r="D3945" s="532">
        <v>45476</v>
      </c>
      <c r="E3945" s="534">
        <v>180</v>
      </c>
      <c r="F3945" s="653">
        <v>1.2213238399137762</v>
      </c>
      <c r="G3945" s="536" t="s">
        <v>265</v>
      </c>
      <c r="H3945">
        <v>61066.191995688809</v>
      </c>
      <c r="I3945">
        <v>474.33</v>
      </c>
      <c r="J3945">
        <v>1048.47</v>
      </c>
      <c r="K3945">
        <v>632.47106444880149</v>
      </c>
      <c r="L3945">
        <v>666397.15197413275</v>
      </c>
      <c r="M3945">
        <v>0</v>
      </c>
    </row>
    <row r="3946" spans="1:14" ht="13.5" customHeight="1">
      <c r="A3946" s="532">
        <v>45450</v>
      </c>
      <c r="B3946" s="615">
        <v>91000</v>
      </c>
      <c r="C3946" s="615">
        <f>B3946+(B3946*F3946/365*E3946)*1</f>
        <v>93395.917808219179</v>
      </c>
      <c r="D3946" s="532">
        <f t="shared" ref="A3946:D3946" si="542">+A3946+E3946</f>
        <v>45481</v>
      </c>
      <c r="E3946" s="534">
        <v>31</v>
      </c>
      <c r="F3946" s="653">
        <v>0.31</v>
      </c>
      <c r="G3946" s="536" t="s">
        <v>259</v>
      </c>
      <c r="H3946">
        <v>2318.6301369863022</v>
      </c>
      <c r="I3946">
        <v>999.54</v>
      </c>
      <c r="J3946">
        <v>1052.8</v>
      </c>
      <c r="K3946">
        <v>91.041879264461656</v>
      </c>
      <c r="L3946">
        <v>93395.917808219179</v>
      </c>
      <c r="M3946">
        <v>0</v>
      </c>
    </row>
    <row r="3947" spans="1:14" ht="13.5" customHeight="1">
      <c r="A3947" s="532">
        <v>45299</v>
      </c>
      <c r="B3947" s="615">
        <v>216700</v>
      </c>
      <c r="C3947" s="615">
        <v>481497.21443658066</v>
      </c>
      <c r="D3947" s="532">
        <v>45481</v>
      </c>
      <c r="E3947" s="534">
        <v>182</v>
      </c>
      <c r="F3947" s="653">
        <v>1.2219529969385357</v>
      </c>
      <c r="G3947" s="536" t="s">
        <v>257</v>
      </c>
      <c r="H3947">
        <v>43647.892489546262</v>
      </c>
      <c r="I3947">
        <v>476.18</v>
      </c>
      <c r="J3947">
        <v>1052.8</v>
      </c>
      <c r="K3947">
        <v>455.08001176025874</v>
      </c>
      <c r="L3947">
        <v>481497.2144365806</v>
      </c>
      <c r="M3947">
        <v>0</v>
      </c>
    </row>
    <row r="3948" spans="1:14" ht="13.5" customHeight="1">
      <c r="A3948" s="532">
        <v>45300</v>
      </c>
      <c r="B3948" s="615">
        <v>479300</v>
      </c>
      <c r="C3948" s="615">
        <v>1052618.1873222839</v>
      </c>
      <c r="D3948" s="532">
        <v>45481</v>
      </c>
      <c r="E3948" s="534">
        <v>181</v>
      </c>
      <c r="F3948" s="653">
        <v>1.1961572862972751</v>
      </c>
      <c r="G3948" s="536" t="s">
        <v>257</v>
      </c>
      <c r="H3948">
        <v>95025.113920820542</v>
      </c>
      <c r="I3948">
        <v>481.76</v>
      </c>
      <c r="J3948">
        <v>1052.8</v>
      </c>
      <c r="K3948">
        <v>994.89372301560945</v>
      </c>
      <c r="L3948">
        <v>1052618.1873222841</v>
      </c>
      <c r="M3948">
        <v>0</v>
      </c>
    </row>
    <row r="3949" spans="1:14" ht="13.5" customHeight="1">
      <c r="A3949" s="532">
        <v>45301</v>
      </c>
      <c r="B3949" s="615">
        <v>95900</v>
      </c>
      <c r="C3949" s="615">
        <v>209787.07776530262</v>
      </c>
      <c r="D3949" s="532">
        <v>45481</v>
      </c>
      <c r="E3949" s="534">
        <v>180</v>
      </c>
      <c r="F3949" s="653">
        <v>1.1875607691898082</v>
      </c>
      <c r="G3949" s="536" t="s">
        <v>257</v>
      </c>
      <c r="H3949">
        <v>18981.179627550438</v>
      </c>
      <c r="I3949">
        <v>483.64</v>
      </c>
      <c r="J3949">
        <v>1052.8</v>
      </c>
      <c r="K3949">
        <v>198.28798279712183</v>
      </c>
      <c r="L3949">
        <v>209787.07776530259</v>
      </c>
      <c r="M3949">
        <v>0</v>
      </c>
    </row>
    <row r="3950" spans="1:14" ht="13.5" customHeight="1">
      <c r="A3950" s="532">
        <v>45300</v>
      </c>
      <c r="B3950" s="615">
        <v>68500</v>
      </c>
      <c r="C3950" s="615">
        <v>150436.77411136334</v>
      </c>
      <c r="D3950" s="532">
        <v>45481</v>
      </c>
      <c r="E3950" s="534">
        <v>181</v>
      </c>
      <c r="F3950" s="653">
        <v>1.1961572862972751</v>
      </c>
      <c r="G3950" s="536" t="s">
        <v>265</v>
      </c>
      <c r="H3950">
        <v>13580.680791938676</v>
      </c>
      <c r="I3950">
        <v>481.76</v>
      </c>
      <c r="J3950">
        <v>1052.8</v>
      </c>
      <c r="K3950">
        <v>142.18698106941216</v>
      </c>
      <c r="L3950">
        <v>150436.77411136334</v>
      </c>
      <c r="M3950">
        <v>0</v>
      </c>
    </row>
    <row r="3951" spans="1:14" ht="13.5" customHeight="1">
      <c r="A3951" s="532">
        <v>45300</v>
      </c>
      <c r="B3951" s="615">
        <v>100000</v>
      </c>
      <c r="C3951" s="615">
        <v>219615.72862972753</v>
      </c>
      <c r="D3951" s="532">
        <v>45481</v>
      </c>
      <c r="E3951" s="534">
        <v>181</v>
      </c>
      <c r="F3951" s="653">
        <v>1.1961572862972751</v>
      </c>
      <c r="G3951" s="536" t="s">
        <v>261</v>
      </c>
      <c r="H3951">
        <v>19825.811375092959</v>
      </c>
      <c r="I3951">
        <v>481.76</v>
      </c>
      <c r="J3951">
        <v>1052.8</v>
      </c>
      <c r="K3951">
        <v>207.57223513782796</v>
      </c>
      <c r="L3951">
        <v>219615.7286297275</v>
      </c>
      <c r="M3951">
        <v>0</v>
      </c>
    </row>
    <row r="3952" spans="1:14" ht="13.5" customHeight="1">
      <c r="A3952" s="532">
        <v>45300</v>
      </c>
      <c r="B3952" s="615">
        <v>68500</v>
      </c>
      <c r="C3952" s="615">
        <v>150436.77411136334</v>
      </c>
      <c r="D3952" s="532">
        <v>45481</v>
      </c>
      <c r="E3952" s="534">
        <v>181</v>
      </c>
      <c r="F3952" s="653">
        <v>1.1961572862972751</v>
      </c>
      <c r="G3952" s="536" t="s">
        <v>261</v>
      </c>
      <c r="H3952">
        <v>13580.680791938676</v>
      </c>
      <c r="I3952">
        <v>481.76</v>
      </c>
      <c r="J3952">
        <v>1052.8</v>
      </c>
      <c r="K3952">
        <v>142.18698106941216</v>
      </c>
      <c r="L3952">
        <v>150436.77411136334</v>
      </c>
      <c r="M3952">
        <v>0</v>
      </c>
    </row>
    <row r="3953" spans="1:13" ht="13.5" customHeight="1">
      <c r="A3953" s="831">
        <v>45300</v>
      </c>
      <c r="B3953" s="832">
        <v>223000</v>
      </c>
      <c r="C3953" s="832">
        <v>489743.07484429237</v>
      </c>
      <c r="D3953" s="831">
        <v>45481</v>
      </c>
      <c r="E3953" s="697">
        <v>181</v>
      </c>
      <c r="F3953" s="833">
        <v>1.1961572862972751</v>
      </c>
      <c r="G3953" s="834" t="s">
        <v>260</v>
      </c>
      <c r="H3953">
        <v>489743.07</v>
      </c>
      <c r="I3953" s="596">
        <v>489743.47</v>
      </c>
      <c r="J3953" s="591">
        <f>+H3953-I3953</f>
        <v>-0.3999999999650754</v>
      </c>
      <c r="K3953">
        <v>462.88608435735637</v>
      </c>
      <c r="L3953">
        <v>489743.07484429237</v>
      </c>
      <c r="M3953">
        <v>0</v>
      </c>
    </row>
    <row r="3954" spans="1:13" ht="13.5" customHeight="1">
      <c r="A3954" s="532">
        <v>45300</v>
      </c>
      <c r="B3954" s="615">
        <v>590000</v>
      </c>
      <c r="C3954" s="615">
        <v>1295732.7989153923</v>
      </c>
      <c r="D3954" s="532">
        <v>45481</v>
      </c>
      <c r="E3954" s="534">
        <v>181</v>
      </c>
      <c r="F3954" s="653">
        <v>1.1961572862972751</v>
      </c>
      <c r="G3954" s="536" t="s">
        <v>256</v>
      </c>
      <c r="H3954">
        <v>116972.28711304844</v>
      </c>
      <c r="I3954">
        <v>481.76</v>
      </c>
      <c r="J3954">
        <v>1052.8</v>
      </c>
      <c r="K3954">
        <v>1224.676187313185</v>
      </c>
      <c r="L3954">
        <v>1295732.7989153925</v>
      </c>
      <c r="M3954">
        <v>0</v>
      </c>
    </row>
    <row r="3955" spans="1:13" ht="13.5" customHeight="1">
      <c r="A3955" s="532">
        <v>45301</v>
      </c>
      <c r="B3955" s="615">
        <v>180000</v>
      </c>
      <c r="C3955" s="615">
        <v>393760.93845416547</v>
      </c>
      <c r="D3955" s="532">
        <v>45481</v>
      </c>
      <c r="E3955" s="534">
        <v>180</v>
      </c>
      <c r="F3955" s="653">
        <v>1.1875607691898082</v>
      </c>
      <c r="G3955" s="536" t="s">
        <v>256</v>
      </c>
      <c r="H3955">
        <v>35626.823075694243</v>
      </c>
      <c r="I3955">
        <v>483.64</v>
      </c>
      <c r="J3955">
        <v>1052.8</v>
      </c>
      <c r="K3955">
        <v>372.17765279960304</v>
      </c>
      <c r="L3955">
        <v>393760.93845416547</v>
      </c>
      <c r="M3955">
        <v>0</v>
      </c>
    </row>
    <row r="3956" spans="1:13" ht="13.5" customHeight="1">
      <c r="A3956" s="532">
        <v>45301</v>
      </c>
      <c r="B3956" s="615">
        <v>646000</v>
      </c>
      <c r="C3956" s="615">
        <v>1413164.2568966162</v>
      </c>
      <c r="D3956" s="532">
        <v>45481</v>
      </c>
      <c r="E3956" s="534">
        <v>180</v>
      </c>
      <c r="F3956" s="653">
        <v>1.1875607691898082</v>
      </c>
      <c r="G3956" s="536" t="s">
        <v>263</v>
      </c>
      <c r="H3956">
        <v>127860.70948276935</v>
      </c>
      <c r="I3956">
        <v>483.64</v>
      </c>
      <c r="J3956">
        <v>1052.8</v>
      </c>
      <c r="K3956">
        <v>1335.7042428252419</v>
      </c>
      <c r="L3956">
        <v>1413164.256896616</v>
      </c>
      <c r="M3956">
        <v>0</v>
      </c>
    </row>
    <row r="3957" spans="1:13" ht="13.5" customHeight="1">
      <c r="A3957" s="532">
        <v>45301</v>
      </c>
      <c r="B3957" s="615">
        <v>235000</v>
      </c>
      <c r="C3957" s="615">
        <v>514076.78075960494</v>
      </c>
      <c r="D3957" s="532">
        <v>45481</v>
      </c>
      <c r="E3957" s="534">
        <v>180</v>
      </c>
      <c r="F3957" s="653">
        <v>1.1875607691898082</v>
      </c>
      <c r="G3957" s="536" t="s">
        <v>263</v>
      </c>
      <c r="H3957">
        <v>46512.796793267487</v>
      </c>
      <c r="I3957">
        <v>483.64</v>
      </c>
      <c r="J3957">
        <v>1052.8</v>
      </c>
      <c r="K3957">
        <v>485.89860226614837</v>
      </c>
      <c r="L3957">
        <v>514076.78075960488</v>
      </c>
      <c r="M3957">
        <v>0</v>
      </c>
    </row>
    <row r="3958" spans="1:13" ht="13.5" customHeight="1">
      <c r="A3958" s="532">
        <v>45453</v>
      </c>
      <c r="B3958" s="615">
        <v>138250</v>
      </c>
      <c r="C3958" s="615">
        <v>141772.53424657535</v>
      </c>
      <c r="D3958" s="532">
        <v>45483</v>
      </c>
      <c r="E3958" s="534">
        <v>30</v>
      </c>
      <c r="F3958" s="653">
        <v>0.31</v>
      </c>
      <c r="G3958" s="536" t="s">
        <v>259</v>
      </c>
      <c r="H3958">
        <v>3522.5342465753492</v>
      </c>
      <c r="I3958">
        <v>1002.26</v>
      </c>
      <c r="J3958">
        <v>1057.1400000000001</v>
      </c>
      <c r="K3958">
        <v>137.93825953345439</v>
      </c>
      <c r="L3958">
        <v>141772.53424657535</v>
      </c>
      <c r="M3958">
        <v>0</v>
      </c>
    </row>
    <row r="3959" spans="1:13" ht="13.5" customHeight="1">
      <c r="A3959" s="532">
        <v>45302</v>
      </c>
      <c r="B3959" s="615">
        <v>0</v>
      </c>
      <c r="C3959" s="615">
        <v>0</v>
      </c>
      <c r="D3959" s="532">
        <v>45483</v>
      </c>
      <c r="E3959" s="534">
        <v>181</v>
      </c>
      <c r="F3959" s="653">
        <v>1.1881328387922454</v>
      </c>
      <c r="G3959" s="536" t="s">
        <v>731</v>
      </c>
      <c r="H3959">
        <v>19692.809482744397</v>
      </c>
      <c r="I3959">
        <v>485.52</v>
      </c>
      <c r="J3959">
        <v>1057.1400000000001</v>
      </c>
      <c r="K3959">
        <v>205.96473883671115</v>
      </c>
      <c r="L3959">
        <v>218813.28387922453</v>
      </c>
      <c r="M3959">
        <v>0</v>
      </c>
    </row>
    <row r="3960" spans="1:13" ht="13.5" customHeight="1">
      <c r="A3960" s="532">
        <v>45302</v>
      </c>
      <c r="B3960" s="615">
        <v>141400</v>
      </c>
      <c r="C3960" s="615">
        <v>309401.98340522352</v>
      </c>
      <c r="D3960" s="532">
        <v>45483</v>
      </c>
      <c r="E3960" s="534">
        <v>181</v>
      </c>
      <c r="F3960" s="653">
        <v>1.1881328387922454</v>
      </c>
      <c r="G3960" s="536" t="s">
        <v>261</v>
      </c>
      <c r="H3960">
        <v>27845.632608600587</v>
      </c>
      <c r="I3960">
        <v>485.52</v>
      </c>
      <c r="J3960">
        <v>1057.1400000000001</v>
      </c>
      <c r="K3960">
        <v>291.23414071510956</v>
      </c>
      <c r="L3960">
        <v>309401.98340522347</v>
      </c>
      <c r="M3960">
        <v>0</v>
      </c>
    </row>
    <row r="3961" spans="1:13" ht="13.5" customHeight="1">
      <c r="A3961" s="532">
        <v>45302</v>
      </c>
      <c r="B3961" s="615">
        <v>165700</v>
      </c>
      <c r="C3961" s="615">
        <v>362573.61138787505</v>
      </c>
      <c r="D3961" s="532">
        <v>45483</v>
      </c>
      <c r="E3961" s="534">
        <v>181</v>
      </c>
      <c r="F3961" s="653">
        <v>1.1881328387922454</v>
      </c>
      <c r="G3961" s="536" t="s">
        <v>263</v>
      </c>
      <c r="H3961">
        <v>32630.985312907465</v>
      </c>
      <c r="I3961">
        <v>485.52</v>
      </c>
      <c r="J3961">
        <v>1057.1400000000001</v>
      </c>
      <c r="K3961">
        <v>341.28357225243042</v>
      </c>
      <c r="L3961">
        <v>362573.61138787511</v>
      </c>
      <c r="M3961">
        <v>0</v>
      </c>
    </row>
    <row r="3962" spans="1:13" ht="13.5" customHeight="1">
      <c r="A3962" s="532">
        <v>45302</v>
      </c>
      <c r="B3962" s="615">
        <v>690000</v>
      </c>
      <c r="C3962" s="615">
        <v>1509811.6587666494</v>
      </c>
      <c r="D3962" s="532">
        <v>45483</v>
      </c>
      <c r="E3962" s="534">
        <v>181</v>
      </c>
      <c r="F3962" s="653">
        <v>1.1881328387922454</v>
      </c>
      <c r="G3962" s="536" t="s">
        <v>265</v>
      </c>
      <c r="H3962">
        <v>135880.38543093635</v>
      </c>
      <c r="I3962">
        <v>485.52</v>
      </c>
      <c r="J3962">
        <v>1057.1400000000001</v>
      </c>
      <c r="K3962">
        <v>1421.156697973307</v>
      </c>
      <c r="L3962">
        <v>1509811.6587666494</v>
      </c>
      <c r="M3962">
        <v>0</v>
      </c>
    </row>
    <row r="3963" spans="1:13" ht="13.5" customHeight="1">
      <c r="A3963" s="532">
        <v>45303</v>
      </c>
      <c r="B3963" s="615">
        <v>300000</v>
      </c>
      <c r="C3963" s="615">
        <v>653876.58838596975</v>
      </c>
      <c r="D3963" s="532">
        <v>45483</v>
      </c>
      <c r="E3963" s="534">
        <v>180</v>
      </c>
      <c r="F3963" s="653">
        <v>1.1795886279532324</v>
      </c>
      <c r="G3963" s="536" t="s">
        <v>265</v>
      </c>
      <c r="H3963">
        <v>58979.431397661625</v>
      </c>
      <c r="I3963">
        <v>487.41</v>
      </c>
      <c r="J3963">
        <v>1057.1400000000001</v>
      </c>
      <c r="K3963">
        <v>615.49824582999941</v>
      </c>
      <c r="L3963">
        <v>653876.58838596975</v>
      </c>
      <c r="M3963">
        <v>0</v>
      </c>
    </row>
    <row r="3964" spans="1:13" ht="13.5" customHeight="1">
      <c r="A3964" s="532">
        <v>45306</v>
      </c>
      <c r="B3964" s="615">
        <v>193200</v>
      </c>
      <c r="C3964" s="615">
        <v>421789.73763614014</v>
      </c>
      <c r="D3964" s="532">
        <v>45488</v>
      </c>
      <c r="E3964" s="534">
        <v>182</v>
      </c>
      <c r="F3964" s="653">
        <v>1.1831766958392347</v>
      </c>
      <c r="G3964" s="536" t="s">
        <v>265</v>
      </c>
      <c r="H3964">
        <v>37679.627082880244</v>
      </c>
      <c r="I3964">
        <v>489.31</v>
      </c>
      <c r="J3964">
        <v>1062.95</v>
      </c>
      <c r="K3964">
        <v>394.84171588563487</v>
      </c>
      <c r="L3964">
        <v>421789.73763614014</v>
      </c>
      <c r="M3964">
        <v>0</v>
      </c>
    </row>
    <row r="3965" spans="1:13" ht="13.5" customHeight="1">
      <c r="A3965" s="532">
        <v>45306</v>
      </c>
      <c r="B3965" s="615">
        <v>1035000</v>
      </c>
      <c r="C3965" s="615">
        <v>2259587.8801936079</v>
      </c>
      <c r="D3965" s="532">
        <v>45488</v>
      </c>
      <c r="E3965" s="534">
        <v>182</v>
      </c>
      <c r="F3965" s="653">
        <v>1.1831766958392347</v>
      </c>
      <c r="G3965" s="536" t="s">
        <v>257</v>
      </c>
      <c r="H3965">
        <v>201855.14508685842</v>
      </c>
      <c r="I3965">
        <v>489.31</v>
      </c>
      <c r="J3965">
        <v>1062.95</v>
      </c>
      <c r="K3965">
        <v>2115.2234779587584</v>
      </c>
      <c r="L3965">
        <v>2259587.8801936079</v>
      </c>
      <c r="M3965">
        <v>0</v>
      </c>
    </row>
    <row r="3966" spans="1:13" ht="13.5" customHeight="1">
      <c r="A3966" s="532">
        <v>45306</v>
      </c>
      <c r="B3966" s="615">
        <v>276000</v>
      </c>
      <c r="C3966" s="615">
        <v>602556.76805162872</v>
      </c>
      <c r="D3966" s="532">
        <v>45488</v>
      </c>
      <c r="E3966" s="534">
        <v>182</v>
      </c>
      <c r="F3966" s="653">
        <v>1.1831766958392347</v>
      </c>
      <c r="G3966" s="536" t="s">
        <v>261</v>
      </c>
      <c r="H3966">
        <v>53828.038689828914</v>
      </c>
      <c r="I3966">
        <v>489.31</v>
      </c>
      <c r="J3966">
        <v>1062.95</v>
      </c>
      <c r="K3966">
        <v>564.05959412233551</v>
      </c>
      <c r="L3966">
        <v>602556.76805162872</v>
      </c>
      <c r="M3966">
        <v>0</v>
      </c>
    </row>
    <row r="3967" spans="1:13" ht="13.5" customHeight="1">
      <c r="A3967" s="532">
        <v>45306</v>
      </c>
      <c r="B3967" s="615">
        <v>1220000</v>
      </c>
      <c r="C3967" s="615">
        <v>2663475.5689238664</v>
      </c>
      <c r="D3967" s="532">
        <v>45488</v>
      </c>
      <c r="E3967" s="534">
        <v>182</v>
      </c>
      <c r="F3967" s="653">
        <v>1.1831766958392347</v>
      </c>
      <c r="G3967" s="536" t="s">
        <v>256</v>
      </c>
      <c r="H3967">
        <v>237935.53333909885</v>
      </c>
      <c r="I3967">
        <v>489.31</v>
      </c>
      <c r="J3967">
        <v>1062.95</v>
      </c>
      <c r="K3967">
        <v>2493.3069015552514</v>
      </c>
      <c r="L3967">
        <v>2663475.5689238664</v>
      </c>
      <c r="M3967">
        <v>0</v>
      </c>
    </row>
    <row r="3968" spans="1:13" ht="13.5" customHeight="1">
      <c r="A3968" s="532">
        <v>45307</v>
      </c>
      <c r="B3968" s="615">
        <v>191000</v>
      </c>
      <c r="C3968" s="615">
        <v>413858.5519288326</v>
      </c>
      <c r="D3968" s="532">
        <v>45489</v>
      </c>
      <c r="E3968" s="534">
        <v>182</v>
      </c>
      <c r="F3968" s="653">
        <v>1.1667987011980765</v>
      </c>
      <c r="G3968" s="536" t="s">
        <v>261</v>
      </c>
      <c r="H3968">
        <v>36734.92614211527</v>
      </c>
      <c r="I3968">
        <v>495.04</v>
      </c>
      <c r="J3968">
        <v>1067.33</v>
      </c>
      <c r="K3968">
        <v>385.82740788623141</v>
      </c>
      <c r="L3968">
        <v>413858.5519288326</v>
      </c>
      <c r="M3968">
        <v>0</v>
      </c>
    </row>
    <row r="3969" spans="1:13" ht="13.5" customHeight="1">
      <c r="A3969" s="532">
        <v>45307</v>
      </c>
      <c r="B3969" s="615">
        <v>500000</v>
      </c>
      <c r="C3969" s="615">
        <v>1083399.3505990382</v>
      </c>
      <c r="D3969" s="532">
        <v>45489</v>
      </c>
      <c r="E3969" s="534">
        <v>182</v>
      </c>
      <c r="F3969" s="653">
        <v>1.1667987011980765</v>
      </c>
      <c r="G3969" s="536" t="s">
        <v>261</v>
      </c>
      <c r="H3969">
        <v>96164.728120720582</v>
      </c>
      <c r="I3969">
        <v>495.04</v>
      </c>
      <c r="J3969">
        <v>1067.33</v>
      </c>
      <c r="K3969">
        <v>1010.0193923723335</v>
      </c>
      <c r="L3969">
        <v>1083399.3505990382</v>
      </c>
      <c r="M3969">
        <v>0</v>
      </c>
    </row>
    <row r="3970" spans="1:13" ht="13.5" customHeight="1">
      <c r="A3970" s="532">
        <v>45307</v>
      </c>
      <c r="B3970" s="615">
        <v>95900</v>
      </c>
      <c r="C3970" s="615">
        <v>207795.99544489552</v>
      </c>
      <c r="D3970" s="532">
        <v>45489</v>
      </c>
      <c r="E3970" s="534">
        <v>182</v>
      </c>
      <c r="F3970" s="653">
        <v>1.1667987011980765</v>
      </c>
      <c r="G3970" s="536" t="s">
        <v>265</v>
      </c>
      <c r="H3970">
        <v>18444.394853554208</v>
      </c>
      <c r="I3970">
        <v>495.04</v>
      </c>
      <c r="J3970">
        <v>1067.33</v>
      </c>
      <c r="K3970">
        <v>193.72171945701356</v>
      </c>
      <c r="L3970">
        <v>207795.99544489552</v>
      </c>
      <c r="M3970">
        <v>0</v>
      </c>
    </row>
    <row r="3971" spans="1:13" ht="13.5" customHeight="1">
      <c r="A3971" s="532">
        <v>45307</v>
      </c>
      <c r="B3971" s="615">
        <v>176000</v>
      </c>
      <c r="C3971" s="615">
        <v>381356.57141086145</v>
      </c>
      <c r="D3971" s="532">
        <v>45489</v>
      </c>
      <c r="E3971" s="534">
        <v>182</v>
      </c>
      <c r="F3971" s="653">
        <v>1.1667987011980765</v>
      </c>
      <c r="G3971" s="536" t="s">
        <v>263</v>
      </c>
      <c r="H3971">
        <v>33849.984298493648</v>
      </c>
      <c r="I3971">
        <v>495.04</v>
      </c>
      <c r="J3971">
        <v>1067.33</v>
      </c>
      <c r="K3971">
        <v>355.5268261150614</v>
      </c>
      <c r="L3971">
        <v>381356.57141086145</v>
      </c>
      <c r="M3971">
        <v>0</v>
      </c>
    </row>
    <row r="3972" spans="1:13" ht="13.5" customHeight="1">
      <c r="A3972" s="532">
        <v>45307</v>
      </c>
      <c r="B3972" s="615">
        <v>110000</v>
      </c>
      <c r="C3972" s="615">
        <v>238347.85713178842</v>
      </c>
      <c r="D3972" s="532">
        <v>45489</v>
      </c>
      <c r="E3972" s="534">
        <v>182</v>
      </c>
      <c r="F3972" s="653">
        <v>1.1667987011980765</v>
      </c>
      <c r="G3972" s="536" t="s">
        <v>256</v>
      </c>
      <c r="H3972">
        <v>21156.240186558531</v>
      </c>
      <c r="I3972">
        <v>495.04</v>
      </c>
      <c r="J3972">
        <v>1067.33</v>
      </c>
      <c r="K3972">
        <v>222.20426632191337</v>
      </c>
      <c r="L3972">
        <v>238347.85713178839</v>
      </c>
      <c r="M3972">
        <v>0</v>
      </c>
    </row>
    <row r="3973" spans="1:13" ht="13.5" customHeight="1">
      <c r="A3973" s="532">
        <v>45307</v>
      </c>
      <c r="B3973" s="615">
        <v>100000</v>
      </c>
      <c r="C3973" s="615">
        <v>216679.87011980766</v>
      </c>
      <c r="D3973" s="532">
        <v>45489</v>
      </c>
      <c r="E3973" s="534">
        <v>182</v>
      </c>
      <c r="F3973" s="653">
        <v>1.1667987011980765</v>
      </c>
      <c r="G3973" s="536" t="s">
        <v>261</v>
      </c>
      <c r="H3973">
        <v>19232.945624144118</v>
      </c>
      <c r="I3973">
        <v>495.04</v>
      </c>
      <c r="J3973">
        <v>1067.33</v>
      </c>
      <c r="K3973">
        <v>202.00387847446669</v>
      </c>
      <c r="L3973">
        <v>216679.87011980763</v>
      </c>
      <c r="M3973">
        <v>0</v>
      </c>
    </row>
    <row r="3974" spans="1:13" ht="13.5" customHeight="1">
      <c r="A3974" s="532">
        <v>45309</v>
      </c>
      <c r="B3974" s="615">
        <v>158000</v>
      </c>
      <c r="C3974" s="615">
        <v>337353.99650137505</v>
      </c>
      <c r="D3974" s="532">
        <v>45489</v>
      </c>
      <c r="E3974" s="534">
        <v>180</v>
      </c>
      <c r="F3974" s="653">
        <v>1.1351518765909812</v>
      </c>
      <c r="G3974" s="536" t="s">
        <v>261</v>
      </c>
      <c r="H3974">
        <v>29892.332750229172</v>
      </c>
      <c r="I3974">
        <v>502.35</v>
      </c>
      <c r="J3974">
        <v>1067.33</v>
      </c>
      <c r="K3974">
        <v>314.52174778540859</v>
      </c>
      <c r="L3974">
        <v>337353.99650137499</v>
      </c>
      <c r="M3974">
        <v>0</v>
      </c>
    </row>
    <row r="3975" spans="1:13" ht="13.5" customHeight="1">
      <c r="A3975" s="532">
        <v>45310</v>
      </c>
      <c r="B3975" s="615">
        <v>115000</v>
      </c>
      <c r="C3975" s="615">
        <v>244101.1495696592</v>
      </c>
      <c r="D3975" s="532">
        <v>45490</v>
      </c>
      <c r="E3975" s="534">
        <v>180</v>
      </c>
      <c r="F3975" s="653">
        <v>1.12261869191008</v>
      </c>
      <c r="G3975" s="536" t="s">
        <v>263</v>
      </c>
      <c r="H3975">
        <v>21516.858261609868</v>
      </c>
      <c r="I3975">
        <v>506.05</v>
      </c>
      <c r="J3975">
        <v>1068.8800000000001</v>
      </c>
      <c r="K3975">
        <v>227.2502717122814</v>
      </c>
      <c r="L3975">
        <v>244101.14956965917</v>
      </c>
      <c r="M3975">
        <v>0</v>
      </c>
    </row>
    <row r="3976" spans="1:13" ht="13.5" customHeight="1">
      <c r="A3976" s="532">
        <v>45310</v>
      </c>
      <c r="B3976" s="615">
        <v>115000</v>
      </c>
      <c r="C3976" s="615">
        <v>244101.1495696592</v>
      </c>
      <c r="D3976" s="532">
        <v>45490</v>
      </c>
      <c r="E3976" s="534">
        <v>180</v>
      </c>
      <c r="F3976" s="653">
        <v>1.12261869191008</v>
      </c>
      <c r="G3976" s="536" t="s">
        <v>265</v>
      </c>
      <c r="H3976">
        <v>21516.858261609868</v>
      </c>
      <c r="I3976">
        <v>506.05</v>
      </c>
      <c r="J3976">
        <v>1068.8800000000001</v>
      </c>
      <c r="K3976">
        <v>227.2502717122814</v>
      </c>
      <c r="L3976">
        <v>244101.14956965917</v>
      </c>
      <c r="M3976">
        <v>0</v>
      </c>
    </row>
    <row r="3977" spans="1:13" ht="13.5" customHeight="1">
      <c r="A3977" s="532">
        <v>45310</v>
      </c>
      <c r="B3977" s="615">
        <v>100000</v>
      </c>
      <c r="C3977" s="615">
        <v>212261.86919100801</v>
      </c>
      <c r="D3977" s="532">
        <v>45490</v>
      </c>
      <c r="E3977" s="534">
        <v>180</v>
      </c>
      <c r="F3977" s="653">
        <v>1.12261869191008</v>
      </c>
      <c r="G3977" s="536" t="s">
        <v>257</v>
      </c>
      <c r="H3977">
        <v>18710.311531834668</v>
      </c>
      <c r="I3977">
        <v>506.05</v>
      </c>
      <c r="J3977">
        <v>1068.8800000000001</v>
      </c>
      <c r="K3977">
        <v>197.60893192372293</v>
      </c>
      <c r="L3977">
        <v>212261.86919100795</v>
      </c>
      <c r="M3977">
        <v>0</v>
      </c>
    </row>
    <row r="3978" spans="1:13" ht="13.5" customHeight="1">
      <c r="A3978" s="532">
        <v>45462</v>
      </c>
      <c r="B3978" s="615">
        <v>102000</v>
      </c>
      <c r="C3978" s="615">
        <v>104598.90410958904</v>
      </c>
      <c r="D3978" s="532">
        <v>45492</v>
      </c>
      <c r="E3978" s="534">
        <v>30</v>
      </c>
      <c r="F3978" s="653">
        <v>0.31</v>
      </c>
      <c r="G3978" s="536" t="s">
        <v>259</v>
      </c>
      <c r="H3978">
        <v>2598.9041095890425</v>
      </c>
      <c r="I3978">
        <v>1028.54</v>
      </c>
      <c r="J3978">
        <v>1071.99</v>
      </c>
      <c r="K3978">
        <v>99.169696851848258</v>
      </c>
      <c r="L3978">
        <v>104598.90410958904</v>
      </c>
      <c r="M3978">
        <v>0</v>
      </c>
    </row>
    <row r="3979" spans="1:13" ht="13.5" customHeight="1">
      <c r="A3979" s="532">
        <v>45462</v>
      </c>
      <c r="B3979" s="615">
        <v>560000</v>
      </c>
      <c r="C3979" s="615">
        <v>573808.21917808219</v>
      </c>
      <c r="D3979" s="532">
        <v>45492</v>
      </c>
      <c r="E3979" s="534">
        <v>30</v>
      </c>
      <c r="F3979" s="653">
        <v>0.3</v>
      </c>
      <c r="G3979" s="536" t="s">
        <v>257</v>
      </c>
      <c r="H3979">
        <v>13808.219178082189</v>
      </c>
      <c r="I3979">
        <v>1028.54</v>
      </c>
      <c r="J3979">
        <v>1071.99</v>
      </c>
      <c r="K3979">
        <v>544.46108075524535</v>
      </c>
      <c r="L3979">
        <v>573808.21917808219</v>
      </c>
      <c r="M3979">
        <v>0</v>
      </c>
    </row>
    <row r="3980" spans="1:13" ht="13.5" customHeight="1">
      <c r="A3980" s="532">
        <v>45315</v>
      </c>
      <c r="B3980" s="615">
        <v>140000</v>
      </c>
      <c r="C3980" s="615">
        <v>287730.15580159542</v>
      </c>
      <c r="D3980" s="532">
        <v>45495</v>
      </c>
      <c r="E3980" s="534">
        <v>180</v>
      </c>
      <c r="F3980" s="653">
        <v>1.0552153985828245</v>
      </c>
      <c r="G3980" s="536" t="s">
        <v>263</v>
      </c>
      <c r="H3980">
        <v>24621.692633599239</v>
      </c>
      <c r="I3980">
        <v>524.92999999999995</v>
      </c>
      <c r="J3980">
        <v>1073.55</v>
      </c>
      <c r="K3980">
        <v>266.70222696359519</v>
      </c>
      <c r="L3980">
        <v>287730.15580159548</v>
      </c>
      <c r="M3980">
        <v>0</v>
      </c>
    </row>
    <row r="3981" spans="1:13" ht="13.5" customHeight="1">
      <c r="A3981" s="532">
        <v>45315</v>
      </c>
      <c r="B3981" s="615">
        <v>70000</v>
      </c>
      <c r="C3981" s="615">
        <v>143865.07790079771</v>
      </c>
      <c r="D3981" s="532">
        <v>45495</v>
      </c>
      <c r="E3981" s="534">
        <v>180</v>
      </c>
      <c r="F3981" s="653">
        <v>1.0552153985828245</v>
      </c>
      <c r="G3981" s="536" t="s">
        <v>261</v>
      </c>
      <c r="H3981">
        <v>12310.84631679962</v>
      </c>
      <c r="I3981">
        <v>524.92999999999995</v>
      </c>
      <c r="J3981">
        <v>1073.55</v>
      </c>
      <c r="K3981">
        <v>133.3511134817976</v>
      </c>
      <c r="L3981">
        <v>143865.07790079774</v>
      </c>
      <c r="M3981">
        <v>0</v>
      </c>
    </row>
    <row r="3982" spans="1:13" ht="13.5" customHeight="1">
      <c r="A3982" s="532">
        <v>45313</v>
      </c>
      <c r="B3982" s="615">
        <v>140000</v>
      </c>
      <c r="C3982" s="615">
        <v>296303.08989737788</v>
      </c>
      <c r="D3982" s="532">
        <v>45495</v>
      </c>
      <c r="E3982" s="534">
        <v>182</v>
      </c>
      <c r="F3982" s="653">
        <v>1.1164506421241276</v>
      </c>
      <c r="G3982" s="536" t="s">
        <v>261</v>
      </c>
      <c r="H3982">
        <v>25764.245587479869</v>
      </c>
      <c r="I3982">
        <v>509.77</v>
      </c>
      <c r="J3982">
        <v>1073.55</v>
      </c>
      <c r="K3982">
        <v>274.63365831649571</v>
      </c>
      <c r="L3982">
        <v>296303.08989737788</v>
      </c>
      <c r="M3982">
        <v>0</v>
      </c>
    </row>
    <row r="3983" spans="1:13" ht="13.5" customHeight="1">
      <c r="A3983" s="532">
        <v>45314</v>
      </c>
      <c r="B3983" s="615">
        <v>112000</v>
      </c>
      <c r="C3983" s="615">
        <v>231882.26200108833</v>
      </c>
      <c r="D3983" s="532">
        <v>45495</v>
      </c>
      <c r="E3983" s="534">
        <v>181</v>
      </c>
      <c r="F3983" s="653">
        <v>1.0703773392954314</v>
      </c>
      <c r="G3983" s="536" t="s">
        <v>261</v>
      </c>
      <c r="H3983">
        <v>19869.988176975967</v>
      </c>
      <c r="I3983">
        <v>521.1</v>
      </c>
      <c r="J3983">
        <v>1073.55</v>
      </c>
      <c r="K3983">
        <v>214.92995586259835</v>
      </c>
      <c r="L3983">
        <v>231882.2620010883</v>
      </c>
      <c r="M3983">
        <v>0</v>
      </c>
    </row>
    <row r="3984" spans="1:13" ht="13.5" customHeight="1">
      <c r="A3984" s="532">
        <v>45314</v>
      </c>
      <c r="B3984" s="615">
        <v>100000</v>
      </c>
      <c r="C3984" s="615">
        <v>207037.73392954314</v>
      </c>
      <c r="D3984" s="532">
        <v>45495</v>
      </c>
      <c r="E3984" s="534">
        <v>181</v>
      </c>
      <c r="F3984" s="653">
        <v>1.0703773392954314</v>
      </c>
      <c r="G3984" s="536" t="s">
        <v>261</v>
      </c>
      <c r="H3984">
        <v>17741.060872299968</v>
      </c>
      <c r="I3984">
        <v>521.1</v>
      </c>
      <c r="J3984">
        <v>1073.55</v>
      </c>
      <c r="K3984">
        <v>191.90174630589138</v>
      </c>
      <c r="L3984">
        <v>207037.73392954312</v>
      </c>
      <c r="M3984">
        <v>0</v>
      </c>
    </row>
    <row r="3985" spans="1:13" ht="13.5" customHeight="1">
      <c r="A3985" s="532">
        <v>45314</v>
      </c>
      <c r="B3985" s="615">
        <v>100000</v>
      </c>
      <c r="C3985" s="615">
        <v>207037.73392954314</v>
      </c>
      <c r="D3985" s="532">
        <v>45495</v>
      </c>
      <c r="E3985" s="534">
        <v>181</v>
      </c>
      <c r="F3985" s="653">
        <v>1.0703773392954314</v>
      </c>
      <c r="G3985" s="536" t="s">
        <v>256</v>
      </c>
      <c r="H3985">
        <v>17741.060872299968</v>
      </c>
      <c r="I3985">
        <v>521.1</v>
      </c>
      <c r="J3985">
        <v>1073.55</v>
      </c>
      <c r="K3985">
        <v>191.90174630589138</v>
      </c>
      <c r="L3985">
        <v>207037.73392954312</v>
      </c>
      <c r="M3985">
        <v>0</v>
      </c>
    </row>
    <row r="3986" spans="1:13" ht="13.5" customHeight="1">
      <c r="A3986" s="532">
        <v>45313</v>
      </c>
      <c r="B3986" s="615">
        <v>100000</v>
      </c>
      <c r="C3986" s="615">
        <v>211645.06421241275</v>
      </c>
      <c r="D3986" s="532">
        <v>45495</v>
      </c>
      <c r="E3986" s="534">
        <v>182</v>
      </c>
      <c r="F3986" s="653">
        <v>1.1164506421241276</v>
      </c>
      <c r="G3986" s="536" t="s">
        <v>256</v>
      </c>
      <c r="H3986">
        <v>18403.032562485616</v>
      </c>
      <c r="I3986">
        <v>509.77</v>
      </c>
      <c r="J3986">
        <v>1073.55</v>
      </c>
      <c r="K3986">
        <v>196.16689879749691</v>
      </c>
      <c r="L3986">
        <v>211645.06421241272</v>
      </c>
      <c r="M3986">
        <v>0</v>
      </c>
    </row>
    <row r="3987" spans="1:13" ht="13.5" customHeight="1">
      <c r="A3987" s="532">
        <v>45313</v>
      </c>
      <c r="B3987" s="615">
        <v>223000</v>
      </c>
      <c r="C3987" s="615">
        <v>471968.49319368048</v>
      </c>
      <c r="D3987" s="532">
        <v>45495</v>
      </c>
      <c r="E3987" s="534">
        <v>182</v>
      </c>
      <c r="F3987" s="653">
        <v>1.1164506421241276</v>
      </c>
      <c r="G3987" s="536" t="s">
        <v>257</v>
      </c>
      <c r="H3987">
        <v>41038.762614342937</v>
      </c>
      <c r="I3987">
        <v>509.77</v>
      </c>
      <c r="J3987">
        <v>1073.55</v>
      </c>
      <c r="K3987">
        <v>437.45218431841812</v>
      </c>
      <c r="L3987">
        <v>471968.49319368036</v>
      </c>
      <c r="M3987">
        <v>0</v>
      </c>
    </row>
    <row r="3988" spans="1:13" ht="13.5" customHeight="1">
      <c r="A3988" s="532">
        <v>45314</v>
      </c>
      <c r="B3988" s="615">
        <v>323000</v>
      </c>
      <c r="C3988" s="615">
        <v>671665.43974574329</v>
      </c>
      <c r="D3988" s="532">
        <v>45496</v>
      </c>
      <c r="E3988" s="534">
        <v>182</v>
      </c>
      <c r="F3988" s="653">
        <v>1.0794595657762951</v>
      </c>
      <c r="G3988" s="536" t="s">
        <v>257</v>
      </c>
      <c r="H3988" s="835" t="s">
        <v>727</v>
      </c>
      <c r="I3988" s="835" t="s">
        <v>722</v>
      </c>
      <c r="K3988">
        <v>619.8426405680292</v>
      </c>
      <c r="L3988">
        <v>671665.43974574329</v>
      </c>
      <c r="M3988">
        <v>0</v>
      </c>
    </row>
    <row r="3989" spans="1:13" ht="13.5" customHeight="1">
      <c r="A3989" s="532">
        <v>45314</v>
      </c>
      <c r="B3989" s="615">
        <v>591000</v>
      </c>
      <c r="C3989" s="615">
        <v>1228960.6033737904</v>
      </c>
      <c r="D3989" s="532">
        <v>45496</v>
      </c>
      <c r="E3989" s="534">
        <v>182</v>
      </c>
      <c r="F3989" s="653">
        <v>1.0794595657762951</v>
      </c>
      <c r="G3989" s="536" t="s">
        <v>260</v>
      </c>
      <c r="H3989" s="835">
        <v>1228960.6000000001</v>
      </c>
      <c r="I3989" s="835">
        <v>1222852.22</v>
      </c>
      <c r="J3989">
        <f>+H3989-I3989</f>
        <v>6108.3800000001211</v>
      </c>
      <c r="M3989">
        <v>0</v>
      </c>
    </row>
    <row r="3990" spans="1:13" ht="13.5" customHeight="1">
      <c r="A3990" s="532">
        <v>45314</v>
      </c>
      <c r="B3990" s="615">
        <v>350000</v>
      </c>
      <c r="C3990" s="615">
        <v>727810.84802170331</v>
      </c>
      <c r="D3990" s="532">
        <v>45496</v>
      </c>
      <c r="E3990" s="534">
        <v>182</v>
      </c>
      <c r="F3990" s="653">
        <v>1.0794595657762951</v>
      </c>
      <c r="G3990" s="536" t="s">
        <v>263</v>
      </c>
      <c r="H3990" s="835"/>
      <c r="I3990" s="835"/>
      <c r="M3990">
        <v>0</v>
      </c>
    </row>
    <row r="3991" spans="1:13" ht="13.5" customHeight="1">
      <c r="A3991" s="532">
        <v>45467</v>
      </c>
      <c r="B3991" s="615">
        <v>56400</v>
      </c>
      <c r="C3991" s="615">
        <v>57837.04109589041</v>
      </c>
      <c r="D3991" s="532">
        <v>45497</v>
      </c>
      <c r="E3991" s="534">
        <v>30</v>
      </c>
      <c r="F3991" s="653">
        <v>0.31</v>
      </c>
      <c r="G3991" s="536" t="s">
        <v>259</v>
      </c>
      <c r="H3991" s="835">
        <v>1437.0410958904104</v>
      </c>
      <c r="I3991" s="835">
        <v>1029.95</v>
      </c>
      <c r="J3991">
        <v>1079.79</v>
      </c>
      <c r="K3991">
        <v>54.759939802903048</v>
      </c>
      <c r="L3991">
        <v>57837.04109589041</v>
      </c>
      <c r="M3991">
        <v>0</v>
      </c>
    </row>
    <row r="3992" spans="1:13" ht="13.5" customHeight="1">
      <c r="A3992" s="532">
        <v>45315</v>
      </c>
      <c r="B3992" s="615">
        <v>310400</v>
      </c>
      <c r="C3992" s="615">
        <v>641681.85996943095</v>
      </c>
      <c r="D3992" s="532">
        <v>45497</v>
      </c>
      <c r="E3992" s="534">
        <v>182</v>
      </c>
      <c r="F3992" s="653">
        <v>1.0672740334066719</v>
      </c>
      <c r="G3992" s="536" t="s">
        <v>261</v>
      </c>
      <c r="H3992" s="835">
        <v>54606.899994961146</v>
      </c>
      <c r="I3992" s="835">
        <v>524.92999999999995</v>
      </c>
      <c r="J3992">
        <v>1079.79</v>
      </c>
      <c r="K3992">
        <v>591.31693749642818</v>
      </c>
      <c r="L3992">
        <v>641681.85996943107</v>
      </c>
      <c r="M3992">
        <v>0</v>
      </c>
    </row>
    <row r="3993" spans="1:13" ht="13.5" customHeight="1">
      <c r="A3993" s="532">
        <v>45315</v>
      </c>
      <c r="B3993" s="615">
        <v>98600</v>
      </c>
      <c r="C3993" s="615">
        <v>203833.21969389784</v>
      </c>
      <c r="D3993" s="532">
        <v>45497</v>
      </c>
      <c r="E3993" s="534">
        <v>182</v>
      </c>
      <c r="F3993" s="653">
        <v>1.0672740334066719</v>
      </c>
      <c r="G3993" s="536" t="s">
        <v>265</v>
      </c>
      <c r="H3993" s="835">
        <v>17346.135114378765</v>
      </c>
      <c r="I3993" s="835">
        <v>524.92999999999995</v>
      </c>
      <c r="J3993">
        <v>1079.79</v>
      </c>
      <c r="K3993">
        <v>187.83456841864631</v>
      </c>
      <c r="L3993">
        <v>203833.21969389787</v>
      </c>
      <c r="M3993">
        <v>0</v>
      </c>
    </row>
    <row r="3994" spans="1:13" ht="13.5" customHeight="1">
      <c r="A3994" s="532">
        <v>45315</v>
      </c>
      <c r="B3994" s="615">
        <v>360000</v>
      </c>
      <c r="C3994" s="615">
        <v>744218.65202640195</v>
      </c>
      <c r="D3994" s="532">
        <v>45497</v>
      </c>
      <c r="E3994" s="534">
        <v>182</v>
      </c>
      <c r="F3994" s="653">
        <v>1.0672740334066719</v>
      </c>
      <c r="G3994" s="536" t="s">
        <v>256</v>
      </c>
      <c r="H3994" s="835">
        <v>63332.744839516803</v>
      </c>
      <c r="I3994" s="835">
        <v>524.92999999999995</v>
      </c>
      <c r="J3994">
        <v>1079.79</v>
      </c>
      <c r="K3994">
        <v>685.80572647781617</v>
      </c>
      <c r="L3994">
        <v>744218.65202640207</v>
      </c>
      <c r="M3994">
        <v>0</v>
      </c>
    </row>
    <row r="3995" spans="1:13" ht="13.5" customHeight="1">
      <c r="A3995" s="532">
        <v>45316</v>
      </c>
      <c r="B3995" s="615">
        <v>84800</v>
      </c>
      <c r="C3995" s="615">
        <v>174278.19831090208</v>
      </c>
      <c r="D3995" s="532">
        <v>45498</v>
      </c>
      <c r="E3995" s="534">
        <v>182</v>
      </c>
      <c r="F3995" s="653">
        <v>1.0551674329115812</v>
      </c>
      <c r="G3995" s="536" t="s">
        <v>257</v>
      </c>
      <c r="H3995" s="835">
        <v>0</v>
      </c>
      <c r="I3995" s="835">
        <f>+C3995-H3995</f>
        <v>174278.19831090208</v>
      </c>
      <c r="J3995">
        <v>1081.3599999999999</v>
      </c>
      <c r="K3995">
        <v>160.36611887516784</v>
      </c>
      <c r="L3995">
        <v>174278.19831090208</v>
      </c>
      <c r="M3995">
        <v>0</v>
      </c>
    </row>
    <row r="3996" spans="1:13" ht="13.5" customHeight="1">
      <c r="A3996" s="532">
        <v>45316</v>
      </c>
      <c r="B3996" s="615">
        <v>240000</v>
      </c>
      <c r="C3996" s="615">
        <v>493240.18389877951</v>
      </c>
      <c r="D3996" s="532">
        <v>45498</v>
      </c>
      <c r="E3996" s="534">
        <v>182</v>
      </c>
      <c r="F3996" s="653">
        <v>1.0551674329115812</v>
      </c>
      <c r="G3996" s="536" t="s">
        <v>261</v>
      </c>
      <c r="H3996" s="835">
        <v>493240.18</v>
      </c>
      <c r="I3996" s="835">
        <f t="shared" ref="A3996:I4000" si="543">+C3996-H3996</f>
        <v>3.8987795123830438E-3</v>
      </c>
      <c r="J3996">
        <v>1081.3599999999999</v>
      </c>
      <c r="K3996">
        <v>453.86637417500333</v>
      </c>
      <c r="L3996">
        <v>493240.18389877951</v>
      </c>
      <c r="M3996">
        <v>0</v>
      </c>
    </row>
    <row r="3997" spans="1:13" ht="13.5" customHeight="1">
      <c r="A3997" s="532">
        <v>45316</v>
      </c>
      <c r="B3997" s="615">
        <v>190700</v>
      </c>
      <c r="C3997" s="615">
        <v>391920.42945623852</v>
      </c>
      <c r="D3997" s="532">
        <v>45498</v>
      </c>
      <c r="E3997" s="534">
        <v>182</v>
      </c>
      <c r="F3997" s="653">
        <v>1.0551674329115812</v>
      </c>
      <c r="G3997" s="536" t="s">
        <v>265</v>
      </c>
      <c r="H3997" s="835">
        <v>0</v>
      </c>
      <c r="I3997" s="835">
        <f t="shared" si="543"/>
        <v>391920.42945623852</v>
      </c>
      <c r="J3997">
        <v>1081.3599999999999</v>
      </c>
      <c r="K3997">
        <v>360.63465647988806</v>
      </c>
      <c r="L3997">
        <v>391920.42945623852</v>
      </c>
      <c r="M3997">
        <v>0</v>
      </c>
    </row>
    <row r="3998" spans="1:13" ht="13.5" customHeight="1">
      <c r="A3998" s="532">
        <v>45316</v>
      </c>
      <c r="B3998" s="615">
        <v>565000</v>
      </c>
      <c r="C3998" s="615">
        <v>1161169.5995950433</v>
      </c>
      <c r="D3998" s="532">
        <v>45498</v>
      </c>
      <c r="E3998" s="534">
        <v>182</v>
      </c>
      <c r="F3998" s="653">
        <v>1.0551674329115812</v>
      </c>
      <c r="G3998" s="536" t="s">
        <v>256</v>
      </c>
      <c r="H3998" s="835">
        <f>593352.33+567817.26</f>
        <v>1161169.5899999999</v>
      </c>
      <c r="I3998" s="835">
        <f t="shared" si="543"/>
        <v>9.5950434915721416E-3</v>
      </c>
      <c r="J3998">
        <v>1081.3599999999999</v>
      </c>
      <c r="K3998">
        <v>1068.4770892036538</v>
      </c>
      <c r="L3998">
        <v>1161169.5995950433</v>
      </c>
      <c r="M3998">
        <v>0</v>
      </c>
    </row>
    <row r="3999" spans="1:13" ht="13.5" customHeight="1">
      <c r="A3999" s="532">
        <v>45317</v>
      </c>
      <c r="B3999" s="615">
        <v>100000</v>
      </c>
      <c r="C3999" s="615">
        <v>204010.35528796748</v>
      </c>
      <c r="D3999" s="532">
        <v>45498</v>
      </c>
      <c r="E3999" s="534">
        <v>181</v>
      </c>
      <c r="F3999" s="653">
        <v>1.0401035528796747</v>
      </c>
      <c r="G3999" s="536" t="s">
        <v>257</v>
      </c>
      <c r="H3999" s="835">
        <v>0</v>
      </c>
      <c r="I3999" s="835">
        <f t="shared" si="543"/>
        <v>204010.35528796748</v>
      </c>
      <c r="J3999">
        <v>1081.3599999999999</v>
      </c>
      <c r="K3999">
        <v>187.72996921228506</v>
      </c>
      <c r="L3999">
        <v>204010.35528796748</v>
      </c>
      <c r="M3999">
        <v>0</v>
      </c>
    </row>
    <row r="4000" spans="1:13" ht="13.5" customHeight="1">
      <c r="A4000" s="532">
        <v>45317</v>
      </c>
      <c r="B4000" s="615">
        <v>180000</v>
      </c>
      <c r="C4000" s="615">
        <v>367218.63951834146</v>
      </c>
      <c r="D4000" s="532">
        <v>45498</v>
      </c>
      <c r="E4000" s="534">
        <v>181</v>
      </c>
      <c r="F4000" s="653">
        <v>1.0401035528796747</v>
      </c>
      <c r="G4000" s="536" t="s">
        <v>261</v>
      </c>
      <c r="H4000" s="835">
        <v>367218.64</v>
      </c>
      <c r="I4000" s="835">
        <f t="shared" si="543"/>
        <v>-4.8165855696424842E-4</v>
      </c>
      <c r="J4000">
        <v>1081.3599999999999</v>
      </c>
      <c r="K4000">
        <v>337.91394458211312</v>
      </c>
      <c r="L4000">
        <v>367218.63951834146</v>
      </c>
      <c r="M4000">
        <v>0</v>
      </c>
    </row>
    <row r="4001" spans="1:13" ht="13.5" customHeight="1">
      <c r="A4001" s="532">
        <v>45469</v>
      </c>
      <c r="B4001" s="615">
        <v>319900</v>
      </c>
      <c r="C4001" s="615">
        <f>B4001+(B4001*F4001/365*E4001)*1</f>
        <v>328050.87671232875</v>
      </c>
      <c r="D4001" s="532">
        <f>+A4001+E4001</f>
        <v>45499</v>
      </c>
      <c r="E4001" s="534">
        <v>30</v>
      </c>
      <c r="F4001" s="653">
        <v>0.31</v>
      </c>
      <c r="G4001" s="536" t="s">
        <v>259</v>
      </c>
      <c r="H4001" s="835">
        <f t="shared" ref="A4001:H4001" si="544">(C4001-B4001)/E4001*30</f>
        <v>8150.8767123287553</v>
      </c>
      <c r="I4001" s="835" t="e">
        <f>VLOOKUP(Tabla1[[#This Row],[FECHA]],TablaUVA[#All],2)</f>
        <v>#VALUE!</v>
      </c>
      <c r="J4001" t="e">
        <f>VLOOKUP(Tabla1[[#This Row],[VTO.]],TablaUVA[#All],2)</f>
        <v>#VALUE!</v>
      </c>
      <c r="K4001" t="e">
        <f>+Tabla1[[#This Row],[DEPOSITADO]]/I4001</f>
        <v>#VALUE!</v>
      </c>
      <c r="L4001" t="e">
        <f>IF(Tabla1[[#This Row],[DIAS]]&gt;89,+K4001*J4001*(1+1%/365*Tabla1[[#This Row],[DIAS]]),Tabla1[[#This Row],[ACOBRAR]])</f>
        <v>#VALUE!</v>
      </c>
      <c r="M4001" t="e">
        <f>+L4001-Tabla1[[#This Row],[ACOBRAR]]</f>
        <v>#VALUE!</v>
      </c>
    </row>
    <row r="4002" spans="1:13" ht="13.5" customHeight="1">
      <c r="A4002" s="532">
        <v>45471</v>
      </c>
      <c r="B4002" s="615">
        <v>49700</v>
      </c>
      <c r="C4002" s="615">
        <v>51008.539726027397</v>
      </c>
      <c r="D4002" s="532">
        <v>45502</v>
      </c>
      <c r="E4002" s="534">
        <v>31</v>
      </c>
      <c r="F4002" s="653">
        <v>0.31</v>
      </c>
      <c r="G4002" s="536" t="s">
        <v>259</v>
      </c>
      <c r="H4002" s="835">
        <v>1266.328767123287</v>
      </c>
      <c r="I4002" s="835">
        <v>1041.31</v>
      </c>
      <c r="J4002">
        <v>1084.5</v>
      </c>
      <c r="K4002">
        <v>47.728342184363932</v>
      </c>
      <c r="L4002">
        <v>51008.539726027397</v>
      </c>
      <c r="M4002">
        <v>0</v>
      </c>
    </row>
    <row r="4003" spans="1:13" ht="13.5" customHeight="1">
      <c r="A4003" s="532">
        <v>45320</v>
      </c>
      <c r="B4003" s="615">
        <v>57000</v>
      </c>
      <c r="C4003" s="615">
        <v>115776.91663771246</v>
      </c>
      <c r="D4003" s="532">
        <v>45502</v>
      </c>
      <c r="E4003" s="534">
        <v>182</v>
      </c>
      <c r="F4003" s="653">
        <v>1.0311739761002188</v>
      </c>
      <c r="G4003" s="536" t="s">
        <v>261</v>
      </c>
      <c r="H4003" s="835">
        <v>9688.5027424800755</v>
      </c>
      <c r="I4003" s="835">
        <v>536.59</v>
      </c>
      <c r="J4003">
        <v>1084.5</v>
      </c>
      <c r="K4003">
        <v>106.22635531784043</v>
      </c>
      <c r="L4003">
        <v>115776.91663771248</v>
      </c>
      <c r="M4003">
        <v>0</v>
      </c>
    </row>
    <row r="4004" spans="1:13" ht="13.5" customHeight="1">
      <c r="A4004" s="532">
        <v>45320</v>
      </c>
      <c r="B4004" s="615">
        <v>200000</v>
      </c>
      <c r="C4004" s="615">
        <v>406234.79522004374</v>
      </c>
      <c r="D4004" s="532">
        <v>45502</v>
      </c>
      <c r="E4004" s="534">
        <v>182</v>
      </c>
      <c r="F4004" s="653">
        <v>1.0311739761002188</v>
      </c>
      <c r="G4004" s="536" t="s">
        <v>256</v>
      </c>
      <c r="H4004" s="835">
        <f>200997.26+205237.53</f>
        <v>406234.79000000004</v>
      </c>
      <c r="I4004" s="835">
        <f>+C4004-H4004</f>
        <v>5.2200437057763338E-3</v>
      </c>
      <c r="J4004">
        <v>1084.5</v>
      </c>
      <c r="K4004">
        <v>372.72405374680852</v>
      </c>
      <c r="L4004">
        <v>406234.79522004374</v>
      </c>
      <c r="M4004">
        <v>0</v>
      </c>
    </row>
    <row r="4005" spans="1:13" ht="13.5" customHeight="1">
      <c r="A4005" s="532">
        <v>45320</v>
      </c>
      <c r="B4005" s="615">
        <v>280000</v>
      </c>
      <c r="C4005" s="615">
        <v>568728.71330806124</v>
      </c>
      <c r="D4005" s="532">
        <v>45502</v>
      </c>
      <c r="E4005" s="534">
        <v>182</v>
      </c>
      <c r="F4005" s="653">
        <v>1.0311739761002188</v>
      </c>
      <c r="G4005" s="536" t="s">
        <v>256</v>
      </c>
      <c r="H4005" s="835">
        <f>281396.16+287332.54</f>
        <v>568728.69999999995</v>
      </c>
      <c r="I4005" s="835">
        <f>+C4005-H4005</f>
        <v>1.330806128680706E-2</v>
      </c>
      <c r="J4005">
        <v>1084.5</v>
      </c>
      <c r="K4005">
        <v>521.81367524553195</v>
      </c>
      <c r="L4005">
        <v>568728.71330806124</v>
      </c>
      <c r="M4005">
        <v>0</v>
      </c>
    </row>
    <row r="4006" spans="1:13" ht="13.5" customHeight="1">
      <c r="A4006" s="532">
        <v>45321</v>
      </c>
      <c r="B4006" s="615">
        <v>142000</v>
      </c>
      <c r="C4006" s="615">
        <v>283384.18749331951</v>
      </c>
      <c r="D4006" s="532">
        <v>45503</v>
      </c>
      <c r="E4006" s="534">
        <v>182</v>
      </c>
      <c r="F4006" s="653">
        <v>0.9956632922064752</v>
      </c>
      <c r="G4006" s="536" t="s">
        <v>261</v>
      </c>
      <c r="H4006" s="835">
        <v>23305.085850547173</v>
      </c>
      <c r="I4006" s="835">
        <v>548.52</v>
      </c>
      <c r="J4006">
        <v>1089.23</v>
      </c>
      <c r="K4006">
        <v>258.87843652009042</v>
      </c>
      <c r="L4006">
        <v>283384.18749331951</v>
      </c>
      <c r="M4006">
        <v>0</v>
      </c>
    </row>
    <row r="4007" spans="1:13" ht="13.5" customHeight="1">
      <c r="A4007" s="532">
        <v>45321</v>
      </c>
      <c r="B4007" s="615">
        <v>270000</v>
      </c>
      <c r="C4007" s="615">
        <v>538829.08889574825</v>
      </c>
      <c r="D4007" s="532">
        <v>45503</v>
      </c>
      <c r="E4007" s="534">
        <v>182</v>
      </c>
      <c r="F4007" s="653">
        <v>0.9956632922064752</v>
      </c>
      <c r="G4007" s="536" t="s">
        <v>256</v>
      </c>
      <c r="H4007" s="835">
        <v>44312.487180617842</v>
      </c>
      <c r="I4007" s="835">
        <v>548.52</v>
      </c>
      <c r="J4007">
        <v>1089.23</v>
      </c>
      <c r="K4007">
        <v>492.23364690439729</v>
      </c>
      <c r="L4007">
        <v>538829.08889574837</v>
      </c>
      <c r="M4007">
        <v>0</v>
      </c>
    </row>
    <row r="4008" spans="1:13" ht="13.5" customHeight="1">
      <c r="A4008" s="532">
        <v>45321</v>
      </c>
      <c r="B4008" s="615">
        <v>250000</v>
      </c>
      <c r="C4008" s="615">
        <v>498915.82305161882</v>
      </c>
      <c r="D4008" s="532">
        <v>45503</v>
      </c>
      <c r="E4008" s="534">
        <v>182</v>
      </c>
      <c r="F4008" s="653">
        <v>0.9956632922064752</v>
      </c>
      <c r="G4008" s="536" t="s">
        <v>256</v>
      </c>
      <c r="H4008" s="835">
        <v>41030.080722794315</v>
      </c>
      <c r="I4008" s="835">
        <v>548.52</v>
      </c>
      <c r="J4008">
        <v>1089.23</v>
      </c>
      <c r="K4008">
        <v>455.77189528184937</v>
      </c>
      <c r="L4008">
        <v>498915.82305161888</v>
      </c>
      <c r="M4008">
        <v>0</v>
      </c>
    </row>
    <row r="4009" spans="1:13" ht="13.5" customHeight="1">
      <c r="A4009" s="532">
        <v>45321</v>
      </c>
      <c r="B4009" s="615">
        <v>360000</v>
      </c>
      <c r="C4009" s="615">
        <v>718438.78519433108</v>
      </c>
      <c r="D4009" s="532">
        <v>45503</v>
      </c>
      <c r="E4009" s="534">
        <v>182</v>
      </c>
      <c r="F4009" s="653">
        <v>0.9956632922064752</v>
      </c>
      <c r="G4009" s="536" t="s">
        <v>256</v>
      </c>
      <c r="H4009" s="835">
        <v>59083.316240823806</v>
      </c>
      <c r="I4009" s="835">
        <v>548.52</v>
      </c>
      <c r="J4009">
        <v>1089.23</v>
      </c>
      <c r="K4009">
        <v>656.31152920586305</v>
      </c>
      <c r="L4009">
        <v>718438.78519433108</v>
      </c>
      <c r="M4009">
        <v>0</v>
      </c>
    </row>
    <row r="4010" spans="1:13" ht="13.5" customHeight="1">
      <c r="A4010" s="532">
        <v>45322</v>
      </c>
      <c r="B4010" s="615">
        <v>505000</v>
      </c>
      <c r="C4010" s="615">
        <v>1001919.9609382651</v>
      </c>
      <c r="D4010" s="532">
        <v>45504</v>
      </c>
      <c r="E4010" s="534">
        <v>182</v>
      </c>
      <c r="F4010" s="653">
        <v>0.98399992265002978</v>
      </c>
      <c r="G4010" s="536" t="s">
        <v>256</v>
      </c>
      <c r="H4010" s="835">
        <v>81909.883671142597</v>
      </c>
      <c r="I4010" s="835">
        <v>552.54999999999995</v>
      </c>
      <c r="J4010">
        <v>1090.82</v>
      </c>
      <c r="K4010">
        <v>913.94443941724739</v>
      </c>
      <c r="L4010">
        <v>1001919.9609382651</v>
      </c>
      <c r="M4010">
        <v>0</v>
      </c>
    </row>
    <row r="4011" spans="1:13" ht="13.5" customHeight="1">
      <c r="A4011" s="532">
        <v>45322</v>
      </c>
      <c r="B4011" s="615">
        <v>101000</v>
      </c>
      <c r="C4011" s="615">
        <v>200383.992187653</v>
      </c>
      <c r="D4011" s="532">
        <v>45504</v>
      </c>
      <c r="E4011" s="534">
        <v>182</v>
      </c>
      <c r="F4011" s="653">
        <v>0.98399992265002978</v>
      </c>
      <c r="G4011" s="536" t="s">
        <v>257</v>
      </c>
      <c r="H4011" s="835">
        <v>16381.976734228516</v>
      </c>
      <c r="I4011" s="835">
        <v>552.54999999999995</v>
      </c>
      <c r="J4011">
        <v>1090.82</v>
      </c>
      <c r="K4011">
        <v>182.78888788344949</v>
      </c>
      <c r="L4011">
        <v>200383.99218765303</v>
      </c>
      <c r="M4011">
        <v>0</v>
      </c>
    </row>
    <row r="4012" spans="1:13" ht="13.5" customHeight="1">
      <c r="A4012" s="532">
        <v>45322</v>
      </c>
      <c r="B4012" s="615">
        <v>90000</v>
      </c>
      <c r="C4012" s="615">
        <v>178559.99303850267</v>
      </c>
      <c r="D4012" s="532">
        <v>45504</v>
      </c>
      <c r="E4012" s="534">
        <v>182</v>
      </c>
      <c r="F4012" s="653">
        <v>0.98399992265002978</v>
      </c>
      <c r="G4012" s="536" t="s">
        <v>257</v>
      </c>
      <c r="H4012" s="835">
        <v>14597.801050302638</v>
      </c>
      <c r="I4012" s="835">
        <v>552.54999999999995</v>
      </c>
      <c r="J4012">
        <v>1090.82</v>
      </c>
      <c r="K4012">
        <v>162.88118722287578</v>
      </c>
      <c r="L4012">
        <v>178559.9930385027</v>
      </c>
      <c r="M4012">
        <v>0</v>
      </c>
    </row>
    <row r="4013" spans="1:13" ht="13.5" customHeight="1">
      <c r="A4013" s="532">
        <v>45322</v>
      </c>
      <c r="B4013" s="615">
        <v>30000</v>
      </c>
      <c r="C4013" s="615">
        <v>59519.997679500892</v>
      </c>
      <c r="D4013" s="532">
        <v>45504</v>
      </c>
      <c r="E4013" s="534">
        <v>182</v>
      </c>
      <c r="F4013" s="653">
        <v>0.98399992265002978</v>
      </c>
      <c r="G4013" s="536" t="s">
        <v>261</v>
      </c>
      <c r="H4013" s="835">
        <v>4865.9336834342121</v>
      </c>
      <c r="I4013" s="835">
        <v>552.54999999999995</v>
      </c>
      <c r="J4013">
        <v>1090.82</v>
      </c>
      <c r="K4013">
        <v>54.293729074291925</v>
      </c>
      <c r="L4013">
        <v>59519.997679500899</v>
      </c>
      <c r="M4013">
        <v>0</v>
      </c>
    </row>
    <row r="4014" spans="1:13" ht="13.5" customHeight="1">
      <c r="A4014" s="532">
        <v>45322</v>
      </c>
      <c r="B4014" s="615">
        <v>470000</v>
      </c>
      <c r="C4014" s="615">
        <v>932479.96364551398</v>
      </c>
      <c r="D4014" s="532">
        <v>45504</v>
      </c>
      <c r="E4014" s="534">
        <v>182</v>
      </c>
      <c r="F4014" s="653">
        <v>0.98399992265002978</v>
      </c>
      <c r="G4014" s="536" t="s">
        <v>256</v>
      </c>
      <c r="H4014" s="835">
        <v>76232.961040469338</v>
      </c>
      <c r="I4014" s="835">
        <v>552.54999999999995</v>
      </c>
      <c r="J4014">
        <v>1090.82</v>
      </c>
      <c r="K4014">
        <v>850.60175549724011</v>
      </c>
      <c r="L4014">
        <v>932479.96364551398</v>
      </c>
      <c r="M4014">
        <v>0</v>
      </c>
    </row>
    <row r="4015" spans="1:13" ht="13.5" customHeight="1">
      <c r="A4015" s="532">
        <v>45329</v>
      </c>
      <c r="B4015" s="615">
        <v>85000</v>
      </c>
      <c r="C4015" s="615">
        <v>160897.28681723232</v>
      </c>
      <c r="D4015" s="532">
        <v>45509</v>
      </c>
      <c r="E4015" s="534">
        <v>180</v>
      </c>
      <c r="F4015" s="653">
        <v>0.89290925667332144</v>
      </c>
      <c r="G4015" s="536" t="s">
        <v>256</v>
      </c>
      <c r="H4015" s="835">
        <v>12649.547802872054</v>
      </c>
      <c r="I4015" s="835">
        <v>581.63</v>
      </c>
      <c r="J4015">
        <v>1095.57</v>
      </c>
      <c r="K4015">
        <v>146.14101748534293</v>
      </c>
      <c r="L4015">
        <v>160897.28681723232</v>
      </c>
      <c r="M4015">
        <v>0</v>
      </c>
    </row>
    <row r="4016" spans="1:13" ht="13.5" customHeight="1">
      <c r="A4016" s="532">
        <v>45478</v>
      </c>
      <c r="B4016" s="615">
        <v>68400</v>
      </c>
      <c r="C4016" s="615">
        <v>70200.887671232878</v>
      </c>
      <c r="D4016" s="532">
        <v>45509</v>
      </c>
      <c r="E4016" s="534">
        <v>31</v>
      </c>
      <c r="F4016" s="653">
        <v>0.31</v>
      </c>
      <c r="G4016" s="536" t="s">
        <v>259</v>
      </c>
      <c r="H4016" s="835">
        <v>1742.7945205479468</v>
      </c>
      <c r="I4016" s="835">
        <v>1051.3499999999999</v>
      </c>
      <c r="J4016">
        <v>1095.57</v>
      </c>
      <c r="K4016">
        <v>65.059209587672996</v>
      </c>
      <c r="L4016">
        <v>70200.887671232878</v>
      </c>
      <c r="M4016">
        <v>0</v>
      </c>
    </row>
    <row r="4017" spans="1:13" ht="13.5" customHeight="1">
      <c r="A4017" s="532">
        <v>45477</v>
      </c>
      <c r="B4017" s="615">
        <v>3500000</v>
      </c>
      <c r="C4017" s="615">
        <v>3616633.4246575343</v>
      </c>
      <c r="D4017" s="532">
        <v>45509</v>
      </c>
      <c r="E4017" s="534">
        <v>32</v>
      </c>
      <c r="F4017" s="653">
        <v>0.38009999999999999</v>
      </c>
      <c r="G4017" s="536" t="s">
        <v>258</v>
      </c>
      <c r="H4017" s="835">
        <v>109343.83561643845</v>
      </c>
      <c r="I4017" s="835">
        <v>1049.9100000000001</v>
      </c>
      <c r="J4017">
        <v>1095.57</v>
      </c>
      <c r="K4017">
        <v>3333.6190721109424</v>
      </c>
      <c r="L4017">
        <v>3616633.4246575343</v>
      </c>
      <c r="M4017">
        <v>0</v>
      </c>
    </row>
    <row r="4018" spans="1:13" ht="13.5" customHeight="1">
      <c r="A4018" s="532">
        <v>45478</v>
      </c>
      <c r="B4018" s="615">
        <v>1400000</v>
      </c>
      <c r="C4018" s="615">
        <v>1445195.4520547944</v>
      </c>
      <c r="D4018" s="532">
        <v>45509</v>
      </c>
      <c r="E4018" s="534">
        <v>31</v>
      </c>
      <c r="F4018" s="653">
        <v>0.38009999999999999</v>
      </c>
      <c r="G4018" s="536" t="s">
        <v>258</v>
      </c>
      <c r="H4018" s="835">
        <v>43737.534246575233</v>
      </c>
      <c r="I4018" s="835">
        <v>1051.3499999999999</v>
      </c>
      <c r="J4018">
        <v>1095.57</v>
      </c>
      <c r="K4018">
        <v>1331.6212488705</v>
      </c>
      <c r="L4018">
        <v>1445195.4520547944</v>
      </c>
      <c r="M4018">
        <v>0</v>
      </c>
    </row>
    <row r="4019" spans="1:13" ht="13.5" customHeight="1">
      <c r="A4019" s="532">
        <v>45478</v>
      </c>
      <c r="B4019" s="615">
        <v>300000</v>
      </c>
      <c r="C4019" s="615">
        <v>309684.73972602742</v>
      </c>
      <c r="D4019" s="532">
        <v>45509</v>
      </c>
      <c r="E4019" s="534">
        <v>31</v>
      </c>
      <c r="F4019" s="653">
        <v>0.38009999999999999</v>
      </c>
      <c r="G4019" s="536" t="s">
        <v>258</v>
      </c>
      <c r="H4019" s="835">
        <v>9372.3287671233065</v>
      </c>
      <c r="I4019" s="835">
        <v>1051.3499999999999</v>
      </c>
      <c r="J4019">
        <v>1095.57</v>
      </c>
      <c r="K4019">
        <v>285.34741047224998</v>
      </c>
      <c r="L4019">
        <v>309684.73972602742</v>
      </c>
      <c r="M4019">
        <v>0</v>
      </c>
    </row>
    <row r="4020" spans="1:13" ht="13.5" customHeight="1">
      <c r="A4020" s="532">
        <v>45330</v>
      </c>
      <c r="B4020" s="615">
        <v>175000</v>
      </c>
      <c r="C4020" s="615">
        <v>330274.04741903645</v>
      </c>
      <c r="D4020" s="532">
        <v>45510</v>
      </c>
      <c r="E4020" s="534">
        <v>180</v>
      </c>
      <c r="F4020" s="653">
        <v>0.88728027096592244</v>
      </c>
      <c r="G4020" s="536" t="s">
        <v>256</v>
      </c>
      <c r="H4020" s="835">
        <v>25879.00790317274</v>
      </c>
      <c r="I4020" s="835">
        <v>585.91</v>
      </c>
      <c r="J4020">
        <v>1100.3499999999999</v>
      </c>
      <c r="K4020">
        <v>298.68068474680416</v>
      </c>
      <c r="L4020">
        <v>330274.04741903645</v>
      </c>
      <c r="M4020">
        <v>0</v>
      </c>
    </row>
    <row r="4021" spans="1:13" ht="13.5" customHeight="1">
      <c r="A4021" s="532">
        <v>45481</v>
      </c>
      <c r="B4021" s="615">
        <v>80000</v>
      </c>
      <c r="C4021" s="615">
        <f>B4021+(B4021*F4021/365*E4021)*1</f>
        <v>82038.356164383556</v>
      </c>
      <c r="D4021" s="532">
        <f>+A4021+E4021</f>
        <v>45511</v>
      </c>
      <c r="E4021" s="534">
        <v>30</v>
      </c>
      <c r="F4021" s="653">
        <v>0.31</v>
      </c>
      <c r="G4021" s="536" t="s">
        <v>259</v>
      </c>
      <c r="H4021" s="835">
        <f>(C4021-B4021)/E4021*30</f>
        <v>2038.3561643835565</v>
      </c>
      <c r="I4021" s="835" t="e">
        <f>VLOOKUP(Tabla1[[#This Row],[FECHA]],TablaUVA[#All],2)</f>
        <v>#VALUE!</v>
      </c>
      <c r="J4021" t="e">
        <f>VLOOKUP(Tabla1[[#This Row],[VTO.]],TablaUVA[#All],2)</f>
        <v>#VALUE!</v>
      </c>
      <c r="K4021" t="e">
        <f>+Tabla1[[#This Row],[DEPOSITADO]]/I4021</f>
        <v>#VALUE!</v>
      </c>
      <c r="L4021" t="e">
        <f>IF(Tabla1[[#This Row],[DIAS]]&gt;89,+K4021*J4021*(1+1%/365*Tabla1[[#This Row],[DIAS]]),Tabla1[[#This Row],[ACOBRAR]])</f>
        <v>#VALUE!</v>
      </c>
      <c r="M4021" t="e">
        <f>+L4021-Tabla1[[#This Row],[ACOBRAR]]</f>
        <v>#VALUE!</v>
      </c>
    </row>
    <row r="4022" spans="1:13" ht="13.5" customHeight="1">
      <c r="A4022" s="532">
        <v>45483</v>
      </c>
      <c r="B4022" s="615">
        <v>141700</v>
      </c>
      <c r="C4022" s="615">
        <f>B4022+(B4022*F4022/365*E4022)*1</f>
        <v>145310.43835616438</v>
      </c>
      <c r="D4022" s="532">
        <f>+A4022+E4022</f>
        <v>45513</v>
      </c>
      <c r="E4022" s="534">
        <v>30</v>
      </c>
      <c r="F4022" s="653">
        <v>0.31</v>
      </c>
      <c r="G4022" s="536" t="s">
        <v>259</v>
      </c>
      <c r="H4022" s="835">
        <f t="shared" ref="A4022:H4022" si="545">(C4022-B4022)/E4022*30</f>
        <v>3610.4383561643772</v>
      </c>
      <c r="I4022" s="835" t="e">
        <f>VLOOKUP(Tabla1[[#This Row],[FECHA]],TablaUVA[#All],2)</f>
        <v>#VALUE!</v>
      </c>
      <c r="J4022" t="e">
        <f>VLOOKUP(Tabla1[[#This Row],[VTO.]],TablaUVA[#All],2)</f>
        <v>#VALUE!</v>
      </c>
      <c r="K4022" t="e">
        <f>+Tabla1[[#This Row],[DEPOSITADO]]/I4022</f>
        <v>#VALUE!</v>
      </c>
      <c r="L4022" t="e">
        <f>IF(Tabla1[[#This Row],[DIAS]]&gt;89,+K4022*J4022*(1+1%/365*Tabla1[[#This Row],[DIAS]]),Tabla1[[#This Row],[ACOBRAR]])</f>
        <v>#VALUE!</v>
      </c>
      <c r="M4022" t="e">
        <f>+L4022-Tabla1[[#This Row],[ACOBRAR]]</f>
        <v>#VALUE!</v>
      </c>
    </row>
    <row r="4023" spans="1:13" ht="13.5" customHeight="1">
      <c r="A4023" s="532">
        <v>45336</v>
      </c>
      <c r="B4023" s="615">
        <v>100000</v>
      </c>
      <c r="C4023" s="615">
        <v>187065.72835719658</v>
      </c>
      <c r="D4023" s="532">
        <v>45516</v>
      </c>
      <c r="E4023" s="534">
        <v>180</v>
      </c>
      <c r="F4023" s="653">
        <v>0.8706572835719657</v>
      </c>
      <c r="G4023" s="536" t="s">
        <v>256</v>
      </c>
      <c r="H4023" s="835">
        <v>14510.95472619943</v>
      </c>
      <c r="I4023" s="835">
        <v>594.55999999999995</v>
      </c>
      <c r="J4023">
        <v>1106.76</v>
      </c>
      <c r="K4023">
        <v>168.19160387513458</v>
      </c>
      <c r="L4023">
        <v>187065.72835719658</v>
      </c>
      <c r="M4023">
        <v>0</v>
      </c>
    </row>
    <row r="4024" spans="1:13" ht="13.5" customHeight="1">
      <c r="A4024" s="532">
        <v>45484</v>
      </c>
      <c r="B4024" s="615">
        <v>220000</v>
      </c>
      <c r="C4024" s="615">
        <v>227331.24383561645</v>
      </c>
      <c r="D4024" s="532">
        <v>45516</v>
      </c>
      <c r="E4024" s="534">
        <v>32</v>
      </c>
      <c r="F4024" s="653">
        <v>0.38009999999999999</v>
      </c>
      <c r="G4024" s="536" t="s">
        <v>258</v>
      </c>
      <c r="H4024" s="835">
        <v>6873.0410958904213</v>
      </c>
      <c r="I4024" s="835">
        <v>1060.04</v>
      </c>
      <c r="J4024">
        <v>1106.76</v>
      </c>
      <c r="K4024">
        <v>207.53933813818347</v>
      </c>
      <c r="L4024">
        <v>227331.24383561645</v>
      </c>
      <c r="M4024">
        <v>0</v>
      </c>
    </row>
    <row r="4025" spans="1:13" ht="13.5" customHeight="1">
      <c r="A4025" s="532">
        <v>45488</v>
      </c>
      <c r="B4025" s="615">
        <v>40000</v>
      </c>
      <c r="C4025" s="615">
        <v>41249.643835616436</v>
      </c>
      <c r="D4025" s="532">
        <v>45518</v>
      </c>
      <c r="E4025" s="534">
        <v>30</v>
      </c>
      <c r="F4025" s="653">
        <v>0.38009999999999999</v>
      </c>
      <c r="G4025" s="536" t="s">
        <v>258</v>
      </c>
      <c r="H4025" s="835">
        <v>1249.6438356164363</v>
      </c>
      <c r="I4025" s="835">
        <v>1062.95</v>
      </c>
      <c r="J4025">
        <v>1113.2</v>
      </c>
      <c r="K4025">
        <v>37.631120937014913</v>
      </c>
      <c r="L4025">
        <v>41249.643835616436</v>
      </c>
      <c r="M4025">
        <v>0</v>
      </c>
    </row>
    <row r="4026" spans="1:13" ht="13.5" customHeight="1">
      <c r="A4026" s="532">
        <v>45338</v>
      </c>
      <c r="B4026" s="615">
        <v>115000</v>
      </c>
      <c r="C4026" s="615">
        <v>207071.40362451007</v>
      </c>
      <c r="D4026" s="532">
        <v>45518</v>
      </c>
      <c r="E4026" s="534">
        <v>180</v>
      </c>
      <c r="F4026" s="653">
        <v>0.80062090108269635</v>
      </c>
      <c r="G4026" s="536" t="s">
        <v>257</v>
      </c>
      <c r="H4026" s="835">
        <v>15345.233937418345</v>
      </c>
      <c r="I4026" s="835">
        <v>621.28</v>
      </c>
      <c r="J4026">
        <v>1113.2</v>
      </c>
      <c r="K4026">
        <v>185.10172546999743</v>
      </c>
      <c r="L4026">
        <v>207071.40362451007</v>
      </c>
      <c r="M4026">
        <v>0</v>
      </c>
    </row>
    <row r="4027" spans="1:13" ht="13.5" customHeight="1">
      <c r="A4027" s="532">
        <v>45338</v>
      </c>
      <c r="B4027" s="615">
        <v>60000</v>
      </c>
      <c r="C4027" s="615">
        <v>108037.25406496179</v>
      </c>
      <c r="D4027" s="532">
        <v>45518</v>
      </c>
      <c r="E4027" s="534">
        <v>180</v>
      </c>
      <c r="F4027" s="653">
        <v>0.80062090108269635</v>
      </c>
      <c r="G4027" s="536" t="s">
        <v>264</v>
      </c>
      <c r="H4027" s="835">
        <v>8006.209010826964</v>
      </c>
      <c r="I4027" s="835">
        <v>621.28</v>
      </c>
      <c r="J4027">
        <v>1113.2</v>
      </c>
      <c r="K4027">
        <v>96.574813288694315</v>
      </c>
      <c r="L4027">
        <v>108037.25406496177</v>
      </c>
      <c r="M4027">
        <v>0</v>
      </c>
    </row>
    <row r="4028" spans="1:13" ht="13.5" customHeight="1">
      <c r="A4028" s="532">
        <v>45489</v>
      </c>
      <c r="B4028" s="615">
        <v>380000</v>
      </c>
      <c r="C4028" s="615">
        <v>391871.61643835617</v>
      </c>
      <c r="D4028" s="532">
        <v>45519</v>
      </c>
      <c r="E4028" s="534">
        <v>30</v>
      </c>
      <c r="F4028" s="653">
        <v>0.38009999999999999</v>
      </c>
      <c r="G4028" s="536" t="s">
        <v>258</v>
      </c>
      <c r="H4028" s="835">
        <v>11871.61643835617</v>
      </c>
      <c r="I4028" s="835">
        <v>1067.33</v>
      </c>
      <c r="J4028">
        <v>1114.81</v>
      </c>
      <c r="K4028">
        <v>356.02859471765998</v>
      </c>
      <c r="L4028">
        <v>391871.61643835617</v>
      </c>
      <c r="M4028">
        <v>0</v>
      </c>
    </row>
    <row r="4029" spans="1:13" ht="13.5" customHeight="1">
      <c r="A4029" s="532">
        <v>45343</v>
      </c>
      <c r="B4029" s="615">
        <v>250000</v>
      </c>
      <c r="C4029" s="615">
        <v>437667.58443453733</v>
      </c>
      <c r="D4029" s="532">
        <v>45523</v>
      </c>
      <c r="E4029" s="534">
        <v>180</v>
      </c>
      <c r="F4029" s="653">
        <v>0.7506703377381494</v>
      </c>
      <c r="G4029" s="536" t="s">
        <v>256</v>
      </c>
      <c r="H4029" s="835">
        <f>186434.7+251232.88</f>
        <v>437667.58</v>
      </c>
      <c r="I4029" s="839">
        <f>+C4029-H4029</f>
        <v>4.4345373171381652E-3</v>
      </c>
      <c r="J4029">
        <v>1117.8399999999999</v>
      </c>
      <c r="K4029">
        <v>389.60836567082771</v>
      </c>
      <c r="L4029">
        <v>437667.58443453733</v>
      </c>
      <c r="M4029">
        <v>0</v>
      </c>
    </row>
    <row r="4030" spans="1:13" ht="13.5" customHeight="1">
      <c r="A4030" s="532">
        <v>45492</v>
      </c>
      <c r="B4030" s="615">
        <v>104500</v>
      </c>
      <c r="C4030" s="615">
        <v>107251.35616438356</v>
      </c>
      <c r="D4030" s="532">
        <v>45523</v>
      </c>
      <c r="E4030" s="534">
        <v>31</v>
      </c>
      <c r="F4030" s="653">
        <v>0.31</v>
      </c>
      <c r="G4030" s="536" t="s">
        <v>259</v>
      </c>
      <c r="H4030" s="835">
        <v>2662.6027397260223</v>
      </c>
      <c r="I4030" s="835">
        <v>1071.99</v>
      </c>
      <c r="J4030">
        <v>1117.8399999999999</v>
      </c>
      <c r="K4030">
        <v>97.48225263295366</v>
      </c>
      <c r="L4030">
        <v>107251.35616438356</v>
      </c>
      <c r="M4030">
        <v>0</v>
      </c>
    </row>
    <row r="4031" spans="1:13" ht="13.5" customHeight="1">
      <c r="A4031" s="532">
        <v>45344</v>
      </c>
      <c r="B4031" s="615">
        <v>190000</v>
      </c>
      <c r="C4031" s="615">
        <v>331744.2551890855</v>
      </c>
      <c r="D4031" s="532">
        <v>45524</v>
      </c>
      <c r="E4031" s="534">
        <v>180</v>
      </c>
      <c r="F4031" s="653">
        <v>0.74602239573202889</v>
      </c>
      <c r="G4031" s="536" t="s">
        <v>256</v>
      </c>
      <c r="H4031" s="835">
        <v>23624.042531514249</v>
      </c>
      <c r="I4031" s="835">
        <v>645.83000000000004</v>
      </c>
      <c r="J4031">
        <v>1122.0999999999999</v>
      </c>
      <c r="K4031">
        <v>294.19506681324805</v>
      </c>
      <c r="L4031">
        <v>331744.25518908544</v>
      </c>
      <c r="M4031">
        <v>0</v>
      </c>
    </row>
    <row r="4032" spans="1:13" ht="13.5" customHeight="1">
      <c r="A4032" s="532">
        <v>45345</v>
      </c>
      <c r="B4032" s="615">
        <v>70000</v>
      </c>
      <c r="C4032" s="615">
        <v>121589.27595002226</v>
      </c>
      <c r="D4032" s="532">
        <v>45525</v>
      </c>
      <c r="E4032" s="534">
        <v>180</v>
      </c>
      <c r="F4032" s="653">
        <v>0.73698965642888936</v>
      </c>
      <c r="G4032" s="536" t="s">
        <v>257</v>
      </c>
      <c r="H4032" s="835">
        <v>8598.2126583370427</v>
      </c>
      <c r="I4032" s="835">
        <v>650.01</v>
      </c>
      <c r="J4032">
        <v>1123.52</v>
      </c>
      <c r="K4032">
        <v>107.69065091306288</v>
      </c>
      <c r="L4032">
        <v>121589.27595002226</v>
      </c>
      <c r="M4032">
        <v>0</v>
      </c>
    </row>
    <row r="4033" spans="1:13" ht="13.5" customHeight="1">
      <c r="A4033" s="532">
        <v>45497</v>
      </c>
      <c r="B4033" s="615">
        <v>32700</v>
      </c>
      <c r="C4033" s="615">
        <v>33533.178082191778</v>
      </c>
      <c r="D4033" s="532">
        <v>45527</v>
      </c>
      <c r="E4033" s="534">
        <v>30</v>
      </c>
      <c r="F4033" s="653">
        <v>0.31</v>
      </c>
      <c r="G4033" s="536" t="s">
        <v>259</v>
      </c>
      <c r="H4033" s="835">
        <v>833.17808219177823</v>
      </c>
      <c r="I4033" s="835">
        <v>1079.79</v>
      </c>
      <c r="J4033">
        <v>1126.3599999999999</v>
      </c>
      <c r="K4033">
        <v>30.283666268441088</v>
      </c>
      <c r="L4033">
        <v>33533.178082191778</v>
      </c>
      <c r="M4033">
        <v>0</v>
      </c>
    </row>
    <row r="4034" spans="1:13" ht="13.5" customHeight="1">
      <c r="A4034" s="532">
        <v>45499</v>
      </c>
      <c r="B4034" s="615">
        <v>328000</v>
      </c>
      <c r="C4034" s="615">
        <v>336635.83561643836</v>
      </c>
      <c r="D4034" s="532">
        <v>45530</v>
      </c>
      <c r="E4034" s="534">
        <v>31</v>
      </c>
      <c r="F4034" s="653">
        <v>0.31</v>
      </c>
      <c r="G4034" s="536" t="s">
        <v>259</v>
      </c>
      <c r="H4034" s="835">
        <v>8357.2602739726062</v>
      </c>
      <c r="I4034" s="835">
        <v>1082.93</v>
      </c>
      <c r="J4034">
        <v>1127.79</v>
      </c>
      <c r="K4034">
        <v>302.88199606622771</v>
      </c>
      <c r="L4034">
        <v>336635.83561643836</v>
      </c>
      <c r="M4034">
        <v>0</v>
      </c>
    </row>
    <row r="4035" spans="1:13" ht="13.5" customHeight="1">
      <c r="A4035" s="532">
        <v>45499</v>
      </c>
      <c r="B4035" s="615">
        <v>2313000</v>
      </c>
      <c r="C4035" s="615">
        <v>2376845.1369863013</v>
      </c>
      <c r="D4035" s="532">
        <v>45530</v>
      </c>
      <c r="E4035" s="534">
        <v>31</v>
      </c>
      <c r="F4035" s="653">
        <v>0.32500000000000001</v>
      </c>
      <c r="G4035" s="536" t="s">
        <v>257</v>
      </c>
      <c r="H4035" s="835">
        <v>61785.616438356075</v>
      </c>
      <c r="I4035" s="835">
        <v>1082.93</v>
      </c>
      <c r="J4035">
        <v>1127.79</v>
      </c>
      <c r="K4035">
        <v>2135.8721246987338</v>
      </c>
      <c r="L4035">
        <v>2376845.1369863013</v>
      </c>
      <c r="M4035">
        <v>0</v>
      </c>
    </row>
    <row r="4036" spans="1:13" ht="13.5" customHeight="1">
      <c r="A4036" s="532">
        <v>45498</v>
      </c>
      <c r="B4036" s="615">
        <v>3958000</v>
      </c>
      <c r="C4036" s="615">
        <v>4070775.8904109588</v>
      </c>
      <c r="D4036" s="532">
        <v>45530</v>
      </c>
      <c r="E4036" s="534">
        <v>32</v>
      </c>
      <c r="F4036" s="653">
        <v>0.32500000000000001</v>
      </c>
      <c r="G4036" s="536" t="s">
        <v>257</v>
      </c>
      <c r="H4036" s="835">
        <v>105727.39726027386</v>
      </c>
      <c r="I4036" s="835">
        <v>1081.3599999999999</v>
      </c>
      <c r="J4036">
        <v>1127.79</v>
      </c>
      <c r="K4036">
        <v>3660.2056669379303</v>
      </c>
      <c r="L4036">
        <v>4070775.8904109588</v>
      </c>
      <c r="M4036">
        <v>0</v>
      </c>
    </row>
    <row r="4037" spans="1:13" ht="13.5" customHeight="1">
      <c r="A4037" s="532">
        <v>45348</v>
      </c>
      <c r="B4037" s="615">
        <v>70000</v>
      </c>
      <c r="C4037" s="615">
        <v>121270.72292241908</v>
      </c>
      <c r="D4037" s="532">
        <v>45530</v>
      </c>
      <c r="E4037" s="534">
        <v>182</v>
      </c>
      <c r="F4037" s="653">
        <v>0.73243889889170122</v>
      </c>
      <c r="G4037" s="536" t="s">
        <v>257</v>
      </c>
      <c r="H4037" s="835">
        <v>8451.2180641350133</v>
      </c>
      <c r="I4037" s="835">
        <v>654.23</v>
      </c>
      <c r="J4037">
        <v>1127.79</v>
      </c>
      <c r="K4037">
        <v>106.99601057731989</v>
      </c>
      <c r="L4037">
        <v>121270.72292241908</v>
      </c>
      <c r="M4037">
        <v>0</v>
      </c>
    </row>
    <row r="4038" spans="1:13" ht="13.5" customHeight="1">
      <c r="A4038" s="532">
        <v>45498</v>
      </c>
      <c r="B4038" s="615">
        <v>8140000</v>
      </c>
      <c r="C4038" s="615">
        <v>8396911.7808219176</v>
      </c>
      <c r="D4038" s="532">
        <v>45530</v>
      </c>
      <c r="E4038" s="534">
        <v>32</v>
      </c>
      <c r="F4038" s="653">
        <v>0.36</v>
      </c>
      <c r="G4038" s="536" t="s">
        <v>258</v>
      </c>
      <c r="H4038" s="835">
        <v>240854.79452054773</v>
      </c>
      <c r="I4038" s="835">
        <v>1081.3599999999999</v>
      </c>
      <c r="J4038">
        <v>1127.79</v>
      </c>
      <c r="K4038">
        <v>7527.5578900643641</v>
      </c>
      <c r="L4038">
        <v>8396911.7808219176</v>
      </c>
      <c r="M4038">
        <v>0</v>
      </c>
    </row>
    <row r="4039" spans="1:13" ht="13.5" customHeight="1">
      <c r="A4039" s="532">
        <v>45348</v>
      </c>
      <c r="B4039" s="615">
        <v>100000</v>
      </c>
      <c r="C4039" s="615">
        <v>173243.88988917012</v>
      </c>
      <c r="D4039" s="532">
        <v>45530</v>
      </c>
      <c r="E4039" s="534">
        <v>182</v>
      </c>
      <c r="F4039" s="653">
        <v>0.73243889889170122</v>
      </c>
      <c r="G4039" s="536" t="s">
        <v>256</v>
      </c>
      <c r="H4039" s="835">
        <v>12073.168663050021</v>
      </c>
      <c r="I4039" s="835">
        <v>654.23</v>
      </c>
      <c r="J4039">
        <v>1127.79</v>
      </c>
      <c r="K4039">
        <v>152.85144368188557</v>
      </c>
      <c r="L4039">
        <v>173243.88988917012</v>
      </c>
      <c r="M4039">
        <v>0</v>
      </c>
    </row>
    <row r="4040" spans="1:13" ht="13.5" customHeight="1">
      <c r="A4040" s="532">
        <v>45350</v>
      </c>
      <c r="B4040" s="615">
        <v>160000</v>
      </c>
      <c r="C4040" s="615">
        <v>270106.90795789706</v>
      </c>
      <c r="D4040" s="532">
        <v>45530</v>
      </c>
      <c r="E4040" s="534">
        <v>180</v>
      </c>
      <c r="F4040" s="653">
        <v>0.68816817473685665</v>
      </c>
      <c r="G4040" s="536" t="s">
        <v>256</v>
      </c>
      <c r="H4040" s="835">
        <v>18351.151326316176</v>
      </c>
      <c r="I4040" s="835">
        <v>671.35</v>
      </c>
      <c r="J4040">
        <v>1127.79</v>
      </c>
      <c r="K4040">
        <v>238.32576152528486</v>
      </c>
      <c r="L4040">
        <v>270106.90795789706</v>
      </c>
      <c r="M4040">
        <v>0</v>
      </c>
    </row>
    <row r="4041" spans="1:13" ht="13.5" customHeight="1">
      <c r="A4041" s="532">
        <v>45499</v>
      </c>
      <c r="B4041" s="615">
        <v>50000</v>
      </c>
      <c r="C4041" s="615">
        <v>51358.904109589042</v>
      </c>
      <c r="D4041" s="532">
        <v>45530</v>
      </c>
      <c r="E4041" s="534">
        <v>31</v>
      </c>
      <c r="F4041" s="653">
        <v>0.32</v>
      </c>
      <c r="G4041" s="536" t="s">
        <v>256</v>
      </c>
      <c r="H4041" s="835">
        <v>1315.0684931506864</v>
      </c>
      <c r="I4041" s="835">
        <v>1082.93</v>
      </c>
      <c r="J4041">
        <v>1127.79</v>
      </c>
      <c r="K4041">
        <v>46.171035985705444</v>
      </c>
      <c r="L4041">
        <v>51358.904109589042</v>
      </c>
      <c r="M4041">
        <v>0</v>
      </c>
    </row>
    <row r="4042" spans="1:13" ht="13.5" customHeight="1">
      <c r="A4042" s="532">
        <v>45499</v>
      </c>
      <c r="B4042" s="615">
        <v>1831000</v>
      </c>
      <c r="C4042" s="615">
        <v>1888789.3698630137</v>
      </c>
      <c r="D4042" s="532">
        <v>45531</v>
      </c>
      <c r="E4042" s="534">
        <v>32</v>
      </c>
      <c r="F4042" s="653">
        <v>0.36</v>
      </c>
      <c r="G4042" s="536" t="s">
        <v>260</v>
      </c>
      <c r="H4042" s="835">
        <v>54177.534246575378</v>
      </c>
      <c r="I4042" s="835">
        <v>1082.93</v>
      </c>
      <c r="J4042">
        <v>1132.08</v>
      </c>
      <c r="K4042">
        <v>1690.7833377965335</v>
      </c>
      <c r="L4042">
        <v>1888789.3698630137</v>
      </c>
      <c r="M4042">
        <v>0</v>
      </c>
    </row>
    <row r="4043" spans="1:13" ht="13.5" customHeight="1">
      <c r="A4043" s="532">
        <v>45499</v>
      </c>
      <c r="B4043" s="615">
        <v>3500000</v>
      </c>
      <c r="C4043" s="615">
        <v>3610465.7534246575</v>
      </c>
      <c r="D4043" s="532">
        <v>45531</v>
      </c>
      <c r="E4043" s="534">
        <v>32</v>
      </c>
      <c r="F4043" s="653">
        <v>0.36</v>
      </c>
      <c r="G4043" s="536" t="s">
        <v>258</v>
      </c>
      <c r="H4043" s="835">
        <v>103561.64383561641</v>
      </c>
      <c r="I4043" s="835">
        <v>1082.93</v>
      </c>
      <c r="J4043">
        <v>1132.08</v>
      </c>
      <c r="K4043">
        <v>3231.972518999381</v>
      </c>
      <c r="L4043">
        <v>3610465.7534246575</v>
      </c>
      <c r="M4043">
        <v>0</v>
      </c>
    </row>
    <row r="4044" spans="1:13" ht="13.5" customHeight="1">
      <c r="A4044" s="532">
        <v>45498</v>
      </c>
      <c r="B4044" s="615">
        <v>860000</v>
      </c>
      <c r="C4044" s="615">
        <v>885658.63013698626</v>
      </c>
      <c r="D4044" s="532">
        <v>45531</v>
      </c>
      <c r="E4044" s="534">
        <v>33</v>
      </c>
      <c r="F4044" s="653">
        <v>0.33</v>
      </c>
      <c r="G4044" s="536" t="s">
        <v>261</v>
      </c>
      <c r="H4044" s="835">
        <v>23326.027397260237</v>
      </c>
      <c r="I4044" s="835">
        <v>1081.3599999999999</v>
      </c>
      <c r="J4044">
        <v>1132.08</v>
      </c>
      <c r="K4044">
        <v>795.29481393800404</v>
      </c>
      <c r="L4044">
        <v>885658.63013698626</v>
      </c>
      <c r="M4044">
        <v>0</v>
      </c>
    </row>
    <row r="4045" spans="1:13" ht="13.5" customHeight="1">
      <c r="A4045" s="532">
        <v>45497</v>
      </c>
      <c r="B4045" s="615">
        <v>42000</v>
      </c>
      <c r="C4045" s="615">
        <v>43291.068493150684</v>
      </c>
      <c r="D4045" s="532">
        <v>45531</v>
      </c>
      <c r="E4045" s="534">
        <v>34</v>
      </c>
      <c r="F4045" s="653">
        <v>0.33</v>
      </c>
      <c r="G4045" s="536" t="s">
        <v>261</v>
      </c>
      <c r="H4045" s="835">
        <v>1139.17808219178</v>
      </c>
      <c r="I4045" s="835">
        <v>1079.79</v>
      </c>
      <c r="J4045">
        <v>1132.08</v>
      </c>
      <c r="K4045">
        <v>38.896452087905985</v>
      </c>
      <c r="L4045">
        <v>43291.068493150684</v>
      </c>
      <c r="M4045">
        <v>0</v>
      </c>
    </row>
    <row r="4046" spans="1:13" ht="13.5" customHeight="1">
      <c r="A4046" s="532">
        <v>45497</v>
      </c>
      <c r="B4046" s="615">
        <v>600000</v>
      </c>
      <c r="C4046" s="615">
        <v>618443.83561643842</v>
      </c>
      <c r="D4046" s="532">
        <v>45531</v>
      </c>
      <c r="E4046" s="534">
        <v>34</v>
      </c>
      <c r="F4046" s="653">
        <v>0.33</v>
      </c>
      <c r="G4046" s="536" t="s">
        <v>261</v>
      </c>
      <c r="H4046" s="835">
        <v>16273.972602739779</v>
      </c>
      <c r="I4046" s="835">
        <v>1079.79</v>
      </c>
      <c r="J4046">
        <v>1132.08</v>
      </c>
      <c r="K4046">
        <v>555.66360125579979</v>
      </c>
      <c r="L4046">
        <v>618443.83561643842</v>
      </c>
      <c r="M4046">
        <v>0</v>
      </c>
    </row>
    <row r="4047" spans="1:13" ht="13.5" customHeight="1">
      <c r="A4047" s="532">
        <v>45495</v>
      </c>
      <c r="B4047" s="615">
        <v>879000</v>
      </c>
      <c r="C4047" s="615">
        <v>907609.64383561641</v>
      </c>
      <c r="D4047" s="532">
        <v>45531</v>
      </c>
      <c r="E4047" s="534">
        <v>36</v>
      </c>
      <c r="F4047" s="653">
        <v>0.33</v>
      </c>
      <c r="G4047" s="536" t="s">
        <v>261</v>
      </c>
      <c r="H4047" s="835">
        <v>23841.369863013679</v>
      </c>
      <c r="I4047" s="835">
        <v>1073.55</v>
      </c>
      <c r="J4047">
        <v>1132.08</v>
      </c>
      <c r="K4047">
        <v>818.77881794047789</v>
      </c>
      <c r="L4047">
        <v>907609.64383561641</v>
      </c>
      <c r="M4047">
        <v>0</v>
      </c>
    </row>
    <row r="4048" spans="1:13" ht="13.5" customHeight="1">
      <c r="A4048" s="532">
        <v>45496</v>
      </c>
      <c r="B4048" s="615">
        <v>100000</v>
      </c>
      <c r="C4048" s="615">
        <v>103164.38356164383</v>
      </c>
      <c r="D4048" s="532">
        <v>45531</v>
      </c>
      <c r="E4048" s="534">
        <v>35</v>
      </c>
      <c r="F4048" s="653">
        <v>0.33</v>
      </c>
      <c r="G4048" s="536" t="s">
        <v>261</v>
      </c>
      <c r="H4048" s="835">
        <v>2712.3287671232829</v>
      </c>
      <c r="I4048" s="835">
        <v>1078.23</v>
      </c>
      <c r="J4048">
        <v>1132.08</v>
      </c>
      <c r="K4048">
        <v>92.744590671749066</v>
      </c>
      <c r="L4048">
        <v>103164.38356164383</v>
      </c>
      <c r="M4048">
        <v>0</v>
      </c>
    </row>
    <row r="4049" spans="1:13" ht="13.5" customHeight="1">
      <c r="A4049" s="532">
        <v>45349</v>
      </c>
      <c r="B4049" s="615">
        <v>73500</v>
      </c>
      <c r="C4049" s="615">
        <v>125365.84496353597</v>
      </c>
      <c r="D4049" s="532">
        <v>45531</v>
      </c>
      <c r="E4049" s="534">
        <v>182</v>
      </c>
      <c r="F4049" s="653">
        <v>0.7056577546059315</v>
      </c>
      <c r="G4049" s="536" t="s">
        <v>261</v>
      </c>
      <c r="H4049" s="835">
        <v>8549.3151038795568</v>
      </c>
      <c r="I4049" s="835">
        <v>667.03</v>
      </c>
      <c r="J4049">
        <v>1132.08</v>
      </c>
      <c r="K4049">
        <v>110.18994647916885</v>
      </c>
      <c r="L4049">
        <v>125365.84496353596</v>
      </c>
      <c r="M4049">
        <v>0</v>
      </c>
    </row>
    <row r="4050" spans="1:13" ht="13.5" customHeight="1">
      <c r="A4050" s="532">
        <v>45351</v>
      </c>
      <c r="B4050" s="615">
        <v>240000</v>
      </c>
      <c r="C4050" s="615">
        <v>404083.30097048002</v>
      </c>
      <c r="D4050" s="532">
        <v>45531</v>
      </c>
      <c r="E4050" s="534">
        <v>180</v>
      </c>
      <c r="F4050" s="653">
        <v>0.68368042071033353</v>
      </c>
      <c r="G4050" s="536" t="s">
        <v>256</v>
      </c>
      <c r="H4050" s="835">
        <v>27347.216828413337</v>
      </c>
      <c r="I4050" s="835">
        <v>675.7</v>
      </c>
      <c r="J4050">
        <v>1132.08</v>
      </c>
      <c r="K4050">
        <v>355.18721326032261</v>
      </c>
      <c r="L4050">
        <v>404083.30097048002</v>
      </c>
      <c r="M4050">
        <v>0</v>
      </c>
    </row>
    <row r="4051" spans="1:13" ht="13.5" customHeight="1">
      <c r="A4051" s="532">
        <v>45349</v>
      </c>
      <c r="B4051" s="615">
        <v>40000</v>
      </c>
      <c r="C4051" s="615">
        <v>68226.310184237256</v>
      </c>
      <c r="D4051" s="532">
        <v>45531</v>
      </c>
      <c r="E4051" s="534">
        <v>182</v>
      </c>
      <c r="F4051" s="653">
        <v>0.7056577546059315</v>
      </c>
      <c r="G4051" s="536" t="s">
        <v>256</v>
      </c>
      <c r="H4051" s="835">
        <v>4652.6884919072399</v>
      </c>
      <c r="I4051" s="835">
        <v>667.03</v>
      </c>
      <c r="J4051">
        <v>1132.08</v>
      </c>
      <c r="K4051">
        <v>59.967317811792576</v>
      </c>
      <c r="L4051">
        <v>68226.310184237256</v>
      </c>
      <c r="M4051">
        <v>0</v>
      </c>
    </row>
    <row r="4052" spans="1:13" ht="13.5" customHeight="1">
      <c r="A4052" s="532">
        <v>45349</v>
      </c>
      <c r="B4052" s="615">
        <v>155000</v>
      </c>
      <c r="C4052" s="615">
        <v>264376.95196391939</v>
      </c>
      <c r="D4052" s="532">
        <v>45531</v>
      </c>
      <c r="E4052" s="534">
        <v>182</v>
      </c>
      <c r="F4052" s="653">
        <v>0.7056577546059315</v>
      </c>
      <c r="G4052" s="536" t="s">
        <v>264</v>
      </c>
      <c r="H4052" s="835">
        <v>18029.167906140559</v>
      </c>
      <c r="I4052" s="835">
        <v>667.03</v>
      </c>
      <c r="J4052">
        <v>1132.08</v>
      </c>
      <c r="K4052">
        <v>232.37335652069623</v>
      </c>
      <c r="L4052">
        <v>264376.95196391933</v>
      </c>
      <c r="M4052">
        <v>0</v>
      </c>
    </row>
    <row r="4053" spans="1:13" ht="13.5" customHeight="1">
      <c r="A4053" s="532">
        <v>45351</v>
      </c>
      <c r="B4053" s="615">
        <v>880000</v>
      </c>
      <c r="C4053" s="615">
        <v>1481638.7702250935</v>
      </c>
      <c r="D4053" s="532">
        <v>45531</v>
      </c>
      <c r="E4053" s="534">
        <v>180</v>
      </c>
      <c r="F4053" s="653">
        <v>0.68368042071033353</v>
      </c>
      <c r="G4053" s="536" t="s">
        <v>262</v>
      </c>
      <c r="H4053" s="835">
        <v>100273.12837084891</v>
      </c>
      <c r="I4053" s="835">
        <v>675.7</v>
      </c>
      <c r="J4053">
        <v>1132.08</v>
      </c>
      <c r="K4053">
        <v>1302.3531152878495</v>
      </c>
      <c r="L4053">
        <v>1481638.7702250935</v>
      </c>
      <c r="M4053">
        <v>0</v>
      </c>
    </row>
    <row r="4054" spans="1:13" ht="13.5" customHeight="1">
      <c r="A4054" s="532">
        <v>45502</v>
      </c>
      <c r="B4054" s="615">
        <v>51000</v>
      </c>
      <c r="C4054" s="615">
        <v>52299.452054794521</v>
      </c>
      <c r="D4054" s="532">
        <v>45532</v>
      </c>
      <c r="E4054" s="534">
        <v>30</v>
      </c>
      <c r="F4054" s="653">
        <v>0.31</v>
      </c>
      <c r="G4054" s="536" t="s">
        <v>259</v>
      </c>
      <c r="H4054" s="835">
        <v>1299.4520547945212</v>
      </c>
      <c r="I4054" s="835">
        <v>1084.5</v>
      </c>
      <c r="J4054">
        <v>1133.51</v>
      </c>
      <c r="K4054">
        <v>47.026279391424623</v>
      </c>
      <c r="L4054">
        <v>52299.452054794521</v>
      </c>
      <c r="M4054">
        <v>0</v>
      </c>
    </row>
    <row r="4055" spans="1:13" ht="13.5" customHeight="1">
      <c r="A4055" s="532">
        <v>45502</v>
      </c>
      <c r="B4055" s="615">
        <v>90000</v>
      </c>
      <c r="C4055" s="615">
        <v>92478.082191780821</v>
      </c>
      <c r="D4055" s="532">
        <v>45532</v>
      </c>
      <c r="E4055" s="534">
        <v>30</v>
      </c>
      <c r="F4055" s="653">
        <v>0.33500000000000002</v>
      </c>
      <c r="G4055" s="536" t="s">
        <v>256</v>
      </c>
      <c r="H4055" s="835">
        <v>2478.0821917808207</v>
      </c>
      <c r="I4055" s="835">
        <v>1084.5</v>
      </c>
      <c r="J4055">
        <v>1133.51</v>
      </c>
      <c r="K4055">
        <v>82.987551867219921</v>
      </c>
      <c r="L4055">
        <v>92478.082191780821</v>
      </c>
      <c r="M4055">
        <v>0</v>
      </c>
    </row>
    <row r="4056" spans="1:13" ht="13.5" customHeight="1">
      <c r="A4056" s="532">
        <v>45499</v>
      </c>
      <c r="B4056" s="615">
        <v>8100000</v>
      </c>
      <c r="C4056" s="615">
        <v>8334345.2054794524</v>
      </c>
      <c r="D4056" s="532">
        <v>45532</v>
      </c>
      <c r="E4056" s="534">
        <v>33</v>
      </c>
      <c r="F4056" s="653">
        <v>0.32</v>
      </c>
      <c r="G4056" s="536" t="s">
        <v>256</v>
      </c>
      <c r="H4056" s="835">
        <v>213041.09589041126</v>
      </c>
      <c r="I4056" s="835">
        <v>1082.93</v>
      </c>
      <c r="J4056">
        <v>1133.51</v>
      </c>
      <c r="K4056">
        <v>7479.7078296842819</v>
      </c>
      <c r="L4056">
        <v>8334345.2054794524</v>
      </c>
      <c r="M4056">
        <v>0</v>
      </c>
    </row>
    <row r="4057" spans="1:13" ht="13.5" customHeight="1">
      <c r="A4057" s="532">
        <v>45498</v>
      </c>
      <c r="B4057" s="615">
        <v>1530000</v>
      </c>
      <c r="C4057" s="615">
        <v>1580594.7945205478</v>
      </c>
      <c r="D4057" s="532">
        <v>45532</v>
      </c>
      <c r="E4057" s="534">
        <v>34</v>
      </c>
      <c r="F4057" s="653">
        <v>0.35499999999999998</v>
      </c>
      <c r="G4057" s="536" t="s">
        <v>256</v>
      </c>
      <c r="H4057" s="835">
        <v>44642.465753424563</v>
      </c>
      <c r="I4057" s="835">
        <v>1081.3599999999999</v>
      </c>
      <c r="J4057">
        <v>1133.51</v>
      </c>
      <c r="K4057">
        <v>1414.8849596804025</v>
      </c>
      <c r="L4057">
        <v>1580594.7945205478</v>
      </c>
      <c r="M4057">
        <v>0</v>
      </c>
    </row>
    <row r="4058" spans="1:13" ht="13.5" customHeight="1">
      <c r="A4058" s="532">
        <v>45497</v>
      </c>
      <c r="B4058" s="615">
        <v>50000</v>
      </c>
      <c r="C4058" s="615">
        <v>51702.054794520547</v>
      </c>
      <c r="D4058" s="532">
        <v>45532</v>
      </c>
      <c r="E4058" s="534">
        <v>35</v>
      </c>
      <c r="F4058" s="653">
        <v>0.35499999999999998</v>
      </c>
      <c r="G4058" s="536" t="s">
        <v>256</v>
      </c>
      <c r="H4058" s="835">
        <v>1458.9041095890404</v>
      </c>
      <c r="I4058" s="835">
        <v>1079.79</v>
      </c>
      <c r="J4058">
        <v>1133.51</v>
      </c>
      <c r="K4058">
        <v>46.30530010464998</v>
      </c>
      <c r="L4058">
        <v>51702.054794520547</v>
      </c>
      <c r="M4058">
        <v>0</v>
      </c>
    </row>
    <row r="4059" spans="1:13" ht="13.5" customHeight="1">
      <c r="A4059" s="532">
        <v>45497</v>
      </c>
      <c r="B4059" s="615">
        <v>800000</v>
      </c>
      <c r="C4059" s="615">
        <v>827232.87671232875</v>
      </c>
      <c r="D4059" s="532">
        <v>45532</v>
      </c>
      <c r="E4059" s="534">
        <v>35</v>
      </c>
      <c r="F4059" s="653">
        <v>0.35499999999999998</v>
      </c>
      <c r="G4059" s="536" t="s">
        <v>256</v>
      </c>
      <c r="H4059" s="835">
        <v>23342.465753424647</v>
      </c>
      <c r="I4059" s="835">
        <v>1079.79</v>
      </c>
      <c r="J4059">
        <v>1133.51</v>
      </c>
      <c r="K4059">
        <v>740.88480167439968</v>
      </c>
      <c r="L4059">
        <v>827232.87671232875</v>
      </c>
      <c r="M4059">
        <v>0</v>
      </c>
    </row>
    <row r="4060" spans="1:13" ht="13.5" customHeight="1">
      <c r="A4060" s="532">
        <v>45352</v>
      </c>
      <c r="B4060" s="615">
        <v>200000</v>
      </c>
      <c r="C4060" s="615">
        <v>334989.97539370868</v>
      </c>
      <c r="D4060" s="532">
        <v>45532</v>
      </c>
      <c r="E4060" s="534">
        <v>180</v>
      </c>
      <c r="F4060" s="653">
        <v>0.67494987696854336</v>
      </c>
      <c r="G4060" s="536" t="s">
        <v>256</v>
      </c>
      <c r="H4060" s="835">
        <v>22498.329232284781</v>
      </c>
      <c r="I4060" s="835">
        <v>680.08</v>
      </c>
      <c r="J4060">
        <v>1133.51</v>
      </c>
      <c r="K4060">
        <v>294.08304905305255</v>
      </c>
      <c r="L4060">
        <v>334989.97539370868</v>
      </c>
      <c r="M4060">
        <v>0</v>
      </c>
    </row>
    <row r="4061" spans="1:13" ht="13.5" customHeight="1">
      <c r="A4061" s="532">
        <v>45498</v>
      </c>
      <c r="B4061" s="615">
        <v>829000</v>
      </c>
      <c r="C4061" s="615">
        <v>852938.79452054796</v>
      </c>
      <c r="D4061" s="532">
        <v>45532</v>
      </c>
      <c r="E4061" s="534">
        <v>34</v>
      </c>
      <c r="F4061" s="653">
        <v>0.31</v>
      </c>
      <c r="G4061" s="536" t="s">
        <v>263</v>
      </c>
      <c r="H4061" s="835">
        <v>21122.465753424673</v>
      </c>
      <c r="I4061" s="835">
        <v>1081.3599999999999</v>
      </c>
      <c r="J4061">
        <v>1133.51</v>
      </c>
      <c r="K4061">
        <v>766.62721017977367</v>
      </c>
      <c r="L4061">
        <v>852938.79452054796</v>
      </c>
      <c r="M4061">
        <v>0</v>
      </c>
    </row>
    <row r="4062" spans="1:13" ht="13.5" customHeight="1">
      <c r="A4062" s="532">
        <v>45496</v>
      </c>
      <c r="B4062" s="615">
        <v>400000</v>
      </c>
      <c r="C4062" s="615">
        <v>412230.1369863014</v>
      </c>
      <c r="D4062" s="532">
        <v>45532</v>
      </c>
      <c r="E4062" s="534">
        <v>36</v>
      </c>
      <c r="F4062" s="653">
        <v>0.31</v>
      </c>
      <c r="G4062" s="536" t="s">
        <v>263</v>
      </c>
      <c r="H4062" s="835">
        <v>10191.780821917831</v>
      </c>
      <c r="I4062" s="835">
        <v>1078.23</v>
      </c>
      <c r="J4062">
        <v>1133.51</v>
      </c>
      <c r="K4062">
        <v>370.97836268699626</v>
      </c>
      <c r="L4062">
        <v>412230.1369863014</v>
      </c>
      <c r="M4062">
        <v>0</v>
      </c>
    </row>
    <row r="4063" spans="1:13" ht="13.5" customHeight="1">
      <c r="A4063" s="532">
        <v>45498</v>
      </c>
      <c r="B4063" s="615">
        <v>525000</v>
      </c>
      <c r="C4063" s="615">
        <v>542605.47945205483</v>
      </c>
      <c r="D4063" s="532">
        <v>45532</v>
      </c>
      <c r="E4063" s="534">
        <v>34</v>
      </c>
      <c r="F4063" s="653">
        <v>0.36</v>
      </c>
      <c r="G4063" s="536" t="s">
        <v>260</v>
      </c>
      <c r="H4063" s="835">
        <v>15534.246575342499</v>
      </c>
      <c r="I4063" s="835">
        <v>1081.3599999999999</v>
      </c>
      <c r="J4063">
        <v>1133.51</v>
      </c>
      <c r="K4063">
        <v>485.4997410668048</v>
      </c>
      <c r="L4063">
        <v>542605.47945205483</v>
      </c>
      <c r="M4063">
        <v>0</v>
      </c>
    </row>
    <row r="4064" spans="1:13" ht="13.5" customHeight="1">
      <c r="A4064" s="532">
        <v>45496</v>
      </c>
      <c r="B4064" s="615">
        <v>260000</v>
      </c>
      <c r="C4064" s="615">
        <v>268462.46575342468</v>
      </c>
      <c r="D4064" s="532">
        <v>45532</v>
      </c>
      <c r="E4064" s="534">
        <v>36</v>
      </c>
      <c r="F4064" s="653">
        <v>0.33</v>
      </c>
      <c r="G4064" s="536" t="s">
        <v>264</v>
      </c>
      <c r="H4064" s="835">
        <v>7052.0547945205662</v>
      </c>
      <c r="I4064" s="835">
        <v>1078.23</v>
      </c>
      <c r="J4064">
        <v>1133.51</v>
      </c>
      <c r="K4064">
        <v>241.13593574654757</v>
      </c>
      <c r="L4064">
        <v>268462.46575342468</v>
      </c>
      <c r="M4064">
        <v>0</v>
      </c>
    </row>
    <row r="4065" spans="1:13" ht="13.5" customHeight="1">
      <c r="A4065" s="532">
        <v>45352</v>
      </c>
      <c r="B4065" s="615">
        <v>280000</v>
      </c>
      <c r="C4065" s="615">
        <v>468985.96555119212</v>
      </c>
      <c r="D4065" s="532">
        <v>45532</v>
      </c>
      <c r="E4065" s="534">
        <v>180</v>
      </c>
      <c r="F4065" s="653">
        <v>0.67494987696854336</v>
      </c>
      <c r="G4065" s="536" t="s">
        <v>264</v>
      </c>
      <c r="H4065" s="835">
        <v>31497.660925198688</v>
      </c>
      <c r="I4065" s="835">
        <v>680.08</v>
      </c>
      <c r="J4065">
        <v>1133.51</v>
      </c>
      <c r="K4065">
        <v>411.71626867427358</v>
      </c>
      <c r="L4065">
        <v>468985.96555119212</v>
      </c>
      <c r="M4065">
        <v>0</v>
      </c>
    </row>
    <row r="4066" spans="1:13" ht="13.5" customHeight="1">
      <c r="A4066" s="532">
        <v>45504</v>
      </c>
      <c r="B4066" s="615">
        <v>143500</v>
      </c>
      <c r="C4066" s="615">
        <f>B4066+(B4066*F4066/365*E4066)*1</f>
        <v>147156.30136986301</v>
      </c>
      <c r="D4066" s="532">
        <f>+A4066+E4066</f>
        <v>45534</v>
      </c>
      <c r="E4066" s="534">
        <v>30</v>
      </c>
      <c r="F4066" s="653">
        <v>0.31</v>
      </c>
      <c r="G4066" s="536" t="s">
        <v>259</v>
      </c>
      <c r="H4066" s="835">
        <f t="shared" ref="A4066:H4066" si="546">(C4066-B4066)/E4066*30</f>
        <v>3656.3013698630093</v>
      </c>
      <c r="I4066" s="835" t="e">
        <f>VLOOKUP(Tabla1[[#This Row],[FECHA]],TablaUVA[#All],2)</f>
        <v>#VALUE!</v>
      </c>
      <c r="J4066" t="e">
        <f>VLOOKUP(Tabla1[[#This Row],[VTO.]],TablaUVA[#All],2)</f>
        <v>#VALUE!</v>
      </c>
      <c r="K4066" t="e">
        <f>+Tabla1[[#This Row],[DEPOSITADO]]/I4066</f>
        <v>#VALUE!</v>
      </c>
      <c r="L4066" t="e">
        <f>IF(Tabla1[[#This Row],[DIAS]]&gt;89,+K4066*J4066*(1+1%/365*Tabla1[[#This Row],[DIAS]]),Tabla1[[#This Row],[ACOBRAR]])</f>
        <v>#VALUE!</v>
      </c>
      <c r="M4066" t="e">
        <f>+L4066-Tabla1[[#This Row],[ACOBRAR]]</f>
        <v>#VALUE!</v>
      </c>
    </row>
    <row r="4067" spans="1:13" ht="13.5" customHeight="1">
      <c r="A4067" s="532">
        <v>45355</v>
      </c>
      <c r="B4067" s="615">
        <v>230000</v>
      </c>
      <c r="C4067" s="615">
        <v>384238.41176903812</v>
      </c>
      <c r="D4067" s="532">
        <v>45537</v>
      </c>
      <c r="E4067" s="534">
        <v>182</v>
      </c>
      <c r="F4067" s="653">
        <v>0.67060179030016576</v>
      </c>
      <c r="G4067" s="536" t="s">
        <v>256</v>
      </c>
      <c r="H4067" s="835">
        <v>25423.914027863426</v>
      </c>
      <c r="I4067" s="835">
        <v>684.48</v>
      </c>
      <c r="J4067">
        <v>1137.82</v>
      </c>
      <c r="K4067">
        <v>336.02150537634407</v>
      </c>
      <c r="L4067">
        <v>384238.41176903812</v>
      </c>
      <c r="M4067">
        <v>0</v>
      </c>
    </row>
    <row r="4068" spans="1:13" ht="13.5" customHeight="1">
      <c r="A4068" s="532">
        <v>45355</v>
      </c>
      <c r="B4068" s="615">
        <v>113600</v>
      </c>
      <c r="C4068" s="615">
        <v>189780.36337809882</v>
      </c>
      <c r="D4068" s="532">
        <v>45537</v>
      </c>
      <c r="E4068" s="534">
        <v>182</v>
      </c>
      <c r="F4068" s="653">
        <v>0.67060179030016576</v>
      </c>
      <c r="G4068" s="536" t="s">
        <v>265</v>
      </c>
      <c r="H4068" s="835">
        <v>12557.202754631673</v>
      </c>
      <c r="I4068" s="835">
        <v>684.48</v>
      </c>
      <c r="J4068">
        <v>1137.82</v>
      </c>
      <c r="K4068">
        <v>165.96540439457689</v>
      </c>
      <c r="L4068">
        <v>189780.36337809882</v>
      </c>
      <c r="M4068">
        <v>0</v>
      </c>
    </row>
    <row r="4069" spans="1:13" ht="13.5" customHeight="1">
      <c r="A4069" s="532">
        <v>45355</v>
      </c>
      <c r="B4069" s="615">
        <v>121900</v>
      </c>
      <c r="C4069" s="615">
        <v>203646.3582375902</v>
      </c>
      <c r="D4069" s="532">
        <v>45537</v>
      </c>
      <c r="E4069" s="534">
        <v>182</v>
      </c>
      <c r="F4069" s="653">
        <v>0.67060179030016576</v>
      </c>
      <c r="G4069" s="536" t="s">
        <v>257</v>
      </c>
      <c r="H4069" s="835">
        <v>13474.674434767616</v>
      </c>
      <c r="I4069" s="835">
        <v>684.48</v>
      </c>
      <c r="J4069">
        <v>1137.82</v>
      </c>
      <c r="K4069">
        <v>178.09139784946237</v>
      </c>
      <c r="L4069">
        <v>203646.3582375902</v>
      </c>
      <c r="M4069">
        <v>0</v>
      </c>
    </row>
    <row r="4070" spans="1:13" ht="13.5" customHeight="1">
      <c r="A4070" s="532">
        <v>45355</v>
      </c>
      <c r="B4070" s="615">
        <v>162800</v>
      </c>
      <c r="C4070" s="615">
        <v>271973.97146086697</v>
      </c>
      <c r="D4070" s="532">
        <v>45537</v>
      </c>
      <c r="E4070" s="534">
        <v>182</v>
      </c>
      <c r="F4070" s="653">
        <v>0.67060179030016576</v>
      </c>
      <c r="G4070" s="536" t="s">
        <v>261</v>
      </c>
      <c r="H4070" s="835">
        <v>17995.70958146159</v>
      </c>
      <c r="I4070" s="835">
        <v>684.48</v>
      </c>
      <c r="J4070">
        <v>1137.82</v>
      </c>
      <c r="K4070">
        <v>237.84478728377746</v>
      </c>
      <c r="L4070">
        <v>271973.97146086697</v>
      </c>
      <c r="M4070">
        <v>0</v>
      </c>
    </row>
    <row r="4071" spans="1:13" ht="13.5" customHeight="1">
      <c r="A4071" s="532">
        <v>45355</v>
      </c>
      <c r="B4071" s="615">
        <v>229500</v>
      </c>
      <c r="C4071" s="615">
        <v>383403.11087388801</v>
      </c>
      <c r="D4071" s="532">
        <v>45537</v>
      </c>
      <c r="E4071" s="534">
        <v>182</v>
      </c>
      <c r="F4071" s="653">
        <v>0.67060179030016576</v>
      </c>
      <c r="G4071" s="536" t="s">
        <v>264</v>
      </c>
      <c r="H4071" s="835">
        <v>25368.64464954198</v>
      </c>
      <c r="I4071" s="835">
        <v>684.48</v>
      </c>
      <c r="J4071">
        <v>1137.82</v>
      </c>
      <c r="K4071">
        <v>335.29102384291724</v>
      </c>
      <c r="L4071">
        <v>383403.11087388801</v>
      </c>
      <c r="M4071">
        <v>0</v>
      </c>
    </row>
    <row r="4072" spans="1:13" ht="13.5" customHeight="1">
      <c r="A4072" s="532">
        <v>45355</v>
      </c>
      <c r="B4072" s="615">
        <v>61000</v>
      </c>
      <c r="C4072" s="615">
        <v>101906.70920831012</v>
      </c>
      <c r="D4072" s="532">
        <v>45537</v>
      </c>
      <c r="E4072" s="534">
        <v>182</v>
      </c>
      <c r="F4072" s="653">
        <v>0.67060179030016576</v>
      </c>
      <c r="G4072" s="536" t="s">
        <v>264</v>
      </c>
      <c r="H4072" s="835">
        <v>6742.8641552159534</v>
      </c>
      <c r="I4072" s="835">
        <v>684.48</v>
      </c>
      <c r="J4072">
        <v>1137.82</v>
      </c>
      <c r="K4072">
        <v>89.118747078073866</v>
      </c>
      <c r="L4072">
        <v>101906.7092083101</v>
      </c>
      <c r="M4072">
        <v>0</v>
      </c>
    </row>
    <row r="4073" spans="1:13" ht="13.5" customHeight="1">
      <c r="A4073" s="532">
        <v>45356</v>
      </c>
      <c r="B4073" s="615">
        <v>190000</v>
      </c>
      <c r="C4073" s="615">
        <v>311311.17764093372</v>
      </c>
      <c r="D4073" s="532">
        <v>45537</v>
      </c>
      <c r="E4073" s="534">
        <v>181</v>
      </c>
      <c r="F4073" s="653">
        <v>0.63847988232070363</v>
      </c>
      <c r="G4073" s="536" t="s">
        <v>256</v>
      </c>
      <c r="H4073" s="835">
        <v>20106.825023359179</v>
      </c>
      <c r="I4073" s="835">
        <v>697.88</v>
      </c>
      <c r="J4073">
        <v>1137.82</v>
      </c>
      <c r="K4073">
        <v>272.25310941709176</v>
      </c>
      <c r="L4073">
        <v>311311.1776409336</v>
      </c>
      <c r="M4073">
        <v>0</v>
      </c>
    </row>
    <row r="4074" spans="1:13" ht="13.5" customHeight="1">
      <c r="A4074" s="532">
        <v>45356</v>
      </c>
      <c r="B4074" s="615">
        <v>460000</v>
      </c>
      <c r="C4074" s="615">
        <v>753700.74586752371</v>
      </c>
      <c r="D4074" s="532">
        <v>45537</v>
      </c>
      <c r="E4074" s="534">
        <v>181</v>
      </c>
      <c r="F4074" s="653">
        <v>0.63847988232070363</v>
      </c>
      <c r="G4074" s="536" t="s">
        <v>262</v>
      </c>
      <c r="H4074" s="835">
        <v>48679.681635501169</v>
      </c>
      <c r="I4074" s="835">
        <v>697.88</v>
      </c>
      <c r="J4074">
        <v>1137.82</v>
      </c>
      <c r="K4074">
        <v>659.13910700980114</v>
      </c>
      <c r="L4074">
        <v>753700.7458675236</v>
      </c>
      <c r="M4074">
        <v>0</v>
      </c>
    </row>
    <row r="4075" spans="1:13" ht="13.5" customHeight="1">
      <c r="A4075" s="532">
        <v>45356</v>
      </c>
      <c r="B4075" s="615">
        <v>85000</v>
      </c>
      <c r="C4075" s="615">
        <v>139270.7899972598</v>
      </c>
      <c r="D4075" s="532">
        <v>45537</v>
      </c>
      <c r="E4075" s="534">
        <v>181</v>
      </c>
      <c r="F4075" s="653">
        <v>0.63847988232070363</v>
      </c>
      <c r="G4075" s="536" t="s">
        <v>264</v>
      </c>
      <c r="H4075" s="835">
        <v>8995.1585630817335</v>
      </c>
      <c r="I4075" s="835">
        <v>697.88</v>
      </c>
      <c r="J4075">
        <v>1137.82</v>
      </c>
      <c r="K4075">
        <v>121.79744368659368</v>
      </c>
      <c r="L4075">
        <v>139270.7899972598</v>
      </c>
      <c r="M4075">
        <v>0</v>
      </c>
    </row>
    <row r="4076" spans="1:13" ht="13.5" customHeight="1">
      <c r="A4076" s="532">
        <v>45356</v>
      </c>
      <c r="B4076" s="615">
        <v>85000</v>
      </c>
      <c r="C4076" s="615">
        <v>139270.7899972598</v>
      </c>
      <c r="D4076" s="532">
        <v>45537</v>
      </c>
      <c r="E4076" s="534">
        <v>181</v>
      </c>
      <c r="F4076" s="653">
        <v>0.63847988232070363</v>
      </c>
      <c r="G4076" s="536" t="s">
        <v>261</v>
      </c>
      <c r="H4076" s="835">
        <v>8995.1585630817335</v>
      </c>
      <c r="I4076" s="835">
        <v>697.88</v>
      </c>
      <c r="J4076">
        <v>1137.82</v>
      </c>
      <c r="K4076">
        <v>121.79744368659368</v>
      </c>
      <c r="L4076">
        <v>139270.7899972598</v>
      </c>
      <c r="M4076">
        <v>0</v>
      </c>
    </row>
    <row r="4077" spans="1:13" ht="13.5" customHeight="1">
      <c r="A4077" s="532">
        <v>45356</v>
      </c>
      <c r="B4077" s="615">
        <v>260000</v>
      </c>
      <c r="C4077" s="615">
        <v>426004.76940338296</v>
      </c>
      <c r="D4077" s="532">
        <v>45537</v>
      </c>
      <c r="E4077" s="534">
        <v>181</v>
      </c>
      <c r="F4077" s="653">
        <v>0.63847988232070363</v>
      </c>
      <c r="G4077" s="536" t="s">
        <v>257</v>
      </c>
      <c r="H4077" s="835">
        <v>27514.602663544138</v>
      </c>
      <c r="I4077" s="835">
        <v>697.88</v>
      </c>
      <c r="J4077">
        <v>1137.82</v>
      </c>
      <c r="K4077">
        <v>372.55688657075717</v>
      </c>
      <c r="L4077">
        <v>426004.7694033829</v>
      </c>
      <c r="M4077">
        <v>0</v>
      </c>
    </row>
    <row r="4078" spans="1:13" ht="13.5" customHeight="1">
      <c r="A4078" s="532">
        <v>45357</v>
      </c>
      <c r="B4078" s="615">
        <v>310000</v>
      </c>
      <c r="C4078" s="615">
        <v>504646.44334883132</v>
      </c>
      <c r="D4078" s="532">
        <v>45537</v>
      </c>
      <c r="E4078" s="534">
        <v>180</v>
      </c>
      <c r="F4078" s="653">
        <v>0.62789175273816555</v>
      </c>
      <c r="G4078" s="536" t="s">
        <v>262</v>
      </c>
      <c r="H4078" s="835">
        <v>32441.073891471886</v>
      </c>
      <c r="I4078" s="835">
        <v>702.4</v>
      </c>
      <c r="J4078">
        <v>1137.82</v>
      </c>
      <c r="K4078">
        <v>441.34396355353078</v>
      </c>
      <c r="L4078">
        <v>504646.44334883132</v>
      </c>
      <c r="M4078">
        <v>0</v>
      </c>
    </row>
    <row r="4079" spans="1:13" ht="13.5" customHeight="1">
      <c r="A4079" s="532">
        <v>45357</v>
      </c>
      <c r="B4079" s="615">
        <v>210000</v>
      </c>
      <c r="C4079" s="615">
        <v>341857.26807501476</v>
      </c>
      <c r="D4079" s="532">
        <v>45537</v>
      </c>
      <c r="E4079" s="534">
        <v>180</v>
      </c>
      <c r="F4079" s="653">
        <v>0.62789175273816555</v>
      </c>
      <c r="G4079" s="536" t="s">
        <v>264</v>
      </c>
      <c r="H4079" s="835">
        <v>21976.211345835793</v>
      </c>
      <c r="I4079" s="835">
        <v>702.4</v>
      </c>
      <c r="J4079">
        <v>1137.82</v>
      </c>
      <c r="K4079">
        <v>298.97494305239184</v>
      </c>
      <c r="L4079">
        <v>341857.26807501481</v>
      </c>
      <c r="M4079">
        <v>0</v>
      </c>
    </row>
    <row r="4080" spans="1:13" ht="13.5" customHeight="1">
      <c r="A4080" s="532">
        <v>45358</v>
      </c>
      <c r="B4080" s="615">
        <v>390000</v>
      </c>
      <c r="C4080" s="615">
        <v>633192.13949175843</v>
      </c>
      <c r="D4080" s="532">
        <v>45538</v>
      </c>
      <c r="E4080" s="534">
        <v>180</v>
      </c>
      <c r="F4080" s="653">
        <v>0.62356958844040622</v>
      </c>
      <c r="G4080" s="536" t="s">
        <v>262</v>
      </c>
      <c r="H4080" s="835">
        <v>40532.023248626407</v>
      </c>
      <c r="I4080" s="835">
        <v>706.95</v>
      </c>
      <c r="J4080">
        <v>1142.1500000000001</v>
      </c>
      <c r="K4080">
        <v>551.66560577127086</v>
      </c>
      <c r="L4080">
        <v>633192.13949175843</v>
      </c>
      <c r="M4080">
        <v>0</v>
      </c>
    </row>
    <row r="4081" spans="1:13" ht="13.5" customHeight="1">
      <c r="A4081" s="532">
        <v>45358</v>
      </c>
      <c r="B4081" s="615">
        <v>200000</v>
      </c>
      <c r="C4081" s="615">
        <v>261502.75392836882</v>
      </c>
      <c r="D4081" s="532">
        <v>45538</v>
      </c>
      <c r="E4081" s="534">
        <v>180</v>
      </c>
      <c r="F4081" s="653">
        <v>0.62356958844040622</v>
      </c>
      <c r="G4081" s="536" t="s">
        <v>261</v>
      </c>
      <c r="H4081" s="835">
        <v>10250.458988061471</v>
      </c>
      <c r="I4081" s="835">
        <v>706.95</v>
      </c>
      <c r="J4081">
        <v>1142.1500000000001</v>
      </c>
      <c r="K4081">
        <v>282.90543885706199</v>
      </c>
      <c r="L4081">
        <v>324713.91768808122</v>
      </c>
      <c r="M4081">
        <v>63211.163759712392</v>
      </c>
    </row>
    <row r="4082" spans="1:13" ht="13.5" customHeight="1">
      <c r="A4082" s="532">
        <v>45358</v>
      </c>
      <c r="B4082" s="615">
        <v>200000</v>
      </c>
      <c r="C4082" s="615">
        <v>324713.91768808122</v>
      </c>
      <c r="D4082" s="532">
        <v>45538</v>
      </c>
      <c r="E4082" s="534">
        <v>180</v>
      </c>
      <c r="F4082" s="653">
        <v>0.62356958844040622</v>
      </c>
      <c r="G4082" s="536" t="s">
        <v>264</v>
      </c>
      <c r="H4082" s="835">
        <v>20785.652948013536</v>
      </c>
      <c r="I4082" s="835">
        <v>706.95</v>
      </c>
      <c r="J4082">
        <v>1142.1500000000001</v>
      </c>
      <c r="K4082">
        <v>282.90543885706199</v>
      </c>
      <c r="L4082">
        <v>324713.91768808122</v>
      </c>
      <c r="M4082">
        <v>0</v>
      </c>
    </row>
    <row r="4083" spans="1:13" ht="13.5" customHeight="1">
      <c r="A4083" s="532">
        <v>45509</v>
      </c>
      <c r="B4083" s="615">
        <v>20200</v>
      </c>
      <c r="C4083" s="615">
        <v>20764.493150684932</v>
      </c>
      <c r="D4083" s="532">
        <v>45539</v>
      </c>
      <c r="E4083" s="534">
        <v>30</v>
      </c>
      <c r="F4083" s="653">
        <v>0.34</v>
      </c>
      <c r="G4083" s="536" t="s">
        <v>259</v>
      </c>
      <c r="H4083" s="835">
        <v>564.49315068493161</v>
      </c>
      <c r="I4083" s="835">
        <v>1095.57</v>
      </c>
      <c r="J4083">
        <v>1143.5899999999999</v>
      </c>
      <c r="K4083">
        <v>18.437890778316312</v>
      </c>
      <c r="L4083">
        <v>20764.493150684932</v>
      </c>
      <c r="M4083">
        <v>0</v>
      </c>
    </row>
    <row r="4084" spans="1:13" ht="13.5" customHeight="1">
      <c r="A4084" s="532">
        <v>45359</v>
      </c>
      <c r="B4084" s="615">
        <v>100000</v>
      </c>
      <c r="C4084" s="615">
        <v>161515.27299169509</v>
      </c>
      <c r="D4084" s="532">
        <v>45539</v>
      </c>
      <c r="E4084" s="534">
        <v>180</v>
      </c>
      <c r="F4084" s="653">
        <v>0.61515272991695102</v>
      </c>
      <c r="G4084" s="536" t="s">
        <v>264</v>
      </c>
      <c r="H4084" s="835">
        <v>10252.545498615847</v>
      </c>
      <c r="I4084" s="835">
        <v>711.53</v>
      </c>
      <c r="J4084">
        <v>1143.5899999999999</v>
      </c>
      <c r="K4084">
        <v>140.54221185333014</v>
      </c>
      <c r="L4084">
        <v>161515.27299169506</v>
      </c>
      <c r="M4084">
        <v>0</v>
      </c>
    </row>
    <row r="4085" spans="1:13" ht="13.5" customHeight="1">
      <c r="A4085" s="532">
        <v>45513</v>
      </c>
      <c r="B4085" s="615">
        <v>85000</v>
      </c>
      <c r="C4085" s="615">
        <v>87454.520547945212</v>
      </c>
      <c r="D4085" s="532">
        <v>45544</v>
      </c>
      <c r="E4085" s="534">
        <v>31</v>
      </c>
      <c r="F4085" s="653">
        <v>0.34</v>
      </c>
      <c r="G4085" s="536" t="s">
        <v>259</v>
      </c>
      <c r="H4085" s="835">
        <v>2375.3424657534315</v>
      </c>
      <c r="I4085" s="835">
        <v>1105.1500000000001</v>
      </c>
      <c r="J4085">
        <v>1147.94</v>
      </c>
      <c r="K4085">
        <v>76.912636293715778</v>
      </c>
      <c r="L4085">
        <v>87454.520547945212</v>
      </c>
      <c r="M4085">
        <v>0</v>
      </c>
    </row>
    <row r="4086" spans="1:13" ht="13.5" customHeight="1">
      <c r="A4086" s="532">
        <v>45362</v>
      </c>
      <c r="B4086" s="615">
        <v>400000</v>
      </c>
      <c r="C4086" s="615">
        <v>644379.01795432216</v>
      </c>
      <c r="D4086" s="532">
        <v>45544</v>
      </c>
      <c r="E4086" s="534">
        <v>182</v>
      </c>
      <c r="F4086" s="653">
        <v>0.61094754488580527</v>
      </c>
      <c r="G4086" s="536" t="s">
        <v>265</v>
      </c>
      <c r="H4086" s="835">
        <v>40282.255706756398</v>
      </c>
      <c r="I4086" s="835">
        <v>716.14</v>
      </c>
      <c r="J4086">
        <v>1147.94</v>
      </c>
      <c r="K4086">
        <v>558.55000418912505</v>
      </c>
      <c r="L4086">
        <v>644379.01795432204</v>
      </c>
      <c r="M4086">
        <v>0</v>
      </c>
    </row>
    <row r="4087" spans="1:13" ht="13.5" customHeight="1">
      <c r="A4087" s="532">
        <v>45363</v>
      </c>
      <c r="B4087" s="615">
        <v>340000</v>
      </c>
      <c r="C4087" s="615">
        <v>537197.91589455714</v>
      </c>
      <c r="D4087" s="532">
        <v>45544</v>
      </c>
      <c r="E4087" s="534">
        <v>181</v>
      </c>
      <c r="F4087" s="653">
        <v>0.57999387027810934</v>
      </c>
      <c r="G4087" s="536" t="s">
        <v>260</v>
      </c>
      <c r="H4087" s="835">
        <v>32684.737441086818</v>
      </c>
      <c r="I4087" s="835">
        <v>730.15</v>
      </c>
      <c r="J4087">
        <v>1147.94</v>
      </c>
      <c r="K4087">
        <v>465.65774155995342</v>
      </c>
      <c r="L4087">
        <v>537197.91589455726</v>
      </c>
      <c r="M4087">
        <v>0</v>
      </c>
    </row>
    <row r="4088" spans="1:13" ht="13.5" customHeight="1">
      <c r="A4088" s="532">
        <v>45362</v>
      </c>
      <c r="B4088" s="615">
        <v>490000</v>
      </c>
      <c r="C4088" s="615">
        <v>789364.29699404456</v>
      </c>
      <c r="D4088" s="532">
        <v>45544</v>
      </c>
      <c r="E4088" s="534">
        <v>182</v>
      </c>
      <c r="F4088" s="653">
        <v>0.61094754488580527</v>
      </c>
      <c r="G4088" s="536" t="s">
        <v>260</v>
      </c>
      <c r="H4088" s="835">
        <v>49345.763240776578</v>
      </c>
      <c r="I4088" s="835">
        <v>716.14</v>
      </c>
      <c r="J4088">
        <v>1147.94</v>
      </c>
      <c r="K4088">
        <v>684.22375513167822</v>
      </c>
      <c r="L4088">
        <v>789364.29699404468</v>
      </c>
      <c r="M4088">
        <v>0</v>
      </c>
    </row>
    <row r="4089" spans="1:13" ht="13.5" customHeight="1">
      <c r="A4089" s="532">
        <v>45364</v>
      </c>
      <c r="B4089" s="615">
        <v>660000</v>
      </c>
      <c r="C4089" s="615">
        <v>1036055.8306416257</v>
      </c>
      <c r="D4089" s="532">
        <v>45544</v>
      </c>
      <c r="E4089" s="534">
        <v>180</v>
      </c>
      <c r="F4089" s="653">
        <v>0.56978156157822069</v>
      </c>
      <c r="G4089" s="536" t="s">
        <v>260</v>
      </c>
      <c r="H4089" s="835">
        <v>62675.971773604273</v>
      </c>
      <c r="I4089" s="835">
        <v>734.88</v>
      </c>
      <c r="J4089">
        <v>1147.94</v>
      </c>
      <c r="K4089">
        <v>898.10581319399091</v>
      </c>
      <c r="L4089">
        <v>1036055.8306416256</v>
      </c>
      <c r="M4089">
        <v>0</v>
      </c>
    </row>
    <row r="4090" spans="1:13" ht="13.5" customHeight="1">
      <c r="A4090" s="532">
        <v>45362</v>
      </c>
      <c r="B4090" s="615">
        <v>350000</v>
      </c>
      <c r="C4090" s="615">
        <v>563831.64071003185</v>
      </c>
      <c r="D4090" s="532">
        <v>45544</v>
      </c>
      <c r="E4090" s="534">
        <v>182</v>
      </c>
      <c r="F4090" s="653">
        <v>0.61094754488580527</v>
      </c>
      <c r="G4090" s="536" t="s">
        <v>264</v>
      </c>
      <c r="H4090" s="835">
        <v>35246.973743411843</v>
      </c>
      <c r="I4090" s="835">
        <v>716.14</v>
      </c>
      <c r="J4090">
        <v>1147.94</v>
      </c>
      <c r="K4090">
        <v>488.73125366548442</v>
      </c>
      <c r="L4090">
        <v>563831.64071003185</v>
      </c>
      <c r="M4090">
        <v>0</v>
      </c>
    </row>
    <row r="4091" spans="1:13" ht="13.5" customHeight="1">
      <c r="A4091" s="532">
        <v>45362</v>
      </c>
      <c r="B4091" s="615">
        <v>100000</v>
      </c>
      <c r="C4091" s="615">
        <v>161094.75448858054</v>
      </c>
      <c r="D4091" s="532">
        <v>45544</v>
      </c>
      <c r="E4091" s="534">
        <v>182</v>
      </c>
      <c r="F4091" s="653">
        <v>0.61094754488580527</v>
      </c>
      <c r="G4091" s="536" t="s">
        <v>264</v>
      </c>
      <c r="H4091" s="835">
        <v>10070.563926689099</v>
      </c>
      <c r="I4091" s="835">
        <v>716.14</v>
      </c>
      <c r="J4091">
        <v>1147.94</v>
      </c>
      <c r="K4091">
        <v>139.63750104728126</v>
      </c>
      <c r="L4091">
        <v>161094.75448858051</v>
      </c>
      <c r="M4091">
        <v>0</v>
      </c>
    </row>
    <row r="4092" spans="1:13" ht="13.5" customHeight="1">
      <c r="A4092" s="532">
        <v>45364</v>
      </c>
      <c r="B4092" s="615">
        <v>940000</v>
      </c>
      <c r="C4092" s="615">
        <v>1475594.6678835275</v>
      </c>
      <c r="D4092" s="532">
        <v>45544</v>
      </c>
      <c r="E4092" s="534">
        <v>180</v>
      </c>
      <c r="F4092" s="653">
        <v>0.56978156157822069</v>
      </c>
      <c r="G4092" s="536" t="s">
        <v>264</v>
      </c>
      <c r="H4092" s="835">
        <v>89265.777980587911</v>
      </c>
      <c r="I4092" s="835">
        <v>734.88</v>
      </c>
      <c r="J4092">
        <v>1147.94</v>
      </c>
      <c r="K4092">
        <v>1279.1204006096234</v>
      </c>
      <c r="L4092">
        <v>1475594.6678835275</v>
      </c>
      <c r="M4092">
        <v>0</v>
      </c>
    </row>
    <row r="4093" spans="1:13" ht="13.5" customHeight="1">
      <c r="A4093" s="532">
        <v>45364</v>
      </c>
      <c r="B4093" s="615">
        <v>500000</v>
      </c>
      <c r="C4093" s="615">
        <v>784890.78078911034</v>
      </c>
      <c r="D4093" s="532">
        <v>45544</v>
      </c>
      <c r="E4093" s="534">
        <v>180</v>
      </c>
      <c r="F4093" s="653">
        <v>0.56978156157822069</v>
      </c>
      <c r="G4093" s="536" t="s">
        <v>264</v>
      </c>
      <c r="H4093" s="835">
        <v>47481.796798185052</v>
      </c>
      <c r="I4093" s="835">
        <v>734.88</v>
      </c>
      <c r="J4093">
        <v>1147.94</v>
      </c>
      <c r="K4093">
        <v>680.38319181362942</v>
      </c>
      <c r="L4093">
        <v>784890.78078911023</v>
      </c>
      <c r="M4093">
        <v>0</v>
      </c>
    </row>
    <row r="4094" spans="1:13" ht="13.5" customHeight="1">
      <c r="A4094" s="532">
        <v>45363</v>
      </c>
      <c r="B4094" s="615">
        <v>1200000</v>
      </c>
      <c r="C4094" s="615">
        <v>1895992.6443337312</v>
      </c>
      <c r="D4094" s="532">
        <v>45544</v>
      </c>
      <c r="E4094" s="534">
        <v>181</v>
      </c>
      <c r="F4094" s="653">
        <v>0.57999387027810934</v>
      </c>
      <c r="G4094" s="536" t="s">
        <v>262</v>
      </c>
      <c r="H4094" s="835">
        <v>115357.89685089467</v>
      </c>
      <c r="I4094" s="835">
        <v>730.15</v>
      </c>
      <c r="J4094">
        <v>1147.94</v>
      </c>
      <c r="K4094">
        <v>1643.4979113880711</v>
      </c>
      <c r="L4094">
        <v>1895992.6443337316</v>
      </c>
      <c r="M4094">
        <v>0</v>
      </c>
    </row>
    <row r="4095" spans="1:13" ht="13.5" customHeight="1">
      <c r="A4095" s="532">
        <v>45363</v>
      </c>
      <c r="B4095" s="615">
        <v>100000</v>
      </c>
      <c r="C4095" s="615">
        <v>157999.38702781094</v>
      </c>
      <c r="D4095" s="532">
        <v>45544</v>
      </c>
      <c r="E4095" s="534">
        <v>181</v>
      </c>
      <c r="F4095" s="653">
        <v>0.57999387027810934</v>
      </c>
      <c r="G4095" s="536" t="s">
        <v>256</v>
      </c>
      <c r="H4095" s="835">
        <v>9613.1580709078917</v>
      </c>
      <c r="I4095" s="835">
        <v>730.15</v>
      </c>
      <c r="J4095">
        <v>1147.94</v>
      </c>
      <c r="K4095">
        <v>136.95815928233924</v>
      </c>
      <c r="L4095">
        <v>157999.38702781094</v>
      </c>
      <c r="M4095">
        <v>0</v>
      </c>
    </row>
    <row r="4096" spans="1:13" ht="13.5" customHeight="1">
      <c r="A4096" s="532">
        <v>45364</v>
      </c>
      <c r="B4096" s="615">
        <v>510000</v>
      </c>
      <c r="C4096" s="615">
        <v>800588.59640489251</v>
      </c>
      <c r="D4096" s="532">
        <v>45544</v>
      </c>
      <c r="E4096" s="534">
        <v>180</v>
      </c>
      <c r="F4096" s="653">
        <v>0.56978156157822069</v>
      </c>
      <c r="G4096" s="536" t="s">
        <v>261</v>
      </c>
      <c r="H4096" s="835">
        <v>48431.432734148751</v>
      </c>
      <c r="I4096" s="835">
        <v>734.88</v>
      </c>
      <c r="J4096">
        <v>1147.94</v>
      </c>
      <c r="K4096">
        <v>693.99085564990207</v>
      </c>
      <c r="L4096">
        <v>800588.59640489251</v>
      </c>
      <c r="M4096">
        <v>0</v>
      </c>
    </row>
    <row r="4097" spans="1:13" ht="13.5" customHeight="1">
      <c r="A4097" s="532">
        <v>45364</v>
      </c>
      <c r="B4097" s="615">
        <v>100000</v>
      </c>
      <c r="C4097" s="615">
        <v>156978.15615782206</v>
      </c>
      <c r="D4097" s="532">
        <v>45544</v>
      </c>
      <c r="E4097" s="534">
        <v>180</v>
      </c>
      <c r="F4097" s="653">
        <v>0.56978156157822069</v>
      </c>
      <c r="G4097" s="536" t="s">
        <v>266</v>
      </c>
      <c r="H4097" s="835">
        <v>9496.3593596370101</v>
      </c>
      <c r="I4097" s="835">
        <v>734.88</v>
      </c>
      <c r="J4097">
        <v>1147.94</v>
      </c>
      <c r="K4097">
        <v>136.0766383627259</v>
      </c>
      <c r="L4097">
        <v>156978.15615782206</v>
      </c>
      <c r="M4097">
        <v>0</v>
      </c>
    </row>
    <row r="4098" spans="1:13" ht="13.5" customHeight="1">
      <c r="A4098" s="532">
        <v>45365</v>
      </c>
      <c r="B4098" s="615">
        <v>1000000</v>
      </c>
      <c r="C4098" s="615">
        <v>1565595.3824883853</v>
      </c>
      <c r="D4098" s="532">
        <v>45545</v>
      </c>
      <c r="E4098" s="534">
        <v>180</v>
      </c>
      <c r="F4098" s="653">
        <v>0.56559538248838526</v>
      </c>
      <c r="G4098" s="536" t="s">
        <v>260</v>
      </c>
      <c r="H4098" s="835">
        <v>94265.897081397547</v>
      </c>
      <c r="I4098" s="835">
        <v>739.65</v>
      </c>
      <c r="J4098">
        <v>1152.31</v>
      </c>
      <c r="K4098">
        <v>1351.990806462516</v>
      </c>
      <c r="L4098">
        <v>1565595.3824883851</v>
      </c>
      <c r="M4098">
        <v>0</v>
      </c>
    </row>
    <row r="4099" spans="1:13" ht="13.5" customHeight="1">
      <c r="A4099" s="532">
        <v>45365</v>
      </c>
      <c r="B4099" s="615">
        <v>300000</v>
      </c>
      <c r="C4099" s="615">
        <v>469678.61474651558</v>
      </c>
      <c r="D4099" s="532">
        <v>45545</v>
      </c>
      <c r="E4099" s="534">
        <v>180</v>
      </c>
      <c r="F4099" s="653">
        <v>0.56559538248838526</v>
      </c>
      <c r="G4099" s="536" t="s">
        <v>260</v>
      </c>
      <c r="H4099" s="835">
        <v>28279.769124419261</v>
      </c>
      <c r="I4099" s="835">
        <v>739.65</v>
      </c>
      <c r="J4099">
        <v>1152.31</v>
      </c>
      <c r="K4099">
        <v>405.59724193875485</v>
      </c>
      <c r="L4099">
        <v>469678.61474651558</v>
      </c>
      <c r="M4099">
        <v>0</v>
      </c>
    </row>
    <row r="4100" spans="1:13" ht="13.5" customHeight="1">
      <c r="A4100" s="532">
        <v>45365</v>
      </c>
      <c r="B4100" s="615">
        <v>350000</v>
      </c>
      <c r="C4100" s="615">
        <v>547958.38387093483</v>
      </c>
      <c r="D4100" s="532">
        <v>45545</v>
      </c>
      <c r="E4100" s="534">
        <v>180</v>
      </c>
      <c r="F4100" s="653">
        <v>0.56559538248838526</v>
      </c>
      <c r="G4100" s="536" t="s">
        <v>261</v>
      </c>
      <c r="H4100" s="835">
        <v>32993.063978489139</v>
      </c>
      <c r="I4100" s="835">
        <v>739.65</v>
      </c>
      <c r="J4100">
        <v>1152.31</v>
      </c>
      <c r="K4100">
        <v>473.19678226188063</v>
      </c>
      <c r="L4100">
        <v>547958.38387093483</v>
      </c>
      <c r="M4100">
        <v>0</v>
      </c>
    </row>
    <row r="4101" spans="1:13" ht="13.5" customHeight="1">
      <c r="A4101" s="532">
        <v>45365</v>
      </c>
      <c r="B4101" s="615">
        <v>760000</v>
      </c>
      <c r="C4101" s="615">
        <v>1189852.4906911729</v>
      </c>
      <c r="D4101" s="532">
        <v>45545</v>
      </c>
      <c r="E4101" s="534">
        <v>180</v>
      </c>
      <c r="F4101" s="653">
        <v>0.56559538248838526</v>
      </c>
      <c r="G4101" s="536" t="s">
        <v>266</v>
      </c>
      <c r="H4101" s="835">
        <v>71642.081781862158</v>
      </c>
      <c r="I4101" s="835">
        <v>739.65</v>
      </c>
      <c r="J4101">
        <v>1152.31</v>
      </c>
      <c r="K4101">
        <v>1034.1824515567168</v>
      </c>
      <c r="L4101">
        <v>1199158.3852437749</v>
      </c>
      <c r="M4101">
        <v>0</v>
      </c>
    </row>
    <row r="4102" spans="1:13" ht="13.5" customHeight="1">
      <c r="A4102" s="532">
        <v>45366</v>
      </c>
      <c r="B4102" s="615">
        <v>66000</v>
      </c>
      <c r="C4102" s="615">
        <v>102794.51457121763</v>
      </c>
      <c r="D4102" s="532">
        <v>45546</v>
      </c>
      <c r="E4102" s="534">
        <v>180</v>
      </c>
      <c r="F4102" s="653">
        <v>0.55749264501844897</v>
      </c>
      <c r="G4102" s="536" t="s">
        <v>261</v>
      </c>
      <c r="H4102" s="835">
        <v>6132.4190952029385</v>
      </c>
      <c r="I4102" s="835">
        <v>744.44</v>
      </c>
      <c r="J4102">
        <v>1153.77</v>
      </c>
      <c r="K4102">
        <v>88.657245714899787</v>
      </c>
      <c r="L4102">
        <v>102794.51457121763</v>
      </c>
      <c r="M4102">
        <v>0</v>
      </c>
    </row>
    <row r="4103" spans="1:13" ht="13.5" customHeight="1">
      <c r="A4103" s="532">
        <v>45366</v>
      </c>
      <c r="B4103" s="615">
        <v>100000</v>
      </c>
      <c r="C4103" s="615">
        <v>155749.26450184491</v>
      </c>
      <c r="D4103" s="532">
        <v>45546</v>
      </c>
      <c r="E4103" s="534">
        <v>180</v>
      </c>
      <c r="F4103" s="653">
        <v>0.55749264501844897</v>
      </c>
      <c r="G4103" s="536" t="s">
        <v>261</v>
      </c>
      <c r="H4103" s="835">
        <v>9291.5440836408179</v>
      </c>
      <c r="I4103" s="835">
        <v>744.44</v>
      </c>
      <c r="J4103">
        <v>1153.77</v>
      </c>
      <c r="K4103">
        <v>134.32916017409059</v>
      </c>
      <c r="L4103">
        <v>155749.26450184488</v>
      </c>
      <c r="M4103">
        <v>0</v>
      </c>
    </row>
    <row r="4104" spans="1:13" ht="13.5" customHeight="1">
      <c r="A4104" s="532">
        <v>45366</v>
      </c>
      <c r="B4104" s="615">
        <v>969000</v>
      </c>
      <c r="C4104" s="615">
        <v>1509210.3730228771</v>
      </c>
      <c r="D4104" s="532">
        <v>45546</v>
      </c>
      <c r="E4104" s="534">
        <v>180</v>
      </c>
      <c r="F4104" s="653">
        <v>0.55749264501844897</v>
      </c>
      <c r="G4104" s="536" t="s">
        <v>264</v>
      </c>
      <c r="H4104" s="835">
        <v>90035.062170479519</v>
      </c>
      <c r="I4104" s="835">
        <v>744.44</v>
      </c>
      <c r="J4104">
        <v>1153.77</v>
      </c>
      <c r="K4104">
        <v>1301.6495620869377</v>
      </c>
      <c r="L4104">
        <v>1509210.3730228769</v>
      </c>
      <c r="M4104">
        <v>0</v>
      </c>
    </row>
    <row r="4105" spans="1:13" ht="13.5" customHeight="1">
      <c r="A4105" s="532">
        <v>45366</v>
      </c>
      <c r="B4105" s="615">
        <v>400000</v>
      </c>
      <c r="C4105" s="615">
        <v>622997.05800737964</v>
      </c>
      <c r="D4105" s="532">
        <v>45546</v>
      </c>
      <c r="E4105" s="534">
        <v>180</v>
      </c>
      <c r="F4105" s="653">
        <v>0.55749264501844897</v>
      </c>
      <c r="G4105" s="536" t="s">
        <v>265</v>
      </c>
      <c r="H4105" s="835">
        <v>37166.176334563272</v>
      </c>
      <c r="I4105" s="835">
        <v>744.44</v>
      </c>
      <c r="J4105">
        <v>1153.77</v>
      </c>
      <c r="K4105">
        <v>537.31664069636236</v>
      </c>
      <c r="L4105">
        <v>622997.05800737953</v>
      </c>
      <c r="M4105">
        <v>0</v>
      </c>
    </row>
    <row r="4106" spans="1:13" ht="13.5" customHeight="1">
      <c r="A4106" s="532">
        <v>45366</v>
      </c>
      <c r="B4106" s="615">
        <v>300000</v>
      </c>
      <c r="C4106" s="615">
        <v>467247.7935055347</v>
      </c>
      <c r="D4106" s="532">
        <v>45546</v>
      </c>
      <c r="E4106" s="534">
        <v>180</v>
      </c>
      <c r="F4106" s="653">
        <v>0.55749264501844897</v>
      </c>
      <c r="G4106" s="536" t="s">
        <v>265</v>
      </c>
      <c r="H4106" s="835">
        <v>27874.632250922452</v>
      </c>
      <c r="I4106" s="835">
        <v>744.44</v>
      </c>
      <c r="J4106">
        <v>1153.77</v>
      </c>
      <c r="K4106">
        <v>402.98748052227177</v>
      </c>
      <c r="L4106">
        <v>467247.7935055347</v>
      </c>
      <c r="M4106">
        <v>0</v>
      </c>
    </row>
    <row r="4107" spans="1:13" ht="13.5" customHeight="1">
      <c r="A4107" s="532">
        <v>45366</v>
      </c>
      <c r="B4107" s="615">
        <v>90000</v>
      </c>
      <c r="C4107" s="615">
        <v>140174.33805166039</v>
      </c>
      <c r="D4107" s="532">
        <v>45546</v>
      </c>
      <c r="E4107" s="534">
        <v>180</v>
      </c>
      <c r="F4107" s="653">
        <v>0.55749264501844897</v>
      </c>
      <c r="G4107" s="536" t="s">
        <v>256</v>
      </c>
      <c r="H4107" s="835">
        <v>8362.3896752767323</v>
      </c>
      <c r="I4107" s="835">
        <v>744.44</v>
      </c>
      <c r="J4107">
        <v>1153.77</v>
      </c>
      <c r="K4107">
        <v>120.89624415668152</v>
      </c>
      <c r="L4107">
        <v>140174.33805166039</v>
      </c>
      <c r="M4107">
        <v>0</v>
      </c>
    </row>
    <row r="4108" spans="1:13" ht="13.5" customHeight="1">
      <c r="A4108" s="532">
        <v>45366</v>
      </c>
      <c r="B4108" s="615">
        <v>500000</v>
      </c>
      <c r="C4108" s="615">
        <v>778746.32250922453</v>
      </c>
      <c r="D4108" s="532">
        <v>45546</v>
      </c>
      <c r="E4108" s="534">
        <v>180</v>
      </c>
      <c r="F4108" s="653">
        <v>0.55749264501844897</v>
      </c>
      <c r="G4108" s="536" t="s">
        <v>256</v>
      </c>
      <c r="H4108" s="835">
        <v>46457.720418204088</v>
      </c>
      <c r="I4108" s="835">
        <v>744.44</v>
      </c>
      <c r="J4108">
        <v>1153.77</v>
      </c>
      <c r="K4108">
        <v>671.64580087045294</v>
      </c>
      <c r="L4108">
        <v>778746.32250922441</v>
      </c>
      <c r="M4108">
        <v>0</v>
      </c>
    </row>
    <row r="4109" spans="1:13" ht="13.5" customHeight="1">
      <c r="A4109" s="532">
        <v>45369</v>
      </c>
      <c r="B4109" s="615">
        <v>400000</v>
      </c>
      <c r="C4109" s="615">
        <v>622201.52405204182</v>
      </c>
      <c r="D4109" s="532">
        <v>45551</v>
      </c>
      <c r="E4109" s="534">
        <v>182</v>
      </c>
      <c r="F4109" s="653">
        <v>0.55550381013010464</v>
      </c>
      <c r="G4109" s="536" t="s">
        <v>265</v>
      </c>
      <c r="H4109" s="835"/>
      <c r="I4109" s="835">
        <v>749.26</v>
      </c>
      <c r="J4109">
        <v>1159.6942000000001</v>
      </c>
      <c r="K4109">
        <v>533.86007527427057</v>
      </c>
      <c r="L4109">
        <v>622201.52405204193</v>
      </c>
      <c r="M4109">
        <v>0</v>
      </c>
    </row>
    <row r="4110" spans="1:13" ht="13.5" customHeight="1">
      <c r="A4110" s="532">
        <v>45369</v>
      </c>
      <c r="B4110" s="615">
        <v>825000</v>
      </c>
      <c r="C4110" s="615">
        <v>1283290.6433573363</v>
      </c>
      <c r="D4110" s="532">
        <v>45551</v>
      </c>
      <c r="E4110" s="534">
        <v>182</v>
      </c>
      <c r="F4110" s="653">
        <v>0.55550381013010464</v>
      </c>
      <c r="G4110" s="536" t="s">
        <v>263</v>
      </c>
      <c r="H4110" s="835"/>
      <c r="I4110" s="835">
        <v>749.26</v>
      </c>
      <c r="J4110">
        <v>1159.6942000000001</v>
      </c>
      <c r="K4110">
        <v>1101.0864052531831</v>
      </c>
      <c r="L4110">
        <v>1283290.6433573363</v>
      </c>
      <c r="M4110">
        <v>0</v>
      </c>
    </row>
    <row r="4111" spans="1:13" ht="13.5" customHeight="1">
      <c r="A4111" s="532">
        <v>45461</v>
      </c>
      <c r="B4111" s="615">
        <v>710000</v>
      </c>
      <c r="C4111" s="615">
        <v>806029.07599385246</v>
      </c>
      <c r="D4111" s="532">
        <v>45551</v>
      </c>
      <c r="E4111" s="534">
        <v>90</v>
      </c>
      <c r="F4111" s="653">
        <v>0.13525221970965129</v>
      </c>
      <c r="G4111" s="536" t="s">
        <v>260</v>
      </c>
      <c r="H4111" s="1020">
        <v>804955.56</v>
      </c>
      <c r="I4111" s="1021">
        <f>+C4111-H4111</f>
        <v>1073.5159938524012</v>
      </c>
      <c r="J4111">
        <v>1159.6942000000001</v>
      </c>
      <c r="K4111">
        <v>695.0358775562147</v>
      </c>
      <c r="L4111">
        <v>808016.54494835786</v>
      </c>
      <c r="M4111">
        <v>1987.4689545053989</v>
      </c>
    </row>
    <row r="4112" spans="1:13" ht="13.5" customHeight="1">
      <c r="A4112" s="532">
        <v>45369</v>
      </c>
      <c r="B4112" s="615">
        <v>350000</v>
      </c>
      <c r="C4112" s="615">
        <v>544426.33354553662</v>
      </c>
      <c r="D4112" s="532">
        <v>45551</v>
      </c>
      <c r="E4112" s="534">
        <v>182</v>
      </c>
      <c r="F4112" s="653">
        <v>0.55550381013010464</v>
      </c>
      <c r="G4112" s="536" t="s">
        <v>256</v>
      </c>
      <c r="H4112" s="835"/>
      <c r="I4112" s="835">
        <v>749.26</v>
      </c>
      <c r="J4112">
        <v>1159.6942000000001</v>
      </c>
      <c r="K4112">
        <v>467.12756586498682</v>
      </c>
      <c r="L4112">
        <v>544426.33354553662</v>
      </c>
      <c r="M4112">
        <v>0</v>
      </c>
    </row>
    <row r="4113" spans="1:13" ht="13.5" customHeight="1">
      <c r="A4113" s="532">
        <v>45369</v>
      </c>
      <c r="B4113" s="615">
        <v>910000</v>
      </c>
      <c r="C4113" s="615">
        <v>1415508.4672183953</v>
      </c>
      <c r="D4113" s="532">
        <v>45551</v>
      </c>
      <c r="E4113" s="534">
        <v>182</v>
      </c>
      <c r="F4113" s="653">
        <v>0.55550381013010464</v>
      </c>
      <c r="G4113" s="536" t="s">
        <v>256</v>
      </c>
      <c r="H4113" s="835"/>
      <c r="I4113" s="835">
        <v>749.26</v>
      </c>
      <c r="J4113">
        <v>1159.6942000000001</v>
      </c>
      <c r="K4113">
        <v>1214.5316712489657</v>
      </c>
      <c r="L4113">
        <v>1415508.4672183956</v>
      </c>
      <c r="M4113">
        <v>0</v>
      </c>
    </row>
    <row r="4114" spans="1:13" ht="13.5" customHeight="1">
      <c r="A4114" s="532">
        <v>45369</v>
      </c>
      <c r="B4114" s="615">
        <v>500000</v>
      </c>
      <c r="C4114" s="615">
        <v>777751.90506505233</v>
      </c>
      <c r="D4114" s="532">
        <v>45551</v>
      </c>
      <c r="E4114" s="534">
        <v>182</v>
      </c>
      <c r="F4114" s="653">
        <v>0.55550381013010464</v>
      </c>
      <c r="G4114" s="536" t="s">
        <v>256</v>
      </c>
      <c r="H4114" s="835"/>
      <c r="I4114" s="835">
        <v>749.26</v>
      </c>
      <c r="J4114">
        <v>1159.6942000000001</v>
      </c>
      <c r="K4114">
        <v>667.3250940928383</v>
      </c>
      <c r="L4114">
        <v>777751.90506505244</v>
      </c>
      <c r="M4114">
        <v>0</v>
      </c>
    </row>
    <row r="4115" spans="1:13" ht="13.5" customHeight="1">
      <c r="A4115" s="532">
        <v>45371</v>
      </c>
      <c r="B4115" s="615">
        <v>340000</v>
      </c>
      <c r="C4115" s="615">
        <v>520444.60703059001</v>
      </c>
      <c r="D4115" s="532">
        <v>45551</v>
      </c>
      <c r="E4115" s="534">
        <v>180</v>
      </c>
      <c r="F4115" s="653">
        <v>0.53071943244291186</v>
      </c>
      <c r="G4115" s="536" t="s">
        <v>258</v>
      </c>
      <c r="H4115" s="835"/>
      <c r="I4115" s="835">
        <v>761.35</v>
      </c>
      <c r="J4115">
        <v>1159.6942000000001</v>
      </c>
      <c r="K4115">
        <v>446.5751625402246</v>
      </c>
      <c r="L4115">
        <v>520444.60703059006</v>
      </c>
      <c r="M4115">
        <v>0</v>
      </c>
    </row>
    <row r="4116" spans="1:13" ht="13.5" customHeight="1">
      <c r="A4116" s="532">
        <v>45370</v>
      </c>
      <c r="B4116" s="615">
        <v>756000</v>
      </c>
      <c r="C4116" s="615">
        <v>1161894.7782894734</v>
      </c>
      <c r="D4116" s="532">
        <v>45551</v>
      </c>
      <c r="E4116" s="534">
        <v>181</v>
      </c>
      <c r="F4116" s="653">
        <v>0.53689785488025588</v>
      </c>
      <c r="G4116" s="536" t="s">
        <v>266</v>
      </c>
      <c r="H4116" s="835">
        <v>1160367.6499999999</v>
      </c>
      <c r="I4116" s="835">
        <v>758.31</v>
      </c>
      <c r="J4116">
        <v>1159.6942000000001</v>
      </c>
      <c r="K4116">
        <v>996.95375242315151</v>
      </c>
      <c r="L4116">
        <v>1161894.7782894734</v>
      </c>
      <c r="M4116">
        <v>0</v>
      </c>
    </row>
    <row r="4117" spans="1:13" ht="13.5" customHeight="1">
      <c r="A4117" s="532">
        <v>45370</v>
      </c>
      <c r="B4117" s="615">
        <v>94000</v>
      </c>
      <c r="C4117" s="615">
        <v>144468.39835874405</v>
      </c>
      <c r="D4117" s="532">
        <v>45551</v>
      </c>
      <c r="E4117" s="534">
        <v>181</v>
      </c>
      <c r="F4117" s="653">
        <v>0.53689785488025588</v>
      </c>
      <c r="G4117" s="536" t="s">
        <v>266</v>
      </c>
      <c r="H4117" s="835">
        <v>144276.01999999999</v>
      </c>
      <c r="I4117" s="835"/>
      <c r="K4117">
        <v>123.95985810552413</v>
      </c>
      <c r="L4117">
        <v>144468.39835874405</v>
      </c>
      <c r="M4117">
        <v>0</v>
      </c>
    </row>
    <row r="4118" spans="1:13" ht="13.5" customHeight="1">
      <c r="A4118" s="532">
        <v>45523</v>
      </c>
      <c r="B4118" s="615">
        <v>64500</v>
      </c>
      <c r="C4118" s="615">
        <v>66302.465753424651</v>
      </c>
      <c r="D4118" s="532">
        <v>45553</v>
      </c>
      <c r="E4118" s="534">
        <v>30</v>
      </c>
      <c r="F4118" s="653">
        <v>0.34</v>
      </c>
      <c r="G4118" s="536" t="s">
        <v>259</v>
      </c>
      <c r="H4118" s="835">
        <v>1802.4657534246508</v>
      </c>
      <c r="I4118" s="835">
        <v>1117.8399999999999</v>
      </c>
      <c r="J4118">
        <v>1164.28</v>
      </c>
      <c r="K4118">
        <v>57.700565376082452</v>
      </c>
      <c r="L4118">
        <v>66302.465753424651</v>
      </c>
      <c r="M4118">
        <v>0</v>
      </c>
    </row>
    <row r="4119" spans="1:13" ht="13.5" customHeight="1">
      <c r="A4119" s="532">
        <v>45523</v>
      </c>
      <c r="B4119" s="615">
        <v>7860000</v>
      </c>
      <c r="C4119" s="615">
        <v>8113673.4246575339</v>
      </c>
      <c r="D4119" s="532">
        <v>45554</v>
      </c>
      <c r="E4119" s="534">
        <v>31</v>
      </c>
      <c r="F4119" s="653">
        <v>0.38</v>
      </c>
      <c r="G4119" s="536" t="s">
        <v>258</v>
      </c>
      <c r="H4119" s="835">
        <v>245490.41095890375</v>
      </c>
      <c r="I4119" s="835">
        <v>1117.8399999999999</v>
      </c>
      <c r="J4119">
        <v>1165.8800000000001</v>
      </c>
      <c r="K4119">
        <v>7031.4177342016756</v>
      </c>
      <c r="L4119">
        <v>8113673.4246575339</v>
      </c>
      <c r="M4119">
        <v>0</v>
      </c>
    </row>
    <row r="4120" spans="1:13" ht="13.5" customHeight="1">
      <c r="A4120" s="532">
        <v>45468</v>
      </c>
      <c r="B4120" s="615">
        <v>370000</v>
      </c>
      <c r="C4120" s="615">
        <v>417113.87327271147</v>
      </c>
      <c r="D4120" s="532">
        <v>45558</v>
      </c>
      <c r="E4120" s="534">
        <v>90</v>
      </c>
      <c r="F4120" s="653">
        <v>0.12733479262894987</v>
      </c>
      <c r="G4120" s="536" t="s">
        <v>260</v>
      </c>
      <c r="H4120" s="835">
        <v>15704.624424237156</v>
      </c>
      <c r="I4120" s="835">
        <v>1037.03</v>
      </c>
      <c r="J4120">
        <v>1169.08</v>
      </c>
      <c r="K4120">
        <v>356.7881353480613</v>
      </c>
      <c r="L4120">
        <v>418142.37323420582</v>
      </c>
      <c r="M4120">
        <v>1028.4999614943517</v>
      </c>
    </row>
    <row r="4121" spans="1:13" ht="13.5" customHeight="1">
      <c r="A4121" s="532">
        <v>45527</v>
      </c>
      <c r="B4121" s="615">
        <v>122000</v>
      </c>
      <c r="C4121" s="615">
        <v>125937.42465753424</v>
      </c>
      <c r="D4121" s="532">
        <v>45558</v>
      </c>
      <c r="E4121" s="534">
        <v>31</v>
      </c>
      <c r="F4121" s="653">
        <v>0.38</v>
      </c>
      <c r="G4121" s="536" t="s">
        <v>258</v>
      </c>
      <c r="H4121" s="835">
        <v>3810.4109589041036</v>
      </c>
      <c r="I4121" s="835">
        <v>1126.3599999999999</v>
      </c>
      <c r="J4121">
        <v>1169.08</v>
      </c>
      <c r="K4121">
        <v>108.31350545118791</v>
      </c>
      <c r="L4121">
        <v>125937.42465753424</v>
      </c>
      <c r="M4121">
        <v>0</v>
      </c>
    </row>
    <row r="4122" spans="1:13" ht="13.5" customHeight="1">
      <c r="A4122" s="532">
        <v>45376</v>
      </c>
      <c r="B4122" s="615">
        <v>450000</v>
      </c>
      <c r="C4122" s="615">
        <v>686154.15597174154</v>
      </c>
      <c r="D4122" s="532">
        <v>45558</v>
      </c>
      <c r="E4122" s="534">
        <v>182</v>
      </c>
      <c r="F4122" s="653">
        <v>0.52478701327053678</v>
      </c>
      <c r="G4122" s="536" t="s">
        <v>258</v>
      </c>
      <c r="H4122" s="835">
        <v>38926.509226111244</v>
      </c>
      <c r="I4122" s="835">
        <v>770.54</v>
      </c>
      <c r="J4122">
        <v>1169.08</v>
      </c>
      <c r="K4122">
        <v>584.00602175097981</v>
      </c>
      <c r="L4122">
        <v>686154.15597174142</v>
      </c>
      <c r="M4122">
        <v>0</v>
      </c>
    </row>
    <row r="4123" spans="1:13" ht="13.5" customHeight="1">
      <c r="A4123" s="532">
        <v>45378</v>
      </c>
      <c r="B4123" s="615">
        <v>115000</v>
      </c>
      <c r="C4123" s="615">
        <v>172559.53368390552</v>
      </c>
      <c r="D4123" s="532">
        <v>45558</v>
      </c>
      <c r="E4123" s="534">
        <v>180</v>
      </c>
      <c r="F4123" s="653">
        <v>0.50051768420787401</v>
      </c>
      <c r="G4123" s="536" t="s">
        <v>258</v>
      </c>
      <c r="H4123" s="835">
        <v>9593.2556139842545</v>
      </c>
      <c r="I4123" s="835">
        <v>782.96</v>
      </c>
      <c r="J4123">
        <v>1169.08</v>
      </c>
      <c r="K4123">
        <v>146.87851231225093</v>
      </c>
      <c r="L4123">
        <v>172559.53368390549</v>
      </c>
      <c r="M4123">
        <v>0</v>
      </c>
    </row>
    <row r="4124" spans="1:13" ht="13.5" customHeight="1">
      <c r="A4124" s="532">
        <v>45527</v>
      </c>
      <c r="B4124" s="615">
        <v>33500</v>
      </c>
      <c r="C4124" s="615">
        <v>34467.369863013701</v>
      </c>
      <c r="D4124" s="532">
        <v>45558</v>
      </c>
      <c r="E4124" s="534">
        <v>31</v>
      </c>
      <c r="F4124" s="653">
        <v>0.34</v>
      </c>
      <c r="G4124" s="536" t="s">
        <v>259</v>
      </c>
      <c r="H4124" s="835">
        <v>936.16438356164565</v>
      </c>
      <c r="I4124" s="835">
        <v>1126.3599999999999</v>
      </c>
      <c r="J4124">
        <v>1169.08</v>
      </c>
      <c r="K4124">
        <v>29.741823218154057</v>
      </c>
      <c r="L4124">
        <v>34467.369863013701</v>
      </c>
      <c r="M4124">
        <v>0</v>
      </c>
    </row>
    <row r="4125" spans="1:13" ht="13.5" customHeight="1">
      <c r="A4125" s="532">
        <v>45524</v>
      </c>
      <c r="B4125" s="615">
        <v>340000</v>
      </c>
      <c r="C4125" s="615">
        <v>459850</v>
      </c>
      <c r="D4125" s="532">
        <v>45558</v>
      </c>
      <c r="E4125" s="534">
        <v>34</v>
      </c>
      <c r="F4125" s="653">
        <v>0.35249999999999998</v>
      </c>
      <c r="G4125" s="536" t="s">
        <v>256</v>
      </c>
      <c r="H4125" s="835">
        <v>105750</v>
      </c>
      <c r="I4125" s="835">
        <v>1122.0999999999999</v>
      </c>
      <c r="J4125">
        <v>1169.08</v>
      </c>
      <c r="K4125">
        <v>303.00329738882454</v>
      </c>
      <c r="L4125">
        <v>459850</v>
      </c>
      <c r="M4125">
        <v>0</v>
      </c>
    </row>
    <row r="4126" spans="1:13" ht="13.5" customHeight="1">
      <c r="A4126" s="532">
        <v>45523</v>
      </c>
      <c r="B4126" s="615">
        <v>6250000</v>
      </c>
      <c r="C4126" s="615">
        <v>6461258.5616438352</v>
      </c>
      <c r="D4126" s="532">
        <v>45558</v>
      </c>
      <c r="E4126" s="534">
        <v>35</v>
      </c>
      <c r="F4126" s="653">
        <v>0.35249999999999998</v>
      </c>
      <c r="G4126" s="536" t="s">
        <v>256</v>
      </c>
      <c r="H4126" s="835">
        <v>181078.76712328728</v>
      </c>
      <c r="I4126" s="835">
        <v>1117.8399999999999</v>
      </c>
      <c r="J4126">
        <v>1169.08</v>
      </c>
      <c r="K4126">
        <v>5591.140055821943</v>
      </c>
      <c r="L4126">
        <v>6461258.5616438352</v>
      </c>
      <c r="M4126">
        <v>0</v>
      </c>
    </row>
    <row r="4127" spans="1:13" ht="13.5" customHeight="1">
      <c r="A4127" s="532">
        <v>45523</v>
      </c>
      <c r="B4127" s="615">
        <v>500000</v>
      </c>
      <c r="C4127" s="615">
        <v>516900.68493150687</v>
      </c>
      <c r="D4127" s="532">
        <v>45558</v>
      </c>
      <c r="E4127" s="534">
        <v>35</v>
      </c>
      <c r="F4127" s="653">
        <v>0.35249999999999998</v>
      </c>
      <c r="G4127" s="536" t="s">
        <v>256</v>
      </c>
      <c r="H4127" s="835">
        <v>14486.301369863029</v>
      </c>
      <c r="I4127" s="835">
        <v>1117.8399999999999</v>
      </c>
      <c r="J4127">
        <v>1169.08</v>
      </c>
      <c r="K4127">
        <v>447.29120446575541</v>
      </c>
      <c r="L4127">
        <v>516900.68493150687</v>
      </c>
      <c r="M4127">
        <v>0</v>
      </c>
    </row>
    <row r="4128" spans="1:13" ht="13.5" customHeight="1">
      <c r="A4128" s="532">
        <v>45376</v>
      </c>
      <c r="B4128" s="615">
        <v>65000</v>
      </c>
      <c r="C4128" s="615">
        <v>99111.155862584885</v>
      </c>
      <c r="D4128" s="532">
        <v>45558</v>
      </c>
      <c r="E4128" s="534">
        <v>182</v>
      </c>
      <c r="F4128" s="653">
        <v>0.52478701327053678</v>
      </c>
      <c r="G4128" s="536" t="s">
        <v>256</v>
      </c>
      <c r="H4128" s="835">
        <v>5622.7179993271793</v>
      </c>
      <c r="I4128" s="835">
        <v>770.54</v>
      </c>
      <c r="J4128">
        <v>1169.08</v>
      </c>
      <c r="K4128">
        <v>84.356425364030429</v>
      </c>
      <c r="L4128">
        <v>99111.155862584899</v>
      </c>
      <c r="M4128">
        <v>0</v>
      </c>
    </row>
    <row r="4129" spans="1:13" ht="13.5" customHeight="1">
      <c r="A4129" s="532">
        <v>45376</v>
      </c>
      <c r="B4129" s="615">
        <v>928000</v>
      </c>
      <c r="C4129" s="615">
        <v>1415002.348315058</v>
      </c>
      <c r="D4129" s="532">
        <v>45558</v>
      </c>
      <c r="E4129" s="534">
        <v>182</v>
      </c>
      <c r="F4129" s="653">
        <v>0.52478701327053678</v>
      </c>
      <c r="G4129" s="536" t="s">
        <v>266</v>
      </c>
      <c r="H4129" s="835">
        <v>80275.112359624953</v>
      </c>
      <c r="I4129" s="835">
        <v>770.54</v>
      </c>
      <c r="J4129">
        <v>1169.08</v>
      </c>
      <c r="K4129">
        <v>1204.3501959664652</v>
      </c>
      <c r="L4129">
        <v>1415002.3483150583</v>
      </c>
      <c r="M4129">
        <v>0</v>
      </c>
    </row>
    <row r="4130" spans="1:13" ht="13.5" customHeight="1">
      <c r="A4130" s="532">
        <v>45376</v>
      </c>
      <c r="B4130" s="615">
        <v>629998</v>
      </c>
      <c r="C4130" s="615">
        <v>960612.76878641162</v>
      </c>
      <c r="D4130" s="532">
        <v>45558</v>
      </c>
      <c r="E4130" s="534">
        <v>182</v>
      </c>
      <c r="F4130" s="653">
        <v>0.52478701327053678</v>
      </c>
      <c r="G4130" s="536" t="s">
        <v>265</v>
      </c>
      <c r="H4130" s="835">
        <v>54496.939909848064</v>
      </c>
      <c r="I4130" s="835">
        <v>770.54</v>
      </c>
      <c r="J4130">
        <v>1169.08</v>
      </c>
      <c r="K4130">
        <v>817.60583486905296</v>
      </c>
      <c r="L4130">
        <v>960612.76878641173</v>
      </c>
      <c r="M4130">
        <v>0</v>
      </c>
    </row>
    <row r="4131" spans="1:13" ht="13.5" customHeight="1">
      <c r="A4131" s="532">
        <v>45377</v>
      </c>
      <c r="B4131" s="615">
        <v>500000</v>
      </c>
      <c r="C4131" s="615">
        <v>753281.02919601346</v>
      </c>
      <c r="D4131" s="532">
        <v>45558</v>
      </c>
      <c r="E4131" s="534">
        <v>181</v>
      </c>
      <c r="F4131" s="653">
        <v>0.50656205839202695</v>
      </c>
      <c r="G4131" s="536" t="s">
        <v>265</v>
      </c>
      <c r="H4131" s="835">
        <v>41980.281082212176</v>
      </c>
      <c r="I4131" s="835">
        <v>779.84</v>
      </c>
      <c r="J4131">
        <v>1169.08</v>
      </c>
      <c r="K4131">
        <v>641.15716044316775</v>
      </c>
      <c r="L4131">
        <v>753281.02919601335</v>
      </c>
      <c r="M4131">
        <v>0</v>
      </c>
    </row>
    <row r="4132" spans="1:13" ht="13.5" customHeight="1">
      <c r="A4132" s="532">
        <v>45378</v>
      </c>
      <c r="B4132" s="615">
        <v>400000</v>
      </c>
      <c r="C4132" s="615">
        <v>600207.07368314965</v>
      </c>
      <c r="D4132" s="532">
        <v>45558</v>
      </c>
      <c r="E4132" s="534">
        <v>180</v>
      </c>
      <c r="F4132" s="653">
        <v>0.50051768420787401</v>
      </c>
      <c r="G4132" s="536" t="s">
        <v>257</v>
      </c>
      <c r="H4132" s="835">
        <v>33367.84561385827</v>
      </c>
      <c r="I4132" s="835">
        <v>782.96</v>
      </c>
      <c r="J4132">
        <v>1169.08</v>
      </c>
      <c r="K4132">
        <v>510.88178195565541</v>
      </c>
      <c r="L4132">
        <v>600207.07368314953</v>
      </c>
      <c r="M4132">
        <v>0</v>
      </c>
    </row>
    <row r="4133" spans="1:13" ht="13.5" customHeight="1">
      <c r="A4133" s="532">
        <v>45527</v>
      </c>
      <c r="B4133" s="615">
        <v>150000</v>
      </c>
      <c r="C4133" s="615">
        <v>154490.75342465754</v>
      </c>
      <c r="D4133" s="532">
        <v>45558</v>
      </c>
      <c r="E4133" s="534">
        <v>31</v>
      </c>
      <c r="F4133" s="653">
        <v>0.35249999999999998</v>
      </c>
      <c r="G4133" s="536" t="s">
        <v>257</v>
      </c>
      <c r="H4133" s="835">
        <v>4345.8904109589075</v>
      </c>
      <c r="I4133" s="835">
        <v>1126.3599999999999</v>
      </c>
      <c r="J4133">
        <v>1169.08</v>
      </c>
      <c r="K4133">
        <v>133.17234276785399</v>
      </c>
      <c r="L4133">
        <v>154490.75342465754</v>
      </c>
      <c r="M4133">
        <v>0</v>
      </c>
    </row>
    <row r="4134" spans="1:13" ht="13.5" customHeight="1">
      <c r="A4134" s="532">
        <v>45377</v>
      </c>
      <c r="B4134" s="615">
        <v>450000</v>
      </c>
      <c r="C4134" s="615">
        <v>680766.61703700374</v>
      </c>
      <c r="D4134" s="532">
        <v>45559</v>
      </c>
      <c r="E4134" s="534">
        <v>182</v>
      </c>
      <c r="F4134" s="653">
        <v>0.5128147045266751</v>
      </c>
      <c r="G4134" s="536" t="s">
        <v>262</v>
      </c>
      <c r="H4134" s="835">
        <v>38038.453357747872</v>
      </c>
      <c r="I4134" s="835">
        <v>779.84</v>
      </c>
      <c r="J4134">
        <v>1173.9000000000001</v>
      </c>
      <c r="K4134">
        <v>577.04144439885101</v>
      </c>
      <c r="L4134">
        <v>680766.61703700374</v>
      </c>
      <c r="M4134">
        <v>0</v>
      </c>
    </row>
    <row r="4135" spans="1:13" ht="13.5" customHeight="1">
      <c r="A4135" s="532">
        <v>45377</v>
      </c>
      <c r="B4135" s="615">
        <v>160000</v>
      </c>
      <c r="C4135" s="615">
        <v>242050.35272426801</v>
      </c>
      <c r="D4135" s="532">
        <v>45559</v>
      </c>
      <c r="E4135" s="534">
        <v>182</v>
      </c>
      <c r="F4135" s="653">
        <v>0.5128147045266751</v>
      </c>
      <c r="G4135" s="536" t="s">
        <v>266</v>
      </c>
      <c r="H4135" s="835">
        <v>13524.783416088134</v>
      </c>
      <c r="I4135" s="835">
        <v>779.84</v>
      </c>
      <c r="J4135">
        <v>1173.9000000000001</v>
      </c>
      <c r="K4135">
        <v>205.17029134181371</v>
      </c>
      <c r="L4135">
        <v>242050.35272426801</v>
      </c>
      <c r="M4135">
        <v>0</v>
      </c>
    </row>
    <row r="4136" spans="1:13" ht="13.5" customHeight="1">
      <c r="A4136" s="532">
        <v>45377</v>
      </c>
      <c r="B4136" s="615">
        <v>370000</v>
      </c>
      <c r="C4136" s="615">
        <v>559741.44067486981</v>
      </c>
      <c r="D4136" s="532">
        <v>45559</v>
      </c>
      <c r="E4136" s="534">
        <v>182</v>
      </c>
      <c r="F4136" s="653">
        <v>0.5128147045266751</v>
      </c>
      <c r="G4136" s="536" t="s">
        <v>258</v>
      </c>
      <c r="H4136" s="835">
        <v>31276.061649703814</v>
      </c>
      <c r="I4136" s="835">
        <v>779.84</v>
      </c>
      <c r="J4136">
        <v>1173.9000000000001</v>
      </c>
      <c r="K4136">
        <v>474.45629872794416</v>
      </c>
      <c r="L4136">
        <v>559741.44067486969</v>
      </c>
      <c r="M4136">
        <v>0</v>
      </c>
    </row>
    <row r="4137" spans="1:13" ht="13.5" customHeight="1">
      <c r="A4137" s="532">
        <v>45530</v>
      </c>
      <c r="B4137" s="615">
        <v>500000</v>
      </c>
      <c r="C4137" s="615">
        <v>514486.30136986304</v>
      </c>
      <c r="D4137" s="532">
        <v>45560</v>
      </c>
      <c r="E4137" s="534">
        <v>30</v>
      </c>
      <c r="F4137" s="653">
        <v>0.35249999999999998</v>
      </c>
      <c r="G4137" s="536" t="s">
        <v>257</v>
      </c>
      <c r="H4137" s="835">
        <v>14486.301369863038</v>
      </c>
      <c r="I4137" s="835">
        <v>1127.79</v>
      </c>
      <c r="J4137">
        <v>1175.51</v>
      </c>
      <c r="K4137">
        <v>443.34494897099637</v>
      </c>
      <c r="L4137">
        <v>514486.30136986304</v>
      </c>
      <c r="M4137">
        <v>0</v>
      </c>
    </row>
    <row r="4138" spans="1:13" ht="13.5" customHeight="1">
      <c r="A4138" s="532">
        <v>45531</v>
      </c>
      <c r="B4138" s="615">
        <v>290000</v>
      </c>
      <c r="C4138" s="615">
        <v>298819.17808219179</v>
      </c>
      <c r="D4138" s="532">
        <v>45561</v>
      </c>
      <c r="E4138" s="534">
        <v>30</v>
      </c>
      <c r="F4138" s="653">
        <v>0.37</v>
      </c>
      <c r="G4138" s="536" t="s">
        <v>261</v>
      </c>
      <c r="H4138" s="835">
        <v>8819.1780821917928</v>
      </c>
      <c r="I4138" s="835">
        <v>1132.08</v>
      </c>
      <c r="J4138">
        <v>1177.1199999999999</v>
      </c>
      <c r="K4138">
        <v>256.16564200409869</v>
      </c>
      <c r="L4138">
        <v>298819.17808219179</v>
      </c>
      <c r="M4138">
        <v>0</v>
      </c>
    </row>
    <row r="4139" spans="1:13" ht="13.5" customHeight="1">
      <c r="A4139" s="532">
        <v>45532</v>
      </c>
      <c r="B4139" s="615">
        <v>52300</v>
      </c>
      <c r="C4139" s="615">
        <v>53761.534246575342</v>
      </c>
      <c r="D4139" s="532">
        <v>45562</v>
      </c>
      <c r="E4139" s="534">
        <v>30</v>
      </c>
      <c r="F4139" s="653">
        <v>0.34</v>
      </c>
      <c r="G4139" s="536" t="s">
        <v>259</v>
      </c>
      <c r="H4139" s="835">
        <v>1461.534246575342</v>
      </c>
      <c r="I4139" s="835">
        <v>1133.51</v>
      </c>
      <c r="J4139">
        <v>1178.74</v>
      </c>
      <c r="K4139">
        <v>46.139866432585507</v>
      </c>
      <c r="L4139">
        <v>53761.534246575342</v>
      </c>
      <c r="M4139">
        <v>0</v>
      </c>
    </row>
    <row r="4140" spans="1:13" ht="13.5" customHeight="1">
      <c r="A4140" s="532">
        <v>45532</v>
      </c>
      <c r="B4140" s="615">
        <v>5000000</v>
      </c>
      <c r="C4140" s="615">
        <v>5159349.3150684927</v>
      </c>
      <c r="D4140" s="532">
        <v>45565</v>
      </c>
      <c r="E4140" s="534">
        <v>33</v>
      </c>
      <c r="F4140" s="653">
        <v>0.35249999999999998</v>
      </c>
      <c r="G4140" s="536" t="s">
        <v>256</v>
      </c>
      <c r="H4140" s="835">
        <v>144863.01369862969</v>
      </c>
      <c r="I4140" s="835">
        <v>1133.51</v>
      </c>
      <c r="J4140">
        <v>1180.3499999999999</v>
      </c>
      <c r="K4140">
        <v>4411.0770968054976</v>
      </c>
      <c r="L4140">
        <v>5159349.3150684927</v>
      </c>
      <c r="M4140">
        <v>0</v>
      </c>
    </row>
    <row r="4141" spans="1:13" ht="13.5" customHeight="1">
      <c r="A4141" s="532">
        <v>45530</v>
      </c>
      <c r="B4141" s="615">
        <v>1000000</v>
      </c>
      <c r="C4141" s="615">
        <v>1036438.3561643836</v>
      </c>
      <c r="D4141" s="532">
        <v>45565</v>
      </c>
      <c r="E4141" s="534">
        <v>35</v>
      </c>
      <c r="F4141" s="653">
        <v>0.38</v>
      </c>
      <c r="G4141" s="536" t="s">
        <v>258</v>
      </c>
      <c r="H4141" s="835">
        <v>31232.876712328787</v>
      </c>
      <c r="I4141" s="835">
        <v>1127.79</v>
      </c>
      <c r="J4141">
        <v>1180.3499999999999</v>
      </c>
      <c r="K4141">
        <v>886.68989794199274</v>
      </c>
      <c r="L4141">
        <v>1036438.3561643836</v>
      </c>
      <c r="M4141">
        <v>0</v>
      </c>
    </row>
    <row r="4142" spans="1:13" ht="13.5" customHeight="1">
      <c r="A4142" s="532">
        <v>45475</v>
      </c>
      <c r="B4142" s="615">
        <v>296000</v>
      </c>
      <c r="C4142" s="615">
        <v>333686.96515892417</v>
      </c>
      <c r="D4142" s="532">
        <v>45565</v>
      </c>
      <c r="E4142" s="534">
        <v>90</v>
      </c>
      <c r="F4142" s="653">
        <v>0.12732082823960877</v>
      </c>
      <c r="G4142" s="536" t="s">
        <v>260</v>
      </c>
      <c r="H4142" s="835">
        <v>12562.32171964139</v>
      </c>
      <c r="I4142" s="835">
        <v>1047.04</v>
      </c>
      <c r="J4142">
        <v>1180.3499999999999</v>
      </c>
      <c r="K4142">
        <v>282.70171149144255</v>
      </c>
      <c r="L4142">
        <v>334509.75493602833</v>
      </c>
      <c r="M4142">
        <v>822.78977710416075</v>
      </c>
    </row>
    <row r="4143" spans="1:13" ht="13.5" customHeight="1">
      <c r="A4143" s="532">
        <v>45385</v>
      </c>
      <c r="B4143" s="615">
        <v>250000</v>
      </c>
      <c r="C4143" s="615">
        <v>377232.82791934517</v>
      </c>
      <c r="D4143" s="532">
        <v>45565</v>
      </c>
      <c r="E4143" s="534">
        <v>180</v>
      </c>
      <c r="F4143" s="653">
        <v>0.50893131167738059</v>
      </c>
      <c r="G4143" s="536" t="s">
        <v>258</v>
      </c>
      <c r="H4143" s="835">
        <v>21205.471319890861</v>
      </c>
      <c r="I4143" s="835">
        <v>786.1</v>
      </c>
      <c r="J4143">
        <v>1180.3499999999999</v>
      </c>
      <c r="K4143">
        <v>318.0256964762753</v>
      </c>
      <c r="L4143">
        <v>377232.82791934512</v>
      </c>
      <c r="M4143">
        <v>0</v>
      </c>
    </row>
    <row r="4144" spans="1:13" ht="13.5" customHeight="1">
      <c r="A4144" s="532">
        <v>45385</v>
      </c>
      <c r="B4144" s="615">
        <v>113000</v>
      </c>
      <c r="C4144" s="615">
        <v>170509.238219544</v>
      </c>
      <c r="D4144" s="532">
        <v>45565</v>
      </c>
      <c r="E4144" s="534">
        <v>180</v>
      </c>
      <c r="F4144" s="653">
        <v>0.50893131167738059</v>
      </c>
      <c r="G4144" s="536" t="s">
        <v>266</v>
      </c>
      <c r="H4144" s="835">
        <v>9584.8730365906667</v>
      </c>
      <c r="I4144" s="835">
        <v>786.1</v>
      </c>
      <c r="J4144">
        <v>1180.3499999999999</v>
      </c>
      <c r="K4144">
        <v>143.74761480727642</v>
      </c>
      <c r="L4144">
        <v>170509.238219544</v>
      </c>
      <c r="M4144">
        <v>0</v>
      </c>
    </row>
    <row r="4145" spans="1:13" ht="13.5" customHeight="1">
      <c r="A4145" s="532">
        <v>45386</v>
      </c>
      <c r="B4145" s="615">
        <v>72000</v>
      </c>
      <c r="C4145" s="615">
        <v>106079.35761046491</v>
      </c>
      <c r="D4145" s="532">
        <v>45566</v>
      </c>
      <c r="E4145" s="534">
        <v>180</v>
      </c>
      <c r="F4145" s="653">
        <v>0.47332441125645719</v>
      </c>
      <c r="G4145" s="536" t="s">
        <v>257</v>
      </c>
      <c r="H4145" s="835">
        <v>5679.8929350774852</v>
      </c>
      <c r="I4145" s="835">
        <v>808.42</v>
      </c>
      <c r="J4145">
        <v>1185.22</v>
      </c>
      <c r="K4145">
        <v>89.062615966947874</v>
      </c>
      <c r="L4145">
        <v>106079.35761046493</v>
      </c>
      <c r="M4145">
        <v>0</v>
      </c>
    </row>
    <row r="4146" spans="1:13" ht="13.5" customHeight="1">
      <c r="A4146" s="532">
        <v>45534</v>
      </c>
      <c r="B4146" s="615">
        <v>147200</v>
      </c>
      <c r="C4146" s="615">
        <v>151862.00547945205</v>
      </c>
      <c r="D4146" s="532">
        <v>45568</v>
      </c>
      <c r="E4146" s="534">
        <v>34</v>
      </c>
      <c r="F4146" s="653">
        <v>0.34</v>
      </c>
      <c r="G4146" s="536" t="s">
        <v>259</v>
      </c>
      <c r="H4146" s="835">
        <v>4113.534246575342</v>
      </c>
      <c r="I4146" s="835">
        <v>1136.3800000000001</v>
      </c>
      <c r="J4146">
        <v>1188.48</v>
      </c>
      <c r="K4146">
        <v>129.53413470846019</v>
      </c>
      <c r="L4146">
        <v>151862.00547945205</v>
      </c>
      <c r="M4146">
        <v>0</v>
      </c>
    </row>
    <row r="4147" spans="1:13" ht="13.5" customHeight="1">
      <c r="A4147" s="532">
        <v>45539</v>
      </c>
      <c r="B4147" s="615">
        <v>35100</v>
      </c>
      <c r="C4147" s="615">
        <v>36080.876712328769</v>
      </c>
      <c r="D4147" s="532">
        <v>45569</v>
      </c>
      <c r="E4147" s="534">
        <v>30</v>
      </c>
      <c r="F4147" s="653">
        <v>0.34</v>
      </c>
      <c r="G4147" s="536" t="s">
        <v>259</v>
      </c>
      <c r="H4147" s="835">
        <v>980.87671232876903</v>
      </c>
      <c r="I4147" s="835">
        <v>1143.5899999999999</v>
      </c>
      <c r="J4147">
        <v>1190.1099999999999</v>
      </c>
      <c r="K4147">
        <v>30.692818230309815</v>
      </c>
      <c r="L4147">
        <v>36080.876712328769</v>
      </c>
      <c r="M4147">
        <v>0</v>
      </c>
    </row>
    <row r="4148" spans="1:13" ht="13.5" customHeight="1">
      <c r="A4148" s="532">
        <v>45530</v>
      </c>
      <c r="B4148" s="615">
        <v>336600</v>
      </c>
      <c r="C4148" s="615">
        <v>348828.26301369863</v>
      </c>
      <c r="D4148" s="532">
        <v>45569</v>
      </c>
      <c r="E4148" s="534">
        <v>39</v>
      </c>
      <c r="F4148" s="653">
        <v>0.34</v>
      </c>
      <c r="G4148" s="536" t="s">
        <v>259</v>
      </c>
      <c r="H4148" s="835">
        <v>9406.3561643835583</v>
      </c>
      <c r="I4148" s="835">
        <v>1127.79</v>
      </c>
      <c r="J4148">
        <v>1190.1099999999999</v>
      </c>
      <c r="K4148">
        <v>298.45981964727474</v>
      </c>
      <c r="L4148">
        <v>348828.26301369863</v>
      </c>
      <c r="M4148">
        <v>0</v>
      </c>
    </row>
    <row r="4149" spans="1:13" ht="13.5" customHeight="1">
      <c r="A4149" s="532">
        <v>45541</v>
      </c>
      <c r="B4149" s="615">
        <v>34350</v>
      </c>
      <c r="C4149" s="615">
        <v>35341.915068493152</v>
      </c>
      <c r="D4149" s="532">
        <v>45572</v>
      </c>
      <c r="E4149" s="534">
        <v>31</v>
      </c>
      <c r="F4149" s="653">
        <v>0.34</v>
      </c>
      <c r="G4149" s="536" t="s">
        <v>259</v>
      </c>
      <c r="H4149" s="835">
        <v>959.91780821917928</v>
      </c>
      <c r="I4149" s="835">
        <v>1146.49</v>
      </c>
      <c r="J4149">
        <v>1191.74</v>
      </c>
      <c r="K4149">
        <v>29.961011434901309</v>
      </c>
      <c r="L4149">
        <v>35341.915068493152</v>
      </c>
      <c r="M4149">
        <v>0</v>
      </c>
    </row>
    <row r="4150" spans="1:13" ht="13.5" customHeight="1">
      <c r="A4150" s="532">
        <v>45481</v>
      </c>
      <c r="B4150" s="615">
        <v>223000</v>
      </c>
      <c r="C4150" s="615">
        <v>253059.07559801394</v>
      </c>
      <c r="D4150" s="532">
        <v>45572</v>
      </c>
      <c r="E4150" s="534">
        <v>91</v>
      </c>
      <c r="F4150" s="653">
        <v>0.13479406097764102</v>
      </c>
      <c r="G4150" s="536" t="s">
        <v>260</v>
      </c>
      <c r="H4150" s="835">
        <v>9909.5853619826157</v>
      </c>
      <c r="I4150" s="835">
        <v>1052.8</v>
      </c>
      <c r="J4150">
        <v>1191.74</v>
      </c>
      <c r="K4150">
        <v>211.81610942249242</v>
      </c>
      <c r="L4150">
        <v>253059.07559801394</v>
      </c>
      <c r="M4150">
        <v>0</v>
      </c>
    </row>
    <row r="4151" spans="1:13" ht="13.5" customHeight="1">
      <c r="A4151" s="532">
        <v>45392</v>
      </c>
      <c r="B4151" s="615">
        <v>65900</v>
      </c>
      <c r="C4151" s="615">
        <v>95311.835245208043</v>
      </c>
      <c r="D4151" s="532">
        <v>45572</v>
      </c>
      <c r="E4151" s="534">
        <v>180</v>
      </c>
      <c r="F4151" s="653">
        <v>0.44631009476795214</v>
      </c>
      <c r="G4151" s="536" t="s">
        <v>265</v>
      </c>
      <c r="H4151" s="835">
        <v>4901.9725408680069</v>
      </c>
      <c r="I4151" s="835">
        <v>828.05</v>
      </c>
      <c r="J4151">
        <v>1191.74</v>
      </c>
      <c r="K4151">
        <v>79.584566149387115</v>
      </c>
      <c r="L4151">
        <v>95311.835245208029</v>
      </c>
      <c r="M4151">
        <v>0</v>
      </c>
    </row>
    <row r="4152" spans="1:13" ht="13.5" customHeight="1">
      <c r="A4152" s="532">
        <v>45390</v>
      </c>
      <c r="B4152" s="615">
        <v>260000</v>
      </c>
      <c r="C4152" s="615">
        <v>382124.91863711987</v>
      </c>
      <c r="D4152" s="532">
        <v>45572</v>
      </c>
      <c r="E4152" s="534">
        <v>182</v>
      </c>
      <c r="F4152" s="653">
        <v>0.46971122552738409</v>
      </c>
      <c r="G4152" s="536" t="s">
        <v>257</v>
      </c>
      <c r="H4152" s="835">
        <v>20130.481094030747</v>
      </c>
      <c r="I4152" s="835">
        <v>814.91</v>
      </c>
      <c r="J4152">
        <v>1191.74</v>
      </c>
      <c r="K4152">
        <v>319.05363782503588</v>
      </c>
      <c r="L4152">
        <v>382124.91863711982</v>
      </c>
      <c r="M4152">
        <v>0</v>
      </c>
    </row>
    <row r="4153" spans="1:13" ht="13.5" customHeight="1">
      <c r="A4153" s="532">
        <v>45390</v>
      </c>
      <c r="B4153" s="615">
        <v>100000</v>
      </c>
      <c r="C4153" s="615">
        <v>146971.12255273841</v>
      </c>
      <c r="D4153" s="532">
        <v>45572</v>
      </c>
      <c r="E4153" s="534">
        <v>182</v>
      </c>
      <c r="F4153" s="653">
        <v>0.46971122552738409</v>
      </c>
      <c r="G4153" s="536" t="s">
        <v>258</v>
      </c>
      <c r="H4153" s="835">
        <v>7742.492728473364</v>
      </c>
      <c r="I4153" s="835">
        <v>814.91</v>
      </c>
      <c r="J4153">
        <v>1191.74</v>
      </c>
      <c r="K4153">
        <v>122.71293762501381</v>
      </c>
      <c r="L4153">
        <v>146971.12255273841</v>
      </c>
      <c r="M4153">
        <v>0</v>
      </c>
    </row>
    <row r="4154" spans="1:13" ht="13.5" customHeight="1">
      <c r="A4154" s="532">
        <v>45393</v>
      </c>
      <c r="B4154" s="615">
        <v>350000</v>
      </c>
      <c r="C4154" s="615">
        <v>506264.29951156699</v>
      </c>
      <c r="D4154" s="532">
        <v>45573</v>
      </c>
      <c r="E4154" s="534">
        <v>180</v>
      </c>
      <c r="F4154" s="653">
        <v>0.44646942717590576</v>
      </c>
      <c r="G4154" s="536" t="s">
        <v>258</v>
      </c>
      <c r="H4154" s="835">
        <v>26044.049918594501</v>
      </c>
      <c r="I4154" s="835">
        <v>831.37</v>
      </c>
      <c r="J4154">
        <v>1196.6500000000001</v>
      </c>
      <c r="K4154">
        <v>420.99185681465531</v>
      </c>
      <c r="L4154">
        <v>506264.29951156699</v>
      </c>
      <c r="M4154">
        <v>0</v>
      </c>
    </row>
    <row r="4155" spans="1:13" ht="13.5" customHeight="1">
      <c r="A4155" s="532">
        <v>45544</v>
      </c>
      <c r="B4155" s="615">
        <v>82400</v>
      </c>
      <c r="C4155" s="615">
        <v>84702.684931506854</v>
      </c>
      <c r="D4155" s="532">
        <v>45574</v>
      </c>
      <c r="E4155" s="534">
        <v>30</v>
      </c>
      <c r="F4155" s="653">
        <v>0.34</v>
      </c>
      <c r="G4155" s="536" t="s">
        <v>259</v>
      </c>
      <c r="H4155" s="835">
        <v>2302.6849315068539</v>
      </c>
      <c r="I4155" s="835">
        <v>1147.94</v>
      </c>
      <c r="J4155">
        <v>1198.3</v>
      </c>
      <c r="K4155">
        <v>71.780755091729532</v>
      </c>
      <c r="L4155">
        <v>84702.684931506854</v>
      </c>
      <c r="M4155">
        <v>0</v>
      </c>
    </row>
    <row r="4156" spans="1:13" ht="13.5" customHeight="1">
      <c r="A4156" s="532">
        <v>45394</v>
      </c>
      <c r="B4156" s="615">
        <v>52000</v>
      </c>
      <c r="C4156" s="615">
        <v>75019.635895761065</v>
      </c>
      <c r="D4156" s="532">
        <v>45574</v>
      </c>
      <c r="E4156" s="534">
        <v>180</v>
      </c>
      <c r="F4156" s="653">
        <v>0.44268530568771292</v>
      </c>
      <c r="G4156" s="536" t="s">
        <v>257</v>
      </c>
      <c r="H4156" s="835">
        <v>3836.6059826268443</v>
      </c>
      <c r="I4156" s="835">
        <v>834.7</v>
      </c>
      <c r="J4156">
        <v>1198.3</v>
      </c>
      <c r="K4156">
        <v>62.29783155624775</v>
      </c>
      <c r="L4156">
        <v>75019.635895761079</v>
      </c>
      <c r="M4156">
        <v>0</v>
      </c>
    </row>
    <row r="4157" spans="1:13" ht="13.5" customHeight="1">
      <c r="A4157" s="532">
        <v>45394</v>
      </c>
      <c r="B4157" s="615">
        <v>900000</v>
      </c>
      <c r="C4157" s="615">
        <v>1298416.7751189417</v>
      </c>
      <c r="D4157" s="532">
        <v>45574</v>
      </c>
      <c r="E4157" s="534">
        <v>180</v>
      </c>
      <c r="F4157" s="653">
        <v>0.44268530568771292</v>
      </c>
      <c r="G4157" s="536" t="s">
        <v>266</v>
      </c>
      <c r="H4157" s="835">
        <v>66402.795853156946</v>
      </c>
      <c r="I4157" s="835">
        <v>834.7</v>
      </c>
      <c r="J4157">
        <v>1198.3</v>
      </c>
      <c r="K4157">
        <v>1078.2317000119804</v>
      </c>
      <c r="L4157">
        <v>1298416.7751189419</v>
      </c>
      <c r="M4157">
        <v>0</v>
      </c>
    </row>
    <row r="4158" spans="1:13" ht="13.5" customHeight="1">
      <c r="A4158" s="532">
        <v>45400</v>
      </c>
      <c r="B4158" s="615">
        <v>250000</v>
      </c>
      <c r="C4158" s="615">
        <v>355395.28813571826</v>
      </c>
      <c r="D4158" s="532">
        <v>45580</v>
      </c>
      <c r="E4158" s="534">
        <v>180</v>
      </c>
      <c r="F4158" s="653">
        <v>0.42158115254287298</v>
      </c>
      <c r="G4158" s="536" t="s">
        <v>257</v>
      </c>
      <c r="H4158" s="835">
        <v>17565.881355953043</v>
      </c>
      <c r="I4158" s="835">
        <v>854.09</v>
      </c>
      <c r="J4158">
        <v>1208.2</v>
      </c>
      <c r="K4158">
        <v>292.70919926471447</v>
      </c>
      <c r="L4158">
        <v>355395.28813571821</v>
      </c>
      <c r="M4158">
        <v>0</v>
      </c>
    </row>
    <row r="4159" spans="1:13" ht="13.5" customHeight="1">
      <c r="A4159" s="532">
        <v>45553</v>
      </c>
      <c r="B4159" s="615">
        <v>66400</v>
      </c>
      <c r="C4159" s="615">
        <f>B4159+(B4159*F4159/365*E4159)*1</f>
        <v>68255.561643835623</v>
      </c>
      <c r="D4159" s="532">
        <f>+A4159+E4159</f>
        <v>45583</v>
      </c>
      <c r="E4159" s="534">
        <v>30</v>
      </c>
      <c r="F4159" s="653">
        <v>0.34</v>
      </c>
      <c r="G4159" s="536" t="s">
        <v>259</v>
      </c>
      <c r="H4159" s="835">
        <f t="shared" ref="A4159:H4159" si="547">(C4159-B4159)/E4159*30</f>
        <v>1855.5616438356228</v>
      </c>
      <c r="I4159" s="835" t="e">
        <f>VLOOKUP(Tabla1[[#This Row],[FECHA]],TablaUVA[#All],2)</f>
        <v>#VALUE!</v>
      </c>
      <c r="J4159" t="e">
        <f>VLOOKUP(Tabla1[[#This Row],[VTO.]],TablaUVA[#All],2)</f>
        <v>#VALUE!</v>
      </c>
      <c r="K4159" t="e">
        <f>+Tabla1[[#This Row],[DEPOSITADO]]/I4159</f>
        <v>#VALUE!</v>
      </c>
      <c r="L4159" t="e">
        <f>IF(Tabla1[[#This Row],[DIAS]]&gt;89,+K4159*J4159*(1+1%/365*Tabla1[[#This Row],[DIAS]]),Tabla1[[#This Row],[ACOBRAR]])</f>
        <v>#VALUE!</v>
      </c>
      <c r="M4159" t="e">
        <f>+L4159-Tabla1[[#This Row],[ACOBRAR]]</f>
        <v>#VALUE!</v>
      </c>
    </row>
    <row r="4160" spans="1:13" ht="13.5" customHeight="1">
      <c r="A4160" s="532">
        <v>45496</v>
      </c>
      <c r="B4160" s="615">
        <v>490000</v>
      </c>
      <c r="C4160" s="615">
        <v>553010.71680261381</v>
      </c>
      <c r="D4160" s="532">
        <v>45586</v>
      </c>
      <c r="E4160" s="534">
        <v>90</v>
      </c>
      <c r="F4160" s="653">
        <v>0.12859329959717103</v>
      </c>
      <c r="G4160" s="536" t="s">
        <v>260</v>
      </c>
      <c r="H4160" s="835">
        <v>21003.572267537937</v>
      </c>
      <c r="I4160" s="835">
        <v>1078.23</v>
      </c>
      <c r="J4160">
        <v>1213.8900000000001</v>
      </c>
      <c r="K4160">
        <v>454.44849429157046</v>
      </c>
      <c r="L4160">
        <v>553010.71680261381</v>
      </c>
      <c r="M4160">
        <v>0</v>
      </c>
    </row>
    <row r="4161" spans="1:13" ht="13.5" customHeight="1">
      <c r="A4161" s="532">
        <v>45406</v>
      </c>
      <c r="B4161" s="615">
        <v>200000</v>
      </c>
      <c r="C4161" s="615">
        <v>279756.06165561639</v>
      </c>
      <c r="D4161" s="532">
        <v>45586</v>
      </c>
      <c r="E4161" s="534">
        <v>180</v>
      </c>
      <c r="F4161" s="653">
        <v>0.39878030827808186</v>
      </c>
      <c r="G4161" s="536" t="s">
        <v>256</v>
      </c>
      <c r="H4161" s="835">
        <v>13292.676942602731</v>
      </c>
      <c r="I4161" s="835">
        <v>872.1</v>
      </c>
      <c r="J4161">
        <v>1213.8900000000001</v>
      </c>
      <c r="K4161">
        <v>229.33149868134387</v>
      </c>
      <c r="L4161">
        <v>279756.06165561633</v>
      </c>
      <c r="M4161">
        <v>0</v>
      </c>
    </row>
    <row r="4162" spans="1:13" ht="13.5" customHeight="1">
      <c r="A4162" s="532">
        <v>45405</v>
      </c>
      <c r="B4162" s="615">
        <v>130000</v>
      </c>
      <c r="C4162" s="615">
        <v>182480.40242356379</v>
      </c>
      <c r="D4162" s="532">
        <v>45586</v>
      </c>
      <c r="E4162" s="534">
        <v>181</v>
      </c>
      <c r="F4162" s="653">
        <v>0.40369540325818298</v>
      </c>
      <c r="G4162" s="536" t="s">
        <v>256</v>
      </c>
      <c r="H4162" s="835">
        <v>8698.4092414746628</v>
      </c>
      <c r="I4162" s="835">
        <v>869.07</v>
      </c>
      <c r="J4162">
        <v>1213.8900000000001</v>
      </c>
      <c r="K4162">
        <v>149.58518876500165</v>
      </c>
      <c r="L4162">
        <v>182480.40242356376</v>
      </c>
      <c r="M4162">
        <v>0</v>
      </c>
    </row>
    <row r="4163" spans="1:13" ht="13.5" customHeight="1">
      <c r="A4163" s="532">
        <v>45404</v>
      </c>
      <c r="B4163" s="615">
        <v>100000</v>
      </c>
      <c r="C4163" s="615">
        <v>141845.56960291415</v>
      </c>
      <c r="D4163" s="532">
        <v>45586</v>
      </c>
      <c r="E4163" s="534">
        <v>182</v>
      </c>
      <c r="F4163" s="653">
        <v>0.41845569602914168</v>
      </c>
      <c r="G4163" s="536" t="s">
        <v>257</v>
      </c>
      <c r="H4163" s="835">
        <v>6897.6213631177179</v>
      </c>
      <c r="I4163" s="835">
        <v>860.05</v>
      </c>
      <c r="J4163">
        <v>1213.8900000000001</v>
      </c>
      <c r="K4163">
        <v>116.27230974943318</v>
      </c>
      <c r="L4163">
        <v>141845.56960291413</v>
      </c>
      <c r="M4163">
        <v>0</v>
      </c>
    </row>
    <row r="4164" spans="1:13" ht="13.5" customHeight="1">
      <c r="A4164" s="532">
        <v>45407</v>
      </c>
      <c r="B4164" s="615">
        <v>100000</v>
      </c>
      <c r="C4164" s="615">
        <v>139857.19764289769</v>
      </c>
      <c r="D4164" s="532">
        <v>45587</v>
      </c>
      <c r="E4164" s="534">
        <v>180</v>
      </c>
      <c r="F4164" s="653">
        <v>0.39857197642897679</v>
      </c>
      <c r="G4164" s="536" t="s">
        <v>257</v>
      </c>
      <c r="H4164" s="835">
        <v>6642.866273816282</v>
      </c>
      <c r="I4164" s="835">
        <v>875.14</v>
      </c>
      <c r="J4164">
        <v>1217.94</v>
      </c>
      <c r="K4164">
        <v>114.26743149667482</v>
      </c>
      <c r="L4164">
        <v>139857.19764289769</v>
      </c>
      <c r="M4164">
        <v>0</v>
      </c>
    </row>
    <row r="4165" spans="1:13" ht="13.5" customHeight="1">
      <c r="A4165" s="532">
        <v>45558</v>
      </c>
      <c r="B4165" s="615">
        <v>34000</v>
      </c>
      <c r="C4165" s="615">
        <f>B4165+(B4165*F4165/365*E4165)*1</f>
        <v>34950.136986301368</v>
      </c>
      <c r="D4165" s="532">
        <f>+A4165+E4165</f>
        <v>45588</v>
      </c>
      <c r="E4165" s="534">
        <v>30</v>
      </c>
      <c r="F4165" s="653">
        <v>0.34</v>
      </c>
      <c r="G4165" s="536" t="s">
        <v>259</v>
      </c>
      <c r="H4165" s="835">
        <f t="shared" ref="A4165:H4165" si="548">(C4165-B4165)/E4165*30</f>
        <v>950.13698630136787</v>
      </c>
      <c r="I4165" s="835" t="e">
        <f>VLOOKUP(Tabla1[[#This Row],[FECHA]],TablaUVA[#All],2)</f>
        <v>#VALUE!</v>
      </c>
      <c r="J4165" t="e">
        <f>VLOOKUP(Tabla1[[#This Row],[VTO.]],TablaUVA[#All],2)</f>
        <v>#VALUE!</v>
      </c>
      <c r="K4165" t="e">
        <f>+Tabla1[[#This Row],[DEPOSITADO]]/I4165</f>
        <v>#VALUE!</v>
      </c>
      <c r="L4165" t="e">
        <f>IF(Tabla1[[#This Row],[DIAS]]&gt;89,+K4165*J4165*(1+1%/365*Tabla1[[#This Row],[DIAS]]),Tabla1[[#This Row],[ACOBRAR]])</f>
        <v>#VALUE!</v>
      </c>
      <c r="M4165" t="e">
        <f>+L4165-Tabla1[[#This Row],[ACOBRAR]]</f>
        <v>#VALUE!</v>
      </c>
    </row>
    <row r="4166" spans="1:13" ht="13.5" customHeight="1">
      <c r="A4166" s="532">
        <v>45562</v>
      </c>
      <c r="B4166" s="615">
        <v>53700</v>
      </c>
      <c r="C4166" s="615">
        <v>55250.679452054792</v>
      </c>
      <c r="D4166" s="532">
        <v>45593</v>
      </c>
      <c r="E4166" s="534">
        <v>31</v>
      </c>
      <c r="F4166" s="653">
        <v>0.34</v>
      </c>
      <c r="G4166" s="536" t="s">
        <v>259</v>
      </c>
      <c r="H4166" s="835">
        <v>1500.6575342465728</v>
      </c>
      <c r="I4166" s="835">
        <v>1178.74</v>
      </c>
      <c r="J4166">
        <v>1223.3599999999999</v>
      </c>
      <c r="K4166">
        <v>45.557120314912531</v>
      </c>
      <c r="L4166">
        <v>55250.679452054792</v>
      </c>
      <c r="M4166">
        <v>0</v>
      </c>
    </row>
    <row r="4167" spans="1:13" ht="13.5" customHeight="1">
      <c r="A4167" s="532">
        <v>45411</v>
      </c>
      <c r="B4167" s="615">
        <v>100000</v>
      </c>
      <c r="C4167" s="615">
        <v>139513.19621490329</v>
      </c>
      <c r="D4167" s="532">
        <v>45593</v>
      </c>
      <c r="E4167" s="534">
        <v>182</v>
      </c>
      <c r="F4167" s="653">
        <v>0.39513196214903301</v>
      </c>
      <c r="G4167" s="536" t="s">
        <v>257</v>
      </c>
      <c r="H4167" s="835">
        <v>6513.1642112477948</v>
      </c>
      <c r="I4167" s="835">
        <v>881.25</v>
      </c>
      <c r="J4167">
        <v>1223.3599999999999</v>
      </c>
      <c r="K4167">
        <v>113.47517730496453</v>
      </c>
      <c r="L4167">
        <v>139513.19621490332</v>
      </c>
      <c r="M4167">
        <v>0</v>
      </c>
    </row>
    <row r="4168" spans="1:13" ht="13.5" customHeight="1">
      <c r="A4168" s="532">
        <v>45412</v>
      </c>
      <c r="B4168" s="615">
        <v>80000</v>
      </c>
      <c r="C4168" s="615">
        <v>110449.44018969392</v>
      </c>
      <c r="D4168" s="532">
        <v>45593</v>
      </c>
      <c r="E4168" s="534">
        <v>181</v>
      </c>
      <c r="F4168" s="653">
        <v>0.38061800237117405</v>
      </c>
      <c r="G4168" s="536" t="s">
        <v>258</v>
      </c>
      <c r="H4168" s="835">
        <v>5046.8685397282743</v>
      </c>
      <c r="I4168" s="835">
        <v>890.49</v>
      </c>
      <c r="J4168">
        <v>1223.3599999999999</v>
      </c>
      <c r="K4168">
        <v>89.838178980112076</v>
      </c>
      <c r="L4168">
        <v>110449.44018969391</v>
      </c>
      <c r="M4168">
        <v>0</v>
      </c>
    </row>
    <row r="4169" spans="1:13" ht="13.5" customHeight="1">
      <c r="A4169" s="532">
        <v>45414</v>
      </c>
      <c r="B4169" s="615">
        <v>500000</v>
      </c>
      <c r="C4169" s="615">
        <v>690176.29781336989</v>
      </c>
      <c r="D4169" s="532">
        <v>45594</v>
      </c>
      <c r="E4169" s="534">
        <v>180</v>
      </c>
      <c r="F4169" s="653">
        <v>0.38035259562673973</v>
      </c>
      <c r="G4169" s="536" t="s">
        <v>265</v>
      </c>
      <c r="H4169" s="835">
        <v>31696.049635561645</v>
      </c>
      <c r="I4169" s="835">
        <v>893.6</v>
      </c>
      <c r="J4169">
        <v>1227.43</v>
      </c>
      <c r="K4169">
        <v>559.53446732318707</v>
      </c>
      <c r="L4169">
        <v>690176.29781336989</v>
      </c>
      <c r="M4169">
        <v>0</v>
      </c>
    </row>
    <row r="4170" spans="1:13" ht="13.5" customHeight="1">
      <c r="A4170" s="532">
        <v>45569</v>
      </c>
      <c r="B4170" s="615">
        <v>134900</v>
      </c>
      <c r="C4170" s="615">
        <v>138910.04109589042</v>
      </c>
      <c r="D4170" s="532">
        <v>45600</v>
      </c>
      <c r="E4170" s="534">
        <v>31</v>
      </c>
      <c r="F4170" s="653">
        <v>0.35</v>
      </c>
      <c r="G4170" s="536" t="s">
        <v>259</v>
      </c>
      <c r="H4170" s="835">
        <v>3880.6849315068625</v>
      </c>
      <c r="I4170" s="835">
        <v>1190.1099999999999</v>
      </c>
      <c r="J4170">
        <v>1232.9000000000001</v>
      </c>
      <c r="K4170">
        <v>113.35086672660512</v>
      </c>
      <c r="L4170">
        <v>138910.04109589042</v>
      </c>
      <c r="M4170">
        <v>0</v>
      </c>
    </row>
    <row r="4171" spans="1:13" ht="13.5" customHeight="1">
      <c r="A4171" s="532">
        <v>45567</v>
      </c>
      <c r="B4171" s="615">
        <v>144000</v>
      </c>
      <c r="C4171" s="615">
        <v>148556.71232876711</v>
      </c>
      <c r="D4171" s="532">
        <v>45600</v>
      </c>
      <c r="E4171" s="534">
        <v>33</v>
      </c>
      <c r="F4171" s="653">
        <v>0.35</v>
      </c>
      <c r="G4171" s="536" t="s">
        <v>259</v>
      </c>
      <c r="H4171" s="835">
        <v>4142.465753424648</v>
      </c>
      <c r="I4171" s="835">
        <v>1186.8499999999999</v>
      </c>
      <c r="J4171">
        <v>1232.9000000000001</v>
      </c>
      <c r="K4171">
        <v>121.32956986982349</v>
      </c>
      <c r="L4171">
        <v>148556.71232876711</v>
      </c>
      <c r="M4171">
        <v>0</v>
      </c>
    </row>
    <row r="4172" spans="1:13" ht="13.5" customHeight="1">
      <c r="A4172" s="532">
        <v>45568</v>
      </c>
      <c r="B4172" s="615">
        <v>151900</v>
      </c>
      <c r="C4172" s="615">
        <v>156561.04109589042</v>
      </c>
      <c r="D4172" s="532">
        <v>45600</v>
      </c>
      <c r="E4172" s="534">
        <v>32</v>
      </c>
      <c r="F4172" s="653">
        <v>0.35</v>
      </c>
      <c r="G4172" s="536" t="s">
        <v>259</v>
      </c>
      <c r="H4172" s="835">
        <v>4369.7260273972734</v>
      </c>
      <c r="I4172" s="835">
        <v>1188.48</v>
      </c>
      <c r="J4172">
        <v>1232.9000000000001</v>
      </c>
      <c r="K4172">
        <v>127.81031233171782</v>
      </c>
      <c r="L4172">
        <v>156561.04109589042</v>
      </c>
      <c r="M4172">
        <v>0</v>
      </c>
    </row>
    <row r="4173" spans="1:13" ht="13.5" customHeight="1">
      <c r="A4173" s="532">
        <v>45418</v>
      </c>
      <c r="B4173" s="615">
        <v>21900</v>
      </c>
      <c r="C4173" s="615">
        <v>30050.990265457327</v>
      </c>
      <c r="D4173" s="532">
        <v>45600</v>
      </c>
      <c r="E4173" s="534">
        <v>182</v>
      </c>
      <c r="F4173" s="653">
        <v>0.37219133632225243</v>
      </c>
      <c r="G4173" s="536" t="s">
        <v>257</v>
      </c>
      <c r="H4173" s="835">
        <v>1343.5698239764824</v>
      </c>
      <c r="I4173" s="835">
        <v>902.97</v>
      </c>
      <c r="J4173">
        <v>1232.9000000000001</v>
      </c>
      <c r="K4173">
        <v>24.253297451742583</v>
      </c>
      <c r="L4173">
        <v>30050.990265457323</v>
      </c>
      <c r="M4173">
        <v>0</v>
      </c>
    </row>
    <row r="4174" spans="1:13" ht="13.5" customHeight="1">
      <c r="A4174" s="532">
        <v>45420</v>
      </c>
      <c r="B4174" s="615">
        <v>560000</v>
      </c>
      <c r="C4174" s="615">
        <v>757769.41382334533</v>
      </c>
      <c r="D4174" s="532">
        <v>45600</v>
      </c>
      <c r="E4174" s="534">
        <v>180</v>
      </c>
      <c r="F4174" s="653">
        <v>0.35315966754168815</v>
      </c>
      <c r="G4174" s="536" t="s">
        <v>257</v>
      </c>
      <c r="H4174" s="835">
        <v>32961.56897055755</v>
      </c>
      <c r="I4174" s="835">
        <v>915.62</v>
      </c>
      <c r="J4174">
        <v>1232.9000000000001</v>
      </c>
      <c r="K4174">
        <v>611.60743539896464</v>
      </c>
      <c r="L4174">
        <v>757769.41382334544</v>
      </c>
      <c r="M4174">
        <v>0</v>
      </c>
    </row>
    <row r="4175" spans="1:13" ht="13.5" customHeight="1">
      <c r="A4175" s="532">
        <v>45572</v>
      </c>
      <c r="B4175" s="615">
        <v>33300</v>
      </c>
      <c r="C4175" s="615">
        <v>34289.876712328769</v>
      </c>
      <c r="D4175" s="532">
        <v>45603</v>
      </c>
      <c r="E4175" s="534">
        <v>31</v>
      </c>
      <c r="F4175" s="653">
        <v>0.35</v>
      </c>
      <c r="G4175" s="536" t="s">
        <v>259</v>
      </c>
      <c r="H4175" s="835">
        <v>957.94520547945376</v>
      </c>
      <c r="I4175" s="835">
        <v>1191.74</v>
      </c>
      <c r="J4175">
        <v>1238.3800000000001</v>
      </c>
      <c r="K4175">
        <v>27.942336415661135</v>
      </c>
      <c r="L4175">
        <v>34289.876712328769</v>
      </c>
      <c r="M4175">
        <v>0</v>
      </c>
    </row>
    <row r="4176" spans="1:13" ht="13.5" customHeight="1">
      <c r="A4176" s="532">
        <v>45435</v>
      </c>
      <c r="B4176" s="615">
        <v>108000</v>
      </c>
      <c r="C4176" s="615">
        <v>141630.65242836365</v>
      </c>
      <c r="D4176" s="532">
        <v>45615</v>
      </c>
      <c r="E4176" s="534">
        <v>180</v>
      </c>
      <c r="F4176" s="653">
        <v>0.31139492989225603</v>
      </c>
      <c r="G4176" s="536" t="s">
        <v>257</v>
      </c>
      <c r="H4176" s="835">
        <v>5605.1087380606095</v>
      </c>
      <c r="I4176" s="835">
        <f>+C4176-B4176-532.6</f>
        <v>33098.052428363655</v>
      </c>
      <c r="J4176">
        <v>1252.2</v>
      </c>
      <c r="K4176">
        <v>112.55041320591515</v>
      </c>
      <c r="L4176">
        <v>141630.65242836365</v>
      </c>
      <c r="M4176">
        <v>0</v>
      </c>
    </row>
    <row r="4177" spans="1:13" ht="13.5" customHeight="1">
      <c r="A4177" s="532">
        <v>45432</v>
      </c>
      <c r="B4177" s="615">
        <v>190000</v>
      </c>
      <c r="C4177" s="615">
        <v>252599.67161492177</v>
      </c>
      <c r="D4177" s="532">
        <v>45615</v>
      </c>
      <c r="E4177" s="534">
        <v>183</v>
      </c>
      <c r="F4177" s="653">
        <v>0.32947195586800926</v>
      </c>
      <c r="G4177" s="536" t="s">
        <v>266</v>
      </c>
      <c r="H4177" s="835">
        <v>10262.241248347831</v>
      </c>
      <c r="I4177" s="835">
        <v>946.6</v>
      </c>
      <c r="J4177">
        <v>1252.2</v>
      </c>
      <c r="K4177">
        <v>200.71836044791885</v>
      </c>
      <c r="L4177">
        <v>252599.67161492174</v>
      </c>
      <c r="M4177">
        <v>0</v>
      </c>
    </row>
    <row r="4178" spans="1:13" ht="13.5" customHeight="1">
      <c r="A4178" s="532">
        <v>45434</v>
      </c>
      <c r="B4178" s="615">
        <v>194000</v>
      </c>
      <c r="C4178" s="615">
        <v>255111.44740307776</v>
      </c>
      <c r="D4178" s="532">
        <v>45615</v>
      </c>
      <c r="E4178" s="534">
        <v>181</v>
      </c>
      <c r="F4178" s="653">
        <v>0.31500746084060705</v>
      </c>
      <c r="G4178" s="536" t="s">
        <v>266</v>
      </c>
      <c r="H4178" s="835">
        <v>10128.969182830568</v>
      </c>
      <c r="I4178" s="835">
        <v>956.96</v>
      </c>
      <c r="J4178">
        <v>1252.2</v>
      </c>
      <c r="K4178">
        <v>202.72529677311485</v>
      </c>
      <c r="L4178">
        <v>255111.44740307776</v>
      </c>
      <c r="M4178">
        <v>0</v>
      </c>
    </row>
    <row r="4179" spans="1:13" ht="13.5" customHeight="1">
      <c r="A4179" s="532">
        <v>45435</v>
      </c>
      <c r="B4179" s="615">
        <v>130000</v>
      </c>
      <c r="C4179" s="615">
        <v>170481.3408859933</v>
      </c>
      <c r="D4179" s="532">
        <v>45615</v>
      </c>
      <c r="E4179" s="534">
        <v>180</v>
      </c>
      <c r="F4179" s="653">
        <v>0.31139492989225603</v>
      </c>
      <c r="G4179" s="536" t="s">
        <v>266</v>
      </c>
      <c r="H4179" s="835">
        <v>6746.8901476655492</v>
      </c>
      <c r="I4179" s="835">
        <v>959.57</v>
      </c>
      <c r="J4179">
        <v>1252.2</v>
      </c>
      <c r="K4179">
        <v>135.47734922934231</v>
      </c>
      <c r="L4179">
        <v>170481.3408859933</v>
      </c>
      <c r="M4179">
        <v>0</v>
      </c>
    </row>
    <row r="4180" spans="1:13" ht="13.5" customHeight="1">
      <c r="A4180" s="532">
        <v>45586</v>
      </c>
      <c r="B4180" s="615">
        <v>67670</v>
      </c>
      <c r="C4180" s="615">
        <v>69616.671232876717</v>
      </c>
      <c r="D4180" s="532">
        <v>45616</v>
      </c>
      <c r="E4180" s="534">
        <v>30</v>
      </c>
      <c r="F4180" s="653">
        <v>0.35</v>
      </c>
      <c r="G4180" s="536" t="s">
        <v>259</v>
      </c>
      <c r="H4180" s="835">
        <v>1946.6712328767173</v>
      </c>
      <c r="I4180" s="835">
        <v>1213.8900000000001</v>
      </c>
      <c r="J4180">
        <v>1256.6600000000001</v>
      </c>
      <c r="K4180">
        <v>55.746402062789869</v>
      </c>
      <c r="L4180">
        <v>69616.671232876717</v>
      </c>
      <c r="M4180">
        <v>0</v>
      </c>
    </row>
    <row r="4181" spans="1:13" ht="13.5" customHeight="1">
      <c r="A4181" s="532">
        <v>45436</v>
      </c>
      <c r="B4181" s="615">
        <v>140000</v>
      </c>
      <c r="C4181" s="615">
        <v>183749.41469955354</v>
      </c>
      <c r="D4181" s="532">
        <v>45616</v>
      </c>
      <c r="E4181" s="534">
        <v>180</v>
      </c>
      <c r="F4181" s="653">
        <v>0.31249581928252534</v>
      </c>
      <c r="G4181" s="536" t="s">
        <v>257</v>
      </c>
      <c r="H4181" s="835">
        <v>7291.5691165922572</v>
      </c>
      <c r="I4181" s="835">
        <v>962.18</v>
      </c>
      <c r="J4181">
        <v>1256.6600000000001</v>
      </c>
      <c r="K4181">
        <v>145.50292045147478</v>
      </c>
      <c r="L4181">
        <v>183749.41469955354</v>
      </c>
      <c r="M4181">
        <v>0</v>
      </c>
    </row>
    <row r="4182" spans="1:13" ht="13.5" customHeight="1">
      <c r="A4182" s="532">
        <v>45436</v>
      </c>
      <c r="B4182" s="615">
        <v>127000</v>
      </c>
      <c r="C4182" s="615">
        <v>166686.96904888071</v>
      </c>
      <c r="D4182" s="532">
        <v>45616</v>
      </c>
      <c r="E4182" s="534">
        <v>180</v>
      </c>
      <c r="F4182" s="653">
        <v>0.31249581928252534</v>
      </c>
      <c r="G4182" s="536" t="s">
        <v>266</v>
      </c>
      <c r="H4182" s="835">
        <v>6614.4948414801183</v>
      </c>
      <c r="I4182" s="835">
        <v>962.18</v>
      </c>
      <c r="J4182">
        <v>1256.6600000000001</v>
      </c>
      <c r="K4182">
        <v>131.99193498098069</v>
      </c>
      <c r="L4182">
        <v>166686.96904888074</v>
      </c>
      <c r="M4182">
        <v>0</v>
      </c>
    </row>
    <row r="4183" spans="1:13" ht="13.5" customHeight="1">
      <c r="A4183" s="532">
        <v>45530</v>
      </c>
      <c r="B4183" s="615">
        <v>1880000</v>
      </c>
      <c r="C4183" s="615">
        <v>2116117.5987028577</v>
      </c>
      <c r="D4183" s="532">
        <v>45621</v>
      </c>
      <c r="E4183" s="534">
        <v>91</v>
      </c>
      <c r="F4183" s="653">
        <v>0.12002358133563917</v>
      </c>
      <c r="G4183" s="536" t="s">
        <v>256</v>
      </c>
      <c r="H4183" s="835">
        <v>74388.241619011489</v>
      </c>
      <c r="I4183" s="835">
        <f>1894061.37+222056.23</f>
        <v>2116117.6</v>
      </c>
      <c r="J4183">
        <f>+C4183-I4183</f>
        <v>-1.29714235663414E-3</v>
      </c>
      <c r="K4183">
        <v>1666.9770081309464</v>
      </c>
      <c r="L4183">
        <v>2105644.3329110015</v>
      </c>
      <c r="M4183">
        <v>0</v>
      </c>
    </row>
    <row r="4184" spans="1:13" ht="13.5" customHeight="1">
      <c r="A4184" s="532">
        <v>45530</v>
      </c>
      <c r="B4184" s="615">
        <v>2729000</v>
      </c>
      <c r="C4184" s="615">
        <v>3056544.3534649592</v>
      </c>
      <c r="D4184" s="532">
        <v>45621</v>
      </c>
      <c r="E4184" s="534">
        <v>91</v>
      </c>
      <c r="F4184" s="653">
        <v>0.12002358133563917</v>
      </c>
      <c r="G4184" s="536" t="s">
        <v>257</v>
      </c>
      <c r="H4184" s="835">
        <v>107981.65498844809</v>
      </c>
      <c r="I4184" s="835">
        <v>1127.79</v>
      </c>
      <c r="J4184">
        <v>0</v>
      </c>
      <c r="K4184">
        <v>2419.7767314836983</v>
      </c>
      <c r="L4184">
        <v>3056544.3534649597</v>
      </c>
      <c r="M4184">
        <v>0</v>
      </c>
    </row>
    <row r="4185" spans="1:13" ht="13.5" customHeight="1">
      <c r="A4185" s="532">
        <v>45530</v>
      </c>
      <c r="B4185" s="615">
        <v>3800000</v>
      </c>
      <c r="C4185" s="615">
        <v>4256089.6090754289</v>
      </c>
      <c r="D4185" s="532">
        <v>45621</v>
      </c>
      <c r="E4185" s="534">
        <v>91</v>
      </c>
      <c r="F4185" s="653">
        <v>0.13162833335923629</v>
      </c>
      <c r="G4185" s="536" t="s">
        <v>258</v>
      </c>
      <c r="H4185" s="835">
        <v>-234654.81700966286</v>
      </c>
      <c r="I4185" s="835">
        <v>4145025.91</v>
      </c>
      <c r="J4185">
        <f t="shared" ref="A4185:J4186" si="549">+C4185-I4185</f>
        <v>111063.69907542877</v>
      </c>
      <c r="K4185">
        <v>3369.4216121795725</v>
      </c>
      <c r="L4185">
        <v>4245610.7723975135</v>
      </c>
      <c r="M4185">
        <f>+C4185-L4185</f>
        <v>10478.836677915417</v>
      </c>
    </row>
    <row r="4186" spans="1:13" ht="13.5" customHeight="1">
      <c r="A4186" s="532">
        <v>45530</v>
      </c>
      <c r="B4186" s="615">
        <v>3050000</v>
      </c>
      <c r="C4186" s="615">
        <v>3416071.9230736997</v>
      </c>
      <c r="D4186" s="532">
        <v>45621</v>
      </c>
      <c r="E4186" s="534">
        <v>91</v>
      </c>
      <c r="F4186" s="653">
        <v>0.13162833335923629</v>
      </c>
      <c r="G4186" s="536" t="s">
        <v>258</v>
      </c>
      <c r="H4186" s="835">
        <v>12597.930243084371</v>
      </c>
      <c r="I4186" s="835">
        <v>3326925.13</v>
      </c>
      <c r="J4186">
        <f t="shared" si="549"/>
        <v>89146.79307369981</v>
      </c>
      <c r="K4186">
        <v>2704.4041887230778</v>
      </c>
      <c r="L4186">
        <v>3407661.2778453724</v>
      </c>
      <c r="M4186">
        <f>+C4186-L4186</f>
        <v>8410.645228327252</v>
      </c>
    </row>
    <row r="4187" spans="1:13" ht="13.5" customHeight="1">
      <c r="A4187" s="532">
        <v>45439</v>
      </c>
      <c r="B4187" s="615">
        <v>103000</v>
      </c>
      <c r="C4187" s="615">
        <v>135186.73023183172</v>
      </c>
      <c r="D4187" s="532">
        <v>45621</v>
      </c>
      <c r="E4187" s="534">
        <v>182</v>
      </c>
      <c r="F4187" s="653">
        <v>0.31249252652263815</v>
      </c>
      <c r="G4187" s="536" t="s">
        <v>266</v>
      </c>
      <c r="H4187" s="835">
        <v>5305.5049832689656</v>
      </c>
      <c r="I4187" s="835">
        <v>964.8</v>
      </c>
      <c r="K4187">
        <v>106.75787728026535</v>
      </c>
      <c r="L4187">
        <v>135186.73023183169</v>
      </c>
      <c r="M4187">
        <v>0</v>
      </c>
    </row>
    <row r="4188" spans="1:13" ht="13.5" customHeight="1">
      <c r="A4188" s="532">
        <v>45440</v>
      </c>
      <c r="B4188" s="615">
        <v>120000</v>
      </c>
      <c r="C4188" s="615">
        <v>156214.07434081563</v>
      </c>
      <c r="D4188" s="532">
        <v>45621</v>
      </c>
      <c r="E4188" s="534">
        <v>181</v>
      </c>
      <c r="F4188" s="653">
        <v>0.30178395284013027</v>
      </c>
      <c r="G4188" s="536" t="s">
        <v>266</v>
      </c>
      <c r="H4188" s="835">
        <v>6002.3327636710983</v>
      </c>
      <c r="I4188" s="835">
        <v>972.71</v>
      </c>
      <c r="K4188">
        <v>123.36667660453783</v>
      </c>
      <c r="L4188">
        <v>156214.07434081563</v>
      </c>
      <c r="M4188">
        <v>0</v>
      </c>
    </row>
    <row r="4189" spans="1:13" ht="13.5" customHeight="1">
      <c r="A4189" s="532">
        <v>45531</v>
      </c>
      <c r="B4189" s="615">
        <v>1000000</v>
      </c>
      <c r="C4189" s="615">
        <v>1118754.656721099</v>
      </c>
      <c r="D4189" s="532">
        <v>45622</v>
      </c>
      <c r="E4189" s="534">
        <v>91</v>
      </c>
      <c r="F4189" s="653">
        <v>0.11875465672109908</v>
      </c>
      <c r="G4189" s="536" t="s">
        <v>256</v>
      </c>
      <c r="H4189" s="835">
        <v>39149.886831131553</v>
      </c>
      <c r="I4189" s="835">
        <f>1007479.75+116839.77</f>
        <v>1124319.52</v>
      </c>
      <c r="J4189">
        <f t="shared" ref="A4189:J4189" si="550">+C4189-I4189</f>
        <v>-5564.8632789009716</v>
      </c>
      <c r="K4189">
        <v>883.3298000141333</v>
      </c>
      <c r="L4189">
        <v>1118754.656721099</v>
      </c>
      <c r="M4189">
        <v>0</v>
      </c>
    </row>
    <row r="4190" spans="1:13" ht="13.5" customHeight="1">
      <c r="A4190" s="532">
        <v>45593</v>
      </c>
      <c r="B4190" s="615">
        <v>55250</v>
      </c>
      <c r="C4190" s="615">
        <v>56839.383561643837</v>
      </c>
      <c r="D4190" s="532">
        <v>45623</v>
      </c>
      <c r="E4190" s="534">
        <v>30</v>
      </c>
      <c r="F4190" s="653">
        <v>0.35</v>
      </c>
      <c r="G4190" s="536" t="s">
        <v>259</v>
      </c>
      <c r="H4190" s="835">
        <v>1589.3835616438373</v>
      </c>
      <c r="I4190" s="835">
        <v>1223.3599999999999</v>
      </c>
      <c r="J4190">
        <v>1264.49</v>
      </c>
      <c r="K4190">
        <v>45.162503269683498</v>
      </c>
      <c r="L4190">
        <v>56839.383561643837</v>
      </c>
      <c r="M4190">
        <v>0</v>
      </c>
    </row>
    <row r="4191" spans="1:13" ht="13.5" customHeight="1">
      <c r="A4191" s="532">
        <v>45531</v>
      </c>
      <c r="B4191" s="615">
        <v>1000000</v>
      </c>
      <c r="C4191" s="615">
        <v>1119777.0543347052</v>
      </c>
      <c r="D4191" s="532">
        <v>45623</v>
      </c>
      <c r="E4191" s="534">
        <v>92</v>
      </c>
      <c r="F4191" s="653">
        <v>0.1197770543347052</v>
      </c>
      <c r="G4191" s="536" t="s">
        <v>256</v>
      </c>
      <c r="H4191" s="835">
        <v>39057.73510914301</v>
      </c>
      <c r="I4191" s="835">
        <f>1007561.14+117846.11</f>
        <v>1125407.25</v>
      </c>
      <c r="J4191">
        <f>+C4191-I4191</f>
        <v>-5630.1956652947702</v>
      </c>
      <c r="K4191">
        <v>883.3298000141333</v>
      </c>
      <c r="L4191">
        <v>1119777.0543347052</v>
      </c>
      <c r="M4191">
        <v>0</v>
      </c>
    </row>
    <row r="4192" spans="1:13" ht="13.5" customHeight="1">
      <c r="A4192" s="532">
        <v>45533</v>
      </c>
      <c r="B4192" s="615">
        <v>125000</v>
      </c>
      <c r="C4192" s="615">
        <v>139610.5467804689</v>
      </c>
      <c r="D4192" s="532">
        <v>45623</v>
      </c>
      <c r="E4192" s="534">
        <v>90</v>
      </c>
      <c r="F4192" s="653">
        <v>0.11688437424375109</v>
      </c>
      <c r="G4192" s="536" t="s">
        <v>257</v>
      </c>
      <c r="H4192" s="835">
        <v>4870.1822601562981</v>
      </c>
      <c r="I4192" s="835">
        <f>125924.66+14372.68</f>
        <v>140297.34</v>
      </c>
      <c r="J4192">
        <f>+C4192-I4192</f>
        <v>-686.79321953110048</v>
      </c>
      <c r="K4192">
        <v>110.13701044098859</v>
      </c>
      <c r="L4192">
        <v>139610.54678046887</v>
      </c>
      <c r="M4192">
        <v>0</v>
      </c>
    </row>
    <row r="4193" spans="1:14" ht="13.5" customHeight="1">
      <c r="A4193" s="532">
        <v>45533</v>
      </c>
      <c r="B4193" s="615">
        <v>260000</v>
      </c>
      <c r="C4193" s="615">
        <v>290389.93730337528</v>
      </c>
      <c r="D4193" s="532">
        <v>45623</v>
      </c>
      <c r="E4193" s="534">
        <v>90</v>
      </c>
      <c r="F4193" s="653">
        <v>0.11688437424375109</v>
      </c>
      <c r="G4193" s="536" t="s">
        <v>256</v>
      </c>
      <c r="H4193" s="835">
        <v>10129.979101125093</v>
      </c>
      <c r="I4193" s="835">
        <f>261923.29+29895.18</f>
        <v>291818.47000000003</v>
      </c>
      <c r="J4193">
        <f>+C4193-I4193</f>
        <v>-1428.5326966247521</v>
      </c>
      <c r="K4193">
        <v>229.08498171725626</v>
      </c>
      <c r="L4193">
        <v>290389.93730337522</v>
      </c>
      <c r="M4193">
        <v>0</v>
      </c>
    </row>
    <row r="4194" spans="1:14" ht="13.5" customHeight="1">
      <c r="A4194" s="532">
        <v>45534</v>
      </c>
      <c r="B4194" s="615">
        <v>500000</v>
      </c>
      <c r="C4194" s="1035">
        <v>560979.62</v>
      </c>
      <c r="D4194" s="532">
        <v>45624</v>
      </c>
      <c r="E4194" s="534">
        <v>90</v>
      </c>
      <c r="F4194" s="653">
        <v>0.11646692320507279</v>
      </c>
      <c r="G4194" s="536" t="s">
        <v>257</v>
      </c>
      <c r="H4194" s="835">
        <v>19411.153867512126</v>
      </c>
      <c r="I4194" s="835">
        <v>1136.3800000000001</v>
      </c>
      <c r="J4194">
        <v>1265.6099999999999</v>
      </c>
      <c r="K4194">
        <v>439.99366409123706</v>
      </c>
      <c r="L4194" s="596">
        <v>558233.46160253638</v>
      </c>
      <c r="M4194">
        <f t="shared" ref="A4194:M4194" si="551">+C4194-L4194</f>
        <v>2746.158397463616</v>
      </c>
    </row>
    <row r="4195" spans="1:14" ht="13.5" customHeight="1">
      <c r="A4195" s="532">
        <v>45534</v>
      </c>
      <c r="B4195" s="615">
        <v>120000</v>
      </c>
      <c r="C4195" s="615">
        <v>133976.03078460874</v>
      </c>
      <c r="D4195" s="532">
        <v>45624</v>
      </c>
      <c r="E4195" s="534">
        <v>90</v>
      </c>
      <c r="F4195" s="653">
        <v>0.11646692320507279</v>
      </c>
      <c r="G4195" s="536" t="s">
        <v>256</v>
      </c>
      <c r="H4195" s="835">
        <v>4658.6769282029127</v>
      </c>
      <c r="I4195" s="835">
        <v>1136.3800000000001</v>
      </c>
      <c r="J4195">
        <v>1265.6099999999999</v>
      </c>
      <c r="K4195">
        <v>105.59847938189689</v>
      </c>
      <c r="L4195">
        <v>133976.03078460874</v>
      </c>
      <c r="M4195">
        <v>0</v>
      </c>
    </row>
    <row r="4196" spans="1:14" ht="13.5" customHeight="1">
      <c r="A4196" s="532">
        <v>45532</v>
      </c>
      <c r="B4196" s="615">
        <v>2000000</v>
      </c>
      <c r="C4196" s="615">
        <v>2238709.9023121661</v>
      </c>
      <c r="D4196" s="532">
        <v>45624</v>
      </c>
      <c r="E4196" s="534">
        <v>92</v>
      </c>
      <c r="F4196" s="653">
        <v>0.11935495115608297</v>
      </c>
      <c r="G4196" s="536" t="s">
        <v>256</v>
      </c>
      <c r="H4196" s="835">
        <v>77840.185536575882</v>
      </c>
      <c r="I4196" s="835">
        <v>1133.51</v>
      </c>
      <c r="J4196">
        <v>1265.6099999999999</v>
      </c>
      <c r="K4196">
        <v>1764.4308387221993</v>
      </c>
      <c r="L4196">
        <v>2238709.9023121656</v>
      </c>
      <c r="M4196">
        <v>0</v>
      </c>
    </row>
    <row r="4197" spans="1:14" ht="13.5" customHeight="1">
      <c r="A4197" s="532">
        <v>45531</v>
      </c>
      <c r="B4197" s="615">
        <v>600000</v>
      </c>
      <c r="C4197" s="615">
        <v>672479.70369488385</v>
      </c>
      <c r="D4197" s="532">
        <v>45624</v>
      </c>
      <c r="E4197" s="534">
        <v>93</v>
      </c>
      <c r="F4197" s="653">
        <v>0.12079950615813972</v>
      </c>
      <c r="G4197" s="536" t="s">
        <v>256</v>
      </c>
      <c r="H4197" s="835">
        <v>23380.549578994789</v>
      </c>
      <c r="I4197" s="835">
        <v>1132.08</v>
      </c>
      <c r="J4197">
        <v>1265.6099999999999</v>
      </c>
      <c r="K4197">
        <v>529.99788000848002</v>
      </c>
      <c r="L4197">
        <v>672479.70369488397</v>
      </c>
      <c r="M4197">
        <v>0</v>
      </c>
    </row>
    <row r="4198" spans="1:14" ht="13.5" customHeight="1">
      <c r="A4198" s="532">
        <v>45531</v>
      </c>
      <c r="B4198" s="615">
        <v>750000</v>
      </c>
      <c r="C4198" s="615">
        <v>838491.94</v>
      </c>
      <c r="D4198" s="532">
        <v>45624</v>
      </c>
      <c r="E4198" s="534">
        <v>93</v>
      </c>
      <c r="F4198" s="653">
        <v>0.12079950615813972</v>
      </c>
      <c r="G4198" s="536" t="s">
        <v>262</v>
      </c>
      <c r="H4198" s="835">
        <v>29225.686973743475</v>
      </c>
      <c r="I4198" s="835">
        <v>1132.08</v>
      </c>
      <c r="J4198">
        <v>1265.6099999999999</v>
      </c>
      <c r="K4198">
        <v>662.49735001060003</v>
      </c>
      <c r="L4198" s="596">
        <v>840599.62961860478</v>
      </c>
      <c r="M4198">
        <f>+C4198-L4198</f>
        <v>-2107.6896186048398</v>
      </c>
    </row>
    <row r="4199" spans="1:14" ht="13.5" customHeight="1">
      <c r="A4199" s="532">
        <v>45532</v>
      </c>
      <c r="B4199" s="615">
        <v>1000000</v>
      </c>
      <c r="C4199" s="615">
        <v>1126079.8337277721</v>
      </c>
      <c r="D4199" s="532">
        <v>45625</v>
      </c>
      <c r="E4199" s="534">
        <v>93</v>
      </c>
      <c r="F4199" s="653">
        <v>0.12607983372777221</v>
      </c>
      <c r="G4199" s="536" t="s">
        <v>256</v>
      </c>
      <c r="H4199" s="835">
        <v>40670.91410573294</v>
      </c>
      <c r="I4199" s="835">
        <v>1133.51</v>
      </c>
      <c r="J4199">
        <v>1266.74</v>
      </c>
      <c r="K4199">
        <f>1007643.84+118436</f>
        <v>1126079.8399999999</v>
      </c>
      <c r="L4199">
        <f>+C4199-K4199</f>
        <v>-6.2722277361899614E-3</v>
      </c>
      <c r="M4199">
        <v>0</v>
      </c>
    </row>
    <row r="4200" spans="1:14" ht="13.5" customHeight="1">
      <c r="A4200" s="532">
        <v>45531</v>
      </c>
      <c r="B4200" s="615">
        <v>1200000</v>
      </c>
      <c r="C4200">
        <v>1342773.609172303</v>
      </c>
      <c r="D4200" s="532">
        <v>45625</v>
      </c>
      <c r="E4200" s="534">
        <v>94</v>
      </c>
      <c r="F4200" s="653">
        <v>0.11897800764358579</v>
      </c>
      <c r="G4200" s="536" t="s">
        <v>258</v>
      </c>
      <c r="H4200" s="835">
        <v>45566.045480522233</v>
      </c>
      <c r="I4200" s="835">
        <v>1132.08</v>
      </c>
      <c r="J4200">
        <v>1266.74</v>
      </c>
      <c r="K4200">
        <v>1059.99576001696</v>
      </c>
      <c r="L4200" s="615">
        <v>1346197.0418858053</v>
      </c>
      <c r="M4200">
        <f t="shared" ref="A4200:M4205" si="552">+C4200-L4200</f>
        <v>-3423.4327135023195</v>
      </c>
    </row>
    <row r="4201" spans="1:14" ht="13.5" customHeight="1">
      <c r="A4201" s="532">
        <v>45447</v>
      </c>
      <c r="B4201" s="615">
        <v>50000</v>
      </c>
      <c r="C4201" s="615">
        <v>64259.347604138718</v>
      </c>
      <c r="D4201" s="532">
        <v>45628</v>
      </c>
      <c r="E4201" s="534">
        <v>181</v>
      </c>
      <c r="F4201" s="653">
        <v>0.28518695208277434</v>
      </c>
      <c r="G4201" s="536" t="s">
        <v>256</v>
      </c>
      <c r="H4201" s="835">
        <v>2363.4277796915003</v>
      </c>
      <c r="I4201" s="835">
        <v>991.41</v>
      </c>
      <c r="J4201">
        <v>1267.8599999999999</v>
      </c>
      <c r="K4201">
        <v>50.433221371581887</v>
      </c>
      <c r="L4201">
        <f>14011.4+50247.95</f>
        <v>64259.35</v>
      </c>
      <c r="M4201">
        <f t="shared" si="552"/>
        <v>-2.3958612800925039E-3</v>
      </c>
    </row>
    <row r="4202" spans="1:14" ht="13.5" customHeight="1">
      <c r="A4202" s="532">
        <v>45538</v>
      </c>
      <c r="B4202" s="615">
        <v>650000</v>
      </c>
      <c r="C4202" s="615">
        <v>726879.25</v>
      </c>
      <c r="D4202" s="532">
        <v>45628</v>
      </c>
      <c r="E4202" s="534">
        <v>90</v>
      </c>
      <c r="F4202" s="653">
        <v>0.11280149729631495</v>
      </c>
      <c r="G4202" s="536" t="s">
        <v>256</v>
      </c>
      <c r="H4202" s="835">
        <v>24440.324414201583</v>
      </c>
      <c r="I4202" s="835">
        <v>1142.1500000000001</v>
      </c>
      <c r="J4202">
        <v>1267.8599999999999</v>
      </c>
      <c r="K4202">
        <v>569.10213194414041</v>
      </c>
      <c r="L4202" s="596">
        <v>723320.97324260476</v>
      </c>
      <c r="M4202">
        <f t="shared" si="552"/>
        <v>3558.2767573952442</v>
      </c>
      <c r="N4202">
        <v>726879.25</v>
      </c>
    </row>
    <row r="4203" spans="1:14" ht="13.5" customHeight="1">
      <c r="A4203" s="532">
        <v>45538</v>
      </c>
      <c r="B4203" s="615">
        <v>100000</v>
      </c>
      <c r="C4203" s="615">
        <v>111827.58</v>
      </c>
      <c r="D4203" s="532">
        <v>45628</v>
      </c>
      <c r="E4203" s="534">
        <v>90</v>
      </c>
      <c r="F4203" s="653">
        <v>0.11280149729631495</v>
      </c>
      <c r="G4203" s="536" t="s">
        <v>256</v>
      </c>
      <c r="H4203" s="835">
        <v>3760.0499098771643</v>
      </c>
      <c r="I4203" s="835">
        <v>1142.1500000000001</v>
      </c>
      <c r="J4203">
        <v>1267.8599999999999</v>
      </c>
      <c r="K4203">
        <v>87.554174145252361</v>
      </c>
      <c r="L4203" s="596">
        <v>111280.14972963149</v>
      </c>
      <c r="M4203">
        <f t="shared" si="552"/>
        <v>547.43027036850981</v>
      </c>
      <c r="N4203">
        <v>111827.58</v>
      </c>
    </row>
    <row r="4204" spans="1:14" ht="13.5" customHeight="1">
      <c r="A4204" s="532">
        <v>45537</v>
      </c>
      <c r="B4204" s="615">
        <v>500000</v>
      </c>
      <c r="C4204" s="615">
        <v>561311.5</v>
      </c>
      <c r="D4204" s="532">
        <v>45628</v>
      </c>
      <c r="E4204" s="534">
        <v>91</v>
      </c>
      <c r="F4204" s="653">
        <v>0.11706681727109491</v>
      </c>
      <c r="G4204" s="536" t="s">
        <v>256</v>
      </c>
      <c r="H4204" s="835">
        <v>19296.728121609067</v>
      </c>
      <c r="I4204" s="835">
        <v>1137.82</v>
      </c>
      <c r="J4204">
        <v>1267.8599999999999</v>
      </c>
      <c r="K4204">
        <v>439.43681777434045</v>
      </c>
      <c r="L4204" s="596">
        <v>558533.4086355475</v>
      </c>
      <c r="M4204">
        <f t="shared" si="552"/>
        <v>2778.091364452499</v>
      </c>
      <c r="N4204">
        <v>561311.5</v>
      </c>
    </row>
    <row r="4205" spans="1:14" ht="13.5" customHeight="1">
      <c r="A4205" s="532">
        <v>45537</v>
      </c>
      <c r="B4205" s="615">
        <v>629000</v>
      </c>
      <c r="C4205" s="615">
        <v>706130.15999999992</v>
      </c>
      <c r="D4205" s="532">
        <v>45628</v>
      </c>
      <c r="E4205" s="534">
        <v>91</v>
      </c>
      <c r="F4205" s="653">
        <v>0.11706681727109491</v>
      </c>
      <c r="G4205" s="536" t="s">
        <v>257</v>
      </c>
      <c r="H4205" s="835">
        <v>24275.283976984185</v>
      </c>
      <c r="I4205" s="835">
        <v>1137.82</v>
      </c>
      <c r="J4205">
        <v>1267.8599999999999</v>
      </c>
      <c r="K4205">
        <v>552.8115167601203</v>
      </c>
      <c r="L4205" s="596">
        <v>702635.02806351869</v>
      </c>
      <c r="M4205">
        <f t="shared" si="552"/>
        <v>3495.1319364812225</v>
      </c>
      <c r="N4205">
        <v>706130.15999999992</v>
      </c>
    </row>
    <row r="4206" spans="1:14" ht="13.5" customHeight="1">
      <c r="A4206" s="532">
        <v>45537</v>
      </c>
      <c r="B4206" s="615">
        <v>1000000</v>
      </c>
      <c r="C4206" s="615">
        <v>1114309.47</v>
      </c>
      <c r="D4206" s="532">
        <v>45628</v>
      </c>
      <c r="E4206" s="534">
        <v>91</v>
      </c>
      <c r="F4206" s="653">
        <v>0.11431650846379382</v>
      </c>
      <c r="G4206" s="536" t="s">
        <v>262</v>
      </c>
      <c r="H4206" s="835">
        <v>37686.761032019967</v>
      </c>
      <c r="I4206" s="835">
        <v>1137.82</v>
      </c>
      <c r="J4206">
        <v>1267.8599999999999</v>
      </c>
      <c r="K4206">
        <v>878.87363554868091</v>
      </c>
      <c r="L4206" s="596">
        <v>1117066.817271095</v>
      </c>
      <c r="M4206">
        <f t="shared" ref="A4206:M4207" si="553">+C4206-L4206</f>
        <v>-2757.34727109503</v>
      </c>
      <c r="N4206">
        <v>706130.15999999992</v>
      </c>
    </row>
    <row r="4207" spans="1:14" ht="13.5" customHeight="1">
      <c r="A4207" s="532">
        <v>45531</v>
      </c>
      <c r="B4207" s="615">
        <v>700000</v>
      </c>
      <c r="C4207" s="615">
        <v>783981.24</v>
      </c>
      <c r="D4207" s="532">
        <v>45628</v>
      </c>
      <c r="E4207" s="534">
        <v>97</v>
      </c>
      <c r="F4207" s="653">
        <v>0.11996828299563522</v>
      </c>
      <c r="G4207" s="536" t="s">
        <v>262</v>
      </c>
      <c r="H4207" s="835">
        <v>25972.514875343721</v>
      </c>
      <c r="I4207" s="835">
        <v>1132.08</v>
      </c>
      <c r="J4207">
        <v>1267.8599999999999</v>
      </c>
      <c r="K4207">
        <v>618.33086000989329</v>
      </c>
      <c r="L4207" s="596">
        <v>786040.35665227205</v>
      </c>
      <c r="M4207">
        <f t="shared" si="553"/>
        <v>-2059.1166522720596</v>
      </c>
      <c r="N4207">
        <v>706130.15999999992</v>
      </c>
    </row>
    <row r="4208" spans="1:14" ht="13.5" customHeight="1">
      <c r="A4208" s="532">
        <v>45538</v>
      </c>
      <c r="B4208" s="615">
        <v>550000</v>
      </c>
      <c r="C4208" s="615">
        <v>610550.65</v>
      </c>
      <c r="D4208" s="532">
        <v>45628</v>
      </c>
      <c r="E4208" s="534">
        <v>90</v>
      </c>
      <c r="F4208" s="653">
        <v>0.11009172376777987</v>
      </c>
      <c r="G4208" s="536" t="s">
        <v>258</v>
      </c>
      <c r="H4208" s="835">
        <v>20183.482690759625</v>
      </c>
      <c r="I4208" s="835">
        <v>1142.1500000000001</v>
      </c>
      <c r="J4208">
        <v>1267.8599999999999</v>
      </c>
      <c r="K4208">
        <v>481.54795779888804</v>
      </c>
      <c r="L4208" s="596">
        <v>612183.10361856583</v>
      </c>
      <c r="M4208">
        <f>+C4208-L4208</f>
        <v>-1632.4536185658071</v>
      </c>
      <c r="N4208">
        <v>706130.15999999992</v>
      </c>
    </row>
    <row r="4209" spans="1:14" ht="13.5" customHeight="1">
      <c r="A4209" s="532">
        <v>45532</v>
      </c>
      <c r="B4209" s="615">
        <v>450000</v>
      </c>
      <c r="C4209" s="615">
        <v>503353.09</v>
      </c>
      <c r="D4209" s="532">
        <v>45628</v>
      </c>
      <c r="E4209" s="534">
        <v>96</v>
      </c>
      <c r="F4209" s="653">
        <v>0.11855506034776431</v>
      </c>
      <c r="G4209" s="536" t="s">
        <v>258</v>
      </c>
      <c r="H4209" s="835">
        <v>16671.805361404349</v>
      </c>
      <c r="I4209" s="835">
        <v>1133.51</v>
      </c>
      <c r="J4209">
        <v>1267.8599999999999</v>
      </c>
      <c r="K4209">
        <v>396.9969387124948</v>
      </c>
      <c r="L4209" s="596">
        <v>504695.77044476831</v>
      </c>
      <c r="M4209">
        <f t="shared" ref="A4209:M4209" si="554">+C4209-L4209</f>
        <v>-1342.6804447682807</v>
      </c>
      <c r="N4209">
        <v>706130.15999999992</v>
      </c>
    </row>
    <row r="4210" spans="1:14" ht="13.5" customHeight="1">
      <c r="A4210" s="532">
        <v>45531</v>
      </c>
      <c r="B4210" s="615">
        <v>1200000</v>
      </c>
      <c r="C4210" s="615">
        <v>1347563.5</v>
      </c>
      <c r="D4210" s="532">
        <v>45629</v>
      </c>
      <c r="E4210" s="534">
        <v>98</v>
      </c>
      <c r="F4210" s="653">
        <v>0.12594800648194693</v>
      </c>
      <c r="G4210" s="536">
        <v>4245603.7</v>
      </c>
      <c r="H4210" s="835">
        <v>46266.614626021343</v>
      </c>
      <c r="I4210" s="835">
        <v>1132.08</v>
      </c>
      <c r="J4210">
        <v>1271.25</v>
      </c>
      <c r="K4210">
        <v>1059.99576001696</v>
      </c>
      <c r="L4210" s="596">
        <v>1351137.6077783364</v>
      </c>
      <c r="M4210">
        <f t="shared" ref="A4210:M4210" si="555">+C4210-L4210</f>
        <v>-3574.1077783363871</v>
      </c>
    </row>
    <row r="4211" spans="1:14" ht="13.5" customHeight="1">
      <c r="A4211" s="532">
        <v>45600</v>
      </c>
      <c r="B4211" s="615">
        <v>272000</v>
      </c>
      <c r="C4211" s="615">
        <v>278930.41095890413</v>
      </c>
      <c r="D4211" s="532">
        <v>45630</v>
      </c>
      <c r="E4211" s="534">
        <v>30</v>
      </c>
      <c r="F4211" s="653">
        <v>0.31</v>
      </c>
      <c r="G4211" s="536" t="s">
        <v>259</v>
      </c>
      <c r="H4211" s="835">
        <v>6930.4109589041327</v>
      </c>
      <c r="I4211" s="835">
        <v>1232.9000000000001</v>
      </c>
      <c r="J4211">
        <v>1272.3800000000001</v>
      </c>
      <c r="K4211">
        <v>220.61805499229456</v>
      </c>
      <c r="L4211" s="596">
        <v>278930.41095890413</v>
      </c>
      <c r="M4211">
        <v>0</v>
      </c>
    </row>
    <row r="4212" spans="1:14" ht="13.5" customHeight="1">
      <c r="A4212" s="532">
        <v>45450</v>
      </c>
      <c r="B4212" s="615">
        <v>270000</v>
      </c>
      <c r="C4212" s="615">
        <v>345395.66469068918</v>
      </c>
      <c r="D4212" s="532">
        <v>45630</v>
      </c>
      <c r="E4212" s="534">
        <v>180</v>
      </c>
      <c r="F4212" s="653">
        <v>0.27924320255810819</v>
      </c>
      <c r="G4212" s="536" t="s">
        <v>266</v>
      </c>
      <c r="H4212" s="835">
        <v>12565.944115114864</v>
      </c>
      <c r="I4212" s="835">
        <v>999.54</v>
      </c>
      <c r="J4212">
        <v>1272.3800000000001</v>
      </c>
      <c r="K4212">
        <v>270.12425715829283</v>
      </c>
      <c r="L4212" s="596">
        <v>345395.66469068918</v>
      </c>
      <c r="M4212">
        <v>0</v>
      </c>
    </row>
    <row r="4213" spans="1:14" ht="13.5" customHeight="1">
      <c r="A4213" s="532">
        <v>45531</v>
      </c>
      <c r="B4213" s="615">
        <v>1200000</v>
      </c>
      <c r="C4213" s="615">
        <v>1348760.97</v>
      </c>
      <c r="D4213" s="532">
        <v>45630</v>
      </c>
      <c r="E4213" s="534">
        <v>99</v>
      </c>
      <c r="F4213" s="653">
        <v>0.12697964178919552</v>
      </c>
      <c r="G4213" s="536" t="s">
        <v>258</v>
      </c>
      <c r="H4213" s="835">
        <v>46174.415196071124</v>
      </c>
      <c r="I4213" s="835">
        <v>1132.08</v>
      </c>
      <c r="J4213">
        <v>1272.3800000000001</v>
      </c>
      <c r="K4213">
        <v>1059.99576001696</v>
      </c>
      <c r="L4213" s="596">
        <v>1352375.5701470347</v>
      </c>
      <c r="M4213">
        <f t="shared" ref="A4213:M4213" si="556">+C4213-L4213</f>
        <v>-3614.6001470347401</v>
      </c>
    </row>
    <row r="4214" spans="1:14" ht="13.5" customHeight="1">
      <c r="A4214" s="532">
        <v>45588</v>
      </c>
      <c r="B4214" s="615">
        <v>34950</v>
      </c>
      <c r="C4214" s="615">
        <v>36391.089041095889</v>
      </c>
      <c r="D4214" s="532">
        <v>45631</v>
      </c>
      <c r="E4214" s="534">
        <v>43</v>
      </c>
      <c r="F4214" s="653">
        <v>0.35</v>
      </c>
      <c r="G4214" s="536" t="s">
        <v>259</v>
      </c>
      <c r="H4214" s="835">
        <v>1005.4109589041087</v>
      </c>
      <c r="I4214" s="835">
        <v>1219.29</v>
      </c>
      <c r="J4214">
        <v>1273.51</v>
      </c>
      <c r="K4214">
        <v>28.664222621361613</v>
      </c>
      <c r="L4214" s="596">
        <v>36391.089041095889</v>
      </c>
      <c r="M4214">
        <f>+C4214-L4214</f>
        <v>0</v>
      </c>
    </row>
    <row r="4215" spans="1:14" ht="13.5" customHeight="1">
      <c r="A4215" s="532">
        <v>45541</v>
      </c>
      <c r="B4215" s="615">
        <v>634000</v>
      </c>
      <c r="C4215" s="615">
        <f>638689.86+70760.65</f>
        <v>709450.51</v>
      </c>
      <c r="D4215" s="532">
        <v>45631</v>
      </c>
      <c r="E4215" s="534">
        <v>90</v>
      </c>
      <c r="F4215" s="653">
        <v>0.1135292603021707</v>
      </c>
      <c r="G4215" s="536" t="s">
        <v>257</v>
      </c>
      <c r="H4215" s="835">
        <v>23992.517010525411</v>
      </c>
      <c r="I4215" s="835">
        <v>1146.49</v>
      </c>
      <c r="J4215">
        <v>1273.51</v>
      </c>
      <c r="K4215">
        <v>552.99217612015809</v>
      </c>
      <c r="L4215" s="596">
        <v>705977.55103157624</v>
      </c>
      <c r="M4215">
        <f>+C4215-L4215</f>
        <v>3472.9589684237726</v>
      </c>
    </row>
    <row r="4216" spans="1:14" ht="13.5" customHeight="1">
      <c r="A4216" s="532">
        <v>45541</v>
      </c>
      <c r="B4216" s="615">
        <v>130000</v>
      </c>
      <c r="C4216" s="615">
        <v>144403.29999999999</v>
      </c>
      <c r="D4216" s="532">
        <v>45631</v>
      </c>
      <c r="E4216" s="534">
        <v>90</v>
      </c>
      <c r="F4216" s="653">
        <v>0.1135292603021707</v>
      </c>
      <c r="G4216" s="536" t="s">
        <v>258</v>
      </c>
      <c r="H4216" s="835">
        <v>4919.60127976073</v>
      </c>
      <c r="I4216" s="835">
        <v>1146.49</v>
      </c>
      <c r="J4216">
        <v>1273.51</v>
      </c>
      <c r="K4216">
        <v>113.38956292684628</v>
      </c>
      <c r="L4216" s="596">
        <v>144758.80383928216</v>
      </c>
      <c r="M4216">
        <f t="shared" ref="A4216:M4216" si="557">+C4216-L4216</f>
        <v>-355.50383928217343</v>
      </c>
    </row>
    <row r="4217" spans="1:14" ht="13.5" customHeight="1">
      <c r="A4217" s="532">
        <v>45603</v>
      </c>
      <c r="B4217" s="615">
        <v>34300</v>
      </c>
      <c r="C4217" s="615">
        <v>35232.208219178079</v>
      </c>
      <c r="D4217" s="532">
        <v>45635</v>
      </c>
      <c r="E4217" s="534">
        <v>32</v>
      </c>
      <c r="F4217" s="653">
        <v>0.31</v>
      </c>
      <c r="G4217" s="536" t="s">
        <v>259</v>
      </c>
      <c r="H4217" s="835">
        <v>873.94520547944921</v>
      </c>
      <c r="I4217" s="835">
        <v>1238.3800000000001</v>
      </c>
      <c r="J4217">
        <v>1275.77</v>
      </c>
      <c r="K4217">
        <v>27.697475734427233</v>
      </c>
      <c r="L4217" s="596">
        <v>35232.208219178079</v>
      </c>
      <c r="M4217">
        <f t="shared" ref="A4217:M4226" si="558">+C4217-L4217</f>
        <v>0</v>
      </c>
    </row>
    <row r="4218" spans="1:14" ht="13.5" customHeight="1">
      <c r="A4218" s="532">
        <v>45544</v>
      </c>
      <c r="B4218" s="615">
        <v>157000</v>
      </c>
      <c r="C4218" s="615">
        <v>175787.92751017245</v>
      </c>
      <c r="D4218" s="532">
        <v>45635</v>
      </c>
      <c r="E4218" s="534">
        <v>91</v>
      </c>
      <c r="F4218" s="653">
        <v>0.11966832809027039</v>
      </c>
      <c r="G4218" s="536" t="s">
        <v>257</v>
      </c>
      <c r="H4218" s="835">
        <v>21303.592473212964</v>
      </c>
      <c r="I4218" s="835">
        <v>1147.94</v>
      </c>
      <c r="J4218">
        <v>1275.77</v>
      </c>
      <c r="K4218">
        <v>136.76672996846526</v>
      </c>
      <c r="L4218" s="596">
        <v>174917.90323130341</v>
      </c>
      <c r="M4218">
        <f t="shared" si="558"/>
        <v>870.02427886903752</v>
      </c>
    </row>
    <row r="4219" spans="1:14" ht="13.5" customHeight="1">
      <c r="A4219" s="532">
        <v>45545</v>
      </c>
      <c r="B4219" s="615">
        <v>120000</v>
      </c>
      <c r="C4219" s="615">
        <v>133839.73438464227</v>
      </c>
      <c r="D4219" s="532">
        <v>45635</v>
      </c>
      <c r="E4219" s="534">
        <v>90</v>
      </c>
      <c r="F4219" s="653">
        <v>0.11533111987201905</v>
      </c>
      <c r="G4219" s="536" t="s">
        <v>257</v>
      </c>
      <c r="H4219" s="835">
        <v>4613.2447948807585</v>
      </c>
      <c r="I4219" s="835">
        <v>1152.31</v>
      </c>
      <c r="J4219">
        <v>1275.77</v>
      </c>
      <c r="K4219">
        <v>104.13864324704291</v>
      </c>
      <c r="L4219" s="596">
        <v>133184.54939173404</v>
      </c>
      <c r="M4219">
        <f t="shared" si="558"/>
        <v>655.1849929082382</v>
      </c>
    </row>
    <row r="4220" spans="1:14" ht="13.5" customHeight="1">
      <c r="A4220" s="532">
        <v>45545</v>
      </c>
      <c r="B4220" s="615">
        <v>1020000</v>
      </c>
      <c r="C4220" s="615">
        <v>1137637.7422694594</v>
      </c>
      <c r="D4220" s="532">
        <v>45635</v>
      </c>
      <c r="E4220" s="534">
        <v>90</v>
      </c>
      <c r="F4220" s="653">
        <v>0.11533111987201905</v>
      </c>
      <c r="G4220" s="536" t="s">
        <v>256</v>
      </c>
      <c r="H4220" s="835">
        <v>39212.580756486466</v>
      </c>
      <c r="I4220" s="835">
        <v>1152.31</v>
      </c>
      <c r="J4220">
        <v>1275.77</v>
      </c>
      <c r="K4220">
        <v>885.17846759986469</v>
      </c>
      <c r="L4220" s="596">
        <v>1132068.6698297393</v>
      </c>
      <c r="M4220">
        <f t="shared" si="558"/>
        <v>5569.0724397201557</v>
      </c>
    </row>
    <row r="4221" spans="1:14" ht="13.5" customHeight="1">
      <c r="A4221" s="532">
        <v>45544</v>
      </c>
      <c r="B4221" s="615">
        <v>1500000</v>
      </c>
      <c r="C4221" s="615">
        <v>1679502.4921354055</v>
      </c>
      <c r="D4221" s="532">
        <v>45635</v>
      </c>
      <c r="E4221" s="534">
        <v>91</v>
      </c>
      <c r="F4221" s="653">
        <v>0.11966832809027039</v>
      </c>
      <c r="G4221" s="536" t="s">
        <v>256</v>
      </c>
      <c r="H4221" s="835">
        <v>59176.645758924904</v>
      </c>
      <c r="I4221" s="835">
        <v>1147.94</v>
      </c>
      <c r="J4221">
        <v>1275.77</v>
      </c>
      <c r="K4221">
        <v>1306.6885028834258</v>
      </c>
      <c r="L4221" s="596">
        <v>1671190.1582608605</v>
      </c>
      <c r="M4221">
        <f t="shared" si="558"/>
        <v>8312.3338745450601</v>
      </c>
    </row>
    <row r="4222" spans="1:14" ht="13.5" customHeight="1">
      <c r="A4222" s="532">
        <v>45544</v>
      </c>
      <c r="B4222" s="615">
        <v>540000</v>
      </c>
      <c r="C4222" s="615">
        <v>604620.89716874599</v>
      </c>
      <c r="D4222" s="532">
        <v>45635</v>
      </c>
      <c r="E4222" s="534">
        <v>91</v>
      </c>
      <c r="F4222" s="653">
        <v>0.11966832809027039</v>
      </c>
      <c r="G4222" s="536" t="s">
        <v>256</v>
      </c>
      <c r="H4222" s="835">
        <v>21303.592473212964</v>
      </c>
      <c r="I4222" s="835">
        <v>1147.94</v>
      </c>
      <c r="J4222">
        <v>1275.77</v>
      </c>
      <c r="K4222">
        <v>470.40786103803333</v>
      </c>
      <c r="L4222" s="596">
        <v>601628.45697390975</v>
      </c>
      <c r="M4222">
        <f t="shared" si="558"/>
        <v>2992.4401948362356</v>
      </c>
    </row>
    <row r="4223" spans="1:14" ht="13.5" customHeight="1">
      <c r="A4223" s="532">
        <v>45545</v>
      </c>
      <c r="B4223" s="615">
        <v>1000000</v>
      </c>
      <c r="C4223" s="615">
        <v>1107164.25</v>
      </c>
      <c r="D4223" s="532">
        <v>45635</v>
      </c>
      <c r="E4223" s="534">
        <v>90</v>
      </c>
      <c r="F4223" s="653">
        <v>0.10716860683537055</v>
      </c>
      <c r="G4223" s="536" t="s">
        <v>258</v>
      </c>
      <c r="H4223" s="835">
        <v>35722.868945123548</v>
      </c>
      <c r="I4223" s="835">
        <v>1152.31</v>
      </c>
      <c r="J4223">
        <v>1275.77</v>
      </c>
      <c r="K4223">
        <v>867.82202705869088</v>
      </c>
      <c r="L4223" s="596">
        <v>1109871.2449311169</v>
      </c>
      <c r="M4223">
        <f t="shared" si="558"/>
        <v>-2706.994931116933</v>
      </c>
    </row>
    <row r="4224" spans="1:14" ht="13.5" customHeight="1">
      <c r="A4224" s="532">
        <v>45545</v>
      </c>
      <c r="B4224" s="615">
        <v>160000</v>
      </c>
      <c r="C4224" s="615">
        <v>177140.66</v>
      </c>
      <c r="D4224" s="532">
        <v>45635</v>
      </c>
      <c r="E4224" s="534">
        <v>90</v>
      </c>
      <c r="F4224" s="653">
        <v>0.10716860683537055</v>
      </c>
      <c r="G4224" s="536" t="s">
        <v>258</v>
      </c>
      <c r="H4224" s="835">
        <v>5715.6590312197604</v>
      </c>
      <c r="I4224" s="835">
        <v>1152.31</v>
      </c>
      <c r="J4224">
        <v>1275.77</v>
      </c>
      <c r="K4224">
        <v>138.85152432939054</v>
      </c>
      <c r="L4224" s="596">
        <v>177579.39918897871</v>
      </c>
      <c r="M4224">
        <f t="shared" si="558"/>
        <v>-438.73918897871044</v>
      </c>
    </row>
    <row r="4225" spans="1:13" ht="13.5" customHeight="1">
      <c r="A4225" s="532">
        <v>45545</v>
      </c>
      <c r="B4225" s="615">
        <v>50000</v>
      </c>
      <c r="C4225" s="615">
        <v>55355.66</v>
      </c>
      <c r="D4225" s="532">
        <v>45635</v>
      </c>
      <c r="E4225" s="534">
        <v>90</v>
      </c>
      <c r="F4225" s="653">
        <v>0.10716860683537055</v>
      </c>
      <c r="G4225" s="536" t="s">
        <v>258</v>
      </c>
      <c r="H4225" s="835">
        <v>1786.1434472561766</v>
      </c>
      <c r="I4225" s="835">
        <v>1152.31</v>
      </c>
      <c r="J4225">
        <v>1275.77</v>
      </c>
      <c r="K4225">
        <v>43.391101352934541</v>
      </c>
      <c r="L4225" s="596">
        <v>55493.562246555848</v>
      </c>
      <c r="M4225">
        <f t="shared" si="558"/>
        <v>-137.90224655584461</v>
      </c>
    </row>
    <row r="4226" spans="1:13" ht="13.5" customHeight="1">
      <c r="A4226" s="532">
        <v>45544</v>
      </c>
      <c r="B4226" s="615">
        <v>1500000</v>
      </c>
      <c r="C4226" s="615">
        <v>1667074.16</v>
      </c>
      <c r="D4226" s="532">
        <v>45635</v>
      </c>
      <c r="E4226" s="534">
        <v>91</v>
      </c>
      <c r="F4226" s="653">
        <v>0.11138370199530723</v>
      </c>
      <c r="G4226" s="536" t="s">
        <v>258</v>
      </c>
      <c r="H4226" s="835">
        <v>6193.822256100807</v>
      </c>
      <c r="I4226" s="835">
        <v>1147.94</v>
      </c>
      <c r="J4226">
        <v>1275.77</v>
      </c>
      <c r="K4226">
        <v>1306.6885028834258</v>
      </c>
      <c r="L4226" s="596">
        <v>1671190.1582608605</v>
      </c>
      <c r="M4226">
        <f t="shared" si="558"/>
        <v>-4115.9982608605642</v>
      </c>
    </row>
    <row r="4227" spans="1:13" ht="13.5" customHeight="1">
      <c r="A4227" s="532">
        <v>45546</v>
      </c>
      <c r="B4227" s="615">
        <v>1100000</v>
      </c>
      <c r="C4227" s="615">
        <v>1219588.27</v>
      </c>
      <c r="D4227" s="532">
        <v>45636</v>
      </c>
      <c r="E4227" s="534">
        <v>90</v>
      </c>
      <c r="F4227" s="653">
        <v>0.11142092254801139</v>
      </c>
      <c r="G4227" s="536" t="s">
        <v>258</v>
      </c>
      <c r="H4227" s="835">
        <v>40854.338267604202</v>
      </c>
      <c r="I4227" s="835">
        <v>1153.77</v>
      </c>
      <c r="J4227">
        <v>1279.17</v>
      </c>
      <c r="K4227">
        <v>953.3962574863275</v>
      </c>
      <c r="L4227" s="596">
        <v>1222563.0148028126</v>
      </c>
      <c r="M4227">
        <f t="shared" ref="A4227:M4234" si="559">+C4227-L4227</f>
        <v>-2974.74480281258</v>
      </c>
    </row>
    <row r="4228" spans="1:13" ht="13.5" customHeight="1">
      <c r="A4228" s="532">
        <v>45546</v>
      </c>
      <c r="B4228" s="615">
        <v>500000</v>
      </c>
      <c r="C4228" s="615">
        <f>503698.63+54745.57</f>
        <v>558444.19999999995</v>
      </c>
      <c r="D4228" s="532">
        <v>45636</v>
      </c>
      <c r="E4228" s="534">
        <v>90</v>
      </c>
      <c r="F4228" s="653">
        <v>0.1168884209371519</v>
      </c>
      <c r="G4228" s="536" t="s">
        <v>265</v>
      </c>
      <c r="H4228" s="835">
        <v>19481.403489525313</v>
      </c>
      <c r="I4228" s="835">
        <v>1153.77</v>
      </c>
      <c r="J4228">
        <v>1279.17</v>
      </c>
      <c r="K4228">
        <v>433.36193522105793</v>
      </c>
      <c r="L4228" s="596">
        <v>555710.46127400571</v>
      </c>
      <c r="M4228">
        <f t="shared" si="559"/>
        <v>2733.7387259942479</v>
      </c>
    </row>
    <row r="4229" spans="1:13" ht="13.5" customHeight="1">
      <c r="A4229" s="532">
        <v>45546</v>
      </c>
      <c r="B4229" s="615">
        <v>900000</v>
      </c>
      <c r="C4229" s="615">
        <f>906657.53+98542.04</f>
        <v>1005199.5700000001</v>
      </c>
      <c r="D4229" s="532">
        <v>45636</v>
      </c>
      <c r="E4229" s="534">
        <v>90</v>
      </c>
      <c r="F4229" s="653">
        <v>0.11142092254801139</v>
      </c>
      <c r="G4229" s="536" t="s">
        <v>256</v>
      </c>
      <c r="H4229" s="835">
        <v>33426.27676440341</v>
      </c>
      <c r="I4229" s="835">
        <v>1153.77</v>
      </c>
      <c r="J4229">
        <v>1279.17</v>
      </c>
      <c r="K4229">
        <v>780.05148339790424</v>
      </c>
      <c r="L4229" s="596">
        <v>1000278.8302932102</v>
      </c>
      <c r="M4229">
        <f t="shared" si="559"/>
        <v>4920.7397067898419</v>
      </c>
    </row>
    <row r="4230" spans="1:13" ht="13.5" customHeight="1">
      <c r="A4230" s="532">
        <v>45547</v>
      </c>
      <c r="B4230" s="615">
        <v>172000</v>
      </c>
      <c r="C4230" s="615">
        <v>190625.36</v>
      </c>
      <c r="D4230" s="532">
        <v>45637</v>
      </c>
      <c r="E4230" s="534">
        <v>90</v>
      </c>
      <c r="F4230" s="653">
        <v>0.11100553895511989</v>
      </c>
      <c r="G4230" s="536" t="s">
        <v>258</v>
      </c>
      <c r="H4230" s="835">
        <v>6364.3175667602045</v>
      </c>
      <c r="I4230" s="835">
        <v>1155.23</v>
      </c>
      <c r="J4230">
        <v>1280.31</v>
      </c>
      <c r="K4230">
        <v>148.88810020515396</v>
      </c>
      <c r="L4230" s="596">
        <v>191092.95270028064</v>
      </c>
      <c r="M4230">
        <f t="shared" si="559"/>
        <v>-467.59270028065657</v>
      </c>
    </row>
    <row r="4231" spans="1:13" ht="13.5" customHeight="1">
      <c r="A4231" s="532">
        <v>45552</v>
      </c>
      <c r="B4231" s="615">
        <v>218000</v>
      </c>
      <c r="C4231" s="615">
        <f>219612.6+22864.5</f>
        <v>242477.1</v>
      </c>
      <c r="D4231" s="532">
        <v>45642</v>
      </c>
      <c r="E4231" s="534">
        <v>90</v>
      </c>
      <c r="F4231" s="653">
        <v>0.10683538174204021</v>
      </c>
      <c r="G4231" s="536" t="s">
        <v>257</v>
      </c>
      <c r="H4231" s="835">
        <v>7763.3710732549189</v>
      </c>
      <c r="I4231" s="835">
        <v>1162.68</v>
      </c>
      <c r="J4231">
        <v>1283.73</v>
      </c>
      <c r="K4231">
        <v>187.49784979530051</v>
      </c>
      <c r="L4231" s="596">
        <v>241290.11321976481</v>
      </c>
      <c r="M4231">
        <f t="shared" si="559"/>
        <v>1186.9867802351946</v>
      </c>
    </row>
    <row r="4232" spans="1:13" ht="13.5" customHeight="1">
      <c r="A4232" s="532">
        <v>45551</v>
      </c>
      <c r="B4232" s="615">
        <v>621000</v>
      </c>
      <c r="C4232" s="615">
        <f>625644.74+67839.63</f>
        <v>693484.37</v>
      </c>
      <c r="D4232" s="532">
        <v>45642</v>
      </c>
      <c r="E4232" s="534">
        <v>91</v>
      </c>
      <c r="F4232" s="653">
        <v>0.11119503719618962</v>
      </c>
      <c r="G4232" s="536" t="s">
        <v>265</v>
      </c>
      <c r="H4232" s="835">
        <v>22764.43453807705</v>
      </c>
      <c r="I4232" s="835">
        <v>1158.1500000000001</v>
      </c>
      <c r="J4232">
        <v>1283.73</v>
      </c>
      <c r="K4232">
        <v>536.1999740966196</v>
      </c>
      <c r="L4232" s="596">
        <v>690052.11809883383</v>
      </c>
      <c r="M4232">
        <f t="shared" si="559"/>
        <v>3432.2519011661643</v>
      </c>
    </row>
    <row r="4233" spans="1:13" ht="13.5" customHeight="1">
      <c r="A4233" s="532">
        <v>45552</v>
      </c>
      <c r="B4233" s="615">
        <v>900000</v>
      </c>
      <c r="C4233" s="615">
        <f>906657.53+93394.75</f>
        <v>1000052.28</v>
      </c>
      <c r="D4233" s="532">
        <v>45642</v>
      </c>
      <c r="E4233" s="534">
        <v>90</v>
      </c>
      <c r="F4233" s="653">
        <v>0.10683538174204021</v>
      </c>
      <c r="G4233" s="536" t="s">
        <v>256</v>
      </c>
      <c r="H4233" s="835">
        <v>32050.614522612075</v>
      </c>
      <c r="I4233" s="835">
        <v>1162.68</v>
      </c>
      <c r="J4233">
        <v>1283.73</v>
      </c>
      <c r="K4233">
        <v>774.07369181546073</v>
      </c>
      <c r="L4233" s="596">
        <v>996151.84356783633</v>
      </c>
      <c r="M4233">
        <f t="shared" si="559"/>
        <v>3900.4364321636967</v>
      </c>
    </row>
    <row r="4234" spans="1:13" ht="13.5" customHeight="1">
      <c r="A4234" s="532">
        <v>45551</v>
      </c>
      <c r="B4234" s="615">
        <v>630000</v>
      </c>
      <c r="C4234" s="615">
        <f>634712.05+68822.8</f>
        <v>703534.85000000009</v>
      </c>
      <c r="D4234" s="532">
        <v>45642</v>
      </c>
      <c r="E4234" s="534">
        <v>91</v>
      </c>
      <c r="F4234" s="653">
        <v>0.11119503719618962</v>
      </c>
      <c r="G4234" s="536" t="s">
        <v>256</v>
      </c>
      <c r="H4234" s="835">
        <v>23094.353879208618</v>
      </c>
      <c r="I4234" s="835">
        <v>1158.1500000000001</v>
      </c>
      <c r="J4234">
        <v>1283.73</v>
      </c>
      <c r="K4234">
        <v>543.97098821396185</v>
      </c>
      <c r="L4234" s="596">
        <v>700052.87343359936</v>
      </c>
      <c r="M4234">
        <f t="shared" si="559"/>
        <v>3481.9765664007282</v>
      </c>
    </row>
    <row r="4235" spans="1:13" ht="13.5" customHeight="1">
      <c r="A4235" s="532">
        <v>45551</v>
      </c>
      <c r="B4235" s="615">
        <v>420000</v>
      </c>
      <c r="C4235" s="615">
        <v>465557.51</v>
      </c>
      <c r="D4235" s="532">
        <v>45642</v>
      </c>
      <c r="E4235" s="534">
        <v>91</v>
      </c>
      <c r="F4235" s="653">
        <v>0.11119503719618962</v>
      </c>
      <c r="G4235" s="536" t="s">
        <v>258</v>
      </c>
      <c r="H4235" s="835">
        <v>15396.235919472412</v>
      </c>
      <c r="I4235" s="835">
        <v>1158.1500000000001</v>
      </c>
      <c r="J4235">
        <v>1283.73</v>
      </c>
      <c r="K4235">
        <v>362.64732547597458</v>
      </c>
      <c r="L4235" s="596">
        <v>466701.9156223996</v>
      </c>
      <c r="M4235">
        <f t="shared" ref="A4235:M4235" si="560">+C4235-L4235</f>
        <v>-1144.4056223995867</v>
      </c>
    </row>
    <row r="4236" spans="1:13" ht="13.5" customHeight="1">
      <c r="A4236" s="532">
        <v>45553</v>
      </c>
      <c r="B4236" s="615">
        <v>125000</v>
      </c>
      <c r="C4236" s="615">
        <f>125924.66+13271.91</f>
        <v>139196.57</v>
      </c>
      <c r="D4236" s="532">
        <v>45643</v>
      </c>
      <c r="E4236" s="534">
        <v>90</v>
      </c>
      <c r="F4236" s="653">
        <v>0.1081212423128457</v>
      </c>
      <c r="G4236" s="536" t="s">
        <v>257</v>
      </c>
      <c r="H4236" s="835">
        <v>4505.0517630352406</v>
      </c>
      <c r="I4236" s="835">
        <v>1164.28</v>
      </c>
      <c r="J4236">
        <v>1286.99</v>
      </c>
      <c r="K4236">
        <v>107.36249012265091</v>
      </c>
      <c r="L4236" s="596">
        <v>138515.15528910569</v>
      </c>
      <c r="M4236">
        <f>+C4236-L4236</f>
        <v>681.41471089431434</v>
      </c>
    </row>
    <row r="4237" spans="1:13" ht="13.5" customHeight="1">
      <c r="A4237" s="532">
        <v>45554</v>
      </c>
      <c r="B4237" s="615">
        <v>514000</v>
      </c>
      <c r="C4237" s="615">
        <f>517802.19+54228.25</f>
        <v>572030.43999999994</v>
      </c>
      <c r="D4237" s="532">
        <v>45644</v>
      </c>
      <c r="E4237" s="534">
        <v>90</v>
      </c>
      <c r="F4237" s="653">
        <v>0.10745174554490178</v>
      </c>
      <c r="G4237" s="536" t="s">
        <v>257</v>
      </c>
      <c r="H4237" s="835">
        <v>18410.065736693177</v>
      </c>
      <c r="I4237" s="835">
        <v>1165.8800000000001</v>
      </c>
      <c r="J4237">
        <v>1287.98</v>
      </c>
      <c r="K4237">
        <v>440.8687000377397</v>
      </c>
      <c r="L4237" s="596">
        <v>569230.19721007964</v>
      </c>
      <c r="M4237">
        <f>+C4237-L4237</f>
        <v>2800.242789920303</v>
      </c>
    </row>
    <row r="4238" spans="1:13" ht="13.5" customHeight="1">
      <c r="A4238" s="532">
        <v>45616</v>
      </c>
      <c r="B4238" s="615">
        <v>70000</v>
      </c>
      <c r="C4238" s="615">
        <v>71783.561643835623</v>
      </c>
      <c r="D4238" s="532">
        <v>45646</v>
      </c>
      <c r="E4238" s="534">
        <v>30</v>
      </c>
      <c r="F4238" s="653">
        <v>0.31</v>
      </c>
      <c r="G4238" s="536" t="s">
        <v>259</v>
      </c>
      <c r="H4238" s="835">
        <v>1783.5616438356228</v>
      </c>
      <c r="I4238" s="835">
        <v>1256.6600000000001</v>
      </c>
      <c r="J4238">
        <v>1289.95</v>
      </c>
      <c r="K4238">
        <v>55.703213279646043</v>
      </c>
      <c r="L4238" s="596">
        <v>71783.561643835623</v>
      </c>
      <c r="M4238">
        <v>0</v>
      </c>
    </row>
    <row r="4239" spans="1:13" ht="13.5" customHeight="1">
      <c r="A4239" s="532">
        <v>45558</v>
      </c>
      <c r="B4239" s="615">
        <v>320000</v>
      </c>
      <c r="C4239" s="615">
        <f>322393.42+33604.93</f>
        <v>355998.35</v>
      </c>
      <c r="D4239" s="532">
        <v>45649</v>
      </c>
      <c r="E4239" s="534">
        <v>91</v>
      </c>
      <c r="F4239" s="653">
        <v>0.10698883561878181</v>
      </c>
      <c r="G4239" s="536" t="s">
        <v>256</v>
      </c>
      <c r="H4239" s="835">
        <v>11286.734307036315</v>
      </c>
      <c r="I4239" s="835">
        <v>1169.08</v>
      </c>
      <c r="J4239">
        <v>1290.94</v>
      </c>
      <c r="K4239">
        <v>273.7195059362918</v>
      </c>
      <c r="L4239" s="596">
        <v>354236.42739801022</v>
      </c>
      <c r="M4239">
        <f t="shared" ref="A4239:M4242" si="561">+C4239-L4239</f>
        <v>1761.9226019897615</v>
      </c>
    </row>
    <row r="4240" spans="1:13" ht="13.5" customHeight="1">
      <c r="A4240" s="532">
        <v>45558</v>
      </c>
      <c r="B4240" s="615">
        <v>1261000</v>
      </c>
      <c r="C4240" s="615">
        <f>1270431.59+132424.36</f>
        <v>1402855.9500000002</v>
      </c>
      <c r="D4240" s="532">
        <v>45649</v>
      </c>
      <c r="E4240" s="534">
        <v>91</v>
      </c>
      <c r="F4240" s="653">
        <v>0.10698883561878181</v>
      </c>
      <c r="G4240" s="536" t="s">
        <v>257</v>
      </c>
      <c r="H4240" s="835">
        <v>44476.787378664972</v>
      </c>
      <c r="I4240" s="835">
        <v>1169.08</v>
      </c>
      <c r="J4240">
        <v>1290.94</v>
      </c>
      <c r="K4240">
        <v>1078.6259280801999</v>
      </c>
      <c r="L4240" s="596">
        <v>1395912.921715284</v>
      </c>
      <c r="M4240">
        <f t="shared" si="561"/>
        <v>6943.028284716187</v>
      </c>
    </row>
    <row r="4241" spans="1:13" ht="13.5" customHeight="1">
      <c r="A4241" s="532">
        <v>45558</v>
      </c>
      <c r="B4241" s="615">
        <v>1704000</v>
      </c>
      <c r="C4241" s="615">
        <f>1716744.99+178946.29</f>
        <v>1895691.28</v>
      </c>
      <c r="D4241" s="532">
        <v>45649</v>
      </c>
      <c r="E4241" s="534">
        <v>91</v>
      </c>
      <c r="F4241" s="653">
        <v>0.10698883561878181</v>
      </c>
      <c r="G4241" s="536" t="s">
        <v>265</v>
      </c>
      <c r="H4241" s="835">
        <v>60101.860184968384</v>
      </c>
      <c r="I4241" s="835">
        <v>1169.08</v>
      </c>
      <c r="J4241">
        <v>1290.94</v>
      </c>
      <c r="K4241">
        <v>1457.5563691107538</v>
      </c>
      <c r="L4241" s="596">
        <v>1886308.9758944043</v>
      </c>
      <c r="M4241">
        <f t="shared" si="561"/>
        <v>9382.3041055956855</v>
      </c>
    </row>
    <row r="4242" spans="1:13" ht="13.5" customHeight="1">
      <c r="A4242" s="532">
        <v>45469</v>
      </c>
      <c r="B4242" s="615">
        <v>10000</v>
      </c>
      <c r="C4242" s="615">
        <f>12431.75+64.55</f>
        <v>12496.3</v>
      </c>
      <c r="D4242" s="532">
        <v>45649</v>
      </c>
      <c r="E4242" s="534">
        <v>180</v>
      </c>
      <c r="F4242" s="653">
        <v>0.24925974948679253</v>
      </c>
      <c r="G4242" s="536" t="s">
        <v>263</v>
      </c>
      <c r="H4242" s="835">
        <v>415.43291581132081</v>
      </c>
      <c r="I4242" s="835">
        <v>1038.46</v>
      </c>
      <c r="J4242">
        <v>1290.94</v>
      </c>
      <c r="K4242">
        <v>9.6296438957687336</v>
      </c>
      <c r="L4242" s="596">
        <v>12492.597494867925</v>
      </c>
      <c r="M4242">
        <f t="shared" si="561"/>
        <v>3.7025051320742932</v>
      </c>
    </row>
    <row r="4243" spans="1:13" ht="13.5" customHeight="1">
      <c r="A4243" s="532">
        <v>45469</v>
      </c>
      <c r="B4243" s="615">
        <v>1800000</v>
      </c>
      <c r="C4243" s="615">
        <f>2237637.94+11037.54</f>
        <v>2248675.48</v>
      </c>
      <c r="D4243" s="532">
        <v>45649</v>
      </c>
      <c r="E4243" s="534">
        <v>180</v>
      </c>
      <c r="F4243" s="653">
        <v>0.24925974948679253</v>
      </c>
      <c r="G4243" s="536" t="s">
        <v>259</v>
      </c>
      <c r="H4243" s="835">
        <v>36876.78485558027</v>
      </c>
      <c r="I4243" s="835">
        <v>1038.46</v>
      </c>
      <c r="J4243">
        <v>1290.94</v>
      </c>
      <c r="K4243">
        <v>1733.3359012383721</v>
      </c>
      <c r="L4243" s="596">
        <v>2248667.549076227</v>
      </c>
      <c r="M4243">
        <f t="shared" ref="A4243:M4248" si="562">+C4243-L4243</f>
        <v>7.9309237729758024</v>
      </c>
    </row>
    <row r="4244" spans="1:13" ht="13.5" customHeight="1">
      <c r="A4244" s="532">
        <v>45530</v>
      </c>
      <c r="B4244" s="615">
        <v>1500000</v>
      </c>
      <c r="C4244" s="615">
        <f>224477.4+1515041.1</f>
        <v>1739518.5</v>
      </c>
      <c r="D4244" s="532">
        <v>45652</v>
      </c>
      <c r="E4244" s="534">
        <v>122</v>
      </c>
      <c r="F4244" s="653">
        <v>0.15105996489436802</v>
      </c>
      <c r="G4244" s="536" t="s">
        <v>257</v>
      </c>
      <c r="H4244" s="835">
        <v>56647.486835388001</v>
      </c>
      <c r="I4244" s="835">
        <v>1127.79</v>
      </c>
      <c r="J4244">
        <v>1293.9000000000001</v>
      </c>
      <c r="K4244">
        <v>1330.0348469129892</v>
      </c>
      <c r="L4244" s="596">
        <v>1728005.3806286443</v>
      </c>
      <c r="M4244">
        <f t="shared" si="562"/>
        <v>11513.119371355744</v>
      </c>
    </row>
    <row r="4245" spans="1:13" ht="13.5" customHeight="1">
      <c r="A4245" s="532">
        <v>45621</v>
      </c>
      <c r="B4245" s="615">
        <v>3000000</v>
      </c>
      <c r="C4245" s="615">
        <v>3087904.1095890412</v>
      </c>
      <c r="D4245" s="532">
        <v>45652</v>
      </c>
      <c r="E4245" s="534">
        <v>31</v>
      </c>
      <c r="F4245" s="653">
        <v>0.34499999999999997</v>
      </c>
      <c r="G4245" s="536" t="s">
        <v>257</v>
      </c>
      <c r="H4245" s="835">
        <v>85068.493150685041</v>
      </c>
      <c r="I4245" s="835">
        <v>1260.01</v>
      </c>
      <c r="J4245">
        <v>1294.8900000000001</v>
      </c>
      <c r="K4245">
        <v>2380.9334846548836</v>
      </c>
      <c r="L4245" s="596">
        <v>3087904.1095890412</v>
      </c>
      <c r="M4245">
        <f t="shared" si="562"/>
        <v>0</v>
      </c>
    </row>
    <row r="4246" spans="1:13" ht="13.5" customHeight="1">
      <c r="A4246" s="532">
        <v>45561</v>
      </c>
      <c r="B4246" s="615">
        <v>366000</v>
      </c>
      <c r="C4246" s="615">
        <f>368737.48+36891.91</f>
        <v>405629.39</v>
      </c>
      <c r="D4246" s="532">
        <v>45652</v>
      </c>
      <c r="E4246" s="534">
        <v>91</v>
      </c>
      <c r="F4246" s="653">
        <v>0.10004927280141374</v>
      </c>
      <c r="G4246" s="536" t="s">
        <v>257</v>
      </c>
      <c r="H4246" s="835">
        <v>12071.879289665088</v>
      </c>
      <c r="I4246" s="835">
        <v>1177.1199999999999</v>
      </c>
      <c r="J4246">
        <v>1294.8900000000001</v>
      </c>
      <c r="K4246">
        <v>310.92836754111732</v>
      </c>
      <c r="L4246" s="596">
        <v>403621.82127216464</v>
      </c>
      <c r="M4246">
        <f t="shared" si="562"/>
        <v>2007.5687278353726</v>
      </c>
    </row>
    <row r="4247" spans="1:13" ht="13.5" customHeight="1">
      <c r="A4247" s="532">
        <v>45562</v>
      </c>
      <c r="B4247" s="615">
        <v>250000</v>
      </c>
      <c r="C4247" s="615">
        <f>251849.32+24816.58</f>
        <v>276665.90000000002</v>
      </c>
      <c r="D4247" s="532">
        <v>45652</v>
      </c>
      <c r="E4247" s="534">
        <v>90</v>
      </c>
      <c r="F4247" s="653">
        <v>0.101246143723005</v>
      </c>
      <c r="G4247" s="536" t="s">
        <v>256</v>
      </c>
      <c r="H4247" s="835">
        <v>8437.1786435837475</v>
      </c>
      <c r="I4247" s="835">
        <v>1178.74</v>
      </c>
      <c r="J4247">
        <v>1294.8900000000001</v>
      </c>
      <c r="K4247">
        <v>212.09087669884792</v>
      </c>
      <c r="L4247" s="596">
        <v>275311.53593075124</v>
      </c>
      <c r="M4247">
        <f t="shared" si="562"/>
        <v>1354.3640692487825</v>
      </c>
    </row>
    <row r="4248" spans="1:13" ht="13.5" customHeight="1">
      <c r="A4248" s="532">
        <v>45621</v>
      </c>
      <c r="B4248" s="615">
        <v>2000000</v>
      </c>
      <c r="C4248" s="615">
        <v>2058602.7397260275</v>
      </c>
      <c r="D4248" s="532">
        <v>45652</v>
      </c>
      <c r="E4248" s="534">
        <v>31</v>
      </c>
      <c r="F4248" s="653">
        <v>0.34499999999999997</v>
      </c>
      <c r="G4248" s="536" t="s">
        <v>256</v>
      </c>
      <c r="H4248" s="835">
        <v>56712.328767123363</v>
      </c>
      <c r="I4248" s="835">
        <v>1260.01</v>
      </c>
      <c r="J4248">
        <v>1294.8900000000001</v>
      </c>
      <c r="K4248">
        <v>1587.2889897699224</v>
      </c>
      <c r="L4248" s="596">
        <v>2058602.7397260275</v>
      </c>
      <c r="M4248">
        <f t="shared" si="562"/>
        <v>0</v>
      </c>
    </row>
    <row r="4249" spans="1:13" ht="13.5" customHeight="1">
      <c r="A4249" s="532">
        <v>45621</v>
      </c>
      <c r="B4249" s="615">
        <v>7500000</v>
      </c>
      <c r="C4249" s="615">
        <v>7722945.2054794524</v>
      </c>
      <c r="D4249" s="532">
        <v>45652</v>
      </c>
      <c r="E4249" s="534">
        <v>31</v>
      </c>
      <c r="F4249" s="653">
        <v>0.35</v>
      </c>
      <c r="G4249" s="536" t="s">
        <v>258</v>
      </c>
      <c r="H4249" s="835">
        <v>215753.42465753458</v>
      </c>
      <c r="I4249" s="835">
        <v>1260.01</v>
      </c>
      <c r="J4249">
        <v>1294.8900000000001</v>
      </c>
      <c r="K4249">
        <v>5952.3337116372095</v>
      </c>
      <c r="L4249" s="596">
        <v>7722945.2054794524</v>
      </c>
      <c r="M4249">
        <f t="shared" ref="A4249:M4251" si="563">+C4249-L4249</f>
        <v>0</v>
      </c>
    </row>
    <row r="4250" spans="1:13" ht="13.5" customHeight="1">
      <c r="A4250" s="532">
        <v>45562</v>
      </c>
      <c r="B4250" s="615">
        <v>100000</v>
      </c>
      <c r="C4250" s="615">
        <v>109858.47</v>
      </c>
      <c r="D4250" s="532">
        <v>45652</v>
      </c>
      <c r="E4250" s="534">
        <v>90</v>
      </c>
      <c r="F4250" s="653">
        <v>0.101246143723005</v>
      </c>
      <c r="G4250" s="536" t="s">
        <v>258</v>
      </c>
      <c r="H4250" s="835">
        <v>3374.8714574334981</v>
      </c>
      <c r="I4250" s="835">
        <v>1178.74</v>
      </c>
      <c r="J4250">
        <v>1294.8900000000001</v>
      </c>
      <c r="K4250">
        <v>84.836350679539166</v>
      </c>
      <c r="L4250" s="596">
        <v>110124.61437230048</v>
      </c>
      <c r="M4250">
        <f t="shared" si="563"/>
        <v>-266.1443723004777</v>
      </c>
    </row>
    <row r="4251" spans="1:13" ht="13.5" customHeight="1">
      <c r="A4251" s="532">
        <v>45561</v>
      </c>
      <c r="B4251" s="615">
        <v>200000</v>
      </c>
      <c r="C4251" s="615">
        <v>220014.76</v>
      </c>
      <c r="D4251" s="532">
        <v>45652</v>
      </c>
      <c r="E4251" s="534">
        <v>91</v>
      </c>
      <c r="F4251" s="653">
        <v>0.10004927280141374</v>
      </c>
      <c r="G4251" s="536" t="s">
        <v>258</v>
      </c>
      <c r="H4251" s="835">
        <v>6596.6553495437638</v>
      </c>
      <c r="I4251" s="835">
        <v>1177.1199999999999</v>
      </c>
      <c r="J4251">
        <v>1294.8900000000001</v>
      </c>
      <c r="K4251">
        <v>169.90621177110236</v>
      </c>
      <c r="L4251" s="596">
        <v>220558.3722798714</v>
      </c>
      <c r="M4251">
        <f t="shared" si="563"/>
        <v>-543.61227987139137</v>
      </c>
    </row>
    <row r="4252" spans="1:13" ht="13.5" customHeight="1">
      <c r="A4252" s="532">
        <v>45623</v>
      </c>
      <c r="B4252" s="615">
        <v>57000</v>
      </c>
      <c r="C4252" s="615">
        <v>58452.32876712329</v>
      </c>
      <c r="D4252" s="532">
        <v>45653</v>
      </c>
      <c r="E4252" s="534">
        <v>30</v>
      </c>
      <c r="F4252" s="653">
        <v>0.31</v>
      </c>
      <c r="G4252" s="536" t="s">
        <v>259</v>
      </c>
      <c r="H4252" s="835">
        <v>1452.3287671232902</v>
      </c>
      <c r="I4252" s="835">
        <v>1264.49</v>
      </c>
      <c r="J4252">
        <v>1296.8800000000001</v>
      </c>
      <c r="K4252">
        <v>45.07746205980277</v>
      </c>
      <c r="L4252" s="596">
        <v>58452.32876712329</v>
      </c>
      <c r="M4252">
        <v>0</v>
      </c>
    </row>
    <row r="4253" spans="1:13" ht="13.5" customHeight="1">
      <c r="A4253" s="532">
        <v>45623</v>
      </c>
      <c r="B4253" s="615">
        <v>309000</v>
      </c>
      <c r="C4253" s="615">
        <v>317508.08219178079</v>
      </c>
      <c r="D4253" s="532">
        <v>45653</v>
      </c>
      <c r="E4253" s="534">
        <v>30</v>
      </c>
      <c r="F4253" s="653">
        <v>0.33500000000000002</v>
      </c>
      <c r="G4253" s="536" t="s">
        <v>260</v>
      </c>
      <c r="H4253" s="835">
        <v>8508.0821917807916</v>
      </c>
      <c r="I4253" s="835">
        <v>1264.49</v>
      </c>
      <c r="J4253">
        <v>1296.8800000000001</v>
      </c>
      <c r="K4253">
        <v>244.36729432419395</v>
      </c>
      <c r="L4253" s="596">
        <v>317508.08219178079</v>
      </c>
      <c r="M4253">
        <v>0</v>
      </c>
    </row>
    <row r="4254" spans="1:13" ht="13.5" customHeight="1">
      <c r="A4254" s="532">
        <v>45623</v>
      </c>
      <c r="B4254" s="615">
        <v>135000</v>
      </c>
      <c r="C4254" s="615">
        <v>138744.86301369863</v>
      </c>
      <c r="D4254" s="532">
        <v>45653</v>
      </c>
      <c r="E4254" s="534">
        <v>30</v>
      </c>
      <c r="F4254" s="653">
        <v>0.33750000000000002</v>
      </c>
      <c r="G4254" s="536" t="s">
        <v>257</v>
      </c>
      <c r="H4254" s="835">
        <v>3744.8630136986321</v>
      </c>
      <c r="I4254" s="835">
        <v>1264.49</v>
      </c>
      <c r="J4254">
        <v>1296.8800000000001</v>
      </c>
      <c r="K4254">
        <v>106.76241014163813</v>
      </c>
      <c r="L4254" s="596">
        <v>138744.86301369863</v>
      </c>
      <c r="M4254">
        <v>0</v>
      </c>
    </row>
    <row r="4255" spans="1:13" ht="13.5" customHeight="1">
      <c r="A4255" s="532">
        <v>45622</v>
      </c>
      <c r="B4255" s="615">
        <v>120000</v>
      </c>
      <c r="C4255" s="615">
        <v>123439.72602739726</v>
      </c>
      <c r="D4255" s="532">
        <v>45653</v>
      </c>
      <c r="E4255" s="534">
        <v>31</v>
      </c>
      <c r="F4255" s="653">
        <v>0.33750000000000002</v>
      </c>
      <c r="G4255" s="536" t="s">
        <v>257</v>
      </c>
      <c r="H4255" s="835">
        <v>3328.7671232876751</v>
      </c>
      <c r="I4255" s="835">
        <v>1263.3699999999999</v>
      </c>
      <c r="J4255">
        <v>1296.8800000000001</v>
      </c>
      <c r="K4255">
        <v>94.984050594837626</v>
      </c>
      <c r="L4255" s="596">
        <v>123439.72602739726</v>
      </c>
      <c r="M4255">
        <v>0</v>
      </c>
    </row>
    <row r="4256" spans="1:13" ht="13.5" customHeight="1">
      <c r="A4256" s="532">
        <v>45622</v>
      </c>
      <c r="B4256" s="615">
        <v>1120000</v>
      </c>
      <c r="C4256" s="615">
        <v>1152104.1095890412</v>
      </c>
      <c r="D4256" s="532">
        <v>45653</v>
      </c>
      <c r="E4256" s="534">
        <v>31</v>
      </c>
      <c r="F4256" s="653">
        <v>0.33750000000000002</v>
      </c>
      <c r="G4256" s="536" t="s">
        <v>256</v>
      </c>
      <c r="H4256" s="835">
        <v>31068.493150685044</v>
      </c>
      <c r="I4256" s="835">
        <v>1263.3699999999999</v>
      </c>
      <c r="J4256">
        <v>1296.8800000000001</v>
      </c>
      <c r="K4256">
        <v>886.51780555181779</v>
      </c>
      <c r="L4256" s="596">
        <v>1152104.1095890412</v>
      </c>
      <c r="M4256">
        <v>0</v>
      </c>
    </row>
    <row r="4257" spans="1:13" ht="13.5" customHeight="1">
      <c r="A4257" s="532">
        <v>45623</v>
      </c>
      <c r="B4257" s="615">
        <v>1400000</v>
      </c>
      <c r="C4257" s="615">
        <v>1438835.6164383562</v>
      </c>
      <c r="D4257" s="532">
        <v>45653</v>
      </c>
      <c r="E4257" s="534">
        <v>30</v>
      </c>
      <c r="F4257" s="653">
        <v>0.33750000000000002</v>
      </c>
      <c r="G4257" s="536" t="s">
        <v>256</v>
      </c>
      <c r="H4257" s="835">
        <v>38835.616438356228</v>
      </c>
      <c r="I4257" s="835">
        <v>1264.49</v>
      </c>
      <c r="J4257">
        <v>1296.8800000000001</v>
      </c>
      <c r="K4257">
        <v>1107.1657348021731</v>
      </c>
      <c r="L4257" s="596">
        <v>1438835.6164383562</v>
      </c>
      <c r="M4257">
        <v>0</v>
      </c>
    </row>
    <row r="4258" spans="1:13" ht="13.5" customHeight="1">
      <c r="A4258" s="532">
        <v>45566</v>
      </c>
      <c r="B4258" s="615">
        <v>142000</v>
      </c>
      <c r="C4258" s="615">
        <f>143050.41+13596.32</f>
        <v>156646.73000000001</v>
      </c>
      <c r="D4258" s="532">
        <v>45656</v>
      </c>
      <c r="E4258" s="534">
        <v>90</v>
      </c>
      <c r="F4258" s="653">
        <v>9.7745758084794465E-2</v>
      </c>
      <c r="G4258" s="536" t="s">
        <v>257</v>
      </c>
      <c r="H4258" s="835">
        <v>4626.6325493469385</v>
      </c>
      <c r="I4258" s="835">
        <v>1185.22</v>
      </c>
      <c r="J4258">
        <v>1297.8699999999999</v>
      </c>
      <c r="K4258">
        <v>119.80898061119454</v>
      </c>
      <c r="L4258" s="596">
        <v>155879.89764804082</v>
      </c>
      <c r="M4258">
        <f>+C4258-L4258</f>
        <v>766.83235195919406</v>
      </c>
    </row>
    <row r="4259" spans="1:13" ht="13.5" customHeight="1">
      <c r="A4259" s="532">
        <v>45624</v>
      </c>
      <c r="B4259" s="615">
        <v>360000</v>
      </c>
      <c r="C4259" s="615">
        <v>370652.05479452055</v>
      </c>
      <c r="D4259" s="532">
        <v>45656</v>
      </c>
      <c r="E4259" s="534">
        <v>32</v>
      </c>
      <c r="F4259" s="653">
        <v>0.33750000000000002</v>
      </c>
      <c r="G4259" s="536" t="s">
        <v>257</v>
      </c>
      <c r="H4259" s="835">
        <v>9986.301369863013</v>
      </c>
      <c r="I4259" s="835">
        <v>1265.6099999999999</v>
      </c>
      <c r="J4259">
        <v>1297.8699999999999</v>
      </c>
      <c r="K4259">
        <v>284.44781567781547</v>
      </c>
      <c r="L4259" s="596">
        <v>370652.05479452055</v>
      </c>
      <c r="M4259">
        <f>+C4259-L4259</f>
        <v>0</v>
      </c>
    </row>
    <row r="4260" spans="1:13" ht="13.5" customHeight="1">
      <c r="A4260" s="532">
        <v>45625</v>
      </c>
      <c r="B4260" s="615">
        <v>1150000</v>
      </c>
      <c r="C4260" s="615">
        <v>1182964.0410958903</v>
      </c>
      <c r="D4260" s="532">
        <v>45656</v>
      </c>
      <c r="E4260" s="534">
        <v>31</v>
      </c>
      <c r="F4260" s="653">
        <v>0.33750000000000002</v>
      </c>
      <c r="G4260" s="536" t="s">
        <v>256</v>
      </c>
      <c r="H4260" s="835">
        <v>31900.684931506774</v>
      </c>
      <c r="I4260" s="835">
        <v>1266.74</v>
      </c>
      <c r="J4260">
        <v>1297.8699999999999</v>
      </c>
      <c r="K4260">
        <v>907.84217755814132</v>
      </c>
      <c r="L4260" s="596">
        <v>1182964.0410958903</v>
      </c>
      <c r="M4260">
        <f>+C4260-L4260</f>
        <v>0</v>
      </c>
    </row>
    <row r="4261" spans="1:13" ht="13.5" customHeight="1">
      <c r="A4261" s="532">
        <v>45624</v>
      </c>
      <c r="B4261" s="615">
        <v>3050000</v>
      </c>
      <c r="C4261" s="615">
        <v>3140246.5753424657</v>
      </c>
      <c r="D4261" s="532">
        <v>45656</v>
      </c>
      <c r="E4261" s="534">
        <v>32</v>
      </c>
      <c r="F4261" s="653">
        <v>0.33750000000000002</v>
      </c>
      <c r="G4261" s="536" t="s">
        <v>256</v>
      </c>
      <c r="H4261" s="835">
        <v>84606.164383561554</v>
      </c>
      <c r="I4261" s="835">
        <v>1265.6099999999999</v>
      </c>
      <c r="J4261">
        <v>1297.8699999999999</v>
      </c>
      <c r="K4261">
        <v>2409.9051050481589</v>
      </c>
      <c r="L4261" s="596">
        <v>3140246.5753424657</v>
      </c>
      <c r="M4261">
        <f>+C4261-L4261</f>
        <v>0</v>
      </c>
    </row>
    <row r="4262" spans="1:13" ht="13.5" customHeight="1">
      <c r="A4262" s="532">
        <v>45565</v>
      </c>
      <c r="B4262" s="615">
        <v>590000</v>
      </c>
      <c r="C4262" s="615">
        <f>594412.88+59181.93</f>
        <v>653594.81000000006</v>
      </c>
      <c r="D4262" s="532">
        <v>45656</v>
      </c>
      <c r="E4262" s="534">
        <v>91</v>
      </c>
      <c r="F4262" s="653">
        <v>0.10230506670009065</v>
      </c>
      <c r="G4262" s="536" t="s">
        <v>256</v>
      </c>
      <c r="H4262" s="835">
        <v>19898.897588918739</v>
      </c>
      <c r="I4262" s="835">
        <v>1180.3499999999999</v>
      </c>
      <c r="J4262">
        <v>1297.8699999999999</v>
      </c>
      <c r="K4262">
        <v>499.85173889100696</v>
      </c>
      <c r="L4262" s="596">
        <v>650359.9893530535</v>
      </c>
      <c r="M4262">
        <f>+C4262-L4262</f>
        <v>3234.8206469465513</v>
      </c>
    </row>
    <row r="4263" spans="1:13" ht="13.5" customHeight="1">
      <c r="A4263" s="532">
        <v>45566</v>
      </c>
      <c r="B4263" s="615">
        <f>654808.22+62236.66</f>
        <v>717044.88</v>
      </c>
      <c r="C4263" s="615">
        <v>713534.74275511643</v>
      </c>
      <c r="D4263" s="532">
        <v>45656</v>
      </c>
      <c r="E4263" s="534">
        <v>90</v>
      </c>
      <c r="F4263" s="653">
        <v>9.7745758084794465E-2</v>
      </c>
      <c r="G4263" s="536" t="s">
        <v>256</v>
      </c>
      <c r="H4263" s="835">
        <v>21178.247585038807</v>
      </c>
      <c r="I4263" s="835">
        <v>1185.22</v>
      </c>
      <c r="J4263">
        <v>1297.8699999999999</v>
      </c>
      <c r="K4263">
        <v>548.42139012166513</v>
      </c>
      <c r="L4263" s="596">
        <v>713534.74275511631</v>
      </c>
      <c r="M4263">
        <f>-L4263+B4263</f>
        <v>3510.1372448836919</v>
      </c>
    </row>
    <row r="4264" spans="1:13" ht="13.5" customHeight="1">
      <c r="A4264" s="532">
        <v>45474</v>
      </c>
      <c r="B4264" s="615">
        <v>1000000</v>
      </c>
      <c r="C4264" s="615">
        <f>1244670.31+6203.82</f>
        <v>1250874.1300000001</v>
      </c>
      <c r="D4264" s="532">
        <v>45656</v>
      </c>
      <c r="E4264" s="534">
        <v>182</v>
      </c>
      <c r="F4264" s="653">
        <v>0.25087900239647842</v>
      </c>
      <c r="G4264" s="536" t="s">
        <v>263</v>
      </c>
      <c r="H4264" s="835">
        <v>41353.681713705213</v>
      </c>
      <c r="I4264" s="835">
        <v>1042.74</v>
      </c>
      <c r="J4264">
        <v>1297.8699999999999</v>
      </c>
      <c r="K4264">
        <v>959.01183420603411</v>
      </c>
      <c r="L4264" s="596">
        <v>1250879.0023964786</v>
      </c>
      <c r="M4264">
        <f t="shared" ref="A4264:M4269" si="564">+C4264-L4264</f>
        <v>-4.8723964784294367</v>
      </c>
    </row>
    <row r="4265" spans="1:13" ht="13.5" customHeight="1">
      <c r="A4265" s="532">
        <v>45474</v>
      </c>
      <c r="B4265" s="615">
        <v>1000000</v>
      </c>
      <c r="C4265" s="615">
        <f>1244670.31+6203.82</f>
        <v>1250874.1300000001</v>
      </c>
      <c r="D4265" s="532">
        <v>45656</v>
      </c>
      <c r="E4265" s="534">
        <v>182</v>
      </c>
      <c r="F4265" s="653">
        <v>0.25087900239647842</v>
      </c>
      <c r="G4265" s="536" t="s">
        <v>263</v>
      </c>
      <c r="H4265" s="835">
        <v>41353.681713705213</v>
      </c>
      <c r="I4265" s="835">
        <v>1042.74</v>
      </c>
      <c r="J4265">
        <v>1297.8699999999999</v>
      </c>
      <c r="K4265">
        <v>959.01183420603411</v>
      </c>
      <c r="L4265" s="596">
        <v>1250879.0023964786</v>
      </c>
      <c r="M4265">
        <f t="shared" si="564"/>
        <v>-4.8723964784294367</v>
      </c>
    </row>
    <row r="4266" spans="1:13" ht="13.5" customHeight="1">
      <c r="A4266" s="532">
        <v>45474</v>
      </c>
      <c r="B4266" s="615">
        <v>300000</v>
      </c>
      <c r="C4266" s="615">
        <f>373397.2+1855.95</f>
        <v>375253.15</v>
      </c>
      <c r="D4266" s="532">
        <v>45656</v>
      </c>
      <c r="E4266" s="534">
        <v>182</v>
      </c>
      <c r="F4266" s="653">
        <v>0.25087900239647842</v>
      </c>
      <c r="G4266" s="536" t="s">
        <v>263</v>
      </c>
      <c r="H4266" s="835">
        <v>12406.104514111574</v>
      </c>
      <c r="I4266" s="835">
        <v>1042.74</v>
      </c>
      <c r="J4266">
        <v>1297.8699999999999</v>
      </c>
      <c r="K4266">
        <v>287.70355026181022</v>
      </c>
      <c r="L4266" s="596">
        <v>375263.70071894355</v>
      </c>
      <c r="M4266">
        <f t="shared" si="564"/>
        <v>-10.550718943530228</v>
      </c>
    </row>
    <row r="4267" spans="1:13" ht="13.5" customHeight="1">
      <c r="A4267" s="532">
        <v>45474</v>
      </c>
      <c r="B4267" s="615">
        <v>2180000</v>
      </c>
      <c r="C4267" s="615">
        <v>2726916.2252243231</v>
      </c>
      <c r="D4267" s="532">
        <v>45656</v>
      </c>
      <c r="E4267" s="534">
        <v>182</v>
      </c>
      <c r="F4267" s="653">
        <v>0.25087900239647842</v>
      </c>
      <c r="G4267" s="536" t="s">
        <v>259</v>
      </c>
      <c r="H4267" s="835">
        <v>90151.02613587743</v>
      </c>
      <c r="I4267" s="835">
        <v>1042.74</v>
      </c>
      <c r="J4267">
        <v>1297.8699999999999</v>
      </c>
      <c r="K4267">
        <v>2090.6457985691545</v>
      </c>
      <c r="L4267" s="596">
        <v>2726916.2252243231</v>
      </c>
      <c r="M4267">
        <f t="shared" si="564"/>
        <v>0</v>
      </c>
    </row>
    <row r="4268" spans="1:13" ht="13.5" customHeight="1">
      <c r="A4268" s="532">
        <v>45624</v>
      </c>
      <c r="B4268" s="615">
        <v>700000</v>
      </c>
      <c r="C4268" s="615">
        <v>721479.45205479453</v>
      </c>
      <c r="D4268" s="532">
        <v>45656</v>
      </c>
      <c r="E4268" s="534">
        <v>32</v>
      </c>
      <c r="F4268" s="653">
        <v>0.35</v>
      </c>
      <c r="G4268" s="536" t="s">
        <v>262</v>
      </c>
      <c r="H4268" s="835">
        <v>20136.98630136987</v>
      </c>
      <c r="I4268" s="835">
        <v>1265.6099999999999</v>
      </c>
      <c r="J4268">
        <v>1297.8699999999999</v>
      </c>
      <c r="K4268">
        <v>553.09297492908559</v>
      </c>
      <c r="L4268" s="596">
        <v>721479.45205479453</v>
      </c>
      <c r="M4268">
        <f t="shared" si="564"/>
        <v>0</v>
      </c>
    </row>
    <row r="4269" spans="1:13" ht="13.5" customHeight="1">
      <c r="A4269" s="532">
        <v>45566</v>
      </c>
      <c r="B4269" s="615">
        <v>900000</v>
      </c>
      <c r="C4269" s="615">
        <v>985563.54</v>
      </c>
      <c r="D4269" s="532">
        <v>45656</v>
      </c>
      <c r="E4269" s="534">
        <v>90</v>
      </c>
      <c r="F4269" s="653">
        <v>9.7745758084794465E-2</v>
      </c>
      <c r="G4269" s="536" t="s">
        <v>262</v>
      </c>
      <c r="H4269" s="835">
        <v>29323.727425438352</v>
      </c>
      <c r="I4269" s="835">
        <v>1185.22</v>
      </c>
      <c r="J4269">
        <v>1297.8699999999999</v>
      </c>
      <c r="K4269">
        <v>759.35269401461335</v>
      </c>
      <c r="L4269" s="596">
        <v>987971.18227631506</v>
      </c>
      <c r="M4269">
        <f t="shared" si="564"/>
        <v>-2407.6422763150185</v>
      </c>
    </row>
    <row r="4270" spans="1:13" ht="13.5" customHeight="1">
      <c r="A4270" s="532">
        <v>45625</v>
      </c>
      <c r="B4270" s="615">
        <v>1430000</v>
      </c>
      <c r="C4270" s="615">
        <v>1472508.2191780822</v>
      </c>
      <c r="D4270" s="532">
        <v>45656</v>
      </c>
      <c r="E4270" s="534">
        <v>31</v>
      </c>
      <c r="F4270" s="653">
        <v>0.35</v>
      </c>
      <c r="G4270" s="536" t="s">
        <v>258</v>
      </c>
      <c r="H4270" s="835">
        <v>41136.986301369856</v>
      </c>
      <c r="I4270" s="835">
        <v>1266.74</v>
      </c>
      <c r="J4270">
        <v>1297.8699999999999</v>
      </c>
      <c r="K4270">
        <v>1128.8820120940366</v>
      </c>
      <c r="L4270" s="596">
        <v>1472508.2191780822</v>
      </c>
      <c r="M4270">
        <f t="shared" ref="A4270:M4270" si="565">+C4270-L4270</f>
        <v>0</v>
      </c>
    </row>
    <row r="4271" spans="1:13" ht="13.5" customHeight="1">
      <c r="A4271" s="532">
        <v>45568</v>
      </c>
      <c r="B4271" s="615">
        <v>540000</v>
      </c>
      <c r="C4271" s="615">
        <f>544038.9+51896.27</f>
        <v>595935.17000000004</v>
      </c>
      <c r="D4271" s="532">
        <v>45658</v>
      </c>
      <c r="E4271" s="534">
        <v>90</v>
      </c>
      <c r="F4271" s="653">
        <v>9.8091714707769784E-2</v>
      </c>
      <c r="G4271" s="536" t="s">
        <v>256</v>
      </c>
      <c r="H4271" s="835">
        <v>17656.508647398558</v>
      </c>
      <c r="I4271" s="835">
        <v>1188.48</v>
      </c>
      <c r="J4271">
        <v>1301.8499999999999</v>
      </c>
      <c r="K4271">
        <v>454.36187399030695</v>
      </c>
      <c r="L4271" s="596">
        <v>592969.52594219567</v>
      </c>
      <c r="M4271">
        <f t="shared" ref="A4271:M4279" si="566">+C4271-L4271</f>
        <v>2965.6440578043694</v>
      </c>
    </row>
    <row r="4272" spans="1:13" ht="13.5" customHeight="1">
      <c r="A4272" s="532">
        <v>45569</v>
      </c>
      <c r="B4272" s="615">
        <v>290000</v>
      </c>
      <c r="C4272" s="615">
        <v>317236.06</v>
      </c>
      <c r="D4272" s="532">
        <v>45659</v>
      </c>
      <c r="E4272" s="534">
        <v>90</v>
      </c>
      <c r="F4272" s="653">
        <v>9.3890480711867008E-2</v>
      </c>
      <c r="G4272" s="536" t="s">
        <v>258</v>
      </c>
      <c r="H4272" s="835">
        <v>9076.0798021471528</v>
      </c>
      <c r="I4272" s="835">
        <v>1190.1099999999999</v>
      </c>
      <c r="J4272">
        <v>1301.8499999999999</v>
      </c>
      <c r="K4272">
        <v>243.67495441597836</v>
      </c>
      <c r="L4272" s="596">
        <v>318010.44602415588</v>
      </c>
      <c r="M4272">
        <f t="shared" si="566"/>
        <v>-774.38602415588684</v>
      </c>
    </row>
    <row r="4273" spans="1:14" ht="13.5" customHeight="1">
      <c r="A4273" s="532">
        <v>45569</v>
      </c>
      <c r="B4273" s="615">
        <v>360000</v>
      </c>
      <c r="C4273" s="615">
        <v>393810.28</v>
      </c>
      <c r="D4273" s="532">
        <v>45659</v>
      </c>
      <c r="E4273" s="534">
        <v>90</v>
      </c>
      <c r="F4273" s="653">
        <v>9.3890480711867008E-2</v>
      </c>
      <c r="G4273" s="536" t="s">
        <v>258</v>
      </c>
      <c r="H4273" s="835">
        <v>11266.857685424038</v>
      </c>
      <c r="I4273" s="835">
        <v>1190.1099999999999</v>
      </c>
      <c r="J4273">
        <v>1301.8499999999999</v>
      </c>
      <c r="K4273">
        <v>302.49304686121451</v>
      </c>
      <c r="L4273" s="596">
        <v>394771.58816791762</v>
      </c>
      <c r="M4273">
        <f t="shared" si="566"/>
        <v>-961.30816791759571</v>
      </c>
    </row>
    <row r="4274" spans="1:14" ht="13.5" customHeight="1">
      <c r="A4274" s="532">
        <v>45628</v>
      </c>
      <c r="B4274" s="615">
        <v>600000</v>
      </c>
      <c r="C4274" s="615">
        <v>617326.0273972603</v>
      </c>
      <c r="D4274" s="532">
        <v>45659</v>
      </c>
      <c r="E4274" s="534">
        <v>31</v>
      </c>
      <c r="F4274" s="653">
        <v>0.34</v>
      </c>
      <c r="G4274" s="536" t="s">
        <v>261</v>
      </c>
      <c r="H4274" s="835">
        <v>16767.12328767126</v>
      </c>
      <c r="I4274" s="835">
        <v>1267.8599999999999</v>
      </c>
      <c r="J4274">
        <v>1301.8499999999999</v>
      </c>
      <c r="K4274">
        <v>473.23837016705318</v>
      </c>
      <c r="L4274" s="596">
        <v>617326.0273972603</v>
      </c>
      <c r="M4274">
        <f t="shared" si="566"/>
        <v>0</v>
      </c>
    </row>
    <row r="4275" spans="1:14" ht="13.5" customHeight="1">
      <c r="A4275" s="532">
        <v>45628</v>
      </c>
      <c r="B4275" s="615">
        <v>1100000</v>
      </c>
      <c r="C4275" s="615">
        <v>1132698.6301369863</v>
      </c>
      <c r="D4275" s="532">
        <v>45659</v>
      </c>
      <c r="E4275" s="534">
        <v>31</v>
      </c>
      <c r="F4275" s="653">
        <v>0.35</v>
      </c>
      <c r="G4275" s="536" t="s">
        <v>258</v>
      </c>
      <c r="H4275" s="835">
        <v>31643.835616438315</v>
      </c>
      <c r="I4275" s="835">
        <v>1267.8599999999999</v>
      </c>
      <c r="J4275">
        <v>1301.8499999999999</v>
      </c>
      <c r="K4275">
        <v>867.60367863959755</v>
      </c>
      <c r="L4275" s="596">
        <v>1132698.6301369863</v>
      </c>
      <c r="M4275">
        <f t="shared" si="566"/>
        <v>0</v>
      </c>
    </row>
    <row r="4276" spans="1:14" ht="13.5" customHeight="1">
      <c r="A4276" s="532">
        <v>45628</v>
      </c>
      <c r="B4276" s="615">
        <v>1460000</v>
      </c>
      <c r="C4276" s="615">
        <v>1501850</v>
      </c>
      <c r="D4276" s="532">
        <v>45659</v>
      </c>
      <c r="E4276" s="534">
        <v>31</v>
      </c>
      <c r="F4276" s="653">
        <v>0.33750000000000002</v>
      </c>
      <c r="G4276" s="536" t="s">
        <v>256</v>
      </c>
      <c r="H4276" s="835">
        <v>40500</v>
      </c>
      <c r="I4276" s="835">
        <v>1267.8599999999999</v>
      </c>
      <c r="J4276">
        <v>1301.8499999999999</v>
      </c>
      <c r="K4276">
        <v>1151.5467007398295</v>
      </c>
      <c r="L4276" s="596">
        <v>1501850</v>
      </c>
      <c r="M4276">
        <f t="shared" si="566"/>
        <v>0</v>
      </c>
    </row>
    <row r="4277" spans="1:14" ht="13.5" customHeight="1">
      <c r="A4277" s="532">
        <v>45628</v>
      </c>
      <c r="B4277" s="615">
        <v>2850000</v>
      </c>
      <c r="C4277" s="615">
        <v>2934719.1780821919</v>
      </c>
      <c r="D4277" s="532">
        <v>45659</v>
      </c>
      <c r="E4277" s="534">
        <v>31</v>
      </c>
      <c r="F4277" s="653">
        <v>0.35</v>
      </c>
      <c r="G4277" s="536" t="s">
        <v>262</v>
      </c>
      <c r="H4277" s="835">
        <v>81986.301369863082</v>
      </c>
      <c r="I4277" s="835">
        <v>1267.8599999999999</v>
      </c>
      <c r="J4277">
        <v>1301.8499999999999</v>
      </c>
      <c r="K4277">
        <v>2247.8822582935027</v>
      </c>
      <c r="L4277" s="596">
        <v>2934719.1780821919</v>
      </c>
      <c r="M4277">
        <f t="shared" si="566"/>
        <v>0</v>
      </c>
    </row>
    <row r="4278" spans="1:14" ht="13.5" customHeight="1">
      <c r="A4278" s="532">
        <v>45629</v>
      </c>
      <c r="B4278" s="615">
        <v>1230000</v>
      </c>
      <c r="C4278" s="615">
        <v>1265383.5616438356</v>
      </c>
      <c r="D4278" s="532">
        <v>45659</v>
      </c>
      <c r="E4278" s="534">
        <v>30</v>
      </c>
      <c r="F4278" s="653">
        <v>0.35</v>
      </c>
      <c r="G4278" s="536" t="s">
        <v>258</v>
      </c>
      <c r="H4278" s="835">
        <v>35383.561643835623</v>
      </c>
      <c r="I4278" s="835">
        <v>1271.25</v>
      </c>
      <c r="J4278">
        <v>1301.8499999999999</v>
      </c>
      <c r="K4278">
        <v>967.55162241887911</v>
      </c>
      <c r="L4278" s="596">
        <v>1265383.5616438356</v>
      </c>
      <c r="M4278">
        <f t="shared" si="566"/>
        <v>0</v>
      </c>
    </row>
    <row r="4279" spans="1:14" ht="13.5" customHeight="1">
      <c r="A4279" s="532">
        <v>45629</v>
      </c>
      <c r="B4279" s="615">
        <v>304400</v>
      </c>
      <c r="C4279" s="615">
        <v>312155.94520547945</v>
      </c>
      <c r="D4279" s="532">
        <v>45659</v>
      </c>
      <c r="E4279" s="534">
        <v>30</v>
      </c>
      <c r="F4279" s="653">
        <v>0.31</v>
      </c>
      <c r="G4279" s="536" t="s">
        <v>259</v>
      </c>
      <c r="H4279" s="835">
        <v>7755.9452054794538</v>
      </c>
      <c r="I4279" s="835">
        <v>1271.25</v>
      </c>
      <c r="J4279">
        <v>1301.8499999999999</v>
      </c>
      <c r="K4279">
        <v>239.44936086529006</v>
      </c>
      <c r="L4279" s="596">
        <v>312155.94520547945</v>
      </c>
      <c r="M4279">
        <f t="shared" si="566"/>
        <v>0</v>
      </c>
    </row>
    <row r="4280" spans="1:14" ht="13.5" customHeight="1">
      <c r="A4280" s="532">
        <v>45629</v>
      </c>
      <c r="B4280" s="615">
        <v>100000</v>
      </c>
      <c r="C4280" s="615">
        <v>102887.67123287672</v>
      </c>
      <c r="D4280" s="532">
        <v>45660</v>
      </c>
      <c r="E4280" s="534">
        <v>31</v>
      </c>
      <c r="F4280" s="653">
        <v>0.34</v>
      </c>
      <c r="G4280" s="536" t="s">
        <v>261</v>
      </c>
      <c r="H4280" s="835">
        <v>2794.5205479452102</v>
      </c>
      <c r="I4280" s="835">
        <v>1271.25</v>
      </c>
      <c r="J4280">
        <v>1303.8399999999999</v>
      </c>
      <c r="K4280">
        <v>78.662733529990163</v>
      </c>
      <c r="L4280" s="596">
        <v>102887.67123287672</v>
      </c>
      <c r="M4280">
        <v>0</v>
      </c>
    </row>
    <row r="4281" spans="1:14" ht="13.5" customHeight="1">
      <c r="A4281" s="532">
        <v>45629</v>
      </c>
      <c r="B4281" s="615">
        <v>160000</v>
      </c>
      <c r="C4281" s="615">
        <v>164586.30136986301</v>
      </c>
      <c r="D4281" s="532">
        <v>45660</v>
      </c>
      <c r="E4281" s="534">
        <v>31</v>
      </c>
      <c r="F4281" s="653">
        <v>0.33750000000000002</v>
      </c>
      <c r="G4281" s="536" t="s">
        <v>256</v>
      </c>
      <c r="H4281" s="835">
        <v>4438.3561643835574</v>
      </c>
      <c r="I4281" s="835">
        <v>1271.25</v>
      </c>
      <c r="J4281">
        <v>1303.8399999999999</v>
      </c>
      <c r="K4281">
        <v>125.86037364798426</v>
      </c>
      <c r="L4281" s="596">
        <v>164586.30136986301</v>
      </c>
      <c r="M4281">
        <v>0</v>
      </c>
    </row>
    <row r="4282" spans="1:14" ht="13.5" customHeight="1">
      <c r="A4282" s="532">
        <v>45630</v>
      </c>
      <c r="B4282" s="615">
        <v>228900</v>
      </c>
      <c r="C4282" s="615">
        <v>234732.24657534246</v>
      </c>
      <c r="D4282" s="532">
        <v>45660</v>
      </c>
      <c r="E4282" s="534">
        <v>30</v>
      </c>
      <c r="F4282" s="653">
        <v>0.31</v>
      </c>
      <c r="G4282" s="536" t="s">
        <v>259</v>
      </c>
      <c r="H4282" s="835">
        <v>5832.2465753424622</v>
      </c>
      <c r="I4282" s="835">
        <v>1272.3800000000001</v>
      </c>
      <c r="J4282">
        <v>1303.8399999999999</v>
      </c>
      <c r="K4282">
        <v>179.89908675081341</v>
      </c>
      <c r="L4282" s="596">
        <v>234732.24657534246</v>
      </c>
      <c r="M4282">
        <v>0</v>
      </c>
    </row>
    <row r="4283" spans="1:14" ht="13.5" customHeight="1">
      <c r="A4283" s="532">
        <v>45630</v>
      </c>
      <c r="B4283" s="615">
        <v>350000</v>
      </c>
      <c r="C4283" s="615">
        <v>360068.49315068492</v>
      </c>
      <c r="D4283" s="532">
        <v>45660</v>
      </c>
      <c r="E4283" s="534">
        <v>30</v>
      </c>
      <c r="F4283" s="653">
        <v>0.35</v>
      </c>
      <c r="G4283" s="536" t="s">
        <v>258</v>
      </c>
      <c r="H4283" s="835">
        <v>10068.493150684924</v>
      </c>
      <c r="I4283" s="835">
        <v>1272.3800000000001</v>
      </c>
      <c r="J4283">
        <v>1303.8399999999999</v>
      </c>
      <c r="K4283">
        <v>275.07505619390429</v>
      </c>
      <c r="L4283" s="596">
        <v>360068.49315068492</v>
      </c>
      <c r="M4283">
        <v>0</v>
      </c>
    </row>
    <row r="4284" spans="1:14" ht="13.5" customHeight="1">
      <c r="A4284" s="532">
        <v>45631</v>
      </c>
      <c r="B4284" s="615">
        <v>354000</v>
      </c>
      <c r="C4284" s="615">
        <v>364474.52054794523</v>
      </c>
      <c r="D4284" s="532">
        <v>45663</v>
      </c>
      <c r="E4284" s="534">
        <v>32</v>
      </c>
      <c r="F4284" s="653">
        <v>0.33750000000000002</v>
      </c>
      <c r="G4284" s="536" t="s">
        <v>257</v>
      </c>
      <c r="H4284" s="835">
        <v>9819.8630136986503</v>
      </c>
      <c r="I4284" s="835">
        <v>1273.51</v>
      </c>
      <c r="J4284">
        <v>1304.8399999999999</v>
      </c>
      <c r="K4284">
        <v>277.97190442163782</v>
      </c>
      <c r="L4284" s="596">
        <v>364474.52054794523</v>
      </c>
      <c r="M4284">
        <f>+C4284-L4284</f>
        <v>0</v>
      </c>
    </row>
    <row r="4285" spans="1:14" ht="13.5" customHeight="1">
      <c r="A4285" s="532">
        <v>45573</v>
      </c>
      <c r="B4285" s="615">
        <v>600000</v>
      </c>
      <c r="C4285" s="615">
        <f>604438.36+54647.71</f>
        <v>659086.06999999995</v>
      </c>
      <c r="D4285" s="532">
        <v>45663</v>
      </c>
      <c r="E4285" s="534">
        <v>90</v>
      </c>
      <c r="F4285" s="653">
        <v>9.3099413946124532E-2</v>
      </c>
      <c r="G4285" s="536" t="s">
        <v>257</v>
      </c>
      <c r="H4285" s="835">
        <v>18619.882789224892</v>
      </c>
      <c r="I4285" s="835">
        <v>1196.6500000000001</v>
      </c>
      <c r="J4285">
        <v>1304.8399999999999</v>
      </c>
      <c r="K4285">
        <v>501.39974094346712</v>
      </c>
      <c r="L4285" s="596">
        <v>655859.64836767467</v>
      </c>
      <c r="M4285">
        <f>+C4285-L4285</f>
        <v>3226.4216323252767</v>
      </c>
    </row>
    <row r="4286" spans="1:14" ht="13.5" customHeight="1">
      <c r="A4286" s="532">
        <v>45483</v>
      </c>
      <c r="B4286" s="615">
        <v>250000</v>
      </c>
      <c r="C4286" s="615">
        <v>310099.61485641915</v>
      </c>
      <c r="D4286" s="532">
        <v>45663</v>
      </c>
      <c r="E4286" s="534">
        <v>180</v>
      </c>
      <c r="F4286" s="653">
        <v>0.24039845942567672</v>
      </c>
      <c r="G4286" s="536" t="s">
        <v>261</v>
      </c>
      <c r="H4286" s="835">
        <v>10016.60247606986</v>
      </c>
      <c r="I4286" s="835">
        <v>1057.1400000000001</v>
      </c>
      <c r="J4286">
        <v>1304.8399999999999</v>
      </c>
      <c r="K4286">
        <v>236.48712564088009</v>
      </c>
      <c r="L4286" s="596">
        <v>310099.61485641921</v>
      </c>
      <c r="M4286">
        <f>+C4286-L4286</f>
        <v>0</v>
      </c>
      <c r="N4286">
        <v>90</v>
      </c>
    </row>
    <row r="4287" spans="1:14" ht="13.5" customHeight="1">
      <c r="A4287" s="532">
        <v>45481</v>
      </c>
      <c r="B4287" s="615">
        <v>800000</v>
      </c>
      <c r="C4287" s="615">
        <v>996463.77316067787</v>
      </c>
      <c r="D4287" s="532">
        <v>45663</v>
      </c>
      <c r="E4287" s="534">
        <v>182</v>
      </c>
      <c r="F4287" s="653">
        <v>0.24557971645084731</v>
      </c>
      <c r="G4287" s="536" t="s">
        <v>263</v>
      </c>
      <c r="H4287" s="835">
        <v>32384.13843307877</v>
      </c>
      <c r="I4287" s="835">
        <v>1052.8</v>
      </c>
      <c r="J4287">
        <v>1304.8399999999999</v>
      </c>
      <c r="K4287">
        <v>759.87841945288756</v>
      </c>
      <c r="L4287" s="596">
        <v>996463.77316067775</v>
      </c>
      <c r="M4287">
        <f t="shared" ref="A4287:M4293" si="567">+C4287-L4287</f>
        <v>0</v>
      </c>
    </row>
    <row r="4288" spans="1:14" ht="13.5" customHeight="1">
      <c r="A4288" s="532">
        <v>45481</v>
      </c>
      <c r="B4288" s="615">
        <v>100000</v>
      </c>
      <c r="C4288" s="615">
        <v>124557.97164508473</v>
      </c>
      <c r="D4288" s="532">
        <v>45663</v>
      </c>
      <c r="E4288" s="534">
        <v>182</v>
      </c>
      <c r="F4288" s="653">
        <v>0.24557971645084731</v>
      </c>
      <c r="G4288" s="536" t="s">
        <v>263</v>
      </c>
      <c r="H4288" s="835">
        <v>4048.0173041348462</v>
      </c>
      <c r="I4288" s="835">
        <v>1052.8</v>
      </c>
      <c r="J4288">
        <v>1304.8399999999999</v>
      </c>
      <c r="K4288">
        <v>94.984802431610944</v>
      </c>
      <c r="L4288" s="596">
        <v>124557.97164508472</v>
      </c>
      <c r="M4288">
        <f t="shared" si="567"/>
        <v>0</v>
      </c>
    </row>
    <row r="4289" spans="1:14" ht="13.5" customHeight="1">
      <c r="A4289" s="532">
        <v>45481</v>
      </c>
      <c r="B4289" s="615">
        <v>15000</v>
      </c>
      <c r="C4289" s="615">
        <v>18683.695746762711</v>
      </c>
      <c r="D4289" s="532">
        <v>45663</v>
      </c>
      <c r="E4289" s="534">
        <v>182</v>
      </c>
      <c r="F4289" s="653">
        <v>0.24557971645084731</v>
      </c>
      <c r="G4289" s="536" t="s">
        <v>263</v>
      </c>
      <c r="H4289" s="835">
        <v>607.20259562022704</v>
      </c>
      <c r="I4289" s="835">
        <v>1052.8</v>
      </c>
      <c r="J4289">
        <v>1304.8399999999999</v>
      </c>
      <c r="K4289">
        <v>14.247720364741642</v>
      </c>
      <c r="L4289" s="596">
        <v>18683.695746762707</v>
      </c>
      <c r="M4289">
        <f t="shared" si="567"/>
        <v>0</v>
      </c>
    </row>
    <row r="4290" spans="1:14" ht="13.5" customHeight="1">
      <c r="A4290" s="532">
        <v>45483</v>
      </c>
      <c r="B4290" s="615">
        <v>150000</v>
      </c>
      <c r="C4290" s="615">
        <v>186059.7689138515</v>
      </c>
      <c r="D4290" s="532">
        <v>45663</v>
      </c>
      <c r="E4290" s="534">
        <v>180</v>
      </c>
      <c r="F4290" s="653">
        <v>0.24039845942567672</v>
      </c>
      <c r="G4290" s="536" t="s">
        <v>263</v>
      </c>
      <c r="H4290" s="835">
        <v>6009.9614856419166</v>
      </c>
      <c r="I4290" s="835">
        <v>1057.1400000000001</v>
      </c>
      <c r="J4290">
        <v>1304.8399999999999</v>
      </c>
      <c r="K4290">
        <v>141.89227538452806</v>
      </c>
      <c r="L4290" s="596">
        <v>186059.76891385153</v>
      </c>
      <c r="M4290">
        <f t="shared" si="567"/>
        <v>0</v>
      </c>
    </row>
    <row r="4291" spans="1:14" ht="13.5" customHeight="1">
      <c r="A4291" s="532">
        <v>45483</v>
      </c>
      <c r="B4291" s="615">
        <v>990000</v>
      </c>
      <c r="C4291" s="615">
        <f>994882.19+233112.27</f>
        <v>1227994.46</v>
      </c>
      <c r="D4291" s="532">
        <v>45663</v>
      </c>
      <c r="E4291" s="534">
        <v>180</v>
      </c>
      <c r="F4291" s="653">
        <v>0.24039845942567672</v>
      </c>
      <c r="G4291" s="536" t="s">
        <v>265</v>
      </c>
      <c r="H4291" s="835">
        <v>39665.745805236664</v>
      </c>
      <c r="I4291" s="835">
        <v>1057.1400000000001</v>
      </c>
      <c r="J4291">
        <v>1304.8399999999999</v>
      </c>
      <c r="K4291">
        <v>936.48901753788516</v>
      </c>
      <c r="L4291" s="596">
        <v>1227994.47483142</v>
      </c>
      <c r="M4291">
        <f t="shared" si="567"/>
        <v>-1.4831420034170151E-2</v>
      </c>
    </row>
    <row r="4292" spans="1:14" ht="13.5" customHeight="1">
      <c r="A4292" s="532">
        <v>45481</v>
      </c>
      <c r="B4292" s="615">
        <v>1012000</v>
      </c>
      <c r="C4292" s="615">
        <v>1260526.6730482574</v>
      </c>
      <c r="D4292" s="532">
        <v>45663</v>
      </c>
      <c r="E4292" s="534">
        <v>182</v>
      </c>
      <c r="F4292" s="653">
        <v>0.24557971645084731</v>
      </c>
      <c r="G4292" s="536" t="s">
        <v>259</v>
      </c>
      <c r="H4292" s="835">
        <v>40965.935117844623</v>
      </c>
      <c r="I4292" s="835">
        <v>1052.8</v>
      </c>
      <c r="J4292">
        <v>1304.8399999999999</v>
      </c>
      <c r="K4292">
        <v>961.24620060790278</v>
      </c>
      <c r="L4292" s="596">
        <v>1260526.6730482574</v>
      </c>
      <c r="M4292">
        <f t="shared" si="567"/>
        <v>0</v>
      </c>
    </row>
    <row r="4293" spans="1:14" ht="13.5" customHeight="1">
      <c r="A4293" s="532">
        <v>45631</v>
      </c>
      <c r="B4293" s="615">
        <v>36400</v>
      </c>
      <c r="C4293" s="615">
        <v>37389.282191780825</v>
      </c>
      <c r="D4293" s="532">
        <v>45663</v>
      </c>
      <c r="E4293" s="534">
        <v>32</v>
      </c>
      <c r="F4293" s="653">
        <v>0.31</v>
      </c>
      <c r="G4293" s="536" t="s">
        <v>259</v>
      </c>
      <c r="H4293" s="835">
        <v>927.45205479452352</v>
      </c>
      <c r="I4293" s="835">
        <v>1273.51</v>
      </c>
      <c r="J4293">
        <v>1304.8399999999999</v>
      </c>
      <c r="K4293">
        <v>28.582421810586489</v>
      </c>
      <c r="L4293" s="596">
        <v>37389.282191780825</v>
      </c>
      <c r="M4293">
        <f t="shared" si="567"/>
        <v>0</v>
      </c>
    </row>
    <row r="4294" spans="1:14" ht="13.5" customHeight="1">
      <c r="A4294" s="532">
        <v>45575</v>
      </c>
      <c r="B4294" s="615">
        <v>286000</v>
      </c>
      <c r="C4294" s="615">
        <f>288155.62+26147.79</f>
        <v>314303.40999999997</v>
      </c>
      <c r="D4294" s="532">
        <v>45665</v>
      </c>
      <c r="E4294" s="534">
        <v>90</v>
      </c>
      <c r="F4294" s="653">
        <v>9.3444069463746837E-2</v>
      </c>
      <c r="G4294" s="536" t="s">
        <v>257</v>
      </c>
      <c r="H4294" s="835">
        <v>8908.334622210532</v>
      </c>
      <c r="I4294" s="835">
        <v>1199.94</v>
      </c>
      <c r="J4294">
        <v>1308.8399999999999</v>
      </c>
      <c r="K4294">
        <v>238.34525059586312</v>
      </c>
      <c r="L4294" s="596">
        <v>312725.00386663165</v>
      </c>
      <c r="M4294">
        <f t="shared" ref="A4294:M4295" si="568">+C4294-L4294</f>
        <v>1578.4061333683203</v>
      </c>
    </row>
    <row r="4295" spans="1:14" ht="13.5" customHeight="1">
      <c r="A4295" s="532">
        <v>45635</v>
      </c>
      <c r="B4295" s="615">
        <v>35200</v>
      </c>
      <c r="C4295" s="615">
        <v>36010.082191780821</v>
      </c>
      <c r="D4295" s="532">
        <v>45665</v>
      </c>
      <c r="E4295" s="534">
        <v>30</v>
      </c>
      <c r="F4295" s="653">
        <v>0.28000000000000003</v>
      </c>
      <c r="G4295" s="536" t="s">
        <v>259</v>
      </c>
      <c r="H4295" s="835">
        <v>810.08219178082072</v>
      </c>
      <c r="I4295" s="835">
        <v>1275.77</v>
      </c>
      <c r="J4295">
        <v>1308.8399999999999</v>
      </c>
      <c r="K4295">
        <v>27.591180228411076</v>
      </c>
      <c r="L4295" s="596">
        <v>36010.082191780821</v>
      </c>
      <c r="M4295">
        <f t="shared" si="568"/>
        <v>0</v>
      </c>
    </row>
    <row r="4296" spans="1:14" ht="13.5" customHeight="1">
      <c r="A4296" s="532">
        <v>45636</v>
      </c>
      <c r="B4296" s="615">
        <v>550000</v>
      </c>
      <c r="C4296" s="615">
        <v>564465.75342465751</v>
      </c>
      <c r="D4296" s="532">
        <v>45666</v>
      </c>
      <c r="E4296" s="534">
        <v>30</v>
      </c>
      <c r="F4296" s="653">
        <v>0.32</v>
      </c>
      <c r="G4296" s="536" t="s">
        <v>258</v>
      </c>
      <c r="H4296" s="835">
        <v>14465.753424657509</v>
      </c>
      <c r="I4296" s="835">
        <v>1279.17</v>
      </c>
      <c r="J4296">
        <v>1309.8399999999999</v>
      </c>
      <c r="K4296">
        <v>429.9663062767263</v>
      </c>
      <c r="L4296" s="596">
        <v>564465.75342465751</v>
      </c>
      <c r="M4296">
        <v>0</v>
      </c>
    </row>
    <row r="4297" spans="1:14" ht="13.5" customHeight="1">
      <c r="A4297" s="532">
        <v>45637</v>
      </c>
      <c r="B4297" s="615">
        <v>550000</v>
      </c>
      <c r="C4297" s="615">
        <v>564465.75342465751</v>
      </c>
      <c r="D4297" s="532">
        <v>45667</v>
      </c>
      <c r="E4297" s="534">
        <v>30</v>
      </c>
      <c r="F4297" s="653">
        <v>0.32</v>
      </c>
      <c r="G4297" s="536" t="s">
        <v>258</v>
      </c>
      <c r="H4297" s="835">
        <v>14465.753424657509</v>
      </c>
      <c r="I4297" s="835">
        <v>1280.31</v>
      </c>
      <c r="J4297">
        <v>1310.84</v>
      </c>
      <c r="K4297">
        <v>429.58346025571933</v>
      </c>
      <c r="L4297" s="596">
        <v>564465.75342465751</v>
      </c>
      <c r="M4297">
        <v>0</v>
      </c>
    </row>
    <row r="4298" spans="1:14" ht="13.5" customHeight="1">
      <c r="A4298" s="532">
        <v>45488</v>
      </c>
      <c r="B4298" s="615">
        <v>100000</v>
      </c>
      <c r="C4298" s="615">
        <v>124031.35419841523</v>
      </c>
      <c r="D4298" s="532">
        <v>45670</v>
      </c>
      <c r="E4298" s="534">
        <v>182</v>
      </c>
      <c r="F4298" s="653">
        <v>0.24031354198415222</v>
      </c>
      <c r="G4298" s="536" t="s">
        <v>261</v>
      </c>
      <c r="H4298" s="835">
        <v>3961.2122305080043</v>
      </c>
      <c r="I4298" s="835">
        <v>1062.95</v>
      </c>
      <c r="J4298">
        <v>1311.85</v>
      </c>
      <c r="K4298">
        <v>94.077802342537268</v>
      </c>
      <c r="L4298" s="596">
        <v>124031.35419841521</v>
      </c>
      <c r="M4298">
        <f t="shared" ref="A4298:M4361" si="569">+C4298-L4298</f>
        <v>0</v>
      </c>
    </row>
    <row r="4299" spans="1:14" ht="13.5" customHeight="1">
      <c r="A4299" s="532">
        <v>45488</v>
      </c>
      <c r="B4299" s="615">
        <v>200000</v>
      </c>
      <c r="C4299" s="615">
        <v>248062.70839683045</v>
      </c>
      <c r="D4299" s="532">
        <v>45670</v>
      </c>
      <c r="E4299" s="534">
        <v>182</v>
      </c>
      <c r="F4299" s="653">
        <v>0.24031354198415222</v>
      </c>
      <c r="G4299" s="536" t="s">
        <v>261</v>
      </c>
      <c r="H4299" s="835">
        <v>7922.4244610160085</v>
      </c>
      <c r="I4299" s="835">
        <v>1062.95</v>
      </c>
      <c r="J4299">
        <v>1311.85</v>
      </c>
      <c r="K4299">
        <v>188.15560468507454</v>
      </c>
      <c r="L4299" s="596">
        <v>248062.70839683042</v>
      </c>
      <c r="M4299">
        <f t="shared" si="569"/>
        <v>0</v>
      </c>
    </row>
    <row r="4300" spans="1:14" ht="13.5" customHeight="1">
      <c r="A4300" s="532">
        <v>45489</v>
      </c>
      <c r="B4300" s="615">
        <v>1000000</v>
      </c>
      <c r="C4300" s="615">
        <v>1235189.99</v>
      </c>
      <c r="D4300" s="532">
        <v>45670</v>
      </c>
      <c r="E4300" s="534">
        <v>181</v>
      </c>
      <c r="F4300" s="653">
        <v>0.23518999593018508</v>
      </c>
      <c r="G4300" s="536" t="s">
        <v>261</v>
      </c>
      <c r="H4300" s="835">
        <v>38981.767281246146</v>
      </c>
      <c r="I4300" s="835">
        <v>1067.33</v>
      </c>
      <c r="J4300">
        <v>1311.85</v>
      </c>
      <c r="K4300">
        <v>936.9173545201578</v>
      </c>
      <c r="L4300" s="596">
        <v>1235189.9959301848</v>
      </c>
      <c r="M4300">
        <f t="shared" si="569"/>
        <v>-5.9301848523318768E-3</v>
      </c>
    </row>
    <row r="4301" spans="1:14" ht="13.5" customHeight="1">
      <c r="A4301" s="532">
        <v>45489</v>
      </c>
      <c r="B4301" s="615">
        <v>100000</v>
      </c>
      <c r="C4301" s="615">
        <v>123518.99959301851</v>
      </c>
      <c r="D4301" s="532">
        <v>45670</v>
      </c>
      <c r="E4301" s="534">
        <v>181</v>
      </c>
      <c r="F4301" s="653">
        <v>0.23518999593018508</v>
      </c>
      <c r="G4301" s="536" t="s">
        <v>261</v>
      </c>
      <c r="H4301" s="835">
        <v>3898.1767281246148</v>
      </c>
      <c r="I4301" s="835">
        <v>1067.33</v>
      </c>
      <c r="J4301">
        <v>1311.85</v>
      </c>
      <c r="K4301">
        <v>93.691735452015777</v>
      </c>
      <c r="L4301" s="596">
        <v>123518.99959301848</v>
      </c>
      <c r="M4301">
        <f t="shared" si="569"/>
        <v>0</v>
      </c>
    </row>
    <row r="4302" spans="1:14" ht="13.5" customHeight="1">
      <c r="A4302" s="532">
        <v>45489</v>
      </c>
      <c r="B4302" s="615">
        <v>100000</v>
      </c>
      <c r="C4302" s="615">
        <v>123518.99959301851</v>
      </c>
      <c r="D4302" s="532">
        <v>45670</v>
      </c>
      <c r="E4302" s="534">
        <v>181</v>
      </c>
      <c r="F4302" s="653">
        <v>0.23518999593018508</v>
      </c>
      <c r="G4302" s="536" t="s">
        <v>261</v>
      </c>
      <c r="H4302" s="835">
        <v>3898.1767281246148</v>
      </c>
      <c r="I4302" s="835">
        <v>1067.33</v>
      </c>
      <c r="J4302">
        <v>1311.85</v>
      </c>
      <c r="K4302">
        <v>93.691735452015777</v>
      </c>
      <c r="L4302" s="596">
        <v>123518.99959301848</v>
      </c>
      <c r="M4302">
        <f t="shared" si="569"/>
        <v>0</v>
      </c>
    </row>
    <row r="4303" spans="1:14" ht="13.5" customHeight="1">
      <c r="A4303" s="532">
        <v>45489</v>
      </c>
      <c r="B4303" s="615">
        <v>100000</v>
      </c>
      <c r="C4303" s="615">
        <v>123518.99959301851</v>
      </c>
      <c r="D4303" s="532">
        <v>45670</v>
      </c>
      <c r="E4303" s="534">
        <v>181</v>
      </c>
      <c r="F4303" s="653">
        <v>0.23518999593018508</v>
      </c>
      <c r="G4303" s="536" t="s">
        <v>261</v>
      </c>
      <c r="H4303" s="835">
        <v>3898.1767281246148</v>
      </c>
      <c r="I4303" s="835">
        <v>1067.33</v>
      </c>
      <c r="J4303">
        <v>1311.85</v>
      </c>
      <c r="K4303">
        <v>93.691735452015777</v>
      </c>
      <c r="L4303" s="596">
        <v>123518.99959301848</v>
      </c>
      <c r="M4303">
        <f t="shared" si="569"/>
        <v>0</v>
      </c>
    </row>
    <row r="4304" spans="1:14" ht="13.5" customHeight="1">
      <c r="A4304" s="532">
        <v>45639</v>
      </c>
      <c r="B4304" s="615">
        <v>628000</v>
      </c>
      <c r="C4304" s="615">
        <v>644001.09589041094</v>
      </c>
      <c r="D4304" s="532">
        <v>45670</v>
      </c>
      <c r="E4304" s="534">
        <v>31</v>
      </c>
      <c r="F4304" s="653">
        <v>0.3</v>
      </c>
      <c r="G4304" s="536" t="s">
        <v>261</v>
      </c>
      <c r="H4304" s="835">
        <v>15484.931506849302</v>
      </c>
      <c r="I4304" s="835">
        <v>1282.5899999999999</v>
      </c>
      <c r="J4304">
        <v>1311.85</v>
      </c>
      <c r="K4304">
        <v>489.63425568576088</v>
      </c>
      <c r="L4304" s="596">
        <v>644001.09589041094</v>
      </c>
      <c r="M4304">
        <f t="shared" si="569"/>
        <v>0</v>
      </c>
      <c r="N4304" t="e">
        <v>#REF!</v>
      </c>
    </row>
    <row r="4305" spans="1:14" ht="13.5" customHeight="1">
      <c r="A4305" s="532">
        <v>45489</v>
      </c>
      <c r="B4305" s="615">
        <v>80000</v>
      </c>
      <c r="C4305" s="615">
        <v>98815.199674414805</v>
      </c>
      <c r="D4305" s="532">
        <v>45670</v>
      </c>
      <c r="E4305" s="534">
        <v>181</v>
      </c>
      <c r="F4305" s="653">
        <v>0.23518999593018508</v>
      </c>
      <c r="G4305" s="536" t="s">
        <v>265</v>
      </c>
      <c r="H4305" s="835">
        <v>3118.5413824996913</v>
      </c>
      <c r="I4305" s="835">
        <v>1067.33</v>
      </c>
      <c r="J4305">
        <v>1311.85</v>
      </c>
      <c r="K4305">
        <v>74.953388361612625</v>
      </c>
      <c r="L4305" s="596">
        <v>98815.199674414805</v>
      </c>
      <c r="M4305">
        <f t="shared" si="569"/>
        <v>0</v>
      </c>
    </row>
    <row r="4306" spans="1:14" ht="13.5" customHeight="1">
      <c r="A4306" s="532">
        <v>45488</v>
      </c>
      <c r="B4306" s="615">
        <v>200000</v>
      </c>
      <c r="C4306" s="615">
        <v>248062.70839683045</v>
      </c>
      <c r="D4306" s="532">
        <v>45670</v>
      </c>
      <c r="E4306" s="534">
        <v>182</v>
      </c>
      <c r="F4306" s="653">
        <v>0.24031354198415222</v>
      </c>
      <c r="G4306" s="536" t="s">
        <v>265</v>
      </c>
      <c r="H4306" s="835">
        <v>7922.4244610160085</v>
      </c>
      <c r="I4306" s="835">
        <v>1062.95</v>
      </c>
      <c r="J4306">
        <v>1311.85</v>
      </c>
      <c r="K4306">
        <v>188.15560468507454</v>
      </c>
      <c r="L4306" s="596">
        <v>248062.70839683042</v>
      </c>
      <c r="M4306">
        <f t="shared" si="569"/>
        <v>0</v>
      </c>
    </row>
    <row r="4307" spans="1:14" ht="13.5" customHeight="1">
      <c r="A4307" s="532">
        <v>45490</v>
      </c>
      <c r="B4307" s="615">
        <v>120000</v>
      </c>
      <c r="C4307" s="615">
        <v>148003.82425644863</v>
      </c>
      <c r="D4307" s="532">
        <v>45670</v>
      </c>
      <c r="E4307" s="534">
        <v>180</v>
      </c>
      <c r="F4307" s="653">
        <v>0.23336520213707201</v>
      </c>
      <c r="G4307" s="536" t="s">
        <v>265</v>
      </c>
      <c r="H4307" s="835">
        <v>4667.304042741438</v>
      </c>
      <c r="I4307" s="835">
        <v>1068.8800000000001</v>
      </c>
      <c r="J4307">
        <v>1311.85</v>
      </c>
      <c r="K4307">
        <v>112.26704587979941</v>
      </c>
      <c r="L4307" s="596">
        <v>148003.82425644866</v>
      </c>
      <c r="M4307">
        <f t="shared" si="569"/>
        <v>0</v>
      </c>
    </row>
    <row r="4308" spans="1:14" ht="13.5" customHeight="1">
      <c r="A4308" s="532">
        <v>45488</v>
      </c>
      <c r="B4308" s="615">
        <v>1000000</v>
      </c>
      <c r="C4308" s="615">
        <f>1004986.3+235327.24</f>
        <v>1240313.54</v>
      </c>
      <c r="D4308" s="532">
        <v>45670</v>
      </c>
      <c r="E4308" s="534">
        <v>182</v>
      </c>
      <c r="F4308" s="653">
        <v>0.24031354198415222</v>
      </c>
      <c r="G4308" s="536" t="s">
        <v>257</v>
      </c>
      <c r="H4308" s="835">
        <v>39612.122305080047</v>
      </c>
      <c r="I4308" s="835">
        <v>1062.95</v>
      </c>
      <c r="J4308">
        <v>1311.85</v>
      </c>
      <c r="K4308">
        <v>940.77802342537279</v>
      </c>
      <c r="L4308" s="596">
        <v>1240313.5419841523</v>
      </c>
      <c r="M4308">
        <f t="shared" si="569"/>
        <v>-1.9841522444039583E-3</v>
      </c>
    </row>
    <row r="4309" spans="1:14" ht="13.5" customHeight="1">
      <c r="A4309" s="532">
        <v>45490</v>
      </c>
      <c r="B4309" s="615">
        <v>112000</v>
      </c>
      <c r="C4309" s="615">
        <v>138136.90263935208</v>
      </c>
      <c r="D4309" s="532">
        <v>45670</v>
      </c>
      <c r="E4309" s="534">
        <v>180</v>
      </c>
      <c r="F4309" s="653">
        <v>0.23336520213707201</v>
      </c>
      <c r="G4309" s="536" t="s">
        <v>257</v>
      </c>
      <c r="H4309" s="835">
        <v>4356.1504398920124</v>
      </c>
      <c r="I4309" s="835">
        <v>1068.8800000000001</v>
      </c>
      <c r="J4309">
        <v>1311.85</v>
      </c>
      <c r="K4309">
        <v>104.78257615447944</v>
      </c>
      <c r="L4309" s="596">
        <v>138136.90263935208</v>
      </c>
      <c r="M4309">
        <f t="shared" si="569"/>
        <v>0</v>
      </c>
    </row>
    <row r="4310" spans="1:14" ht="13.5" customHeight="1">
      <c r="A4310" s="532">
        <v>45490</v>
      </c>
      <c r="B4310" s="615">
        <v>200000</v>
      </c>
      <c r="C4310" s="615">
        <f>245460.26+1206.9</f>
        <v>246667.16</v>
      </c>
      <c r="D4310" s="532">
        <v>45670</v>
      </c>
      <c r="E4310" s="534">
        <v>180</v>
      </c>
      <c r="F4310" s="653">
        <v>0.23336520213707201</v>
      </c>
      <c r="G4310" s="536" t="s">
        <v>263</v>
      </c>
      <c r="H4310" s="835">
        <v>7778.8400712357352</v>
      </c>
      <c r="I4310" s="835">
        <v>1068.8800000000001</v>
      </c>
      <c r="J4310">
        <v>1311.85</v>
      </c>
      <c r="K4310">
        <v>187.11174313299901</v>
      </c>
      <c r="L4310" s="596">
        <v>246673.04042741444</v>
      </c>
      <c r="M4310">
        <f t="shared" si="569"/>
        <v>-5.880427414434962</v>
      </c>
    </row>
    <row r="4311" spans="1:14" ht="13.5" customHeight="1">
      <c r="A4311" s="532">
        <v>45488</v>
      </c>
      <c r="B4311" s="615">
        <v>250000</v>
      </c>
      <c r="C4311" s="615">
        <f>251246.58+58831.81</f>
        <v>310078.39</v>
      </c>
      <c r="D4311" s="532">
        <v>45670</v>
      </c>
      <c r="E4311" s="534">
        <v>182</v>
      </c>
      <c r="F4311" s="653">
        <v>0.24031354198415222</v>
      </c>
      <c r="G4311" s="536" t="s">
        <v>256</v>
      </c>
      <c r="H4311" s="835">
        <v>9903.0305762700118</v>
      </c>
      <c r="I4311" s="835">
        <v>1062.95</v>
      </c>
      <c r="J4311">
        <v>1311.85</v>
      </c>
      <c r="K4311">
        <v>235.1945058563432</v>
      </c>
      <c r="L4311" s="596">
        <v>310078.38549603807</v>
      </c>
      <c r="M4311">
        <f t="shared" si="569"/>
        <v>4.5039619435556233E-3</v>
      </c>
    </row>
    <row r="4312" spans="1:14" ht="13.5" customHeight="1">
      <c r="A4312" s="532">
        <v>45488</v>
      </c>
      <c r="B4312" s="615">
        <v>1000000</v>
      </c>
      <c r="C4312" s="615">
        <f>1004986.3+235327.24</f>
        <v>1240313.54</v>
      </c>
      <c r="D4312" s="532">
        <v>45670</v>
      </c>
      <c r="E4312" s="534">
        <v>182</v>
      </c>
      <c r="F4312" s="653">
        <v>0.24031354198415222</v>
      </c>
      <c r="G4312" s="536" t="s">
        <v>256</v>
      </c>
      <c r="H4312" s="835">
        <v>39612.122305080047</v>
      </c>
      <c r="I4312" s="835">
        <v>1062.95</v>
      </c>
      <c r="J4312">
        <v>1311.85</v>
      </c>
      <c r="K4312">
        <v>940.77802342537279</v>
      </c>
      <c r="L4312" s="596">
        <v>1240313.5419841523</v>
      </c>
      <c r="M4312">
        <f t="shared" si="569"/>
        <v>-1.9841522444039583E-3</v>
      </c>
    </row>
    <row r="4313" spans="1:14" ht="13.5" customHeight="1">
      <c r="A4313" s="532">
        <v>45638</v>
      </c>
      <c r="B4313" s="615">
        <v>100000</v>
      </c>
      <c r="C4313" s="615">
        <v>102805.47945205479</v>
      </c>
      <c r="D4313" s="532">
        <v>45670</v>
      </c>
      <c r="E4313" s="534">
        <v>32</v>
      </c>
      <c r="F4313" s="653">
        <v>0.32</v>
      </c>
      <c r="G4313" s="536" t="s">
        <v>258</v>
      </c>
      <c r="H4313" s="835">
        <v>2630.1369863013633</v>
      </c>
      <c r="I4313" s="835">
        <v>1281.45</v>
      </c>
      <c r="J4313">
        <v>1311.85</v>
      </c>
      <c r="K4313">
        <v>78.036599165008383</v>
      </c>
      <c r="L4313" s="596">
        <v>102805.47945205479</v>
      </c>
      <c r="M4313">
        <f t="shared" si="569"/>
        <v>0</v>
      </c>
    </row>
    <row r="4314" spans="1:14" ht="13.5" customHeight="1">
      <c r="A4314" s="532">
        <v>45646</v>
      </c>
      <c r="B4314" s="615">
        <v>71700</v>
      </c>
      <c r="C4314" s="615">
        <v>73405.084931506848</v>
      </c>
      <c r="D4314" s="532">
        <v>45677</v>
      </c>
      <c r="E4314" s="534">
        <v>31</v>
      </c>
      <c r="F4314" s="653">
        <v>0.28000000000000003</v>
      </c>
      <c r="G4314" s="536" t="s">
        <v>259</v>
      </c>
      <c r="H4314" s="835">
        <v>1650.0821917808207</v>
      </c>
      <c r="I4314" s="835">
        <v>1289.95</v>
      </c>
      <c r="J4314">
        <v>1322.4625218652798</v>
      </c>
      <c r="K4314">
        <v>55.583549749990311</v>
      </c>
      <c r="L4314" s="596">
        <v>73405.084931506848</v>
      </c>
      <c r="M4314">
        <f t="shared" si="569"/>
        <v>0</v>
      </c>
    </row>
    <row r="4315" spans="1:14" ht="13.5" customHeight="1">
      <c r="A4315" s="532">
        <v>45646</v>
      </c>
      <c r="B4315" s="615">
        <v>193500</v>
      </c>
      <c r="C4315" s="615">
        <v>198430.27397260274</v>
      </c>
      <c r="D4315" s="532">
        <v>45677</v>
      </c>
      <c r="E4315" s="534">
        <v>31</v>
      </c>
      <c r="F4315" s="653">
        <v>0.3</v>
      </c>
      <c r="G4315" s="536" t="s">
        <v>264</v>
      </c>
      <c r="H4315" s="835">
        <v>4771.2328767123254</v>
      </c>
      <c r="I4315" s="835">
        <v>1289.95</v>
      </c>
      <c r="J4315">
        <v>1322.4625218652798</v>
      </c>
      <c r="K4315">
        <v>150.00581417884413</v>
      </c>
      <c r="L4315" s="596">
        <v>198430.27397260274</v>
      </c>
      <c r="M4315">
        <f t="shared" si="569"/>
        <v>0</v>
      </c>
    </row>
    <row r="4316" spans="1:14" ht="13.5" customHeight="1">
      <c r="A4316" s="532">
        <v>45649</v>
      </c>
      <c r="B4316" s="615">
        <v>1000000</v>
      </c>
      <c r="C4316" s="615">
        <v>1027945.205479452</v>
      </c>
      <c r="D4316" s="532">
        <v>45679</v>
      </c>
      <c r="E4316" s="534">
        <v>30</v>
      </c>
      <c r="F4316" s="653">
        <v>0.34</v>
      </c>
      <c r="G4316" s="536" t="s">
        <v>262</v>
      </c>
      <c r="H4316" s="835"/>
      <c r="I4316" s="835">
        <v>27945.205479452037</v>
      </c>
      <c r="J4316">
        <v>1290.94</v>
      </c>
      <c r="K4316">
        <v>1325.1087693715319</v>
      </c>
      <c r="L4316" s="596">
        <v>774.62933986087648</v>
      </c>
      <c r="M4316">
        <f t="shared" si="569"/>
        <v>1027170.5761395912</v>
      </c>
      <c r="N4316">
        <v>0</v>
      </c>
    </row>
    <row r="4317" spans="1:14" ht="13.5" customHeight="1">
      <c r="A4317" s="532">
        <v>45649</v>
      </c>
      <c r="B4317" s="615">
        <v>700000</v>
      </c>
      <c r="C4317" s="615">
        <v>719561.64383561641</v>
      </c>
      <c r="D4317" s="532">
        <v>45679</v>
      </c>
      <c r="E4317" s="534">
        <v>30</v>
      </c>
      <c r="F4317" s="653">
        <v>0.34</v>
      </c>
      <c r="G4317" s="536" t="s">
        <v>258</v>
      </c>
      <c r="H4317" s="835"/>
      <c r="I4317" s="835">
        <v>19561.643835616414</v>
      </c>
      <c r="J4317">
        <v>1290.94</v>
      </c>
      <c r="K4317">
        <v>1325.1087693715319</v>
      </c>
      <c r="L4317" s="596">
        <v>542.2405379026136</v>
      </c>
      <c r="M4317">
        <f t="shared" si="569"/>
        <v>719019.40329771384</v>
      </c>
      <c r="N4317">
        <v>0</v>
      </c>
    </row>
    <row r="4318" spans="1:14" ht="13.5" customHeight="1">
      <c r="A4318" s="532">
        <v>45495</v>
      </c>
      <c r="B4318" s="615">
        <v>200000</v>
      </c>
      <c r="C4318" s="615">
        <v>247600.33879179342</v>
      </c>
      <c r="D4318" s="532">
        <v>45677</v>
      </c>
      <c r="E4318" s="534">
        <v>182</v>
      </c>
      <c r="F4318" s="653">
        <v>0.23800169395896709</v>
      </c>
      <c r="G4318" s="536" t="s">
        <v>256</v>
      </c>
      <c r="H4318" s="835">
        <v>7846.2096909549591</v>
      </c>
      <c r="I4318" s="835">
        <v>1073.55</v>
      </c>
      <c r="J4318">
        <v>1322.4625218652798</v>
      </c>
      <c r="K4318">
        <v>186.29779702855015</v>
      </c>
      <c r="L4318" s="596">
        <v>247600.33879179342</v>
      </c>
      <c r="M4318">
        <f t="shared" si="569"/>
        <v>0</v>
      </c>
    </row>
    <row r="4319" spans="1:14" ht="13.5" customHeight="1">
      <c r="A4319" s="532">
        <v>45496</v>
      </c>
      <c r="B4319" s="615">
        <v>50000</v>
      </c>
      <c r="C4319" s="615">
        <v>61898.397219493032</v>
      </c>
      <c r="D4319" s="532">
        <v>45677</v>
      </c>
      <c r="E4319" s="534">
        <v>181</v>
      </c>
      <c r="F4319" s="653">
        <v>0.23796794438986058</v>
      </c>
      <c r="G4319" s="536" t="s">
        <v>256</v>
      </c>
      <c r="H4319" s="835">
        <v>7846.2096909549591</v>
      </c>
      <c r="I4319" s="835">
        <v>1073.55</v>
      </c>
      <c r="J4319">
        <v>1322.4625218652798</v>
      </c>
      <c r="K4319">
        <v>186.29779702855015</v>
      </c>
      <c r="L4319" s="596">
        <v>247600.33879179342</v>
      </c>
      <c r="M4319">
        <f t="shared" si="569"/>
        <v>-185701.94157230039</v>
      </c>
    </row>
    <row r="4320" spans="1:14" ht="13.5" customHeight="1">
      <c r="A4320" s="532">
        <v>45496</v>
      </c>
      <c r="B4320" s="615">
        <v>350000</v>
      </c>
      <c r="C4320" s="615">
        <v>433288.7805364512</v>
      </c>
      <c r="D4320" s="532">
        <v>45677</v>
      </c>
      <c r="E4320" s="534">
        <v>181</v>
      </c>
      <c r="F4320" s="653">
        <v>0.23796794438986058</v>
      </c>
      <c r="G4320" s="536" t="s">
        <v>256</v>
      </c>
      <c r="H4320" s="835">
        <v>7846.2096909549591</v>
      </c>
      <c r="I4320" s="835">
        <v>1073.55</v>
      </c>
      <c r="J4320">
        <v>1322.4625218652798</v>
      </c>
      <c r="K4320">
        <v>186.29779702855015</v>
      </c>
      <c r="L4320" s="596">
        <v>247600.33879179342</v>
      </c>
      <c r="M4320">
        <f t="shared" si="569"/>
        <v>185688.44174465779</v>
      </c>
    </row>
    <row r="4321" spans="1:13" ht="13.5" customHeight="1">
      <c r="A4321" s="532">
        <v>45653</v>
      </c>
      <c r="B4321" s="615">
        <v>58450</v>
      </c>
      <c r="C4321" s="615">
        <v>59839.989041095891</v>
      </c>
      <c r="D4321" s="532">
        <v>45684</v>
      </c>
      <c r="E4321" s="534">
        <v>31</v>
      </c>
      <c r="F4321" s="653">
        <v>0.28000000000000003</v>
      </c>
      <c r="G4321" s="536" t="s">
        <v>259</v>
      </c>
      <c r="H4321" s="835">
        <v>1345.1506849315072</v>
      </c>
      <c r="I4321" s="835">
        <v>1296.8800000000001</v>
      </c>
      <c r="J4321">
        <v>1327.1</v>
      </c>
      <c r="K4321">
        <v>45.069705755351301</v>
      </c>
      <c r="L4321" s="596">
        <v>59839.989041095891</v>
      </c>
      <c r="M4321">
        <f t="shared" si="569"/>
        <v>0</v>
      </c>
    </row>
    <row r="4322" spans="1:13" ht="13.5" customHeight="1">
      <c r="A4322" s="532">
        <v>45681</v>
      </c>
      <c r="B4322" s="615">
        <v>500000</v>
      </c>
      <c r="C4322" s="615">
        <v>513041.09589041094</v>
      </c>
      <c r="D4322" s="532">
        <v>45715</v>
      </c>
      <c r="E4322" s="534">
        <v>34</v>
      </c>
      <c r="F4322" s="653">
        <v>0.28000000000000003</v>
      </c>
      <c r="G4322" s="536" t="s">
        <v>256</v>
      </c>
      <c r="H4322" s="835">
        <v>11506.849315068481</v>
      </c>
      <c r="I4322" s="835">
        <v>1325.96</v>
      </c>
      <c r="J4322">
        <v>1365.9361720503648</v>
      </c>
      <c r="K4322">
        <v>377.08528160728827</v>
      </c>
      <c r="L4322" s="596">
        <v>513041.09589041094</v>
      </c>
      <c r="M4322">
        <f t="shared" si="569"/>
        <v>0</v>
      </c>
    </row>
    <row r="4323" spans="1:13" ht="13.5" customHeight="1">
      <c r="A4323" s="532">
        <v>45652</v>
      </c>
      <c r="B4323" s="615">
        <v>1735000</v>
      </c>
      <c r="C4323" s="615">
        <v>1781393.4246575343</v>
      </c>
      <c r="D4323" s="532">
        <v>45684</v>
      </c>
      <c r="E4323" s="534">
        <v>32</v>
      </c>
      <c r="F4323" s="653">
        <v>0.30499999999999999</v>
      </c>
      <c r="G4323" s="536" t="s">
        <v>257</v>
      </c>
      <c r="H4323" s="835">
        <v>43493.835616438446</v>
      </c>
      <c r="I4323" s="835">
        <v>1294.8900000000001</v>
      </c>
      <c r="J4323">
        <v>1327.1</v>
      </c>
      <c r="K4323">
        <v>1339.8821521519201</v>
      </c>
      <c r="L4323" s="596">
        <v>1781393.4246575343</v>
      </c>
      <c r="M4323">
        <f t="shared" si="569"/>
        <v>0</v>
      </c>
    </row>
    <row r="4324" spans="1:13" ht="13.5" customHeight="1">
      <c r="A4324" s="532">
        <v>45652</v>
      </c>
      <c r="B4324" s="615">
        <v>2800000</v>
      </c>
      <c r="C4324" s="615">
        <v>2883463.01369863</v>
      </c>
      <c r="D4324" s="532">
        <v>45684</v>
      </c>
      <c r="E4324" s="534">
        <v>32</v>
      </c>
      <c r="F4324" s="653">
        <v>0.34</v>
      </c>
      <c r="G4324" s="536" t="s">
        <v>258</v>
      </c>
      <c r="H4324" s="835">
        <v>78246.575342465658</v>
      </c>
      <c r="I4324" s="835">
        <v>1294.8900000000001</v>
      </c>
      <c r="J4324">
        <v>1327.1</v>
      </c>
      <c r="K4324">
        <v>2162.3458363258655</v>
      </c>
      <c r="L4324" s="596">
        <v>2883463.01369863</v>
      </c>
      <c r="M4324">
        <f t="shared" si="569"/>
        <v>0</v>
      </c>
    </row>
    <row r="4325" spans="1:13" ht="13.5" customHeight="1">
      <c r="A4325" s="532">
        <v>45653</v>
      </c>
      <c r="B4325" s="615">
        <v>1100000</v>
      </c>
      <c r="C4325" s="615">
        <v>1129413.6986301369</v>
      </c>
      <c r="D4325" s="532">
        <v>45685</v>
      </c>
      <c r="E4325" s="534">
        <v>32</v>
      </c>
      <c r="F4325" s="653">
        <v>0.30499999999999999</v>
      </c>
      <c r="G4325" s="536" t="s">
        <v>256</v>
      </c>
      <c r="H4325" s="835">
        <v>27575.342465753347</v>
      </c>
      <c r="I4325" s="835">
        <v>1296.8800000000001</v>
      </c>
      <c r="J4325">
        <v>1330.52</v>
      </c>
      <c r="K4325">
        <v>848.18950095614082</v>
      </c>
      <c r="L4325" s="596">
        <v>1129413.6986301369</v>
      </c>
      <c r="M4325">
        <f t="shared" si="569"/>
        <v>0</v>
      </c>
    </row>
    <row r="4326" spans="1:13" ht="13.5" customHeight="1">
      <c r="A4326" s="532">
        <v>45656</v>
      </c>
      <c r="B4326" s="615">
        <v>1000000</v>
      </c>
      <c r="C4326" s="615">
        <v>1025890.4109589041</v>
      </c>
      <c r="D4326" s="532">
        <v>45686</v>
      </c>
      <c r="E4326" s="534">
        <v>30</v>
      </c>
      <c r="F4326" s="653">
        <v>0.315</v>
      </c>
      <c r="G4326" s="536" t="s">
        <v>260</v>
      </c>
      <c r="H4326" s="835">
        <v>25890.410958904075</v>
      </c>
      <c r="I4326" s="835">
        <v>1297.8699999999999</v>
      </c>
      <c r="J4326">
        <v>1331.67</v>
      </c>
      <c r="K4326">
        <v>770.49319269264265</v>
      </c>
      <c r="L4326" s="596">
        <v>1025890.4109589041</v>
      </c>
      <c r="M4326">
        <f t="shared" si="569"/>
        <v>0</v>
      </c>
    </row>
    <row r="4327" spans="1:13" ht="13.5" customHeight="1">
      <c r="A4327" s="532">
        <v>45656</v>
      </c>
      <c r="B4327" s="615">
        <v>700000</v>
      </c>
      <c r="C4327" s="615">
        <v>719561.64383561641</v>
      </c>
      <c r="D4327" s="532">
        <v>45686</v>
      </c>
      <c r="E4327" s="534">
        <v>30</v>
      </c>
      <c r="F4327" s="653">
        <v>0.34</v>
      </c>
      <c r="G4327" s="536" t="s">
        <v>262</v>
      </c>
      <c r="H4327" s="835">
        <v>19561.643835616414</v>
      </c>
      <c r="I4327" s="835">
        <v>1297.8699999999999</v>
      </c>
      <c r="J4327">
        <v>1331.67</v>
      </c>
      <c r="K4327">
        <v>539.34523488484979</v>
      </c>
      <c r="L4327" s="596">
        <v>719561.64383561641</v>
      </c>
      <c r="M4327">
        <f t="shared" si="569"/>
        <v>0</v>
      </c>
    </row>
    <row r="4328" spans="1:13" ht="13.5" customHeight="1">
      <c r="A4328" s="532">
        <v>45656</v>
      </c>
      <c r="B4328" s="615">
        <v>890000</v>
      </c>
      <c r="C4328" s="615">
        <v>910482.19178082189</v>
      </c>
      <c r="D4328" s="532">
        <v>45686</v>
      </c>
      <c r="E4328" s="534">
        <v>30</v>
      </c>
      <c r="F4328" s="653">
        <v>0.28000000000000003</v>
      </c>
      <c r="G4328" s="536" t="s">
        <v>263</v>
      </c>
      <c r="H4328" s="835">
        <v>20482.191780821886</v>
      </c>
      <c r="I4328" s="835">
        <v>1297.8699999999999</v>
      </c>
      <c r="J4328">
        <v>1331.67</v>
      </c>
      <c r="K4328">
        <v>685.73894149645196</v>
      </c>
      <c r="L4328" s="596">
        <v>910482.19178082189</v>
      </c>
      <c r="M4328">
        <f t="shared" si="569"/>
        <v>0</v>
      </c>
    </row>
    <row r="4329" spans="1:13" ht="13.5" customHeight="1">
      <c r="A4329" s="532">
        <v>45656</v>
      </c>
      <c r="B4329" s="615">
        <v>650000</v>
      </c>
      <c r="C4329" s="615">
        <v>666294.52054794517</v>
      </c>
      <c r="D4329" s="532">
        <v>45686</v>
      </c>
      <c r="E4329" s="534">
        <v>30</v>
      </c>
      <c r="F4329" s="653">
        <v>0.30499999999999999</v>
      </c>
      <c r="G4329" s="536" t="s">
        <v>256</v>
      </c>
      <c r="H4329" s="835">
        <v>16294.520547945171</v>
      </c>
      <c r="I4329" s="835">
        <v>1297.8699999999999</v>
      </c>
      <c r="J4329">
        <v>1331.67</v>
      </c>
      <c r="K4329">
        <v>500.8205752502177</v>
      </c>
      <c r="L4329" s="596">
        <v>666294.52054794517</v>
      </c>
      <c r="M4329">
        <f t="shared" si="569"/>
        <v>0</v>
      </c>
    </row>
    <row r="4330" spans="1:13" ht="13.5" customHeight="1">
      <c r="A4330" s="532">
        <v>45656</v>
      </c>
      <c r="B4330" s="615">
        <v>240000</v>
      </c>
      <c r="C4330" s="615">
        <v>246216.98630136985</v>
      </c>
      <c r="D4330" s="532">
        <v>45687</v>
      </c>
      <c r="E4330" s="534">
        <v>31</v>
      </c>
      <c r="F4330" s="653">
        <v>0.30499999999999999</v>
      </c>
      <c r="G4330" s="536" t="s">
        <v>257</v>
      </c>
      <c r="H4330" s="835">
        <v>6016.4383561643699</v>
      </c>
      <c r="I4330" s="835">
        <v>1297.8699999999999</v>
      </c>
      <c r="J4330">
        <v>1332.81</v>
      </c>
      <c r="K4330">
        <v>184.91836624623423</v>
      </c>
      <c r="L4330" s="596">
        <v>246216.98630136985</v>
      </c>
      <c r="M4330">
        <f t="shared" si="569"/>
        <v>0</v>
      </c>
    </row>
    <row r="4331" spans="1:13" ht="13.5" customHeight="1">
      <c r="A4331" s="532">
        <v>45659</v>
      </c>
      <c r="B4331" s="615">
        <v>1100000</v>
      </c>
      <c r="C4331" s="615">
        <v>1132789.0410958903</v>
      </c>
      <c r="D4331" s="532">
        <v>45691</v>
      </c>
      <c r="E4331" s="534">
        <v>32</v>
      </c>
      <c r="F4331" s="653">
        <v>0.34</v>
      </c>
      <c r="G4331" s="536" t="s">
        <v>258</v>
      </c>
      <c r="H4331" s="835">
        <v>30739.726027397192</v>
      </c>
      <c r="I4331" s="835">
        <v>1301.8499999999999</v>
      </c>
      <c r="J4331">
        <v>1335.11</v>
      </c>
      <c r="K4331">
        <v>844.9514152936207</v>
      </c>
      <c r="L4331" s="596">
        <v>1132789.0410958903</v>
      </c>
      <c r="M4331">
        <f t="shared" si="569"/>
        <v>0</v>
      </c>
    </row>
    <row r="4332" spans="1:13" ht="13.5" customHeight="1">
      <c r="A4332" s="532">
        <v>45660</v>
      </c>
      <c r="B4332" s="615">
        <v>100000</v>
      </c>
      <c r="C4332" s="615">
        <v>102887.67123287672</v>
      </c>
      <c r="D4332" s="532">
        <v>45691</v>
      </c>
      <c r="E4332" s="534">
        <v>31</v>
      </c>
      <c r="F4332" s="653">
        <v>0.34</v>
      </c>
      <c r="G4332" s="536" t="s">
        <v>258</v>
      </c>
      <c r="H4332" s="835">
        <v>2794.5205479452102</v>
      </c>
      <c r="I4332" s="835">
        <v>1303.8399999999999</v>
      </c>
      <c r="J4332">
        <v>1335.11</v>
      </c>
      <c r="K4332">
        <v>76.696527181249238</v>
      </c>
      <c r="L4332" s="596">
        <v>102887.67123287672</v>
      </c>
      <c r="M4332">
        <f t="shared" si="569"/>
        <v>0</v>
      </c>
    </row>
    <row r="4333" spans="1:13" ht="13.5" customHeight="1">
      <c r="A4333" s="532">
        <v>45659</v>
      </c>
      <c r="B4333" s="615">
        <v>97000</v>
      </c>
      <c r="C4333" s="615">
        <v>99678.794520547948</v>
      </c>
      <c r="D4333" s="532">
        <v>45691</v>
      </c>
      <c r="E4333" s="534">
        <v>32</v>
      </c>
      <c r="F4333" s="653">
        <v>0.315</v>
      </c>
      <c r="G4333" s="536" t="s">
        <v>260</v>
      </c>
      <c r="H4333" s="835">
        <v>2511.3698630137014</v>
      </c>
      <c r="I4333" s="835">
        <v>1301.8499999999999</v>
      </c>
      <c r="J4333">
        <v>1335.11</v>
      </c>
      <c r="K4333">
        <v>74.509352075892011</v>
      </c>
      <c r="L4333" s="596">
        <v>99678.794520547948</v>
      </c>
      <c r="M4333">
        <f t="shared" si="569"/>
        <v>0</v>
      </c>
    </row>
    <row r="4334" spans="1:13" ht="13.5" customHeight="1">
      <c r="A4334" s="532">
        <v>45659</v>
      </c>
      <c r="B4334" s="615">
        <v>1050000</v>
      </c>
      <c r="C4334" s="615">
        <v>1081298.6301369863</v>
      </c>
      <c r="D4334" s="532">
        <v>45691</v>
      </c>
      <c r="E4334" s="534">
        <v>32</v>
      </c>
      <c r="F4334" s="653">
        <v>0.34</v>
      </c>
      <c r="G4334" s="536" t="s">
        <v>262</v>
      </c>
      <c r="H4334" s="835">
        <v>29342.465753424622</v>
      </c>
      <c r="I4334" s="835">
        <v>1301.8499999999999</v>
      </c>
      <c r="J4334">
        <v>1335.11</v>
      </c>
      <c r="K4334">
        <v>806.54453278027427</v>
      </c>
      <c r="L4334" s="596">
        <v>1081298.6301369863</v>
      </c>
      <c r="M4334">
        <f t="shared" si="569"/>
        <v>0</v>
      </c>
    </row>
    <row r="4335" spans="1:13" ht="13.5" customHeight="1">
      <c r="A4335" s="532">
        <v>45659</v>
      </c>
      <c r="B4335" s="615">
        <v>312150</v>
      </c>
      <c r="C4335" s="615">
        <v>319812.64109589043</v>
      </c>
      <c r="D4335" s="532">
        <v>45691</v>
      </c>
      <c r="E4335" s="534">
        <v>32</v>
      </c>
      <c r="F4335" s="653">
        <v>0.28000000000000003</v>
      </c>
      <c r="G4335" s="536" t="s">
        <v>259</v>
      </c>
      <c r="H4335" s="835">
        <v>7183.7260273972788</v>
      </c>
      <c r="I4335" s="835">
        <v>1301.8499999999999</v>
      </c>
      <c r="J4335">
        <v>1335.11</v>
      </c>
      <c r="K4335">
        <v>239.77416753082153</v>
      </c>
      <c r="L4335" s="596">
        <v>319812.64109589043</v>
      </c>
      <c r="M4335">
        <f t="shared" si="569"/>
        <v>0</v>
      </c>
    </row>
    <row r="4336" spans="1:13" ht="13.5" customHeight="1">
      <c r="A4336" s="532">
        <v>45659</v>
      </c>
      <c r="B4336" s="615">
        <v>500000</v>
      </c>
      <c r="C4336" s="615">
        <v>512657.53424657532</v>
      </c>
      <c r="D4336" s="532">
        <v>45692</v>
      </c>
      <c r="E4336" s="534">
        <v>33</v>
      </c>
      <c r="F4336" s="653">
        <v>0.28000000000000003</v>
      </c>
      <c r="G4336" s="536" t="s">
        <v>256</v>
      </c>
      <c r="H4336" s="835">
        <v>11506.849315068474</v>
      </c>
      <c r="I4336" s="835">
        <v>1301.8499999999999</v>
      </c>
      <c r="J4336">
        <v>1338.55</v>
      </c>
      <c r="K4336">
        <v>384.06882513346392</v>
      </c>
      <c r="L4336" s="596">
        <v>512657.53424657532</v>
      </c>
      <c r="M4336">
        <f t="shared" si="569"/>
        <v>0</v>
      </c>
    </row>
    <row r="4337" spans="1:13" ht="13.5" customHeight="1">
      <c r="A4337" s="532">
        <v>45663</v>
      </c>
      <c r="B4337" s="615">
        <v>113000</v>
      </c>
      <c r="C4337" s="615">
        <v>115832.7397260274</v>
      </c>
      <c r="D4337" s="532">
        <v>45693</v>
      </c>
      <c r="E4337" s="534">
        <v>30</v>
      </c>
      <c r="F4337" s="653">
        <v>0.30499999999999999</v>
      </c>
      <c r="G4337" s="536" t="s">
        <v>265</v>
      </c>
      <c r="H4337" s="835">
        <v>2832.739726027401</v>
      </c>
      <c r="I4337" s="835">
        <v>1304.8399999999999</v>
      </c>
      <c r="J4337">
        <v>1339.7</v>
      </c>
      <c r="K4337">
        <v>86.600656019128792</v>
      </c>
      <c r="L4337" s="596">
        <v>115832.7397260274</v>
      </c>
      <c r="M4337">
        <f t="shared" si="569"/>
        <v>0</v>
      </c>
    </row>
    <row r="4338" spans="1:13" ht="13.5" customHeight="1">
      <c r="A4338" s="532">
        <v>45660</v>
      </c>
      <c r="B4338" s="615">
        <v>184700</v>
      </c>
      <c r="C4338" s="615">
        <v>189375.69315068494</v>
      </c>
      <c r="D4338" s="532">
        <v>45693</v>
      </c>
      <c r="E4338" s="534">
        <v>33</v>
      </c>
      <c r="F4338" s="653">
        <v>0.28000000000000003</v>
      </c>
      <c r="G4338" s="536" t="s">
        <v>259</v>
      </c>
      <c r="H4338" s="835">
        <v>4250.6301369863058</v>
      </c>
      <c r="I4338" s="835">
        <v>1303.8399999999999</v>
      </c>
      <c r="J4338">
        <v>1339.7</v>
      </c>
      <c r="K4338">
        <v>141.65848570376735</v>
      </c>
      <c r="L4338" s="596">
        <v>189375.69315068494</v>
      </c>
      <c r="M4338">
        <f t="shared" si="569"/>
        <v>0</v>
      </c>
    </row>
    <row r="4339" spans="1:13" ht="13.5" customHeight="1">
      <c r="A4339" s="532">
        <v>45663</v>
      </c>
      <c r="B4339" s="615">
        <v>300000</v>
      </c>
      <c r="C4339" s="615">
        <v>308383.56164383562</v>
      </c>
      <c r="D4339" s="532">
        <v>45693</v>
      </c>
      <c r="E4339" s="534">
        <v>30</v>
      </c>
      <c r="F4339" s="653">
        <v>0.34</v>
      </c>
      <c r="G4339" s="536" t="s">
        <v>258</v>
      </c>
      <c r="H4339" s="835">
        <v>8383.5616438356228</v>
      </c>
      <c r="I4339" s="835">
        <v>1304.8399999999999</v>
      </c>
      <c r="J4339">
        <v>1339.7</v>
      </c>
      <c r="K4339">
        <v>229.91324606848352</v>
      </c>
      <c r="L4339" s="596">
        <v>308383.56164383562</v>
      </c>
      <c r="M4339">
        <f t="shared" si="569"/>
        <v>0</v>
      </c>
    </row>
    <row r="4340" spans="1:13" ht="13.5" customHeight="1">
      <c r="A4340" s="532">
        <v>45663</v>
      </c>
      <c r="B4340" s="615">
        <v>297000</v>
      </c>
      <c r="C4340" s="615">
        <v>304689.45205479453</v>
      </c>
      <c r="D4340" s="532">
        <v>45693</v>
      </c>
      <c r="E4340" s="534">
        <v>30</v>
      </c>
      <c r="F4340" s="653">
        <v>0.315</v>
      </c>
      <c r="G4340" s="536" t="s">
        <v>260</v>
      </c>
      <c r="H4340" s="835">
        <v>7689.4520547945276</v>
      </c>
      <c r="I4340" s="835">
        <v>1304.8399999999999</v>
      </c>
      <c r="J4340">
        <v>1339.7</v>
      </c>
      <c r="K4340">
        <v>227.61411360779869</v>
      </c>
      <c r="L4340" s="596">
        <v>304689.45205479453</v>
      </c>
      <c r="M4340">
        <f t="shared" si="569"/>
        <v>0</v>
      </c>
    </row>
    <row r="4341" spans="1:13" ht="13.5" customHeight="1">
      <c r="A4341" s="532">
        <v>45663</v>
      </c>
      <c r="B4341" s="615">
        <v>353000</v>
      </c>
      <c r="C4341" s="615">
        <v>361123.83561643836</v>
      </c>
      <c r="D4341" s="532">
        <v>45693</v>
      </c>
      <c r="E4341" s="534">
        <v>30</v>
      </c>
      <c r="F4341" s="653">
        <v>0.28000000000000003</v>
      </c>
      <c r="G4341" s="536" t="s">
        <v>257</v>
      </c>
      <c r="H4341" s="835">
        <v>8123.8356164383586</v>
      </c>
      <c r="I4341" s="835">
        <v>1304.8399999999999</v>
      </c>
      <c r="J4341">
        <v>1339.7</v>
      </c>
      <c r="K4341">
        <v>270.53125287391561</v>
      </c>
      <c r="L4341" s="596">
        <v>361123.83561643836</v>
      </c>
      <c r="M4341">
        <f t="shared" si="569"/>
        <v>0</v>
      </c>
    </row>
    <row r="4342" spans="1:13" ht="13.5" customHeight="1">
      <c r="A4342" s="532">
        <v>45664</v>
      </c>
      <c r="B4342" s="615">
        <v>640000</v>
      </c>
      <c r="C4342" s="615">
        <v>658481.09589041094</v>
      </c>
      <c r="D4342" s="532">
        <v>45695</v>
      </c>
      <c r="E4342" s="534">
        <v>31</v>
      </c>
      <c r="F4342" s="653">
        <v>0.34</v>
      </c>
      <c r="G4342" s="536" t="s">
        <v>258</v>
      </c>
      <c r="H4342" s="835">
        <v>17884.931506849302</v>
      </c>
      <c r="I4342" s="835">
        <v>1307.8399999999999</v>
      </c>
      <c r="J4342">
        <v>1342.01</v>
      </c>
      <c r="K4342">
        <v>489.35649620748717</v>
      </c>
      <c r="L4342" s="596">
        <v>658481.09589041094</v>
      </c>
      <c r="M4342">
        <f t="shared" si="569"/>
        <v>0</v>
      </c>
    </row>
    <row r="4343" spans="1:13" ht="13.5" customHeight="1">
      <c r="A4343" s="532">
        <v>45664</v>
      </c>
      <c r="B4343" s="615">
        <v>150000</v>
      </c>
      <c r="C4343" s="615">
        <v>154331.50684931508</v>
      </c>
      <c r="D4343" s="532">
        <v>45695</v>
      </c>
      <c r="E4343" s="534">
        <v>31</v>
      </c>
      <c r="F4343" s="653">
        <v>0.34</v>
      </c>
      <c r="G4343" s="536" t="s">
        <v>258</v>
      </c>
      <c r="H4343" s="835">
        <v>4191.780821917815</v>
      </c>
      <c r="I4343" s="835">
        <v>1307.8399999999999</v>
      </c>
      <c r="J4343">
        <v>1342.01</v>
      </c>
      <c r="K4343">
        <v>114.69292879862981</v>
      </c>
      <c r="L4343" s="596">
        <v>154331.50684931508</v>
      </c>
      <c r="M4343">
        <f t="shared" si="569"/>
        <v>0</v>
      </c>
    </row>
    <row r="4344" spans="1:13" ht="13.5" customHeight="1">
      <c r="A4344" s="532">
        <v>45665</v>
      </c>
      <c r="B4344" s="615">
        <v>36900</v>
      </c>
      <c r="C4344" s="615">
        <v>37749.205479452052</v>
      </c>
      <c r="D4344" s="532">
        <v>45695</v>
      </c>
      <c r="E4344" s="534">
        <v>30</v>
      </c>
      <c r="F4344" s="653">
        <v>0.28000000000000003</v>
      </c>
      <c r="G4344" s="536" t="s">
        <v>259</v>
      </c>
      <c r="H4344" s="835">
        <v>849.2054794520518</v>
      </c>
      <c r="I4344" s="835">
        <v>1308.8399999999999</v>
      </c>
      <c r="J4344">
        <v>1342.01</v>
      </c>
      <c r="K4344">
        <v>28.192903639864308</v>
      </c>
      <c r="L4344" s="596">
        <v>37749.205479452052</v>
      </c>
      <c r="M4344">
        <f t="shared" si="569"/>
        <v>0</v>
      </c>
    </row>
    <row r="4345" spans="1:13" ht="13.5" customHeight="1">
      <c r="A4345" s="532">
        <v>45608</v>
      </c>
      <c r="B4345" s="615">
        <v>250000</v>
      </c>
      <c r="C4345" s="615">
        <v>270018.02859059535</v>
      </c>
      <c r="D4345" s="532">
        <v>45698</v>
      </c>
      <c r="E4345" s="534">
        <v>90</v>
      </c>
      <c r="F4345" s="653">
        <v>8.0072114362381486E-2</v>
      </c>
      <c r="G4345" s="536" t="s">
        <v>265</v>
      </c>
      <c r="H4345" s="835">
        <v>6672.6761968651163</v>
      </c>
      <c r="I4345" s="835">
        <v>1246.6500000000001</v>
      </c>
      <c r="J4345">
        <v>1343.16</v>
      </c>
      <c r="K4345">
        <v>200.53744034011149</v>
      </c>
      <c r="L4345" s="596">
        <v>270018.02859059541</v>
      </c>
      <c r="M4345">
        <f t="shared" si="569"/>
        <v>0</v>
      </c>
    </row>
    <row r="4346" spans="1:13" ht="13.5" customHeight="1">
      <c r="A4346" s="532">
        <v>45666</v>
      </c>
      <c r="B4346" s="615">
        <v>670000</v>
      </c>
      <c r="C4346" s="615">
        <v>689971.50684931502</v>
      </c>
      <c r="D4346" s="532">
        <v>45698</v>
      </c>
      <c r="E4346" s="534">
        <v>32</v>
      </c>
      <c r="F4346" s="653">
        <v>0.34</v>
      </c>
      <c r="G4346" s="536" t="s">
        <v>258</v>
      </c>
      <c r="H4346" s="835">
        <v>18723.287671232829</v>
      </c>
      <c r="I4346" s="835">
        <v>1309.8399999999999</v>
      </c>
      <c r="J4346">
        <v>1343.16</v>
      </c>
      <c r="K4346">
        <v>511.51285653209555</v>
      </c>
      <c r="L4346" s="596">
        <v>689971.50684931502</v>
      </c>
      <c r="M4346">
        <f t="shared" si="569"/>
        <v>0</v>
      </c>
    </row>
    <row r="4347" spans="1:13" ht="13.5" customHeight="1">
      <c r="A4347" s="532">
        <v>45666</v>
      </c>
      <c r="B4347" s="615">
        <v>670000</v>
      </c>
      <c r="C4347" s="615">
        <v>689971.50684931502</v>
      </c>
      <c r="D4347" s="532">
        <v>45698</v>
      </c>
      <c r="E4347" s="534">
        <v>32</v>
      </c>
      <c r="F4347" s="653">
        <v>0.34</v>
      </c>
      <c r="G4347" s="536" t="s">
        <v>258</v>
      </c>
      <c r="H4347" s="835">
        <v>18723.287671232829</v>
      </c>
      <c r="I4347" s="835">
        <v>1309.8399999999999</v>
      </c>
      <c r="J4347">
        <v>1343.16</v>
      </c>
      <c r="K4347">
        <v>511.51285653209555</v>
      </c>
      <c r="L4347" s="596">
        <v>689971.50684931502</v>
      </c>
      <c r="M4347">
        <f t="shared" si="569"/>
        <v>0</v>
      </c>
    </row>
    <row r="4348" spans="1:13" ht="13.5" customHeight="1">
      <c r="A4348" s="532">
        <v>45667</v>
      </c>
      <c r="B4348" s="615">
        <v>560000</v>
      </c>
      <c r="C4348" s="615">
        <v>576201.64383561641</v>
      </c>
      <c r="D4348" s="532">
        <v>45699</v>
      </c>
      <c r="E4348" s="534">
        <v>32</v>
      </c>
      <c r="F4348" s="653">
        <v>0.33</v>
      </c>
      <c r="G4348" s="536" t="s">
        <v>258</v>
      </c>
      <c r="H4348" s="835">
        <v>15189.041095890389</v>
      </c>
      <c r="I4348" s="835">
        <v>1310.84</v>
      </c>
      <c r="J4348">
        <v>1346.63</v>
      </c>
      <c r="K4348">
        <v>427.20698178267372</v>
      </c>
      <c r="L4348" s="596">
        <v>576201.64383561641</v>
      </c>
      <c r="M4348">
        <f t="shared" si="569"/>
        <v>0</v>
      </c>
    </row>
    <row r="4349" spans="1:13" ht="13.5" customHeight="1">
      <c r="A4349" s="532">
        <v>45667</v>
      </c>
      <c r="B4349" s="615">
        <v>640000</v>
      </c>
      <c r="C4349" s="615">
        <v>658516.1643835617</v>
      </c>
      <c r="D4349" s="532">
        <v>45699</v>
      </c>
      <c r="E4349" s="534">
        <v>32</v>
      </c>
      <c r="F4349" s="653">
        <v>0.33</v>
      </c>
      <c r="G4349" s="536" t="s">
        <v>258</v>
      </c>
      <c r="H4349" s="835">
        <v>17358.904109589093</v>
      </c>
      <c r="I4349" s="835">
        <v>1310.84</v>
      </c>
      <c r="J4349">
        <v>1346.63</v>
      </c>
      <c r="K4349">
        <v>488.23655060876996</v>
      </c>
      <c r="L4349" s="596">
        <v>658516.1643835617</v>
      </c>
      <c r="M4349">
        <f t="shared" si="569"/>
        <v>0</v>
      </c>
    </row>
    <row r="4350" spans="1:13" ht="13.5" customHeight="1">
      <c r="A4350" s="532">
        <v>45667</v>
      </c>
      <c r="B4350" s="615">
        <v>780000</v>
      </c>
      <c r="C4350" s="615">
        <v>803271.78082191781</v>
      </c>
      <c r="D4350" s="532">
        <v>45700</v>
      </c>
      <c r="E4350" s="534">
        <v>33</v>
      </c>
      <c r="F4350" s="653">
        <v>0.33</v>
      </c>
      <c r="G4350" s="536" t="s">
        <v>258</v>
      </c>
      <c r="H4350" s="835" t="s">
        <v>806</v>
      </c>
      <c r="I4350" s="835">
        <v>1310.84</v>
      </c>
      <c r="J4350">
        <v>1347.79</v>
      </c>
      <c r="K4350">
        <v>595.03829605443843</v>
      </c>
      <c r="L4350" s="596">
        <v>803271.78082191781</v>
      </c>
      <c r="M4350">
        <f t="shared" si="569"/>
        <v>0</v>
      </c>
    </row>
    <row r="4351" spans="1:13" ht="13.5" customHeight="1">
      <c r="A4351" s="532">
        <v>45670</v>
      </c>
      <c r="B4351" s="615">
        <v>224000</v>
      </c>
      <c r="C4351" s="615">
        <v>229523.28767123289</v>
      </c>
      <c r="D4351" s="532">
        <v>45700</v>
      </c>
      <c r="E4351" s="534">
        <v>30</v>
      </c>
      <c r="F4351" s="653">
        <v>0.3</v>
      </c>
      <c r="G4351" s="536" t="s">
        <v>261</v>
      </c>
      <c r="H4351" s="835" t="s">
        <v>806</v>
      </c>
      <c r="I4351" s="835">
        <v>1311.85</v>
      </c>
      <c r="J4351">
        <v>1347.79</v>
      </c>
      <c r="K4351">
        <v>170.75122918016544</v>
      </c>
      <c r="L4351" s="596">
        <v>229523.28767123289</v>
      </c>
      <c r="M4351">
        <f t="shared" si="569"/>
        <v>0</v>
      </c>
    </row>
    <row r="4352" spans="1:13" ht="13.5" customHeight="1">
      <c r="A4352" s="532">
        <v>45670</v>
      </c>
      <c r="B4352" s="615">
        <v>378000</v>
      </c>
      <c r="C4352" s="615">
        <v>386989.15068493149</v>
      </c>
      <c r="D4352" s="532">
        <v>45701</v>
      </c>
      <c r="E4352" s="534">
        <v>31</v>
      </c>
      <c r="F4352" s="653">
        <v>0.28000000000000003</v>
      </c>
      <c r="G4352" s="536" t="s">
        <v>257</v>
      </c>
      <c r="H4352" s="835" t="s">
        <v>806</v>
      </c>
      <c r="I4352" s="835">
        <v>1311.85</v>
      </c>
      <c r="J4352">
        <v>1348.95</v>
      </c>
      <c r="K4352">
        <v>288.14269924152916</v>
      </c>
      <c r="L4352" s="596">
        <v>386989.15068493149</v>
      </c>
      <c r="M4352">
        <f t="shared" si="569"/>
        <v>0</v>
      </c>
    </row>
    <row r="4353" spans="1:15" ht="13.5" customHeight="1">
      <c r="A4353" s="532">
        <v>45670</v>
      </c>
      <c r="B4353" s="615">
        <v>95000</v>
      </c>
      <c r="C4353" s="615">
        <v>97460.890410958906</v>
      </c>
      <c r="D4353" s="532">
        <v>45701</v>
      </c>
      <c r="E4353" s="534">
        <v>31</v>
      </c>
      <c r="F4353" s="653">
        <v>0.30499999999999999</v>
      </c>
      <c r="G4353" s="536" t="s">
        <v>265</v>
      </c>
      <c r="H4353" s="835" t="s">
        <v>806</v>
      </c>
      <c r="I4353" s="835">
        <v>1311.85</v>
      </c>
      <c r="J4353">
        <v>1348.95</v>
      </c>
      <c r="K4353">
        <v>72.416815946945164</v>
      </c>
      <c r="L4353" s="596">
        <v>97460.890410958906</v>
      </c>
      <c r="M4353">
        <f t="shared" si="569"/>
        <v>0</v>
      </c>
    </row>
    <row r="4354" spans="1:15" ht="13.5" customHeight="1">
      <c r="A4354" s="532">
        <v>45674</v>
      </c>
      <c r="B4354" s="615">
        <v>34000</v>
      </c>
      <c r="C4354" s="615">
        <v>34808.547945205479</v>
      </c>
      <c r="D4354" s="532">
        <v>45705</v>
      </c>
      <c r="E4354" s="534">
        <v>31</v>
      </c>
      <c r="F4354" s="653">
        <v>0.28000000000000003</v>
      </c>
      <c r="G4354" s="536" t="s">
        <v>259</v>
      </c>
      <c r="H4354" s="835">
        <v>782.46575342465678</v>
      </c>
      <c r="I4354" s="835">
        <v>1318.01</v>
      </c>
      <c r="J4354">
        <v>1351.27</v>
      </c>
      <c r="K4354">
        <v>25.79646588417387</v>
      </c>
      <c r="L4354" s="596">
        <v>34808.547945205479</v>
      </c>
      <c r="M4354">
        <f t="shared" si="569"/>
        <v>0</v>
      </c>
    </row>
    <row r="4355" spans="1:15" ht="13.5" customHeight="1">
      <c r="A4355" s="532">
        <v>45677</v>
      </c>
      <c r="B4355" s="615">
        <v>300000</v>
      </c>
      <c r="C4355" s="615">
        <v>306904.10958904109</v>
      </c>
      <c r="D4355" s="532">
        <v>45707</v>
      </c>
      <c r="E4355" s="534">
        <v>30</v>
      </c>
      <c r="F4355" s="653">
        <v>0.28000000000000003</v>
      </c>
      <c r="G4355" s="536" t="s">
        <v>257</v>
      </c>
      <c r="H4355" s="835">
        <v>6904.1095890410943</v>
      </c>
      <c r="I4355" s="835">
        <v>1319.14</v>
      </c>
      <c r="J4355">
        <v>1355.59</v>
      </c>
      <c r="K4355">
        <v>227.42089543187225</v>
      </c>
      <c r="L4355" s="596">
        <v>306904.10958904109</v>
      </c>
      <c r="M4355">
        <f t="shared" si="569"/>
        <v>0</v>
      </c>
    </row>
    <row r="4356" spans="1:15" ht="13.5" customHeight="1">
      <c r="A4356" s="532">
        <v>45527</v>
      </c>
      <c r="B4356" s="615">
        <v>400000</v>
      </c>
      <c r="C4356" s="615">
        <v>483780.23</v>
      </c>
      <c r="D4356" s="532">
        <v>45707</v>
      </c>
      <c r="E4356" s="534">
        <v>180</v>
      </c>
      <c r="F4356" s="653">
        <v>0.20944911162493596</v>
      </c>
      <c r="G4356" s="536" t="s">
        <v>257</v>
      </c>
      <c r="H4356" s="835">
        <v>13963.27410832906</v>
      </c>
      <c r="I4356" s="835">
        <v>1126.3599999999999</v>
      </c>
      <c r="J4356">
        <v>1355.59</v>
      </c>
      <c r="K4356">
        <v>355.12624738094394</v>
      </c>
      <c r="L4356" s="596">
        <v>483779.64464997436</v>
      </c>
      <c r="M4356">
        <f t="shared" si="569"/>
        <v>0.58535002561984584</v>
      </c>
      <c r="O4356" s="596"/>
    </row>
    <row r="4357" spans="1:15" ht="13.5" customHeight="1">
      <c r="A4357" s="532">
        <v>45527</v>
      </c>
      <c r="B4357" s="615">
        <v>169000</v>
      </c>
      <c r="C4357" s="615">
        <v>204396.89</v>
      </c>
      <c r="D4357" s="532">
        <v>45707</v>
      </c>
      <c r="E4357" s="534">
        <v>180</v>
      </c>
      <c r="F4357" s="653">
        <v>0.20944911162493596</v>
      </c>
      <c r="G4357" s="536" t="s">
        <v>257</v>
      </c>
      <c r="H4357" s="835">
        <v>5899.4833107690301</v>
      </c>
      <c r="I4357" s="835">
        <v>1126.3599999999999</v>
      </c>
      <c r="J4357">
        <v>1355.59</v>
      </c>
      <c r="K4357">
        <v>150.04083951844882</v>
      </c>
      <c r="L4357" s="596">
        <v>204396.89986461418</v>
      </c>
      <c r="M4357">
        <f t="shared" si="569"/>
        <v>-9.8646141705103219E-3</v>
      </c>
      <c r="O4357" s="596"/>
    </row>
    <row r="4358" spans="1:15" ht="13.5" customHeight="1">
      <c r="A4358" s="532">
        <v>45677</v>
      </c>
      <c r="B4358" s="615">
        <v>50000</v>
      </c>
      <c r="C4358" s="615">
        <v>51150.684931506847</v>
      </c>
      <c r="D4358" s="532">
        <v>45707</v>
      </c>
      <c r="E4358" s="534">
        <v>30</v>
      </c>
      <c r="F4358" s="653">
        <v>0.28000000000000003</v>
      </c>
      <c r="G4358" s="536" t="s">
        <v>256</v>
      </c>
      <c r="H4358" s="835">
        <v>1150.6849315068466</v>
      </c>
      <c r="I4358" s="835">
        <v>1319.14</v>
      </c>
      <c r="J4358">
        <v>1355.59</v>
      </c>
      <c r="K4358">
        <v>37.903482571978714</v>
      </c>
      <c r="L4358" s="596">
        <v>51150.684931506847</v>
      </c>
      <c r="M4358">
        <f t="shared" si="569"/>
        <v>0</v>
      </c>
      <c r="O4358" s="596"/>
    </row>
    <row r="4359" spans="1:15" ht="13.5" customHeight="1">
      <c r="A4359" s="532">
        <v>45677</v>
      </c>
      <c r="B4359" s="615">
        <v>59000</v>
      </c>
      <c r="C4359" s="615">
        <v>60357.808219178085</v>
      </c>
      <c r="D4359" s="532">
        <v>45707</v>
      </c>
      <c r="E4359" s="534">
        <v>30</v>
      </c>
      <c r="F4359" s="653">
        <v>0.28000000000000003</v>
      </c>
      <c r="G4359" s="536" t="s">
        <v>261</v>
      </c>
      <c r="H4359" s="835">
        <v>1357.808219178085</v>
      </c>
      <c r="I4359" s="835">
        <v>1319.14</v>
      </c>
      <c r="J4359">
        <v>1355.59</v>
      </c>
      <c r="K4359">
        <v>44.726109434934877</v>
      </c>
      <c r="L4359" s="596">
        <v>60357.808219178085</v>
      </c>
      <c r="M4359">
        <f t="shared" si="569"/>
        <v>0</v>
      </c>
      <c r="O4359" s="596"/>
    </row>
    <row r="4360" spans="1:15" ht="13.5" customHeight="1">
      <c r="A4360" s="532">
        <v>45677</v>
      </c>
      <c r="B4360" s="615">
        <v>73400</v>
      </c>
      <c r="C4360" s="615">
        <v>75089.205479452052</v>
      </c>
      <c r="D4360" s="532">
        <v>45707</v>
      </c>
      <c r="E4360" s="534">
        <v>30</v>
      </c>
      <c r="F4360" s="653">
        <v>0.28000000000000003</v>
      </c>
      <c r="G4360" s="536" t="s">
        <v>259</v>
      </c>
      <c r="H4360" s="835">
        <v>1689.2054794520518</v>
      </c>
      <c r="I4360" s="835">
        <v>1319.14</v>
      </c>
      <c r="J4360">
        <v>1355.59</v>
      </c>
      <c r="K4360">
        <v>55.642312415664748</v>
      </c>
      <c r="L4360" s="596">
        <v>75089.205479452052</v>
      </c>
      <c r="M4360">
        <f t="shared" si="569"/>
        <v>0</v>
      </c>
      <c r="O4360" s="596"/>
    </row>
    <row r="4361" spans="1:15" ht="13.5" customHeight="1">
      <c r="A4361" s="532">
        <v>45679</v>
      </c>
      <c r="B4361" s="615">
        <v>300000</v>
      </c>
      <c r="C4361" s="615">
        <v>308136.98630136985</v>
      </c>
      <c r="D4361" s="532">
        <v>45709</v>
      </c>
      <c r="E4361" s="534">
        <v>30</v>
      </c>
      <c r="F4361" s="653">
        <v>0.33</v>
      </c>
      <c r="G4361" s="536" t="s">
        <v>262</v>
      </c>
      <c r="H4361" s="835">
        <v>8136.9863013698487</v>
      </c>
      <c r="I4361" s="835">
        <v>1323.68</v>
      </c>
      <c r="J4361">
        <v>1357.69</v>
      </c>
      <c r="K4361">
        <v>226.64087997098994</v>
      </c>
      <c r="L4361" s="596">
        <v>308136.98630136985</v>
      </c>
      <c r="M4361">
        <f t="shared" si="569"/>
        <v>0</v>
      </c>
      <c r="O4361" s="596"/>
    </row>
    <row r="4362" spans="1:15" ht="13.5" customHeight="1">
      <c r="A4362" s="532">
        <v>45531</v>
      </c>
      <c r="B4362" s="615">
        <v>907000</v>
      </c>
      <c r="C4362" s="615">
        <v>1096554.1200000001</v>
      </c>
      <c r="D4362" s="532">
        <v>45712</v>
      </c>
      <c r="E4362" s="534">
        <v>181</v>
      </c>
      <c r="F4362" s="653">
        <v>0.20617616330904531</v>
      </c>
      <c r="G4362" s="536" t="s">
        <v>261</v>
      </c>
      <c r="H4362" s="835">
        <v>30994.77018585151</v>
      </c>
      <c r="I4362" s="835">
        <v>1132.08</v>
      </c>
      <c r="J4362">
        <v>1358.75</v>
      </c>
      <c r="K4362">
        <v>801.18012861281898</v>
      </c>
      <c r="L4362" s="596">
        <v>1094001.7801213041</v>
      </c>
      <c r="M4362">
        <f>+C4362-L4362</f>
        <v>2552.339878696017</v>
      </c>
      <c r="O4362" s="596"/>
    </row>
    <row r="4363" spans="1:15" ht="13.5" customHeight="1">
      <c r="A4363" s="532">
        <v>45532</v>
      </c>
      <c r="B4363" s="615">
        <v>1265000</v>
      </c>
      <c r="C4363" s="615">
        <v>1527401.56</v>
      </c>
      <c r="D4363" s="532">
        <v>45712</v>
      </c>
      <c r="E4363" s="534">
        <v>180</v>
      </c>
      <c r="F4363" s="653">
        <v>0.20462164862374976</v>
      </c>
      <c r="G4363" s="536" t="s">
        <v>263</v>
      </c>
      <c r="H4363" s="835">
        <v>43141.064251507247</v>
      </c>
      <c r="I4363" s="835">
        <v>1133.51</v>
      </c>
      <c r="J4363">
        <v>1358.75</v>
      </c>
      <c r="K4363">
        <v>1116.002505491791</v>
      </c>
      <c r="L4363" s="596">
        <v>1523846.3855090435</v>
      </c>
      <c r="M4363">
        <f>+C4363-L4363</f>
        <v>3555.1744909565896</v>
      </c>
      <c r="O4363" s="596"/>
    </row>
    <row r="4364" spans="1:15" ht="13.5" customHeight="1">
      <c r="A4364" s="532">
        <v>45532</v>
      </c>
      <c r="B4364" s="615">
        <v>470000</v>
      </c>
      <c r="C4364" s="615">
        <v>567508.53</v>
      </c>
      <c r="D4364" s="532">
        <v>45713</v>
      </c>
      <c r="E4364" s="534">
        <v>181</v>
      </c>
      <c r="F4364" s="653">
        <v>0.20746498106318567</v>
      </c>
      <c r="G4364" s="536" t="s">
        <v>264</v>
      </c>
      <c r="H4364" s="835">
        <v>16161.636646358658</v>
      </c>
      <c r="I4364" s="835">
        <v>1133.51</v>
      </c>
      <c r="J4364">
        <v>1361.92</v>
      </c>
      <c r="K4364">
        <v>414.64124709971679</v>
      </c>
      <c r="L4364" s="596">
        <v>567950.24</v>
      </c>
      <c r="M4364">
        <f>+C4364-L4364</f>
        <v>-441.70999999996275</v>
      </c>
      <c r="O4364" s="596"/>
    </row>
    <row r="4365" spans="1:15" ht="13.5" customHeight="1">
      <c r="A4365" s="532">
        <v>45684</v>
      </c>
      <c r="B4365" s="615">
        <v>450000</v>
      </c>
      <c r="C4365" s="615">
        <v>462205.48</v>
      </c>
      <c r="D4365" s="532">
        <v>45714</v>
      </c>
      <c r="E4365" s="534">
        <v>30</v>
      </c>
      <c r="F4365" s="653">
        <v>0.33</v>
      </c>
      <c r="G4365" s="536" t="s">
        <v>258</v>
      </c>
      <c r="H4365" s="835">
        <v>12575.342465753434</v>
      </c>
      <c r="I4365" s="835">
        <v>1327.1</v>
      </c>
      <c r="J4365">
        <v>1362.98</v>
      </c>
      <c r="K4365">
        <v>339.08522341948611</v>
      </c>
      <c r="L4365" s="596">
        <v>462205.47945205477</v>
      </c>
      <c r="M4365">
        <f t="shared" ref="A4365:M4366" si="570">+C4365-L4365</f>
        <v>5.4794520838186145E-4</v>
      </c>
      <c r="O4365" s="596"/>
    </row>
    <row r="4366" spans="1:15" ht="13.5" customHeight="1">
      <c r="A4366" s="532">
        <v>45531</v>
      </c>
      <c r="B4366" s="615">
        <v>500000</v>
      </c>
      <c r="C4366" s="615">
        <v>604998.57384588732</v>
      </c>
      <c r="D4366" s="532">
        <v>45714</v>
      </c>
      <c r="E4366" s="534">
        <v>183</v>
      </c>
      <c r="F4366" s="653">
        <v>0.20999714769177458</v>
      </c>
      <c r="G4366" s="536" t="s">
        <v>261</v>
      </c>
      <c r="H4366" s="835">
        <v>17212.880958342183</v>
      </c>
      <c r="I4366" s="835">
        <v>1132.08</v>
      </c>
      <c r="J4366">
        <v>1362.98</v>
      </c>
      <c r="K4366">
        <v>441.66490000706665</v>
      </c>
      <c r="L4366" s="596">
        <v>604998.57384588732</v>
      </c>
      <c r="M4366">
        <f t="shared" si="570"/>
        <v>0</v>
      </c>
      <c r="O4366" s="596"/>
    </row>
    <row r="4367" spans="1:15" ht="13.5" customHeight="1">
      <c r="A4367" s="532">
        <v>45681</v>
      </c>
      <c r="B4367" s="615">
        <v>500000</v>
      </c>
      <c r="C4367" s="615">
        <v>513041.09589041094</v>
      </c>
      <c r="D4367" s="532">
        <v>45715</v>
      </c>
      <c r="E4367" s="534">
        <v>34</v>
      </c>
      <c r="F4367" s="653">
        <v>0.28000000000000003</v>
      </c>
      <c r="G4367" s="536" t="s">
        <v>256</v>
      </c>
      <c r="H4367" s="835">
        <v>11506.849315068481</v>
      </c>
      <c r="I4367" s="835">
        <v>1325.96</v>
      </c>
      <c r="J4367">
        <v>1364.04</v>
      </c>
      <c r="K4367">
        <v>377.08528160728827</v>
      </c>
      <c r="L4367" s="596">
        <v>513041.09589041094</v>
      </c>
      <c r="M4367">
        <v>0</v>
      </c>
      <c r="O4367" s="596"/>
    </row>
    <row r="4368" spans="1:15" ht="13.5" customHeight="1">
      <c r="A4368" s="532">
        <v>45684</v>
      </c>
      <c r="B4368" s="615">
        <v>481000</v>
      </c>
      <c r="C4368" s="615">
        <v>492438.57534246577</v>
      </c>
      <c r="D4368" s="532">
        <v>45715</v>
      </c>
      <c r="E4368" s="534">
        <v>31</v>
      </c>
      <c r="F4368" s="653">
        <v>0.28000000000000003</v>
      </c>
      <c r="G4368" s="536" t="s">
        <v>257</v>
      </c>
      <c r="H4368" s="835">
        <v>11069.589041095911</v>
      </c>
      <c r="I4368" s="835">
        <v>1327.1</v>
      </c>
      <c r="J4368">
        <v>1364.04</v>
      </c>
      <c r="K4368">
        <v>362.44442769949518</v>
      </c>
      <c r="L4368" s="596">
        <v>492438.57534246577</v>
      </c>
      <c r="M4368">
        <v>0</v>
      </c>
      <c r="O4368" s="596"/>
    </row>
    <row r="4369" spans="1:15" ht="13.5" customHeight="1">
      <c r="A4369" s="532">
        <v>45686</v>
      </c>
      <c r="B4369" s="615">
        <v>220000</v>
      </c>
      <c r="C4369" s="615">
        <v>225063.01369863015</v>
      </c>
      <c r="D4369" s="532">
        <v>45716</v>
      </c>
      <c r="E4369" s="534">
        <v>30</v>
      </c>
      <c r="F4369" s="653">
        <v>0.28000000000000003</v>
      </c>
      <c r="G4369" s="536" t="s">
        <v>256</v>
      </c>
      <c r="H4369" s="835">
        <v>5063.0136986301513</v>
      </c>
      <c r="I4369" s="835">
        <v>1331.67</v>
      </c>
      <c r="J4369">
        <v>1365.1</v>
      </c>
      <c r="K4369">
        <v>165.20609460301725</v>
      </c>
      <c r="L4369" s="596">
        <v>225063.01369863015</v>
      </c>
      <c r="M4369">
        <v>0</v>
      </c>
      <c r="O4369" s="596"/>
    </row>
    <row r="4370" spans="1:15" ht="13.5" customHeight="1">
      <c r="A4370" s="532">
        <v>45531</v>
      </c>
      <c r="B4370" s="615">
        <v>210000</v>
      </c>
      <c r="C4370" s="615">
        <v>254508.5</v>
      </c>
      <c r="D4370" s="532">
        <v>45716</v>
      </c>
      <c r="E4370" s="534">
        <v>185</v>
      </c>
      <c r="F4370" s="653">
        <v>0.21194526888559118</v>
      </c>
      <c r="G4370" s="536" t="s">
        <v>261</v>
      </c>
      <c r="H4370" s="835">
        <v>7217.5956431309423</v>
      </c>
      <c r="I4370" s="835">
        <v>1132.08</v>
      </c>
      <c r="J4370">
        <v>1365.1</v>
      </c>
      <c r="K4370">
        <v>185.49925800296799</v>
      </c>
      <c r="L4370" s="596">
        <v>254706.13</v>
      </c>
      <c r="M4370" s="591">
        <f t="shared" ref="A4370:M4370" si="571">+C4370-L4370</f>
        <v>-197.63000000000466</v>
      </c>
      <c r="O4370" s="596"/>
    </row>
    <row r="4371" spans="1:15" ht="13.5" customHeight="1">
      <c r="A4371" s="532">
        <v>45684</v>
      </c>
      <c r="B4371" s="615">
        <v>400000</v>
      </c>
      <c r="C4371" s="615">
        <v>411572.60273972602</v>
      </c>
      <c r="D4371" s="532">
        <v>45716</v>
      </c>
      <c r="E4371" s="534">
        <v>32</v>
      </c>
      <c r="F4371" s="653">
        <v>0.33</v>
      </c>
      <c r="G4371" s="536" t="s">
        <v>258</v>
      </c>
      <c r="H4371" s="835">
        <v>10849.315068493142</v>
      </c>
      <c r="I4371" s="835">
        <v>1327.1</v>
      </c>
      <c r="J4371">
        <v>1365.1</v>
      </c>
      <c r="K4371">
        <v>301.40908748398766</v>
      </c>
      <c r="L4371" s="596">
        <v>411572.60273972602</v>
      </c>
      <c r="M4371" s="591">
        <v>0</v>
      </c>
      <c r="O4371" s="596"/>
    </row>
    <row r="4372" spans="1:15" ht="13.5" customHeight="1">
      <c r="A4372" s="532">
        <v>45688</v>
      </c>
      <c r="B4372" s="615">
        <v>194400</v>
      </c>
      <c r="C4372" s="615">
        <v>198793.97260273973</v>
      </c>
      <c r="D4372" s="532">
        <v>45721</v>
      </c>
      <c r="E4372" s="534">
        <v>33</v>
      </c>
      <c r="F4372" s="653">
        <v>0.25</v>
      </c>
      <c r="G4372" s="536" t="s">
        <v>259</v>
      </c>
      <c r="H4372" s="835">
        <v>3994.5205479452061</v>
      </c>
      <c r="I4372" s="835">
        <v>1333.96</v>
      </c>
      <c r="J4372">
        <v>1366.16</v>
      </c>
      <c r="K4372">
        <v>145.73150619208971</v>
      </c>
      <c r="L4372" s="596">
        <v>198793.97260273973</v>
      </c>
      <c r="M4372" s="591">
        <f>+C4372-L4372</f>
        <v>0</v>
      </c>
      <c r="O4372" s="596"/>
    </row>
    <row r="4373" spans="1:15" ht="13.5" customHeight="1">
      <c r="A4373" s="532">
        <v>45684</v>
      </c>
      <c r="B4373" s="615">
        <v>59800</v>
      </c>
      <c r="C4373" s="615">
        <v>61497.336986301372</v>
      </c>
      <c r="D4373" s="532">
        <v>45721</v>
      </c>
      <c r="E4373" s="534">
        <v>37</v>
      </c>
      <c r="F4373" s="653">
        <v>0.28000000000000003</v>
      </c>
      <c r="G4373" s="536" t="s">
        <v>259</v>
      </c>
      <c r="H4373" s="835">
        <v>1376.2191780821938</v>
      </c>
      <c r="I4373" s="835">
        <v>1327.1</v>
      </c>
      <c r="J4373">
        <v>1366.16</v>
      </c>
      <c r="K4373">
        <v>45.060658578856156</v>
      </c>
      <c r="L4373" s="596">
        <v>61497.336986301372</v>
      </c>
      <c r="M4373" s="591">
        <f>+C4373-L4373</f>
        <v>0</v>
      </c>
      <c r="O4373" s="596"/>
    </row>
    <row r="4374" spans="1:15" ht="13.5" customHeight="1">
      <c r="A4374" s="532">
        <v>45691</v>
      </c>
      <c r="B4374" s="615">
        <v>319800</v>
      </c>
      <c r="C4374" s="615">
        <v>326371.23287671234</v>
      </c>
      <c r="D4374" s="532">
        <v>45721</v>
      </c>
      <c r="E4374" s="534">
        <v>30</v>
      </c>
      <c r="F4374" s="653">
        <v>0.25</v>
      </c>
      <c r="G4374" s="536" t="s">
        <v>259</v>
      </c>
      <c r="H4374" s="835">
        <v>6571.2328767123399</v>
      </c>
      <c r="I4374" s="835">
        <v>1335.11</v>
      </c>
      <c r="J4374">
        <v>1366.16</v>
      </c>
      <c r="K4374">
        <v>239.53082517545371</v>
      </c>
      <c r="L4374" s="596">
        <v>326371.23287671234</v>
      </c>
      <c r="M4374" s="591">
        <f t="shared" ref="A4374:M4382" si="572">+C4374-L4374</f>
        <v>0</v>
      </c>
      <c r="O4374" s="596"/>
    </row>
    <row r="4375" spans="1:15" ht="13.5" customHeight="1">
      <c r="A4375" s="532">
        <v>45630</v>
      </c>
      <c r="B4375" s="615">
        <v>1000000</v>
      </c>
      <c r="C4375" s="615">
        <v>1073733.47</v>
      </c>
      <c r="D4375" s="532">
        <v>45721</v>
      </c>
      <c r="E4375" s="534">
        <v>91</v>
      </c>
      <c r="F4375" s="653">
        <v>7.6381303336838124E-2</v>
      </c>
      <c r="G4375" s="536" t="s">
        <v>258</v>
      </c>
      <c r="H4375" s="835">
        <v>25180.649451704845</v>
      </c>
      <c r="I4375" s="835">
        <v>1272.3800000000001</v>
      </c>
      <c r="J4375">
        <v>1366.16</v>
      </c>
      <c r="K4375">
        <v>785.92873198258371</v>
      </c>
      <c r="L4375" s="596">
        <v>1080572.8700000001</v>
      </c>
      <c r="M4375" s="591">
        <f>+C4375-L4375</f>
        <v>-6839.4000000001397</v>
      </c>
      <c r="O4375" s="596"/>
    </row>
    <row r="4376" spans="1:15" ht="13.5" customHeight="1">
      <c r="A4376" s="532">
        <v>45688</v>
      </c>
      <c r="B4376" s="615">
        <v>100000</v>
      </c>
      <c r="C4376" s="615">
        <v>102712.32876712328</v>
      </c>
      <c r="D4376" s="532">
        <v>45721</v>
      </c>
      <c r="E4376" s="534">
        <v>33</v>
      </c>
      <c r="F4376" s="653">
        <v>0.3</v>
      </c>
      <c r="G4376" s="536" t="s">
        <v>258</v>
      </c>
      <c r="H4376" s="835">
        <v>2465.7534246575296</v>
      </c>
      <c r="I4376" s="835">
        <v>1333.96</v>
      </c>
      <c r="J4376">
        <v>1366.16</v>
      </c>
      <c r="K4376">
        <v>74.964766559716935</v>
      </c>
      <c r="L4376" s="596">
        <v>102712.32876712328</v>
      </c>
      <c r="M4376" s="591">
        <f t="shared" si="572"/>
        <v>0</v>
      </c>
      <c r="O4376" s="596"/>
    </row>
    <row r="4377" spans="1:15" ht="13.5" customHeight="1">
      <c r="A4377" s="532">
        <v>45537</v>
      </c>
      <c r="B4377" s="615">
        <v>500000</v>
      </c>
      <c r="C4377" s="615">
        <v>603367.37953351322</v>
      </c>
      <c r="D4377" s="532">
        <v>45721</v>
      </c>
      <c r="E4377" s="534">
        <v>184</v>
      </c>
      <c r="F4377" s="653">
        <v>0.20673475906702654</v>
      </c>
      <c r="G4377" s="536" t="s">
        <v>264</v>
      </c>
      <c r="H4377" s="835">
        <v>16853.377097855417</v>
      </c>
      <c r="I4377" s="835">
        <v>1137.82</v>
      </c>
      <c r="J4377">
        <v>1366.16</v>
      </c>
      <c r="K4377">
        <v>439.43681777434045</v>
      </c>
      <c r="L4377" s="596">
        <v>605716.97</v>
      </c>
      <c r="M4377" s="591">
        <f t="shared" si="572"/>
        <v>-2349.5904664867558</v>
      </c>
      <c r="O4377" s="596"/>
    </row>
    <row r="4378" spans="1:15" ht="13.5" customHeight="1">
      <c r="A4378" s="532">
        <v>45537</v>
      </c>
      <c r="B4378" s="615">
        <v>100000</v>
      </c>
      <c r="C4378" s="615">
        <v>120673.47590670265</v>
      </c>
      <c r="D4378" s="532">
        <v>45721</v>
      </c>
      <c r="E4378" s="534">
        <v>184</v>
      </c>
      <c r="F4378" s="653">
        <v>0.20673475906702654</v>
      </c>
      <c r="G4378" s="536" t="s">
        <v>264</v>
      </c>
      <c r="H4378" s="835">
        <v>3370.675419571086</v>
      </c>
      <c r="I4378" s="835">
        <v>1137.82</v>
      </c>
      <c r="J4378">
        <v>1366.16</v>
      </c>
      <c r="K4378">
        <v>87.887363554868088</v>
      </c>
      <c r="L4378" s="596">
        <v>121143.39</v>
      </c>
      <c r="M4378" s="591">
        <f t="shared" si="572"/>
        <v>-469.91409329735325</v>
      </c>
      <c r="O4378" s="596"/>
    </row>
    <row r="4379" spans="1:15" ht="13.5" customHeight="1">
      <c r="A4379" s="532">
        <v>45538</v>
      </c>
      <c r="B4379" s="615">
        <v>200000</v>
      </c>
      <c r="C4379" s="615">
        <v>240425.42827484093</v>
      </c>
      <c r="D4379" s="532">
        <v>45721</v>
      </c>
      <c r="E4379" s="534">
        <v>183</v>
      </c>
      <c r="F4379" s="653">
        <v>0.20212714137420473</v>
      </c>
      <c r="G4379" s="536" t="s">
        <v>264</v>
      </c>
      <c r="H4379" s="835">
        <v>6627.1193893181899</v>
      </c>
      <c r="I4379" s="835">
        <v>1142.1500000000001</v>
      </c>
      <c r="J4379">
        <v>1366.16</v>
      </c>
      <c r="K4379">
        <v>175.10834829050472</v>
      </c>
      <c r="L4379" s="596">
        <v>241361.68</v>
      </c>
      <c r="M4379" s="591">
        <f t="shared" si="572"/>
        <v>-936.25172515906161</v>
      </c>
      <c r="O4379" s="596"/>
    </row>
    <row r="4380" spans="1:15" ht="13.5" customHeight="1">
      <c r="A4380" s="532">
        <v>45539</v>
      </c>
      <c r="B4380" s="615">
        <v>100000</v>
      </c>
      <c r="C4380" s="615">
        <v>120058.07024190943</v>
      </c>
      <c r="D4380" s="532">
        <v>45721</v>
      </c>
      <c r="E4380" s="534">
        <v>182</v>
      </c>
      <c r="F4380" s="653">
        <v>0.20058070241909443</v>
      </c>
      <c r="G4380" s="536" t="s">
        <v>264</v>
      </c>
      <c r="H4380" s="835">
        <v>3306.2753146004579</v>
      </c>
      <c r="I4380" s="835">
        <v>1143.5899999999999</v>
      </c>
      <c r="J4380">
        <v>1366.16</v>
      </c>
      <c r="K4380">
        <v>87.443926582079243</v>
      </c>
      <c r="L4380" s="596">
        <v>120565.29</v>
      </c>
      <c r="M4380" s="591">
        <f t="shared" si="572"/>
        <v>-507.21975809056312</v>
      </c>
      <c r="O4380" s="596"/>
    </row>
    <row r="4381" spans="1:15" ht="13.5" customHeight="1">
      <c r="A4381" s="532">
        <v>45631</v>
      </c>
      <c r="B4381" s="615">
        <v>800000</v>
      </c>
      <c r="C4381" s="615">
        <v>864549.68</v>
      </c>
      <c r="D4381" s="532">
        <v>45721</v>
      </c>
      <c r="E4381" s="534">
        <v>90</v>
      </c>
      <c r="F4381" s="653">
        <v>7.5396827428626523E-2</v>
      </c>
      <c r="G4381" s="536" t="s">
        <v>257</v>
      </c>
      <c r="H4381" s="835">
        <v>20105.820647633751</v>
      </c>
      <c r="I4381" s="835">
        <v>1273.51</v>
      </c>
      <c r="J4381">
        <v>1366.16</v>
      </c>
      <c r="K4381">
        <v>628.18509473816459</v>
      </c>
      <c r="L4381" s="596">
        <v>863667.65</v>
      </c>
      <c r="M4381" s="591">
        <f t="shared" si="572"/>
        <v>882.03000000002794</v>
      </c>
      <c r="O4381" s="596"/>
    </row>
    <row r="4382" spans="1:15" ht="13.5" customHeight="1">
      <c r="A4382" s="532">
        <v>45631</v>
      </c>
      <c r="B4382" s="615">
        <v>500000</v>
      </c>
      <c r="C4382" s="615">
        <v>540343.55000000005</v>
      </c>
      <c r="D4382" s="532">
        <v>45721</v>
      </c>
      <c r="E4382" s="534">
        <v>90</v>
      </c>
      <c r="F4382" s="653">
        <v>7.5396827428626523E-2</v>
      </c>
      <c r="G4382" s="536" t="s">
        <v>256</v>
      </c>
      <c r="H4382" s="835">
        <v>12566.137904771098</v>
      </c>
      <c r="I4382" s="835">
        <v>1273.51</v>
      </c>
      <c r="J4382">
        <v>1366.16</v>
      </c>
      <c r="K4382">
        <v>392.61568421135286</v>
      </c>
      <c r="L4382" s="596">
        <v>539792.28</v>
      </c>
      <c r="M4382" s="591">
        <f t="shared" si="572"/>
        <v>551.27000000001863</v>
      </c>
      <c r="O4382" s="596"/>
    </row>
    <row r="4383" spans="1:15" ht="13.5" customHeight="1">
      <c r="A4383" s="532">
        <v>45538</v>
      </c>
      <c r="B4383" s="615">
        <v>150000</v>
      </c>
      <c r="C4383" s="615">
        <v>180319.07120613073</v>
      </c>
      <c r="D4383" s="532">
        <v>45721</v>
      </c>
      <c r="E4383" s="534">
        <v>183</v>
      </c>
      <c r="F4383" s="653">
        <v>0.20212714137420473</v>
      </c>
      <c r="G4383" s="536" t="s">
        <v>261</v>
      </c>
      <c r="H4383" s="835">
        <v>2491.9784552984124</v>
      </c>
      <c r="I4383" s="835">
        <v>1142.1500000000001</v>
      </c>
      <c r="J4383">
        <v>1366.16</v>
      </c>
      <c r="K4383">
        <v>131.33126121787856</v>
      </c>
      <c r="L4383" s="596">
        <v>181021.46</v>
      </c>
      <c r="M4383" s="591">
        <f>+C4383-L4383</f>
        <v>-702.38879386926419</v>
      </c>
      <c r="O4383" s="596"/>
    </row>
    <row r="4384" spans="1:15" ht="13.5" customHeight="1">
      <c r="A4384" s="532">
        <v>45691</v>
      </c>
      <c r="B4384" s="615">
        <v>140000</v>
      </c>
      <c r="C4384" s="615">
        <v>142876.71232876711</v>
      </c>
      <c r="D4384" s="532">
        <v>45721</v>
      </c>
      <c r="E4384" s="534">
        <v>30</v>
      </c>
      <c r="F4384" s="653">
        <v>0.25</v>
      </c>
      <c r="G4384" s="536" t="s">
        <v>261</v>
      </c>
      <c r="H4384" s="835">
        <v>2876.7123287671129</v>
      </c>
      <c r="I4384" s="835">
        <v>1335.11</v>
      </c>
      <c r="J4384">
        <v>1366.16</v>
      </c>
      <c r="K4384">
        <v>104.86027368531433</v>
      </c>
      <c r="L4384" s="596">
        <v>142876.71232876711</v>
      </c>
      <c r="M4384" s="591">
        <f>+C4384-L4384</f>
        <v>0</v>
      </c>
      <c r="O4384" s="596"/>
    </row>
    <row r="4385" spans="1:15" ht="13.5" customHeight="1">
      <c r="A4385" s="532">
        <v>45537</v>
      </c>
      <c r="B4385" s="615">
        <v>250000</v>
      </c>
      <c r="C4385" s="615">
        <v>301683.68976675661</v>
      </c>
      <c r="D4385" s="532">
        <v>45721</v>
      </c>
      <c r="E4385" s="534">
        <v>184</v>
      </c>
      <c r="F4385" s="653">
        <v>0.20673475906702654</v>
      </c>
      <c r="G4385" s="536" t="s">
        <v>261</v>
      </c>
      <c r="H4385" s="835">
        <v>8426.6885489277083</v>
      </c>
      <c r="I4385" s="835">
        <v>1137.82</v>
      </c>
      <c r="J4385">
        <v>1366.16</v>
      </c>
      <c r="K4385">
        <v>219.71840888717023</v>
      </c>
      <c r="L4385" s="596">
        <v>302858.48</v>
      </c>
      <c r="M4385" s="591">
        <f>+C4385-L4385</f>
        <v>-1174.7902332433732</v>
      </c>
      <c r="O4385" s="596"/>
    </row>
    <row r="4386" spans="1:15" ht="13.5" customHeight="1">
      <c r="A4386" s="532">
        <v>45686</v>
      </c>
      <c r="B4386" s="615">
        <v>400000</v>
      </c>
      <c r="C4386" s="615">
        <v>412628.60273972602</v>
      </c>
      <c r="D4386" s="532">
        <v>45722</v>
      </c>
      <c r="E4386" s="534">
        <v>36</v>
      </c>
      <c r="F4386" s="653">
        <v>0.3201</v>
      </c>
      <c r="G4386" s="536" t="s">
        <v>262</v>
      </c>
      <c r="H4386" s="835">
        <v>10523.835616438349</v>
      </c>
      <c r="I4386" s="835">
        <v>1331.67</v>
      </c>
      <c r="J4386">
        <v>1371.48</v>
      </c>
      <c r="K4386">
        <v>300.37471746003138</v>
      </c>
      <c r="L4386" s="596">
        <v>412628.60273972602</v>
      </c>
      <c r="M4386" s="591">
        <f t="shared" ref="A4386:M4388" si="573">+C4386-L4386</f>
        <v>0</v>
      </c>
      <c r="O4386" s="596"/>
    </row>
    <row r="4387" spans="1:15" ht="13.5" customHeight="1">
      <c r="A4387" s="532">
        <v>45691</v>
      </c>
      <c r="B4387" s="615">
        <v>400000</v>
      </c>
      <c r="C4387" s="615">
        <v>410191.78082191781</v>
      </c>
      <c r="D4387" s="532">
        <v>45722</v>
      </c>
      <c r="E4387" s="534">
        <v>31</v>
      </c>
      <c r="F4387" s="653">
        <v>0.3</v>
      </c>
      <c r="G4387" s="536" t="s">
        <v>258</v>
      </c>
      <c r="H4387" s="835">
        <v>9863.0136986301404</v>
      </c>
      <c r="I4387" s="835">
        <v>1335.11</v>
      </c>
      <c r="J4387">
        <v>1371.48</v>
      </c>
      <c r="K4387">
        <v>299.60078195804095</v>
      </c>
      <c r="L4387" s="596">
        <v>410191.78082191781</v>
      </c>
      <c r="M4387" s="591">
        <f t="shared" si="573"/>
        <v>0</v>
      </c>
      <c r="O4387" s="596"/>
    </row>
    <row r="4388" spans="1:15" ht="13.5" customHeight="1">
      <c r="A4388" s="532">
        <v>45632</v>
      </c>
      <c r="B4388" s="615">
        <v>300000</v>
      </c>
      <c r="C4388" s="615">
        <v>325180.08999999997</v>
      </c>
      <c r="D4388" s="532">
        <v>45722</v>
      </c>
      <c r="E4388" s="534">
        <v>90</v>
      </c>
      <c r="F4388" s="653">
        <v>7.8627480313538944E-2</v>
      </c>
      <c r="G4388" s="536" t="s">
        <v>256</v>
      </c>
      <c r="H4388" s="835">
        <v>7862.7480313538881</v>
      </c>
      <c r="I4388" s="835">
        <v>1274.6400000000001</v>
      </c>
      <c r="J4388">
        <v>1371.48</v>
      </c>
      <c r="K4388">
        <v>235.36057239691206</v>
      </c>
      <c r="L4388" s="596">
        <v>323588.24409406167</v>
      </c>
      <c r="M4388" s="591">
        <f t="shared" si="573"/>
        <v>1591.8459059383022</v>
      </c>
      <c r="O4388" s="596"/>
    </row>
    <row r="4389" spans="1:15" ht="13.5" customHeight="1">
      <c r="A4389" s="532">
        <v>45685</v>
      </c>
      <c r="B4389" s="615">
        <v>500000</v>
      </c>
      <c r="C4389" s="615">
        <v>517178.08219178079</v>
      </c>
      <c r="D4389" s="532">
        <v>45723</v>
      </c>
      <c r="E4389" s="534">
        <v>38</v>
      </c>
      <c r="F4389" s="653">
        <v>0.33</v>
      </c>
      <c r="G4389" s="536" t="s">
        <v>258</v>
      </c>
      <c r="H4389" s="835">
        <v>13561.643835616414</v>
      </c>
      <c r="I4389" s="835">
        <v>1330.52</v>
      </c>
      <c r="J4389">
        <v>1372.55</v>
      </c>
      <c r="K4389">
        <v>375.7929230676728</v>
      </c>
      <c r="L4389" s="596">
        <v>517178.08219178079</v>
      </c>
      <c r="M4389" s="591">
        <v>0</v>
      </c>
      <c r="O4389" s="596"/>
    </row>
    <row r="4390" spans="1:15" ht="13.5" customHeight="1">
      <c r="A4390" s="532">
        <v>45691</v>
      </c>
      <c r="B4390" s="615">
        <v>600000</v>
      </c>
      <c r="C4390" s="615">
        <v>615780.82191780827</v>
      </c>
      <c r="D4390" s="532">
        <v>45723</v>
      </c>
      <c r="E4390" s="534">
        <v>32</v>
      </c>
      <c r="F4390" s="653">
        <v>0.3</v>
      </c>
      <c r="G4390" s="536" t="s">
        <v>262</v>
      </c>
      <c r="H4390" s="835">
        <v>14794.520547945249</v>
      </c>
      <c r="I4390" s="835">
        <v>1335.11</v>
      </c>
      <c r="J4390">
        <v>1372.55</v>
      </c>
      <c r="K4390">
        <v>449.4011729370614</v>
      </c>
      <c r="L4390" s="596">
        <v>615780.82191780827</v>
      </c>
      <c r="M4390" s="591">
        <v>0</v>
      </c>
      <c r="O4390" s="596"/>
    </row>
    <row r="4391" spans="1:15" ht="13.5" customHeight="1">
      <c r="A4391" s="532">
        <v>45545</v>
      </c>
      <c r="B4391" s="615">
        <v>365000</v>
      </c>
      <c r="C4391" s="615">
        <v>437255.49904105661</v>
      </c>
      <c r="D4391" s="532">
        <v>45726</v>
      </c>
      <c r="E4391" s="534">
        <v>181</v>
      </c>
      <c r="F4391" s="653">
        <v>0.19796027134536054</v>
      </c>
      <c r="G4391" s="536" t="s">
        <v>261</v>
      </c>
      <c r="H4391" s="835">
        <v>11976.049564816012</v>
      </c>
      <c r="I4391" s="835">
        <v>1152.31</v>
      </c>
      <c r="J4391">
        <v>1373.61</v>
      </c>
      <c r="K4391">
        <v>316.75503987642213</v>
      </c>
      <c r="L4391" s="596">
        <v>438277.32</v>
      </c>
      <c r="M4391" s="591">
        <f>+C4391-L4391</f>
        <v>-1021.8209589433973</v>
      </c>
      <c r="O4391" s="596"/>
    </row>
    <row r="4392" spans="1:15" ht="13.5" customHeight="1">
      <c r="A4392" s="532">
        <v>45546</v>
      </c>
      <c r="B4392" s="615">
        <v>160000</v>
      </c>
      <c r="C4392" s="615">
        <v>191425.87754901408</v>
      </c>
      <c r="D4392" s="532">
        <v>45726</v>
      </c>
      <c r="E4392" s="534">
        <v>180</v>
      </c>
      <c r="F4392" s="653">
        <v>0.1964117346813381</v>
      </c>
      <c r="G4392" s="536" t="s">
        <v>261</v>
      </c>
      <c r="H4392" s="835">
        <v>5237.6462581690139</v>
      </c>
      <c r="I4392" s="835">
        <v>1153.77</v>
      </c>
      <c r="J4392">
        <v>1373.61</v>
      </c>
      <c r="K4392">
        <v>138.67581927073854</v>
      </c>
      <c r="L4392" s="596">
        <v>191873.22</v>
      </c>
      <c r="M4392" s="591">
        <f>+C4392-L4392</f>
        <v>-447.34245098591782</v>
      </c>
      <c r="O4392" s="596"/>
    </row>
    <row r="4393" spans="1:15" ht="13.5" customHeight="1">
      <c r="A4393" s="532">
        <v>45544</v>
      </c>
      <c r="B4393" s="615">
        <v>550000</v>
      </c>
      <c r="C4393" s="615">
        <v>661404.40997226478</v>
      </c>
      <c r="D4393" s="532">
        <v>45726</v>
      </c>
      <c r="E4393" s="534">
        <v>182</v>
      </c>
      <c r="F4393" s="653">
        <v>0.20255347267684498</v>
      </c>
      <c r="G4393" s="536" t="s">
        <v>261</v>
      </c>
      <c r="H4393" s="835">
        <v>18363.364281142549</v>
      </c>
      <c r="I4393" s="835">
        <v>1147.94</v>
      </c>
      <c r="J4393">
        <v>1373.61</v>
      </c>
      <c r="K4393">
        <v>479.11911772392284</v>
      </c>
      <c r="L4393" s="596">
        <v>662950.05000000005</v>
      </c>
      <c r="M4393" s="591">
        <f t="shared" ref="A4393:M4398" si="574">+C4393-L4393</f>
        <v>-1545.6400277352659</v>
      </c>
      <c r="O4393" s="596"/>
    </row>
    <row r="4394" spans="1:15" ht="13.5" customHeight="1">
      <c r="A4394" s="532">
        <v>45544</v>
      </c>
      <c r="B4394" s="615">
        <v>1900000</v>
      </c>
      <c r="C4394" s="615">
        <v>2284851.5980860051</v>
      </c>
      <c r="D4394" s="532">
        <v>45726</v>
      </c>
      <c r="E4394" s="534">
        <v>182</v>
      </c>
      <c r="F4394" s="653">
        <v>0.20255347267684498</v>
      </c>
      <c r="G4394" s="536" t="s">
        <v>264</v>
      </c>
      <c r="H4394" s="835">
        <v>63437.076607583323</v>
      </c>
      <c r="I4394" s="835">
        <v>1147.94</v>
      </c>
      <c r="J4394">
        <v>1373.61</v>
      </c>
      <c r="K4394">
        <v>1655.1387703190062</v>
      </c>
      <c r="L4394" s="596">
        <v>2290191.09</v>
      </c>
      <c r="M4394" s="591">
        <f t="shared" si="574"/>
        <v>-5339.4919139947742</v>
      </c>
      <c r="O4394" s="596"/>
    </row>
    <row r="4395" spans="1:15" ht="13.5" customHeight="1">
      <c r="A4395" s="532">
        <v>45546</v>
      </c>
      <c r="B4395" s="615">
        <v>1720000</v>
      </c>
      <c r="C4395" s="615">
        <v>2057828.1836519015</v>
      </c>
      <c r="D4395" s="532">
        <v>45726</v>
      </c>
      <c r="E4395" s="534">
        <v>180</v>
      </c>
      <c r="F4395" s="653">
        <v>0.1964117346813381</v>
      </c>
      <c r="G4395" s="536" t="s">
        <v>264</v>
      </c>
      <c r="H4395" s="835">
        <v>56304.697275316925</v>
      </c>
      <c r="I4395" s="835">
        <v>1153.77</v>
      </c>
      <c r="J4395">
        <v>1373.61</v>
      </c>
      <c r="K4395">
        <v>1490.7650571604393</v>
      </c>
      <c r="L4395" s="596">
        <v>2062637.14</v>
      </c>
      <c r="M4395" s="591">
        <f t="shared" si="574"/>
        <v>-4808.9563480983488</v>
      </c>
      <c r="O4395" s="596"/>
    </row>
    <row r="4396" spans="1:15" ht="13.5" customHeight="1">
      <c r="A4396" s="532">
        <v>45636</v>
      </c>
      <c r="B4396" s="615">
        <v>500000</v>
      </c>
      <c r="C4396" s="615">
        <v>540886.26</v>
      </c>
      <c r="D4396" s="532">
        <v>45726</v>
      </c>
      <c r="E4396" s="534">
        <v>90</v>
      </c>
      <c r="F4396" s="653">
        <v>7.6476921411261722E-2</v>
      </c>
      <c r="G4396" s="536" t="s">
        <v>256</v>
      </c>
      <c r="H4396" s="835">
        <v>12746.15356854361</v>
      </c>
      <c r="I4396" s="835">
        <v>1279.17</v>
      </c>
      <c r="J4396">
        <v>1373.61</v>
      </c>
      <c r="K4396">
        <v>390.87846025156938</v>
      </c>
      <c r="L4396" s="596">
        <v>542150.26</v>
      </c>
      <c r="M4396" s="591">
        <f t="shared" si="574"/>
        <v>-1264</v>
      </c>
      <c r="O4396" s="596"/>
    </row>
    <row r="4397" spans="1:15" ht="13.5" customHeight="1">
      <c r="A4397" s="532">
        <v>45635</v>
      </c>
      <c r="B4397" s="615">
        <v>1000000</v>
      </c>
      <c r="C4397" s="615">
        <v>1079234.1200000001</v>
      </c>
      <c r="D4397" s="532">
        <v>45727</v>
      </c>
      <c r="E4397" s="534">
        <v>92</v>
      </c>
      <c r="F4397" s="653">
        <v>8.1927260260013846E-2</v>
      </c>
      <c r="G4397" s="536" t="s">
        <v>258</v>
      </c>
      <c r="H4397" s="835">
        <v>26715.410954352348</v>
      </c>
      <c r="I4397" s="835">
        <v>1275.77</v>
      </c>
      <c r="J4397">
        <v>1376.82</v>
      </c>
      <c r="K4397">
        <v>783.84034739804201</v>
      </c>
      <c r="L4397" s="596">
        <v>1082768.08</v>
      </c>
      <c r="M4397" s="591">
        <f t="shared" si="574"/>
        <v>-3533.9599999999627</v>
      </c>
      <c r="O4397" s="596"/>
    </row>
    <row r="4398" spans="1:15" ht="13.5" customHeight="1">
      <c r="A4398" s="532">
        <v>45636</v>
      </c>
      <c r="B4398" s="615">
        <v>1200000</v>
      </c>
      <c r="C4398" s="615">
        <v>1291636.1499999999</v>
      </c>
      <c r="D4398" s="532">
        <v>45727</v>
      </c>
      <c r="E4398" s="534">
        <v>91</v>
      </c>
      <c r="F4398" s="653">
        <v>7.9022037513408971E-2</v>
      </c>
      <c r="G4398" s="536" t="s">
        <v>258</v>
      </c>
      <c r="H4398" s="835">
        <v>31261.465389920028</v>
      </c>
      <c r="I4398" s="835">
        <v>1279.17</v>
      </c>
      <c r="J4398">
        <v>1376.82</v>
      </c>
      <c r="K4398">
        <v>938.10830460376644</v>
      </c>
      <c r="L4398" s="596">
        <v>1295832.72</v>
      </c>
      <c r="M4398" s="591">
        <f t="shared" si="574"/>
        <v>-4196.5700000000652</v>
      </c>
      <c r="O4398" s="596"/>
    </row>
    <row r="4399" spans="1:15" ht="13.5" customHeight="1">
      <c r="A4399" s="532">
        <v>45635</v>
      </c>
      <c r="B4399" s="615">
        <v>850000</v>
      </c>
      <c r="C4399" s="615">
        <v>918060.55</v>
      </c>
      <c r="D4399" s="532">
        <v>45728</v>
      </c>
      <c r="E4399" s="534">
        <v>93</v>
      </c>
      <c r="F4399" s="653">
        <v>8.2797673733649768E-2</v>
      </c>
      <c r="G4399" s="536" t="s">
        <v>258</v>
      </c>
      <c r="H4399" s="835">
        <v>22702.587959226559</v>
      </c>
      <c r="I4399" s="835">
        <v>1275.77</v>
      </c>
      <c r="J4399">
        <v>1377.89</v>
      </c>
      <c r="K4399">
        <v>666.26429528833569</v>
      </c>
      <c r="L4399" s="596">
        <v>921092.74</v>
      </c>
      <c r="M4399" s="591">
        <f t="shared" ref="A4399:M4401" si="575">+C4399-L4399</f>
        <v>-3032.1899999999441</v>
      </c>
      <c r="O4399" s="596"/>
    </row>
    <row r="4400" spans="1:15" ht="13.5" customHeight="1">
      <c r="A4400" s="532">
        <v>45638</v>
      </c>
      <c r="B4400" s="615">
        <v>250000</v>
      </c>
      <c r="C4400" s="615">
        <v>270803.12</v>
      </c>
      <c r="D4400" s="532">
        <v>45728</v>
      </c>
      <c r="E4400" s="534">
        <v>90</v>
      </c>
      <c r="F4400" s="653">
        <v>7.7909818554216859E-2</v>
      </c>
      <c r="G4400" s="536" t="s">
        <v>265</v>
      </c>
      <c r="H4400" s="835">
        <v>6492.4848795180642</v>
      </c>
      <c r="I4400" s="835">
        <v>1281.45</v>
      </c>
      <c r="J4400">
        <v>1377.89</v>
      </c>
      <c r="K4400">
        <v>195.09149791252096</v>
      </c>
      <c r="L4400" s="596">
        <v>271013.40999999997</v>
      </c>
      <c r="M4400" s="591">
        <f t="shared" si="575"/>
        <v>-210.28999999997905</v>
      </c>
      <c r="O4400" s="596"/>
    </row>
    <row r="4401" spans="1:15" ht="13.5" customHeight="1">
      <c r="A4401" s="532">
        <v>45695</v>
      </c>
      <c r="B4401" s="615">
        <v>200000</v>
      </c>
      <c r="C4401" s="615">
        <v>205424.65753424657</v>
      </c>
      <c r="D4401" s="532">
        <v>45728</v>
      </c>
      <c r="E4401" s="534">
        <v>33</v>
      </c>
      <c r="F4401" s="653">
        <v>0.3</v>
      </c>
      <c r="G4401" s="536" t="s">
        <v>258</v>
      </c>
      <c r="H4401" s="835">
        <v>4931.5068493150593</v>
      </c>
      <c r="I4401" s="835">
        <v>1342.01</v>
      </c>
      <c r="J4401">
        <v>1377.89</v>
      </c>
      <c r="K4401">
        <v>149.03018606418729</v>
      </c>
      <c r="L4401" s="596">
        <v>205424.65753424657</v>
      </c>
      <c r="M4401" s="591">
        <f t="shared" si="575"/>
        <v>0</v>
      </c>
      <c r="O4401" s="596"/>
    </row>
    <row r="4402" spans="1:15" ht="13.5" customHeight="1">
      <c r="A4402" s="532">
        <v>45639</v>
      </c>
      <c r="B4402" s="615">
        <v>100000</v>
      </c>
      <c r="C4402" s="615">
        <v>108309.01</v>
      </c>
      <c r="D4402" s="532">
        <v>45729</v>
      </c>
      <c r="E4402" s="534">
        <v>90</v>
      </c>
      <c r="F4402" s="653">
        <v>7.7788050228417394E-2</v>
      </c>
      <c r="G4402" s="536" t="s">
        <v>256</v>
      </c>
      <c r="H4402" s="835">
        <v>2592.935007613914</v>
      </c>
      <c r="I4402" s="835">
        <v>1282.5899999999999</v>
      </c>
      <c r="J4402">
        <v>1378.96</v>
      </c>
      <c r="K4402">
        <v>77.967238166522435</v>
      </c>
      <c r="L4402" s="596">
        <v>107862.44</v>
      </c>
      <c r="M4402" s="591">
        <f>+C4402-L4402</f>
        <v>446.56999999999243</v>
      </c>
      <c r="O4402" s="596"/>
    </row>
    <row r="4403" spans="1:15" ht="13.5" customHeight="1">
      <c r="A4403" s="532">
        <v>45635</v>
      </c>
      <c r="B4403" s="615">
        <v>3450000</v>
      </c>
      <c r="C4403" s="615">
        <v>3757862.22</v>
      </c>
      <c r="D4403" s="532">
        <v>45729</v>
      </c>
      <c r="E4403" s="534">
        <v>94</v>
      </c>
      <c r="F4403" s="653">
        <v>8.3668133163952385E-2</v>
      </c>
      <c r="G4403" s="536" t="s">
        <v>256</v>
      </c>
      <c r="H4403" s="835">
        <v>92123.955132649673</v>
      </c>
      <c r="I4403" s="835">
        <v>1275.77</v>
      </c>
      <c r="J4403">
        <v>1378.96</v>
      </c>
      <c r="K4403">
        <v>2704.249198523245</v>
      </c>
      <c r="L4403" s="596">
        <v>3741556.06</v>
      </c>
      <c r="M4403" s="591">
        <f>+C4403-L4403</f>
        <v>16306.160000000149</v>
      </c>
      <c r="O4403" s="596"/>
    </row>
    <row r="4404" spans="1:15" ht="13.5" customHeight="1">
      <c r="A4404" s="532">
        <v>45639</v>
      </c>
      <c r="B4404" s="615">
        <v>400000</v>
      </c>
      <c r="C4404" s="615">
        <v>430070.05</v>
      </c>
      <c r="D4404" s="532">
        <v>45729</v>
      </c>
      <c r="E4404" s="534">
        <v>90</v>
      </c>
      <c r="F4404" s="653">
        <v>7.7788050228417394E-2</v>
      </c>
      <c r="G4404" s="536" t="s">
        <v>258</v>
      </c>
      <c r="H4404" s="835">
        <v>10371.740030455656</v>
      </c>
      <c r="I4404" s="835">
        <v>1282.5899999999999</v>
      </c>
      <c r="J4404">
        <v>1378.96</v>
      </c>
      <c r="K4404">
        <v>311.86895266608974</v>
      </c>
      <c r="L4404" s="596">
        <v>431449.74</v>
      </c>
      <c r="M4404" s="591">
        <f t="shared" ref="A4404:M4404" si="576">+C4404-L4404</f>
        <v>-1379.6900000000023</v>
      </c>
      <c r="O4404" s="596"/>
    </row>
    <row r="4405" spans="1:15" ht="13.5" customHeight="1">
      <c r="A4405" s="532">
        <v>45635</v>
      </c>
      <c r="B4405" s="615">
        <v>944000</v>
      </c>
      <c r="C4405" s="615">
        <v>1029120.03</v>
      </c>
      <c r="D4405" s="532">
        <v>45730</v>
      </c>
      <c r="E4405" s="534">
        <v>95</v>
      </c>
      <c r="F4405" s="653">
        <v>8.4538638550921918E-2</v>
      </c>
      <c r="G4405" s="536" t="s">
        <v>257</v>
      </c>
      <c r="H4405" s="835">
        <v>25201.413092232739</v>
      </c>
      <c r="I4405" s="835">
        <v>1275.77</v>
      </c>
      <c r="J4405">
        <v>1380.03</v>
      </c>
      <c r="K4405">
        <v>739.94528794375162</v>
      </c>
      <c r="L4405" s="596">
        <v>1024605.7</v>
      </c>
      <c r="M4405" s="591">
        <f t="shared" ref="A4405:M4405" si="577">+C4405-L4405</f>
        <v>4514.3300000000745</v>
      </c>
      <c r="O4405" s="596"/>
    </row>
    <row r="4406" spans="1:15" ht="13.5" customHeight="1">
      <c r="A4406" s="532">
        <v>45551</v>
      </c>
      <c r="B4406" s="615">
        <v>600000</v>
      </c>
      <c r="C4406" s="615">
        <v>719074.92</v>
      </c>
      <c r="D4406" s="532">
        <v>45733</v>
      </c>
      <c r="E4406" s="534">
        <v>182</v>
      </c>
      <c r="F4406" s="653">
        <v>0.19846015687512963</v>
      </c>
      <c r="G4406" s="536" t="s">
        <v>263</v>
      </c>
      <c r="H4406" s="835">
        <v>19627.927603034805</v>
      </c>
      <c r="I4406" s="835">
        <v>1158.1500000000001</v>
      </c>
      <c r="J4406">
        <v>1381.11</v>
      </c>
      <c r="K4406">
        <v>518.06760782282083</v>
      </c>
      <c r="L4406" s="596">
        <v>719076.09412507783</v>
      </c>
      <c r="M4406" s="591">
        <f t="shared" ref="A4406:M4423" si="578">+C4406-L4406</f>
        <v>-1.1741250777849928</v>
      </c>
      <c r="O4406" s="596"/>
    </row>
    <row r="4407" spans="1:15" ht="13.5" customHeight="1">
      <c r="A4407" s="532">
        <v>45551</v>
      </c>
      <c r="B4407" s="615">
        <v>400000</v>
      </c>
      <c r="C4407" s="615">
        <v>479383.28</v>
      </c>
      <c r="D4407" s="532">
        <v>45733</v>
      </c>
      <c r="E4407" s="534">
        <v>182</v>
      </c>
      <c r="F4407" s="653">
        <v>0.19846015687512963</v>
      </c>
      <c r="G4407" s="536" t="s">
        <v>263</v>
      </c>
      <c r="H4407" s="835">
        <v>13085.285068689864</v>
      </c>
      <c r="I4407" s="835">
        <v>1158.1500000000001</v>
      </c>
      <c r="J4407">
        <v>1381.11</v>
      </c>
      <c r="K4407">
        <v>345.37840521521389</v>
      </c>
      <c r="L4407" s="596">
        <v>479384.06275005185</v>
      </c>
      <c r="M4407" s="591">
        <f t="shared" si="578"/>
        <v>-0.78275005181785673</v>
      </c>
      <c r="O4407" s="596"/>
    </row>
    <row r="4408" spans="1:15" ht="13.5" customHeight="1">
      <c r="A4408" s="532">
        <v>45551</v>
      </c>
      <c r="B4408" s="615">
        <v>1350000</v>
      </c>
      <c r="C4408" s="615">
        <v>1617921.2117814249</v>
      </c>
      <c r="D4408" s="532">
        <v>45733</v>
      </c>
      <c r="E4408" s="534">
        <v>182</v>
      </c>
      <c r="F4408" s="653">
        <v>0.19846015687512963</v>
      </c>
      <c r="G4408" s="536" t="s">
        <v>266</v>
      </c>
      <c r="H4408" s="835">
        <v>44162.837106828287</v>
      </c>
      <c r="I4408" s="835">
        <v>1158.1500000000001</v>
      </c>
      <c r="J4408">
        <v>1381.11</v>
      </c>
      <c r="K4408">
        <v>1165.6521176013468</v>
      </c>
      <c r="L4408" s="596">
        <v>1617921.2117814249</v>
      </c>
      <c r="M4408" s="591">
        <f t="shared" si="578"/>
        <v>0</v>
      </c>
      <c r="O4408" s="596"/>
    </row>
    <row r="4409" spans="1:15" ht="13.5" customHeight="1">
      <c r="A4409" s="532">
        <v>45552</v>
      </c>
      <c r="B4409" s="615">
        <v>410000</v>
      </c>
      <c r="C4409" s="615">
        <v>489440.86484885408</v>
      </c>
      <c r="D4409" s="532">
        <v>45733</v>
      </c>
      <c r="E4409" s="534">
        <v>181</v>
      </c>
      <c r="F4409" s="653">
        <v>0.19375820694842472</v>
      </c>
      <c r="G4409" s="536" t="s">
        <v>266</v>
      </c>
      <c r="H4409" s="835">
        <v>13166.994173843228</v>
      </c>
      <c r="I4409" s="835">
        <v>1162.68</v>
      </c>
      <c r="J4409">
        <v>1381.11</v>
      </c>
      <c r="K4409">
        <v>352.63357071593214</v>
      </c>
      <c r="L4409" s="596">
        <v>489440.86484885414</v>
      </c>
      <c r="M4409" s="591">
        <f t="shared" si="578"/>
        <v>0</v>
      </c>
      <c r="O4409" s="596"/>
    </row>
    <row r="4410" spans="1:15" ht="13.5" customHeight="1">
      <c r="A4410" s="532">
        <v>45642</v>
      </c>
      <c r="B4410" s="615">
        <v>1500000</v>
      </c>
      <c r="C4410" s="615">
        <v>1625855.8299999998</v>
      </c>
      <c r="D4410" s="532">
        <v>45733</v>
      </c>
      <c r="E4410" s="534">
        <v>91</v>
      </c>
      <c r="F4410" s="653">
        <v>7.8539346546754762E-2</v>
      </c>
      <c r="G4410" s="536" t="s">
        <v>256</v>
      </c>
      <c r="H4410" s="835">
        <v>38838.138402241333</v>
      </c>
      <c r="I4410" s="835">
        <v>1283.73</v>
      </c>
      <c r="J4410">
        <v>1381.11</v>
      </c>
      <c r="K4410">
        <v>1168.4700053749621</v>
      </c>
      <c r="L4410" s="596">
        <v>1617809.0198201321</v>
      </c>
      <c r="M4410" s="591">
        <f t="shared" si="578"/>
        <v>8046.8101798677817</v>
      </c>
      <c r="O4410" s="596"/>
    </row>
    <row r="4411" spans="1:15" ht="13.5" customHeight="1">
      <c r="A4411" s="532">
        <v>45693</v>
      </c>
      <c r="B4411" s="615">
        <v>129380</v>
      </c>
      <c r="C4411" s="615">
        <v>132924.66</v>
      </c>
      <c r="D4411" s="532">
        <v>45733</v>
      </c>
      <c r="E4411" s="534">
        <v>40</v>
      </c>
      <c r="F4411" s="653">
        <v>0.25</v>
      </c>
      <c r="G4411" s="536" t="s">
        <v>259</v>
      </c>
      <c r="H4411" s="835">
        <v>2658.4931506849243</v>
      </c>
      <c r="I4411" s="835">
        <v>1339.7</v>
      </c>
      <c r="J4411">
        <v>1381.11</v>
      </c>
      <c r="K4411">
        <v>96.573859819362539</v>
      </c>
      <c r="L4411" s="596">
        <v>132924.65753424657</v>
      </c>
      <c r="M4411" s="591">
        <f t="shared" si="578"/>
        <v>2.4657534377183765E-3</v>
      </c>
      <c r="O4411" s="596"/>
    </row>
    <row r="4412" spans="1:15" ht="13.5" customHeight="1">
      <c r="A4412" s="532">
        <v>45695</v>
      </c>
      <c r="B4412" s="615">
        <v>37700</v>
      </c>
      <c r="C4412" s="615">
        <v>38681.230000000003</v>
      </c>
      <c r="D4412" s="532">
        <v>45733</v>
      </c>
      <c r="E4412" s="534">
        <v>38</v>
      </c>
      <c r="F4412" s="653">
        <v>0.25</v>
      </c>
      <c r="G4412" s="536" t="s">
        <v>259</v>
      </c>
      <c r="H4412" s="835">
        <v>774.6575342465726</v>
      </c>
      <c r="I4412" s="835">
        <v>1342.01</v>
      </c>
      <c r="J4412">
        <v>1381.11</v>
      </c>
      <c r="K4412">
        <v>28.092190073099307</v>
      </c>
      <c r="L4412" s="596">
        <v>38681.232876712325</v>
      </c>
      <c r="M4412" s="591">
        <f t="shared" si="578"/>
        <v>-2.8767123221768998E-3</v>
      </c>
      <c r="O4412" s="596"/>
    </row>
    <row r="4413" spans="1:15" ht="13.5" customHeight="1">
      <c r="A4413" s="532">
        <v>45698</v>
      </c>
      <c r="B4413" s="615">
        <v>330000</v>
      </c>
      <c r="C4413" s="615">
        <v>339764.38356164383</v>
      </c>
      <c r="D4413" s="532">
        <v>45734</v>
      </c>
      <c r="E4413" s="534">
        <v>36</v>
      </c>
      <c r="F4413" s="653">
        <v>0.3</v>
      </c>
      <c r="G4413" s="536" t="s">
        <v>258</v>
      </c>
      <c r="H4413" s="835">
        <v>7846.2096909549591</v>
      </c>
      <c r="I4413" s="835">
        <v>1073.55</v>
      </c>
      <c r="J4413">
        <v>1322.4625218652798</v>
      </c>
      <c r="K4413">
        <v>186.29779702855015</v>
      </c>
      <c r="L4413" s="596">
        <v>339764.38356164383</v>
      </c>
      <c r="M4413" s="591">
        <f t="shared" si="578"/>
        <v>0</v>
      </c>
      <c r="O4413" s="596"/>
    </row>
    <row r="4414" spans="1:15" ht="13.5" customHeight="1">
      <c r="A4414" s="532">
        <v>45699</v>
      </c>
      <c r="B4414" s="615">
        <v>500000</v>
      </c>
      <c r="C4414" s="615">
        <v>514383.56164383562</v>
      </c>
      <c r="D4414" s="532">
        <v>45734</v>
      </c>
      <c r="E4414" s="534">
        <v>35</v>
      </c>
      <c r="F4414" s="653">
        <v>0.3</v>
      </c>
      <c r="G4414" s="536" t="s">
        <v>258</v>
      </c>
      <c r="H4414" s="835">
        <v>7846.2096909549591</v>
      </c>
      <c r="I4414" s="835">
        <v>1073.55</v>
      </c>
      <c r="J4414">
        <v>1322.4625218652798</v>
      </c>
      <c r="K4414">
        <v>186.29779702855015</v>
      </c>
      <c r="L4414" s="596">
        <v>514383.56164383562</v>
      </c>
      <c r="M4414" s="591">
        <f t="shared" si="578"/>
        <v>0</v>
      </c>
      <c r="O4414" s="596"/>
    </row>
    <row r="4415" spans="1:15" ht="13.5" customHeight="1">
      <c r="A4415" s="532">
        <v>45699</v>
      </c>
      <c r="B4415" s="615">
        <v>500000</v>
      </c>
      <c r="C4415" s="615">
        <v>514794.52054794523</v>
      </c>
      <c r="D4415" s="532">
        <v>45735</v>
      </c>
      <c r="E4415" s="534">
        <v>36</v>
      </c>
      <c r="F4415" s="653">
        <v>0.3</v>
      </c>
      <c r="G4415" s="536" t="s">
        <v>258</v>
      </c>
      <c r="H4415" s="835">
        <v>7846.2096909549591</v>
      </c>
      <c r="I4415" s="835">
        <v>1073.55</v>
      </c>
      <c r="J4415">
        <v>1322.4625218652798</v>
      </c>
      <c r="K4415">
        <v>186.29779702855015</v>
      </c>
      <c r="L4415" s="596">
        <v>514794.52054794523</v>
      </c>
      <c r="M4415" s="591">
        <f t="shared" si="578"/>
        <v>0</v>
      </c>
      <c r="O4415" s="596"/>
    </row>
    <row r="4416" spans="1:15" ht="13.5" customHeight="1">
      <c r="A4416" s="532">
        <v>45706</v>
      </c>
      <c r="B4416" s="615">
        <v>335000</v>
      </c>
      <c r="C4416" s="615">
        <v>341883.56164383562</v>
      </c>
      <c r="D4416" s="532">
        <v>45736</v>
      </c>
      <c r="E4416" s="534">
        <v>30</v>
      </c>
      <c r="F4416" s="653">
        <v>0.25</v>
      </c>
      <c r="G4416" s="536" t="s">
        <v>261</v>
      </c>
      <c r="H4416" s="835">
        <v>6883.5616438356228</v>
      </c>
      <c r="I4416" s="835">
        <v>1354.53</v>
      </c>
      <c r="J4416">
        <v>1386.42</v>
      </c>
      <c r="K4416">
        <v>247.31825799354758</v>
      </c>
      <c r="L4416" s="596">
        <v>341883.56164383562</v>
      </c>
      <c r="M4416" s="591">
        <f t="shared" si="578"/>
        <v>0</v>
      </c>
      <c r="O4416" s="596"/>
    </row>
    <row r="4417" spans="1:15" ht="13.5" customHeight="1">
      <c r="A4417" s="532">
        <v>45707</v>
      </c>
      <c r="B4417" s="615">
        <v>61000</v>
      </c>
      <c r="C4417" s="615">
        <v>62253.424657534248</v>
      </c>
      <c r="D4417" s="532">
        <v>45737</v>
      </c>
      <c r="E4417" s="534">
        <v>30</v>
      </c>
      <c r="F4417" s="653">
        <v>0.25</v>
      </c>
      <c r="G4417" s="536" t="s">
        <v>261</v>
      </c>
      <c r="H4417" s="835">
        <v>1253.4246575342477</v>
      </c>
      <c r="I4417" s="835">
        <v>1355.59</v>
      </c>
      <c r="J4417">
        <v>1387.48</v>
      </c>
      <c r="K4417">
        <v>44.998856586431003</v>
      </c>
      <c r="L4417" s="596">
        <v>62253.424657534248</v>
      </c>
      <c r="M4417" s="591">
        <f t="shared" si="578"/>
        <v>0</v>
      </c>
      <c r="O4417" s="596"/>
    </row>
    <row r="4418" spans="1:15" ht="13.5" customHeight="1">
      <c r="A4418" s="532">
        <v>45558</v>
      </c>
      <c r="B4418" s="615">
        <v>900000</v>
      </c>
      <c r="C4418" s="615">
        <v>1074307.6170889088</v>
      </c>
      <c r="D4418" s="532">
        <v>45741</v>
      </c>
      <c r="E4418" s="534">
        <v>183</v>
      </c>
      <c r="F4418" s="653">
        <v>0.19367513009878756</v>
      </c>
      <c r="G4418" s="536" t="s">
        <v>266</v>
      </c>
      <c r="H4418" s="835">
        <v>28575.019194903081</v>
      </c>
      <c r="I4418" s="835">
        <v>1169.08</v>
      </c>
      <c r="J4418">
        <v>1388.54</v>
      </c>
      <c r="K4418">
        <v>769.83611044582074</v>
      </c>
      <c r="L4418" s="596">
        <v>1074307.6170889088</v>
      </c>
      <c r="M4418" s="591">
        <f t="shared" si="578"/>
        <v>0</v>
      </c>
      <c r="O4418" s="596"/>
    </row>
    <row r="4419" spans="1:15" ht="13.5" customHeight="1">
      <c r="A4419" s="532">
        <v>45559</v>
      </c>
      <c r="B4419" s="615">
        <v>190000</v>
      </c>
      <c r="C4419" s="615">
        <v>225860.89018807458</v>
      </c>
      <c r="D4419" s="532">
        <v>45741</v>
      </c>
      <c r="E4419" s="534">
        <v>182</v>
      </c>
      <c r="F4419" s="653">
        <v>0.18874152730565585</v>
      </c>
      <c r="G4419" s="536" t="s">
        <v>266</v>
      </c>
      <c r="H4419" s="835">
        <v>5911.1357452870234</v>
      </c>
      <c r="I4419" s="835">
        <v>1173.9000000000001</v>
      </c>
      <c r="J4419">
        <v>1388.54</v>
      </c>
      <c r="K4419">
        <v>161.85365022574322</v>
      </c>
      <c r="L4419" s="596">
        <v>225860.89018807461</v>
      </c>
      <c r="M4419" s="591">
        <f t="shared" si="578"/>
        <v>0</v>
      </c>
      <c r="O4419" s="596"/>
    </row>
    <row r="4420" spans="1:15" ht="13.5" customHeight="1">
      <c r="A4420" s="532">
        <v>45649</v>
      </c>
      <c r="B4420" s="615">
        <v>1400000</v>
      </c>
      <c r="C4420" s="615">
        <v>1517232.01</v>
      </c>
      <c r="D4420" s="532">
        <v>45741</v>
      </c>
      <c r="E4420" s="534">
        <v>92</v>
      </c>
      <c r="F4420" s="653">
        <v>7.831493457777694E-2</v>
      </c>
      <c r="G4420" s="536" t="s">
        <v>257</v>
      </c>
      <c r="H4420" s="835">
        <v>35752.470133332943</v>
      </c>
      <c r="I4420" s="835">
        <v>1290.94</v>
      </c>
      <c r="J4420">
        <v>1388.54</v>
      </c>
      <c r="K4420">
        <v>1084.4810758052272</v>
      </c>
      <c r="L4420" s="596">
        <v>1509640.9084088877</v>
      </c>
      <c r="M4420" s="591">
        <f>+C4420-L4420</f>
        <v>7591.101591112325</v>
      </c>
      <c r="O4420" s="596"/>
    </row>
    <row r="4421" spans="1:15" ht="13.5" customHeight="1">
      <c r="A4421" s="532">
        <v>45649</v>
      </c>
      <c r="B4421" s="615">
        <v>2600000</v>
      </c>
      <c r="C4421" s="615">
        <v>2817716.6</v>
      </c>
      <c r="D4421" s="532">
        <v>45741</v>
      </c>
      <c r="E4421" s="534">
        <v>92</v>
      </c>
      <c r="F4421" s="653">
        <v>7.831493457777694E-2</v>
      </c>
      <c r="G4421" s="536" t="s">
        <v>256</v>
      </c>
      <c r="H4421" s="835">
        <v>66397.444533332629</v>
      </c>
      <c r="I4421" s="835">
        <v>1290.94</v>
      </c>
      <c r="J4421">
        <v>1388.54</v>
      </c>
      <c r="K4421">
        <v>2014.036283638279</v>
      </c>
      <c r="L4421" s="596">
        <v>2803618.8299022201</v>
      </c>
      <c r="M4421" s="591">
        <f t="shared" si="578"/>
        <v>14097.770097780041</v>
      </c>
      <c r="O4421" s="596"/>
    </row>
    <row r="4422" spans="1:15" ht="13.5" customHeight="1">
      <c r="A4422" s="532">
        <v>45649</v>
      </c>
      <c r="B4422" s="615">
        <v>1899000</v>
      </c>
      <c r="C4422" s="615">
        <v>2058016.86</v>
      </c>
      <c r="D4422" s="532">
        <v>45741</v>
      </c>
      <c r="E4422" s="534">
        <v>92</v>
      </c>
      <c r="F4422" s="653">
        <v>7.831493457777694E-2</v>
      </c>
      <c r="G4422" s="536" t="s">
        <v>265</v>
      </c>
      <c r="H4422" s="835">
        <v>48495.671987999478</v>
      </c>
      <c r="I4422" s="835">
        <v>1290.94</v>
      </c>
      <c r="J4422">
        <v>1388.54</v>
      </c>
      <c r="K4422">
        <v>1471.0211163958045</v>
      </c>
      <c r="L4422" s="596">
        <v>2047720.0607631984</v>
      </c>
      <c r="M4422" s="591">
        <f t="shared" si="578"/>
        <v>10296.799236801686</v>
      </c>
      <c r="O4422" s="596"/>
    </row>
    <row r="4423" spans="1:15" ht="13.5" customHeight="1">
      <c r="A4423" s="532">
        <v>45708</v>
      </c>
      <c r="B4423" s="615">
        <v>26400</v>
      </c>
      <c r="C4423" s="615">
        <v>26996.712328767124</v>
      </c>
      <c r="D4423" s="532">
        <v>45741</v>
      </c>
      <c r="E4423" s="534">
        <v>33</v>
      </c>
      <c r="F4423" s="653">
        <v>0.25</v>
      </c>
      <c r="G4423" s="536" t="s">
        <v>259</v>
      </c>
      <c r="H4423" s="835">
        <v>542.46575342465803</v>
      </c>
      <c r="I4423" s="835">
        <v>1356.64</v>
      </c>
      <c r="J4423">
        <v>1388.54</v>
      </c>
      <c r="K4423">
        <v>19.459841962495577</v>
      </c>
      <c r="L4423" s="596">
        <v>26996.712328767124</v>
      </c>
      <c r="M4423" s="591">
        <f t="shared" si="578"/>
        <v>0</v>
      </c>
      <c r="O4423" s="596"/>
    </row>
    <row r="4424" spans="1:15" ht="13.5" customHeight="1">
      <c r="A4424" s="532">
        <v>45652</v>
      </c>
      <c r="B4424" s="615">
        <v>175000</v>
      </c>
      <c r="C4424" s="615">
        <f>175000+933.18+13236.92</f>
        <v>189170.1</v>
      </c>
      <c r="D4424" s="532">
        <v>45742</v>
      </c>
      <c r="E4424" s="534">
        <v>90</v>
      </c>
      <c r="F4424" s="653">
        <v>7.8264795750884408E-2</v>
      </c>
      <c r="G4424" s="536" t="s">
        <v>260</v>
      </c>
      <c r="H4424" s="835">
        <v>4565.4464188015945</v>
      </c>
      <c r="I4424" s="835">
        <v>1294.8900000000001</v>
      </c>
      <c r="J4424">
        <v>1392.8</v>
      </c>
      <c r="K4424">
        <v>135.1466147703666</v>
      </c>
      <c r="L4424" s="596">
        <v>188696.33925640481</v>
      </c>
      <c r="M4424" s="591">
        <f t="shared" ref="A4424:M4426" si="579">+C4424-L4424</f>
        <v>473.76074359519407</v>
      </c>
      <c r="O4424" s="596"/>
    </row>
    <row r="4425" spans="1:15" ht="13.5" customHeight="1">
      <c r="A4425" s="532">
        <v>45652</v>
      </c>
      <c r="B4425" s="615">
        <v>2300000</v>
      </c>
      <c r="C4425" s="615">
        <f>2317013.7+175195.43</f>
        <v>2492209.1300000004</v>
      </c>
      <c r="D4425" s="532">
        <v>45742</v>
      </c>
      <c r="E4425" s="534">
        <v>90</v>
      </c>
      <c r="F4425" s="653">
        <v>7.8264795750884408E-2</v>
      </c>
      <c r="G4425" s="536" t="s">
        <v>256</v>
      </c>
      <c r="H4425" s="835">
        <v>60003.010075678118</v>
      </c>
      <c r="I4425" s="835">
        <v>1294.8900000000001</v>
      </c>
      <c r="J4425">
        <v>1392.8</v>
      </c>
      <c r="K4425">
        <v>1776.212651267675</v>
      </c>
      <c r="L4425" s="596">
        <v>2480009.0302270344</v>
      </c>
      <c r="M4425" s="591">
        <f t="shared" si="579"/>
        <v>12200.099772966001</v>
      </c>
      <c r="O4425" s="596"/>
    </row>
    <row r="4426" spans="1:15" ht="13.5" customHeight="1">
      <c r="A4426" s="532">
        <v>45652</v>
      </c>
      <c r="B4426" s="615">
        <v>3500000</v>
      </c>
      <c r="C4426" s="615">
        <f>3525890.41+266601.74</f>
        <v>3792492.1500000004</v>
      </c>
      <c r="D4426" s="532">
        <v>45742</v>
      </c>
      <c r="E4426" s="534">
        <v>90</v>
      </c>
      <c r="F4426" s="653">
        <v>7.5612600298094801E-2</v>
      </c>
      <c r="G4426" s="536" t="s">
        <v>257</v>
      </c>
      <c r="H4426" s="835">
        <v>88214.700347777296</v>
      </c>
      <c r="I4426" s="835">
        <v>1294.8900000000001</v>
      </c>
      <c r="J4426">
        <v>1392.8</v>
      </c>
      <c r="K4426">
        <v>2702.9322954073318</v>
      </c>
      <c r="L4426" s="596">
        <v>3773926.7851280957</v>
      </c>
      <c r="M4426" s="591">
        <f t="shared" si="579"/>
        <v>18565.36487190472</v>
      </c>
      <c r="O4426" s="596"/>
    </row>
    <row r="4427" spans="1:15" ht="13.5" customHeight="1">
      <c r="A4427" s="532">
        <v>45652</v>
      </c>
      <c r="B4427" s="615">
        <v>5000000</v>
      </c>
      <c r="C4427" s="615">
        <v>5378199.7000000002</v>
      </c>
      <c r="D4427" s="532">
        <v>45742</v>
      </c>
      <c r="E4427" s="534">
        <v>90</v>
      </c>
      <c r="F4427" s="653">
        <v>7.8264795750884408E-2</v>
      </c>
      <c r="G4427" s="536" t="s">
        <v>258</v>
      </c>
      <c r="H4427" s="835">
        <v>130441.32625147392</v>
      </c>
      <c r="I4427" s="835">
        <v>1294.8900000000001</v>
      </c>
      <c r="J4427">
        <v>1392.8</v>
      </c>
      <c r="K4427">
        <v>3861.3318505819025</v>
      </c>
      <c r="L4427" s="596">
        <v>5391323.9787544226</v>
      </c>
      <c r="M4427" s="591">
        <f>+C4427-L4427</f>
        <v>-13124.278754422441</v>
      </c>
      <c r="O4427" s="596"/>
    </row>
    <row r="4428" spans="1:15" ht="13.5" customHeight="1">
      <c r="A4428" s="532">
        <v>45653</v>
      </c>
      <c r="B4428" s="615">
        <v>1500000</v>
      </c>
      <c r="C4428" s="615">
        <f>1511095.89+112998.94</f>
        <v>1624094.8299999998</v>
      </c>
      <c r="D4428" s="532">
        <v>45743</v>
      </c>
      <c r="E4428" s="534">
        <v>90</v>
      </c>
      <c r="F4428" s="653">
        <v>7.7429611890454719E-2</v>
      </c>
      <c r="G4428" s="536" t="s">
        <v>256</v>
      </c>
      <c r="H4428" s="835">
        <v>38714.805945227388</v>
      </c>
      <c r="I4428" s="835">
        <v>1296.8800000000001</v>
      </c>
      <c r="J4428">
        <v>1393.86</v>
      </c>
      <c r="K4428">
        <v>1156.6220467583739</v>
      </c>
      <c r="L4428" s="596">
        <v>1616144.4178356822</v>
      </c>
      <c r="M4428" s="591">
        <f t="shared" ref="A4428:M4432" si="580">+C4428-L4428</f>
        <v>7950.4121643176768</v>
      </c>
      <c r="O4428" s="596"/>
    </row>
    <row r="4429" spans="1:15" ht="13.5" customHeight="1">
      <c r="A4429" s="532">
        <v>45653</v>
      </c>
      <c r="B4429" s="615">
        <v>317000</v>
      </c>
      <c r="C4429" s="615">
        <f>317000+1686.57+23701.2</f>
        <v>342387.77</v>
      </c>
      <c r="D4429" s="532">
        <v>45743</v>
      </c>
      <c r="E4429" s="534">
        <v>90</v>
      </c>
      <c r="F4429" s="653">
        <v>7.7429611890454719E-2</v>
      </c>
      <c r="G4429" s="536" t="s">
        <v>260</v>
      </c>
      <c r="H4429" s="835">
        <v>8181.728989758044</v>
      </c>
      <c r="I4429" s="835">
        <v>1296.8800000000001</v>
      </c>
      <c r="J4429">
        <v>1393.86</v>
      </c>
      <c r="K4429">
        <v>244.43279254826967</v>
      </c>
      <c r="L4429" s="596">
        <v>341545.18696927413</v>
      </c>
      <c r="M4429" s="591">
        <f t="shared" si="580"/>
        <v>842.58303072588751</v>
      </c>
      <c r="O4429" s="596"/>
    </row>
    <row r="4430" spans="1:15" ht="13.5" customHeight="1">
      <c r="A4430" s="532">
        <v>45653</v>
      </c>
      <c r="B4430" s="615">
        <v>200000</v>
      </c>
      <c r="C4430" s="615">
        <f>201479.45+15066.52</f>
        <v>216545.97</v>
      </c>
      <c r="D4430" s="532">
        <v>45743</v>
      </c>
      <c r="E4430" s="534">
        <v>90</v>
      </c>
      <c r="F4430" s="653">
        <v>7.7429611890454719E-2</v>
      </c>
      <c r="G4430" s="536" t="s">
        <v>257</v>
      </c>
      <c r="H4430" s="835">
        <v>5161.9741260303126</v>
      </c>
      <c r="I4430" s="835">
        <v>1296.8800000000001</v>
      </c>
      <c r="J4430">
        <v>1393.86</v>
      </c>
      <c r="K4430">
        <v>154.21627290111653</v>
      </c>
      <c r="L4430" s="596">
        <v>215485.92237809097</v>
      </c>
      <c r="M4430" s="591">
        <f t="shared" si="580"/>
        <v>1060.0476219090342</v>
      </c>
      <c r="O4430" s="596"/>
    </row>
    <row r="4431" spans="1:15" ht="13.5" customHeight="1">
      <c r="A4431" s="532">
        <v>45713</v>
      </c>
      <c r="B4431" s="615">
        <v>117000</v>
      </c>
      <c r="C4431" s="615">
        <v>119782.35616438356</v>
      </c>
      <c r="D4431" s="532">
        <v>45744</v>
      </c>
      <c r="E4431" s="534">
        <v>31</v>
      </c>
      <c r="F4431" s="653">
        <v>0.28000000000000003</v>
      </c>
      <c r="G4431" s="536" t="s">
        <v>264</v>
      </c>
      <c r="H4431" s="835">
        <v>2692.6027397260223</v>
      </c>
      <c r="I4431" s="835">
        <v>1361.92</v>
      </c>
      <c r="J4431">
        <v>1394.93</v>
      </c>
      <c r="K4431">
        <v>85.908129699248121</v>
      </c>
      <c r="L4431" s="596">
        <v>119782.35616438356</v>
      </c>
      <c r="M4431" s="591">
        <f t="shared" si="580"/>
        <v>0</v>
      </c>
      <c r="O4431" s="596"/>
    </row>
    <row r="4432" spans="1:15" ht="13.5" customHeight="1">
      <c r="A4432" s="532">
        <v>45714</v>
      </c>
      <c r="B4432" s="615">
        <v>148000</v>
      </c>
      <c r="C4432" s="615">
        <v>151041.09589041097</v>
      </c>
      <c r="D4432" s="532">
        <v>45744</v>
      </c>
      <c r="E4432" s="534">
        <v>30</v>
      </c>
      <c r="F4432" s="653">
        <v>0.25</v>
      </c>
      <c r="G4432" s="536" t="s">
        <v>259</v>
      </c>
      <c r="H4432" s="835">
        <v>3041.0958904109721</v>
      </c>
      <c r="I4432" s="835">
        <v>1362.98</v>
      </c>
      <c r="J4432">
        <v>1394.93</v>
      </c>
      <c r="K4432">
        <v>108.5855992017491</v>
      </c>
      <c r="L4432" s="596">
        <v>151041.09589041097</v>
      </c>
      <c r="M4432" s="591">
        <f t="shared" si="580"/>
        <v>0</v>
      </c>
      <c r="O4432" s="596"/>
    </row>
    <row r="4433" spans="1:15" ht="13.5" customHeight="1">
      <c r="A4433" s="532">
        <v>45565</v>
      </c>
      <c r="B4433" s="615">
        <v>115000</v>
      </c>
      <c r="C4433" s="615">
        <v>136688.69472776537</v>
      </c>
      <c r="D4433" s="532">
        <v>45747</v>
      </c>
      <c r="E4433" s="534">
        <v>182</v>
      </c>
      <c r="F4433" s="653">
        <v>0.18859734545882922</v>
      </c>
      <c r="G4433" s="536" t="s">
        <v>266</v>
      </c>
      <c r="H4433" s="835">
        <v>3575.0595705107744</v>
      </c>
      <c r="I4433" s="835">
        <v>1180.3499999999999</v>
      </c>
      <c r="J4433">
        <v>1396</v>
      </c>
      <c r="K4433">
        <v>97.428728766891183</v>
      </c>
      <c r="L4433" s="596">
        <v>136688.69472776534</v>
      </c>
      <c r="M4433" s="591">
        <f>+C4433-L4433</f>
        <v>0</v>
      </c>
      <c r="O4433" s="596"/>
    </row>
    <row r="4434" spans="1:15" ht="13.5" customHeight="1">
      <c r="A4434" s="532">
        <v>45656</v>
      </c>
      <c r="B4434" s="615">
        <v>500000</v>
      </c>
      <c r="C4434" s="615">
        <f>503739.73+38087</f>
        <v>541826.73</v>
      </c>
      <c r="D4434" s="532">
        <v>45747</v>
      </c>
      <c r="E4434" s="534">
        <v>91</v>
      </c>
      <c r="F4434" s="653">
        <v>7.8290151059940083E-2</v>
      </c>
      <c r="G4434" s="536" t="s">
        <v>257</v>
      </c>
      <c r="H4434" s="835">
        <v>12904.969954935164</v>
      </c>
      <c r="I4434" s="835">
        <v>1297.8699999999999</v>
      </c>
      <c r="J4434">
        <v>1396</v>
      </c>
      <c r="K4434">
        <v>385.24659634632133</v>
      </c>
      <c r="L4434" s="596">
        <v>539145.07552997011</v>
      </c>
      <c r="M4434" s="591">
        <f>+C4434-L4434</f>
        <v>2681.6544700298691</v>
      </c>
      <c r="O4434" s="596"/>
    </row>
    <row r="4435" spans="1:15" ht="13.5" customHeight="1">
      <c r="A4435" s="532">
        <v>45656</v>
      </c>
      <c r="B4435" s="615">
        <v>1546000</v>
      </c>
      <c r="C4435" s="615">
        <f>1546000+8292.24+116887.28</f>
        <v>1671179.52</v>
      </c>
      <c r="D4435" s="532">
        <v>45747</v>
      </c>
      <c r="E4435" s="534">
        <v>91</v>
      </c>
      <c r="F4435" s="653">
        <v>7.8290151059940083E-2</v>
      </c>
      <c r="G4435" s="536" t="s">
        <v>260</v>
      </c>
      <c r="H4435" s="835">
        <v>39902.16710065955</v>
      </c>
      <c r="I4435" s="835">
        <v>1297.8699999999999</v>
      </c>
      <c r="J4435">
        <v>1396</v>
      </c>
      <c r="K4435">
        <v>1191.1824759028254</v>
      </c>
      <c r="L4435" s="596">
        <v>1667036.5735386673</v>
      </c>
      <c r="M4435" s="591">
        <f>+C4435-L4435</f>
        <v>4142.9464613327291</v>
      </c>
      <c r="O4435" s="596"/>
    </row>
    <row r="4436" spans="1:15" ht="13.5" customHeight="1">
      <c r="A4436" s="532">
        <v>45656</v>
      </c>
      <c r="B4436" s="615">
        <v>1000000</v>
      </c>
      <c r="C4436" s="615">
        <v>1075631.97</v>
      </c>
      <c r="D4436" s="532">
        <v>45747</v>
      </c>
      <c r="E4436" s="534">
        <v>91</v>
      </c>
      <c r="F4436" s="653">
        <v>7.8290151059940083E-2</v>
      </c>
      <c r="G4436" s="536" t="s">
        <v>262</v>
      </c>
      <c r="H4436" s="835">
        <v>25809.939909870329</v>
      </c>
      <c r="I4436" s="835">
        <v>1297.8699999999999</v>
      </c>
      <c r="J4436">
        <v>1396</v>
      </c>
      <c r="K4436">
        <v>770.49319269264265</v>
      </c>
      <c r="L4436" s="596">
        <v>1078290.1510599402</v>
      </c>
      <c r="M4436" s="591">
        <f t="shared" ref="A4436:M4436" si="581">+C4436-L4436</f>
        <v>-2658.1810599402525</v>
      </c>
      <c r="O4436" s="596"/>
    </row>
    <row r="4437" spans="1:15" ht="13.5" customHeight="1">
      <c r="A4437" s="532">
        <v>45656</v>
      </c>
      <c r="B4437" s="615">
        <v>1500000</v>
      </c>
      <c r="C4437" s="615">
        <v>1617153.4</v>
      </c>
      <c r="D4437" s="532">
        <v>45748</v>
      </c>
      <c r="E4437" s="534">
        <v>92</v>
      </c>
      <c r="F4437" s="653">
        <v>8.0791412610609514E-2</v>
      </c>
      <c r="G4437" s="536" t="s">
        <v>258</v>
      </c>
      <c r="H4437" s="835">
        <v>39517.538776928581</v>
      </c>
      <c r="I4437" s="835">
        <v>1297.8699999999999</v>
      </c>
      <c r="J4437">
        <v>1399.2</v>
      </c>
      <c r="K4437">
        <v>1155.7397890389639</v>
      </c>
      <c r="L4437" s="596">
        <v>1621187.1189159141</v>
      </c>
      <c r="M4437" s="591">
        <f t="shared" ref="A4437:M4442" si="582">+C4437-L4437</f>
        <v>-4033.7189159141853</v>
      </c>
      <c r="O4437" s="596"/>
    </row>
    <row r="4438" spans="1:15" ht="13.5" customHeight="1">
      <c r="A4438" s="532">
        <v>45656</v>
      </c>
      <c r="B4438" s="615">
        <v>5000000</v>
      </c>
      <c r="C4438" s="615">
        <f>5037808.22+393322.21</f>
        <v>5431130.4299999997</v>
      </c>
      <c r="D4438" s="532">
        <v>45748</v>
      </c>
      <c r="E4438" s="534">
        <v>92</v>
      </c>
      <c r="F4438" s="653">
        <v>8.0791412610609514E-2</v>
      </c>
      <c r="G4438" s="536" t="s">
        <v>256</v>
      </c>
      <c r="H4438" s="835">
        <v>131725.12925642845</v>
      </c>
      <c r="I4438" s="835">
        <v>1297.8699999999999</v>
      </c>
      <c r="J4438">
        <v>1399.2</v>
      </c>
      <c r="K4438">
        <v>3852.465963463213</v>
      </c>
      <c r="L4438" s="596">
        <v>5403957.0630530464</v>
      </c>
      <c r="M4438" s="591">
        <f t="shared" si="582"/>
        <v>27173.366946953349</v>
      </c>
      <c r="O4438" s="596"/>
    </row>
    <row r="4439" spans="1:15" ht="13.5" customHeight="1">
      <c r="A4439" s="532">
        <v>45660</v>
      </c>
      <c r="B4439" s="615">
        <v>200000</v>
      </c>
      <c r="C4439" s="615">
        <f>201479.45+14902.65</f>
        <v>216382.1</v>
      </c>
      <c r="D4439" s="532">
        <v>45750</v>
      </c>
      <c r="E4439" s="534">
        <v>90</v>
      </c>
      <c r="F4439" s="653">
        <v>7.6614266478616688E-2</v>
      </c>
      <c r="G4439" s="536" t="s">
        <v>256</v>
      </c>
      <c r="H4439" s="835">
        <v>5107.6177652411088</v>
      </c>
      <c r="I4439" s="835">
        <v>1303.8399999999999</v>
      </c>
      <c r="J4439">
        <v>1400.28</v>
      </c>
      <c r="K4439">
        <v>153.39305436249848</v>
      </c>
      <c r="L4439" s="596">
        <v>215322.85329572333</v>
      </c>
      <c r="M4439" s="591">
        <f t="shared" si="582"/>
        <v>1059.2467042766802</v>
      </c>
      <c r="O4439" s="596"/>
    </row>
    <row r="4440" spans="1:15" ht="13.5" customHeight="1">
      <c r="A4440" s="532">
        <v>45659</v>
      </c>
      <c r="B4440" s="615">
        <v>1000000</v>
      </c>
      <c r="C4440" s="615">
        <f>1000000+5363.07+75611.08</f>
        <v>1080974.1499999999</v>
      </c>
      <c r="D4440" s="532">
        <v>45750</v>
      </c>
      <c r="E4440" s="534">
        <v>91</v>
      </c>
      <c r="F4440" s="653">
        <v>7.5607788915773799E-2</v>
      </c>
      <c r="G4440" s="536" t="s">
        <v>260</v>
      </c>
      <c r="H4440" s="835">
        <v>24925.644697507865</v>
      </c>
      <c r="I4440" s="835">
        <v>1301.8499999999999</v>
      </c>
      <c r="J4440">
        <v>1400.28</v>
      </c>
      <c r="K4440">
        <v>768.13765026692784</v>
      </c>
      <c r="L4440" s="596">
        <v>1078289.4412114266</v>
      </c>
      <c r="M4440" s="591">
        <f t="shared" si="582"/>
        <v>2684.7087885732763</v>
      </c>
      <c r="O4440" s="596"/>
    </row>
    <row r="4441" spans="1:15" ht="13.5" customHeight="1">
      <c r="A4441" s="532">
        <v>45660</v>
      </c>
      <c r="B4441" s="615">
        <v>400000</v>
      </c>
      <c r="C4441" s="615">
        <v>429605.89</v>
      </c>
      <c r="D4441" s="532">
        <v>45750</v>
      </c>
      <c r="E4441" s="534">
        <v>90</v>
      </c>
      <c r="F4441" s="653">
        <v>7.6614266478616688E-2</v>
      </c>
      <c r="G4441" s="536" t="s">
        <v>258</v>
      </c>
      <c r="H4441" s="835">
        <v>10215.235530482218</v>
      </c>
      <c r="I4441" s="835">
        <v>1303.8399999999999</v>
      </c>
      <c r="J4441">
        <v>1400.28</v>
      </c>
      <c r="K4441">
        <v>306.78610872499695</v>
      </c>
      <c r="L4441" s="596">
        <v>430645.70659144665</v>
      </c>
      <c r="M4441" s="591">
        <f t="shared" si="582"/>
        <v>-1039.8165914466372</v>
      </c>
      <c r="O4441" s="596"/>
    </row>
    <row r="4442" spans="1:15" ht="13.5" customHeight="1">
      <c r="A4442" s="532">
        <v>45659</v>
      </c>
      <c r="B4442" s="615">
        <v>2000000</v>
      </c>
      <c r="C4442" s="615">
        <v>2151278.17</v>
      </c>
      <c r="D4442" s="532">
        <v>45750</v>
      </c>
      <c r="E4442" s="534">
        <v>91</v>
      </c>
      <c r="F4442" s="653">
        <v>7.5607788915773799E-2</v>
      </c>
      <c r="G4442" s="536" t="s">
        <v>258</v>
      </c>
      <c r="H4442" s="835">
        <v>49851.28939501573</v>
      </c>
      <c r="I4442" s="835">
        <v>1301.8499999999999</v>
      </c>
      <c r="J4442">
        <v>1400.28</v>
      </c>
      <c r="K4442">
        <v>1536.2753005338557</v>
      </c>
      <c r="L4442" s="596">
        <v>2156578.8824228533</v>
      </c>
      <c r="M4442" s="591">
        <f t="shared" si="582"/>
        <v>-5300.7124228533357</v>
      </c>
      <c r="O4442" s="596"/>
    </row>
    <row r="4443" spans="1:15" ht="13.5" customHeight="1">
      <c r="A4443" s="532">
        <v>45659</v>
      </c>
      <c r="B4443" s="615">
        <v>1800000</v>
      </c>
      <c r="C4443" s="615">
        <f>1813610.96+140104.35</f>
        <v>1953715.31</v>
      </c>
      <c r="D4443" s="532">
        <v>45751</v>
      </c>
      <c r="E4443" s="534">
        <v>92</v>
      </c>
      <c r="F4443" s="653">
        <v>7.9966867802984565E-2</v>
      </c>
      <c r="G4443" s="536" t="s">
        <v>256</v>
      </c>
      <c r="H4443" s="835">
        <v>46937.074580012653</v>
      </c>
      <c r="I4443" s="835">
        <v>1301.8499999999999</v>
      </c>
      <c r="J4443">
        <v>1402.42</v>
      </c>
      <c r="K4443">
        <v>1382.6477704804702</v>
      </c>
      <c r="L4443" s="596">
        <v>1943940.3620453719</v>
      </c>
      <c r="M4443" s="591">
        <f>+C4443-L4443</f>
        <v>9774.9479546281509</v>
      </c>
      <c r="O4443" s="596"/>
    </row>
    <row r="4444" spans="1:15" ht="13.5" customHeight="1">
      <c r="A4444" s="532">
        <v>45659</v>
      </c>
      <c r="B4444" s="615">
        <v>3000000</v>
      </c>
      <c r="C4444" s="615">
        <v>3226903.26</v>
      </c>
      <c r="D4444" s="532">
        <v>45750</v>
      </c>
      <c r="E4444" s="534">
        <v>91</v>
      </c>
      <c r="F4444" s="653">
        <v>7.5607788915773799E-2</v>
      </c>
      <c r="G4444" s="536" t="s">
        <v>262</v>
      </c>
      <c r="H4444" s="835">
        <v>74776.934092523588</v>
      </c>
      <c r="I4444" s="835">
        <v>1301.8499999999999</v>
      </c>
      <c r="J4444">
        <v>1400.28</v>
      </c>
      <c r="K4444">
        <v>2304.4129508007836</v>
      </c>
      <c r="L4444" s="596">
        <v>3234868.3236342804</v>
      </c>
      <c r="M4444" s="591">
        <f>+C4444-L4444</f>
        <v>-7965.063634280581</v>
      </c>
      <c r="O4444" s="596"/>
    </row>
    <row r="4445" spans="1:15" ht="13.5" customHeight="1">
      <c r="A4445" s="532">
        <v>45574</v>
      </c>
      <c r="B4445" s="615">
        <v>500000</v>
      </c>
      <c r="C4445" s="615">
        <v>588505.09911872866</v>
      </c>
      <c r="D4445" s="532">
        <v>45754</v>
      </c>
      <c r="E4445" s="534">
        <v>180</v>
      </c>
      <c r="F4445" s="653">
        <v>0.17701019823745723</v>
      </c>
      <c r="G4445" s="536" t="s">
        <v>266</v>
      </c>
      <c r="H4445" s="835">
        <v>14750.849853121443</v>
      </c>
      <c r="I4445" s="835">
        <v>1198.3</v>
      </c>
      <c r="J4445">
        <v>1403.49</v>
      </c>
      <c r="K4445">
        <v>417.25778185763164</v>
      </c>
      <c r="L4445" s="596">
        <v>588505.09911872866</v>
      </c>
      <c r="M4445" s="591">
        <f t="shared" ref="A4445:M4449" si="583">+C4445-L4445</f>
        <v>0</v>
      </c>
      <c r="O4445" s="596"/>
    </row>
    <row r="4446" spans="1:15" ht="13.5" customHeight="1">
      <c r="A4446" s="532">
        <v>45663</v>
      </c>
      <c r="B4446" s="615">
        <v>500000</v>
      </c>
      <c r="C4446" s="615">
        <f>503739.73+38084.3</f>
        <v>541824.03</v>
      </c>
      <c r="D4446" s="532">
        <v>45754</v>
      </c>
      <c r="E4446" s="534">
        <v>91</v>
      </c>
      <c r="F4446" s="653">
        <v>7.828477978510362E-2</v>
      </c>
      <c r="G4446" s="536" t="s">
        <v>265</v>
      </c>
      <c r="H4446" s="835">
        <v>12904.084579962137</v>
      </c>
      <c r="I4446" s="835">
        <v>1304.8399999999999</v>
      </c>
      <c r="J4446">
        <v>1403.49</v>
      </c>
      <c r="K4446">
        <v>383.18874344747252</v>
      </c>
      <c r="L4446" s="596">
        <v>539142.38989255182</v>
      </c>
      <c r="M4446" s="591">
        <f t="shared" si="583"/>
        <v>2681.6401074482128</v>
      </c>
      <c r="O4446" s="596"/>
    </row>
    <row r="4447" spans="1:15" ht="13.5" customHeight="1">
      <c r="A4447" s="532">
        <v>45721</v>
      </c>
      <c r="B4447" s="615">
        <v>515391</v>
      </c>
      <c r="C4447" s="615">
        <v>527040.24863013695</v>
      </c>
      <c r="D4447" s="532">
        <v>45754</v>
      </c>
      <c r="E4447" s="534">
        <v>33</v>
      </c>
      <c r="F4447" s="653">
        <v>0.25</v>
      </c>
      <c r="G4447" s="536" t="s">
        <v>259</v>
      </c>
      <c r="H4447" s="835">
        <v>10590.226027397228</v>
      </c>
      <c r="I4447" s="835">
        <v>1366.16</v>
      </c>
      <c r="J4447">
        <v>1403.49</v>
      </c>
      <c r="K4447">
        <v>377.25522632780934</v>
      </c>
      <c r="L4447" s="596">
        <v>527040.24863013695</v>
      </c>
      <c r="M4447" s="591">
        <f t="shared" si="583"/>
        <v>0</v>
      </c>
      <c r="O4447" s="596"/>
    </row>
    <row r="4448" spans="1:15" ht="13.5" customHeight="1">
      <c r="A4448" s="532">
        <v>45663</v>
      </c>
      <c r="B4448" s="615">
        <v>800000</v>
      </c>
      <c r="C4448" s="615">
        <f>805983.56+60934.89</f>
        <v>866918.45000000007</v>
      </c>
      <c r="D4448" s="532">
        <v>45754</v>
      </c>
      <c r="E4448" s="534">
        <v>91</v>
      </c>
      <c r="F4448" s="653">
        <v>7.828477978510362E-2</v>
      </c>
      <c r="G4448" s="536" t="s">
        <v>257</v>
      </c>
      <c r="H4448" s="835">
        <v>20646.535327939411</v>
      </c>
      <c r="I4448" s="835">
        <v>1304.8399999999999</v>
      </c>
      <c r="J4448">
        <v>1403.49</v>
      </c>
      <c r="K4448">
        <v>613.10198951595601</v>
      </c>
      <c r="L4448" s="596">
        <v>862627.82382808288</v>
      </c>
      <c r="M4448" s="591">
        <f t="shared" si="583"/>
        <v>4290.6261719171889</v>
      </c>
      <c r="O4448" s="596"/>
    </row>
    <row r="4449" spans="1:15" ht="13.5" customHeight="1">
      <c r="A4449" s="532">
        <v>45663</v>
      </c>
      <c r="B4449" s="615">
        <v>1000000</v>
      </c>
      <c r="C4449" s="615">
        <f>1000000+5361.33+75606.67</f>
        <v>1080968</v>
      </c>
      <c r="D4449" s="532">
        <v>45754</v>
      </c>
      <c r="E4449" s="534">
        <v>91</v>
      </c>
      <c r="F4449" s="653">
        <v>7.828477978510362E-2</v>
      </c>
      <c r="G4449" s="536" t="s">
        <v>260</v>
      </c>
      <c r="H4449" s="835">
        <v>25808.169159924273</v>
      </c>
      <c r="I4449" s="835">
        <v>1304.8399999999999</v>
      </c>
      <c r="J4449">
        <v>1403.49</v>
      </c>
      <c r="K4449">
        <v>766.37748689494504</v>
      </c>
      <c r="L4449" s="596">
        <v>1078284.7797851036</v>
      </c>
      <c r="M4449" s="591">
        <f t="shared" si="583"/>
        <v>2683.2202148963697</v>
      </c>
      <c r="O4449" s="596"/>
    </row>
    <row r="4450" spans="1:15" ht="13.5" customHeight="1">
      <c r="A4450" s="532">
        <v>45721</v>
      </c>
      <c r="B4450" s="615">
        <v>280000</v>
      </c>
      <c r="C4450" s="615">
        <v>287824.65753424657</v>
      </c>
      <c r="D4450" s="532">
        <v>45755</v>
      </c>
      <c r="E4450" s="534">
        <v>34</v>
      </c>
      <c r="F4450" s="653">
        <v>0.3</v>
      </c>
      <c r="G4450" s="536" t="s">
        <v>262</v>
      </c>
      <c r="H4450" s="835">
        <v>6904.109589041087</v>
      </c>
      <c r="I4450" s="835">
        <v>1366.16</v>
      </c>
      <c r="J4450">
        <v>1406.72</v>
      </c>
      <c r="K4450">
        <v>204.95403173859577</v>
      </c>
      <c r="L4450" s="596">
        <v>287824.65753424657</v>
      </c>
      <c r="M4450" s="591">
        <f t="shared" ref="A4450:M4452" si="584">+C4450-L4450</f>
        <v>0</v>
      </c>
      <c r="O4450" s="596"/>
    </row>
    <row r="4451" spans="1:15" ht="13.5" customHeight="1">
      <c r="A4451" s="532">
        <v>45665</v>
      </c>
      <c r="B4451" s="615">
        <v>315000</v>
      </c>
      <c r="C4451" s="615">
        <f>317330.14+23731.15</f>
        <v>341061.29000000004</v>
      </c>
      <c r="D4451" s="532">
        <v>45755</v>
      </c>
      <c r="E4451" s="534">
        <v>90</v>
      </c>
      <c r="F4451" s="653">
        <v>7.7433929783269573E-2</v>
      </c>
      <c r="G4451" s="536" t="s">
        <v>257</v>
      </c>
      <c r="H4451" s="835">
        <v>8130.5626272433055</v>
      </c>
      <c r="I4451" s="835">
        <v>1308.8399999999999</v>
      </c>
      <c r="J4451">
        <v>1406.72</v>
      </c>
      <c r="K4451">
        <v>240.671128632988</v>
      </c>
      <c r="L4451" s="596">
        <v>339391.68788172986</v>
      </c>
      <c r="M4451" s="591">
        <f t="shared" si="584"/>
        <v>1669.6021182701807</v>
      </c>
      <c r="O4451" s="596"/>
    </row>
    <row r="4452" spans="1:15" ht="13.5" customHeight="1">
      <c r="A4452" s="532">
        <v>45721</v>
      </c>
      <c r="B4452" s="615">
        <v>479000</v>
      </c>
      <c r="C4452" s="615">
        <v>490154.79452054796</v>
      </c>
      <c r="D4452" s="532">
        <v>45755</v>
      </c>
      <c r="E4452" s="534">
        <v>34</v>
      </c>
      <c r="F4452" s="653">
        <v>0.25</v>
      </c>
      <c r="G4452" s="536" t="s">
        <v>261</v>
      </c>
      <c r="H4452" s="835">
        <v>9842.4657534246726</v>
      </c>
      <c r="I4452" s="835">
        <v>1366.16</v>
      </c>
      <c r="J4452">
        <v>1406.72</v>
      </c>
      <c r="K4452">
        <v>350.61779000995489</v>
      </c>
      <c r="L4452" s="596">
        <v>490154.79452054796</v>
      </c>
      <c r="M4452" s="591">
        <f t="shared" si="584"/>
        <v>0</v>
      </c>
      <c r="O4452" s="596"/>
    </row>
    <row r="4453" spans="1:15" ht="13.5" customHeight="1">
      <c r="A4453" s="532">
        <v>45721</v>
      </c>
      <c r="B4453" s="615">
        <v>285000</v>
      </c>
      <c r="C4453" s="615">
        <v>291832.19178082194</v>
      </c>
      <c r="D4453" s="532">
        <v>45756</v>
      </c>
      <c r="E4453" s="534">
        <v>35</v>
      </c>
      <c r="F4453" s="653">
        <v>0.25</v>
      </c>
      <c r="G4453" s="536" t="s">
        <v>264</v>
      </c>
      <c r="H4453" s="835">
        <v>5856.1643835616669</v>
      </c>
      <c r="I4453" s="835">
        <v>1366.16</v>
      </c>
      <c r="J4453">
        <v>1407.79</v>
      </c>
      <c r="K4453">
        <v>208.61392516249924</v>
      </c>
      <c r="L4453" s="596">
        <v>291832.19178082194</v>
      </c>
      <c r="M4453" s="591">
        <v>0</v>
      </c>
      <c r="O4453" s="596"/>
    </row>
    <row r="4454" spans="1:15" ht="13.5" customHeight="1">
      <c r="A4454" s="532">
        <v>45722</v>
      </c>
      <c r="B4454" s="615">
        <v>300000</v>
      </c>
      <c r="C4454" s="615">
        <v>308383.56164383562</v>
      </c>
      <c r="D4454" s="532">
        <v>45756</v>
      </c>
      <c r="E4454" s="534">
        <v>34</v>
      </c>
      <c r="F4454" s="653">
        <v>0.3</v>
      </c>
      <c r="G4454" s="536" t="s">
        <v>258</v>
      </c>
      <c r="H4454" s="835">
        <v>7397.260273972608</v>
      </c>
      <c r="I4454" s="835">
        <v>1371.48</v>
      </c>
      <c r="J4454">
        <v>1407.79</v>
      </c>
      <c r="K4454">
        <v>218.74179718260564</v>
      </c>
      <c r="L4454" s="596">
        <v>308383.56164383562</v>
      </c>
      <c r="M4454" s="591">
        <v>0</v>
      </c>
      <c r="O4454" s="596"/>
    </row>
    <row r="4455" spans="1:15" ht="13.5" customHeight="1">
      <c r="A4455" s="532">
        <v>45722</v>
      </c>
      <c r="B4455" s="615">
        <v>400000</v>
      </c>
      <c r="C4455" s="615">
        <v>411178.08219178079</v>
      </c>
      <c r="D4455" s="532">
        <v>45756</v>
      </c>
      <c r="E4455" s="534">
        <v>34</v>
      </c>
      <c r="F4455" s="653">
        <v>0.3</v>
      </c>
      <c r="G4455" s="536" t="s">
        <v>262</v>
      </c>
      <c r="H4455" s="835">
        <v>9863.0136986301113</v>
      </c>
      <c r="I4455" s="835">
        <v>1371.48</v>
      </c>
      <c r="J4455">
        <v>1407.79</v>
      </c>
      <c r="K4455">
        <v>291.65572957680752</v>
      </c>
      <c r="L4455" s="596">
        <v>411178.08219178079</v>
      </c>
      <c r="M4455" s="591">
        <v>0</v>
      </c>
      <c r="O4455" s="596"/>
    </row>
    <row r="4456" spans="1:15" ht="13.5" customHeight="1">
      <c r="A4456" s="532">
        <v>45723</v>
      </c>
      <c r="B4456" s="615">
        <v>200000</v>
      </c>
      <c r="C4456" s="615">
        <v>205589.0410958904</v>
      </c>
      <c r="D4456" s="532">
        <v>45757</v>
      </c>
      <c r="E4456" s="534">
        <v>34</v>
      </c>
      <c r="F4456" s="653">
        <v>0.3</v>
      </c>
      <c r="G4456" s="536" t="s">
        <v>258</v>
      </c>
      <c r="H4456" s="835">
        <v>4931.5068493150557</v>
      </c>
      <c r="I4456" s="835">
        <v>1372.55</v>
      </c>
      <c r="J4456">
        <v>1408.87</v>
      </c>
      <c r="K4456">
        <v>145.71418163272742</v>
      </c>
      <c r="L4456" s="596">
        <v>205589.0410958904</v>
      </c>
      <c r="M4456" s="591">
        <v>0</v>
      </c>
      <c r="O4456" s="596"/>
    </row>
    <row r="4457" spans="1:15" ht="13.5" customHeight="1">
      <c r="A4457" s="532">
        <v>45723</v>
      </c>
      <c r="B4457" s="615">
        <v>200000</v>
      </c>
      <c r="C4457" s="615">
        <v>205589.0410958904</v>
      </c>
      <c r="D4457" s="532">
        <v>45757</v>
      </c>
      <c r="E4457" s="534">
        <v>34</v>
      </c>
      <c r="F4457" s="653">
        <v>0.3</v>
      </c>
      <c r="G4457" s="536" t="s">
        <v>262</v>
      </c>
      <c r="H4457" s="835">
        <v>4931.5068493150557</v>
      </c>
      <c r="I4457" s="835">
        <v>1372.55</v>
      </c>
      <c r="J4457">
        <v>1408.87</v>
      </c>
      <c r="K4457">
        <v>145.71418163272742</v>
      </c>
      <c r="L4457" s="596">
        <v>205589.0410958904</v>
      </c>
      <c r="M4457" s="591">
        <v>0</v>
      </c>
      <c r="O4457" s="596"/>
    </row>
    <row r="4458" spans="1:15" ht="13.5" customHeight="1">
      <c r="A4458" s="532">
        <v>45726</v>
      </c>
      <c r="B4458" s="615">
        <v>188000</v>
      </c>
      <c r="C4458" s="615">
        <v>191991.78082191781</v>
      </c>
      <c r="D4458" s="532">
        <v>45757</v>
      </c>
      <c r="E4458" s="534">
        <v>31</v>
      </c>
      <c r="F4458" s="653">
        <v>0.25</v>
      </c>
      <c r="G4458" s="536" t="s">
        <v>261</v>
      </c>
      <c r="H4458" s="835">
        <v>3863.0136986301395</v>
      </c>
      <c r="I4458" s="835">
        <v>1373.61</v>
      </c>
      <c r="J4458">
        <v>1408.87</v>
      </c>
      <c r="K4458">
        <v>136.86563143832674</v>
      </c>
      <c r="L4458" s="596">
        <v>191991.78082191781</v>
      </c>
      <c r="M4458" s="591">
        <v>0</v>
      </c>
      <c r="O4458" s="596"/>
    </row>
    <row r="4459" spans="1:15" ht="13.5" customHeight="1">
      <c r="A4459" s="532">
        <v>45727</v>
      </c>
      <c r="B4459" s="615">
        <v>400000</v>
      </c>
      <c r="C4459" s="615">
        <v>410191.78082191781</v>
      </c>
      <c r="D4459" s="532">
        <v>45758</v>
      </c>
      <c r="E4459" s="534">
        <v>31</v>
      </c>
      <c r="F4459" s="653">
        <v>0.3</v>
      </c>
      <c r="G4459" s="536" t="s">
        <v>258</v>
      </c>
      <c r="H4459" s="835">
        <v>9863.0136986301404</v>
      </c>
      <c r="I4459" s="835">
        <v>1376.82</v>
      </c>
      <c r="J4459">
        <v>1409.95</v>
      </c>
      <c r="K4459">
        <v>290.52454206069058</v>
      </c>
      <c r="L4459" s="596">
        <v>410191.78082191781</v>
      </c>
      <c r="M4459" s="591">
        <v>0</v>
      </c>
      <c r="O4459" s="596"/>
    </row>
    <row r="4460" spans="1:15" ht="13.5" customHeight="1">
      <c r="A4460" s="532">
        <v>45728</v>
      </c>
      <c r="B4460" s="615">
        <v>300000</v>
      </c>
      <c r="C4460" s="615">
        <v>307397.26027397258</v>
      </c>
      <c r="D4460" s="532">
        <v>45758</v>
      </c>
      <c r="E4460" s="534">
        <v>30</v>
      </c>
      <c r="F4460" s="653">
        <v>0.3</v>
      </c>
      <c r="G4460" s="536" t="s">
        <v>258</v>
      </c>
      <c r="H4460" s="835">
        <v>7846.2096909549591</v>
      </c>
      <c r="I4460" s="835">
        <v>1073.55</v>
      </c>
      <c r="J4460">
        <v>1322.4625218652798</v>
      </c>
      <c r="K4460">
        <v>186.29779702855015</v>
      </c>
      <c r="L4460" s="596">
        <v>247600.33879179342</v>
      </c>
      <c r="M4460" s="591">
        <v>59796.921482179168</v>
      </c>
      <c r="O4460" s="596"/>
    </row>
    <row r="4461" spans="1:15" ht="13.5" customHeight="1">
      <c r="A4461" s="532">
        <v>45728</v>
      </c>
      <c r="B4461" s="615">
        <v>600000</v>
      </c>
      <c r="C4461" s="615">
        <v>614794.52054794517</v>
      </c>
      <c r="D4461" s="532">
        <v>45758</v>
      </c>
      <c r="E4461" s="534">
        <v>30</v>
      </c>
      <c r="F4461" s="653">
        <v>0.3</v>
      </c>
      <c r="G4461" s="536" t="s">
        <v>258</v>
      </c>
      <c r="H4461" s="835">
        <v>14794.520547945169</v>
      </c>
      <c r="I4461" s="835">
        <v>1377.89</v>
      </c>
      <c r="J4461">
        <v>1409.95</v>
      </c>
      <c r="K4461">
        <v>435.44840299298198</v>
      </c>
      <c r="L4461" s="596">
        <v>614794.52054794517</v>
      </c>
      <c r="M4461" s="591">
        <v>0</v>
      </c>
      <c r="O4461" s="596"/>
    </row>
    <row r="4462" spans="1:15" ht="13.5" customHeight="1">
      <c r="A4462" s="532">
        <v>45670</v>
      </c>
      <c r="B4462" s="615">
        <v>400000</v>
      </c>
      <c r="C4462" s="615">
        <f>402991.78+30467.45</f>
        <v>433459.23000000004</v>
      </c>
      <c r="D4462" s="532">
        <v>45761</v>
      </c>
      <c r="E4462" s="534">
        <v>91</v>
      </c>
      <c r="F4462" s="653">
        <v>7.8284796593329098E-2</v>
      </c>
      <c r="G4462" s="536" t="s">
        <v>265</v>
      </c>
      <c r="H4462" s="835">
        <v>10323.269880438998</v>
      </c>
      <c r="I4462" s="835">
        <v>1311.85</v>
      </c>
      <c r="J4462">
        <v>1411.03</v>
      </c>
      <c r="K4462">
        <v>304.9129092502954</v>
      </c>
      <c r="L4462" s="596">
        <v>431313.91863733169</v>
      </c>
      <c r="M4462" s="591">
        <f t="shared" ref="A4462:M4469" si="585">+C4462-L4462</f>
        <v>2145.311362668348</v>
      </c>
      <c r="O4462" s="596"/>
    </row>
    <row r="4463" spans="1:15" ht="13.5" customHeight="1">
      <c r="A4463" s="532">
        <v>45670</v>
      </c>
      <c r="B4463" s="615">
        <v>500000</v>
      </c>
      <c r="C4463" s="615">
        <f>500000+2680.96+37799.97</f>
        <v>540480.93000000005</v>
      </c>
      <c r="D4463" s="532">
        <v>45761</v>
      </c>
      <c r="E4463" s="534">
        <v>91</v>
      </c>
      <c r="F4463" s="653">
        <v>7.8284796593329098E-2</v>
      </c>
      <c r="G4463" s="536" t="s">
        <v>260</v>
      </c>
      <c r="H4463" s="835">
        <v>12904.087350548763</v>
      </c>
      <c r="I4463" s="835">
        <v>1311.85</v>
      </c>
      <c r="J4463">
        <v>1411.03</v>
      </c>
      <c r="K4463">
        <v>381.14113656286924</v>
      </c>
      <c r="L4463" s="596">
        <v>539142.39829666459</v>
      </c>
      <c r="M4463" s="591">
        <f t="shared" si="585"/>
        <v>1338.5317033354659</v>
      </c>
      <c r="O4463" s="596"/>
    </row>
    <row r="4464" spans="1:15" ht="13.5" customHeight="1">
      <c r="A4464" s="532">
        <v>45670</v>
      </c>
      <c r="B4464" s="615">
        <v>500000</v>
      </c>
      <c r="C4464" s="615">
        <f>500000+2680.96+37799.97</f>
        <v>540480.93000000005</v>
      </c>
      <c r="D4464" s="532">
        <v>45761</v>
      </c>
      <c r="E4464" s="534">
        <v>91</v>
      </c>
      <c r="F4464" s="653">
        <v>7.8284796593329098E-2</v>
      </c>
      <c r="G4464" s="536" t="s">
        <v>260</v>
      </c>
      <c r="H4464" s="835">
        <v>12904.087350548763</v>
      </c>
      <c r="I4464" s="835">
        <v>1311.85</v>
      </c>
      <c r="J4464">
        <v>1411.03</v>
      </c>
      <c r="K4464">
        <v>381.14113656286924</v>
      </c>
      <c r="L4464" s="596">
        <v>539142.39829666459</v>
      </c>
      <c r="M4464" s="591">
        <f t="shared" si="585"/>
        <v>1338.5317033354659</v>
      </c>
      <c r="O4464" s="596"/>
    </row>
    <row r="4465" spans="1:39" ht="13.5" customHeight="1">
      <c r="A4465" s="532">
        <v>45670</v>
      </c>
      <c r="B4465" s="615">
        <v>1000000</v>
      </c>
      <c r="C4465" s="615">
        <f>1007479.45+76168.62</f>
        <v>1083648.0699999998</v>
      </c>
      <c r="D4465" s="532">
        <v>45761</v>
      </c>
      <c r="E4465" s="534">
        <v>91</v>
      </c>
      <c r="F4465" s="653">
        <v>7.8284796593329098E-2</v>
      </c>
      <c r="G4465" s="536" t="s">
        <v>257</v>
      </c>
      <c r="H4465" s="835">
        <v>25808.174701097527</v>
      </c>
      <c r="I4465" s="835">
        <v>1311.85</v>
      </c>
      <c r="J4465">
        <v>1411.03</v>
      </c>
      <c r="K4465">
        <v>762.28227312573847</v>
      </c>
      <c r="L4465" s="596">
        <v>1078284.7965933292</v>
      </c>
      <c r="M4465" s="591">
        <f t="shared" si="585"/>
        <v>5363.2734066706616</v>
      </c>
      <c r="O4465" s="596"/>
    </row>
    <row r="4466" spans="1:39" ht="13.5" customHeight="1">
      <c r="A4466" s="532">
        <v>45729</v>
      </c>
      <c r="B4466" s="615">
        <v>300000</v>
      </c>
      <c r="C4466" s="615">
        <v>307323.28767123289</v>
      </c>
      <c r="D4466" s="532">
        <v>45762</v>
      </c>
      <c r="E4466" s="534">
        <v>33</v>
      </c>
      <c r="F4466" s="653">
        <v>0.27</v>
      </c>
      <c r="G4466" s="536" t="s">
        <v>256</v>
      </c>
      <c r="H4466" s="835">
        <v>6657.534246575352</v>
      </c>
      <c r="I4466" s="835">
        <v>1378.96</v>
      </c>
      <c r="J4466">
        <v>1414.27</v>
      </c>
      <c r="K4466">
        <v>217.55525903579507</v>
      </c>
      <c r="L4466" s="596">
        <v>307323.28767123289</v>
      </c>
      <c r="M4466" s="591">
        <f t="shared" si="585"/>
        <v>0</v>
      </c>
      <c r="O4466" s="596"/>
    </row>
    <row r="4467" spans="1:39" ht="13.5" customHeight="1">
      <c r="A4467" s="532">
        <v>45729</v>
      </c>
      <c r="B4467" s="615">
        <v>300000</v>
      </c>
      <c r="C4467" s="615">
        <v>307323.28767123289</v>
      </c>
      <c r="D4467" s="532">
        <v>45762</v>
      </c>
      <c r="E4467" s="534">
        <v>33</v>
      </c>
      <c r="F4467" s="653">
        <v>0.27</v>
      </c>
      <c r="G4467" s="536" t="s">
        <v>256</v>
      </c>
      <c r="H4467" s="835">
        <v>6657.534246575352</v>
      </c>
      <c r="I4467" s="835">
        <v>1378.96</v>
      </c>
      <c r="J4467">
        <v>1414.27</v>
      </c>
      <c r="K4467">
        <v>217.55525903579507</v>
      </c>
      <c r="L4467" s="596">
        <v>307323.28767123289</v>
      </c>
      <c r="M4467" s="591">
        <f t="shared" si="585"/>
        <v>0</v>
      </c>
      <c r="O4467" s="596"/>
    </row>
    <row r="4468" spans="1:39" ht="13.5" customHeight="1">
      <c r="A4468" s="532">
        <v>45729</v>
      </c>
      <c r="B4468" s="615">
        <v>580000</v>
      </c>
      <c r="C4468" s="615">
        <v>595731.50684931502</v>
      </c>
      <c r="D4468" s="532">
        <v>45762</v>
      </c>
      <c r="E4468" s="534">
        <v>33</v>
      </c>
      <c r="F4468" s="653">
        <v>0.3</v>
      </c>
      <c r="G4468" s="536" t="s">
        <v>258</v>
      </c>
      <c r="H4468" s="835">
        <v>7846.2096909549591</v>
      </c>
      <c r="I4468" s="835">
        <v>1073.55</v>
      </c>
      <c r="J4468">
        <v>1322.4625218652798</v>
      </c>
      <c r="K4468">
        <v>540.26361138279537</v>
      </c>
      <c r="L4468" s="596">
        <v>595731.50684931502</v>
      </c>
      <c r="M4468" s="591">
        <f t="shared" si="585"/>
        <v>0</v>
      </c>
      <c r="O4468" s="596"/>
    </row>
    <row r="4469" spans="1:39" ht="13.5" customHeight="1">
      <c r="A4469" s="532">
        <v>45730</v>
      </c>
      <c r="B4469" s="615">
        <v>329000</v>
      </c>
      <c r="C4469" s="615">
        <v>336436.30136986304</v>
      </c>
      <c r="D4469" s="532">
        <v>45763</v>
      </c>
      <c r="E4469" s="534">
        <v>33</v>
      </c>
      <c r="F4469" s="653">
        <v>0.25</v>
      </c>
      <c r="G4469" s="536" t="s">
        <v>257</v>
      </c>
      <c r="H4469" s="835">
        <v>6760.2739726027621</v>
      </c>
      <c r="I4469" s="835">
        <v>1380.03</v>
      </c>
      <c r="J4469">
        <v>1415.35</v>
      </c>
      <c r="K4469">
        <v>238.40061447939539</v>
      </c>
      <c r="L4469" s="596">
        <v>336436.30136986304</v>
      </c>
      <c r="M4469" s="591">
        <f t="shared" si="585"/>
        <v>0</v>
      </c>
      <c r="O4469" s="596"/>
    </row>
    <row r="4470" spans="1:39" ht="13.5" customHeight="1">
      <c r="A4470" s="532">
        <v>45733</v>
      </c>
      <c r="B4470" s="615">
        <v>500000</v>
      </c>
      <c r="C4470" s="615">
        <v>511095.89041095891</v>
      </c>
      <c r="D4470" s="532">
        <v>45763</v>
      </c>
      <c r="E4470" s="534">
        <v>30</v>
      </c>
      <c r="F4470" s="653">
        <v>0.27</v>
      </c>
      <c r="G4470" s="536" t="s">
        <v>256</v>
      </c>
      <c r="H4470" s="835">
        <v>7846.2096909549591</v>
      </c>
      <c r="I4470" s="835">
        <v>1073.55</v>
      </c>
      <c r="J4470">
        <v>1322.4625218652798</v>
      </c>
      <c r="K4470">
        <v>186.29779702855015</v>
      </c>
      <c r="L4470" s="596">
        <v>247600.33879179342</v>
      </c>
      <c r="M4470" s="591">
        <v>0</v>
      </c>
      <c r="O4470" s="596"/>
    </row>
    <row r="4471" spans="1:39" ht="13.5" customHeight="1">
      <c r="A4471" s="532">
        <v>45677</v>
      </c>
      <c r="B4471" s="615">
        <v>200000</v>
      </c>
      <c r="C4471" s="615">
        <f>201495.89+14958.6</f>
        <v>216454.49000000002</v>
      </c>
      <c r="D4471" s="532">
        <v>45768</v>
      </c>
      <c r="E4471" s="534">
        <v>91</v>
      </c>
      <c r="F4471" s="653">
        <v>7.6915997575007777E-2</v>
      </c>
      <c r="G4471" s="536" t="s">
        <v>256</v>
      </c>
      <c r="H4471" s="835">
        <v>5071.3844554950192</v>
      </c>
      <c r="I4471" s="835">
        <v>1319.14</v>
      </c>
      <c r="J4471">
        <v>1417.07</v>
      </c>
      <c r="K4471">
        <v>151.61393028791485</v>
      </c>
      <c r="L4471" s="596">
        <v>215383.19951500159</v>
      </c>
      <c r="M4471" s="591">
        <f t="shared" ref="A4471:M4484" si="586">+C4471-L4471</f>
        <v>1071.2904849984334</v>
      </c>
      <c r="O4471" s="596"/>
    </row>
    <row r="4472" spans="1:39" ht="13.5" customHeight="1">
      <c r="A4472" s="532">
        <v>45677</v>
      </c>
      <c r="B4472" s="615">
        <v>900000</v>
      </c>
      <c r="C4472" s="615">
        <f>906731.51+67313.71</f>
        <v>974045.22</v>
      </c>
      <c r="D4472" s="532">
        <v>45768</v>
      </c>
      <c r="E4472" s="534">
        <v>91</v>
      </c>
      <c r="F4472" s="653">
        <v>7.6915997575007777E-2</v>
      </c>
      <c r="G4472" s="536" t="s">
        <v>257</v>
      </c>
      <c r="H4472" s="835">
        <v>22821.230049727594</v>
      </c>
      <c r="I4472" s="835">
        <v>1319.14</v>
      </c>
      <c r="J4472">
        <v>1417.07</v>
      </c>
      <c r="K4472">
        <v>682.26268629561685</v>
      </c>
      <c r="L4472" s="596">
        <v>969224.39781750704</v>
      </c>
      <c r="M4472" s="591">
        <f t="shared" si="586"/>
        <v>4820.8221824929351</v>
      </c>
      <c r="O4472" s="596"/>
    </row>
    <row r="4473" spans="1:39" ht="13.5" customHeight="1">
      <c r="A4473" s="532">
        <v>45734</v>
      </c>
      <c r="B4473" s="615">
        <v>341000</v>
      </c>
      <c r="C4473" s="615">
        <v>348941.1</v>
      </c>
      <c r="D4473" s="532">
        <v>45768</v>
      </c>
      <c r="E4473" s="534">
        <v>34</v>
      </c>
      <c r="F4473" s="653">
        <v>0.25</v>
      </c>
      <c r="G4473" s="536" t="s">
        <v>261</v>
      </c>
      <c r="H4473" s="835">
        <v>7006.849315068479</v>
      </c>
      <c r="I4473" s="835">
        <v>1384.3</v>
      </c>
      <c r="J4473">
        <v>1417.07</v>
      </c>
      <c r="K4473">
        <v>246.33388716318717</v>
      </c>
      <c r="L4473" s="596">
        <v>348941.09589041094</v>
      </c>
      <c r="M4473" s="591">
        <f t="shared" si="586"/>
        <v>4.1095890337601304E-3</v>
      </c>
      <c r="O4473" s="596"/>
    </row>
    <row r="4474" spans="1:39" ht="13.5" customHeight="1">
      <c r="A4474" s="532">
        <v>45674</v>
      </c>
      <c r="B4474" s="615">
        <v>240000</v>
      </c>
      <c r="C4474" s="615">
        <f>240000+1332.05+18034.28</f>
        <v>259366.33</v>
      </c>
      <c r="D4474" s="532">
        <v>45768</v>
      </c>
      <c r="E4474" s="534">
        <v>94</v>
      </c>
      <c r="F4474" s="653">
        <v>7.7927664090519322E-2</v>
      </c>
      <c r="G4474" s="536" t="s">
        <v>260</v>
      </c>
      <c r="H4474" s="835">
        <v>5968.9274622525454</v>
      </c>
      <c r="I4474" s="835">
        <v>1318.01</v>
      </c>
      <c r="J4474">
        <v>1417.07</v>
      </c>
      <c r="K4474">
        <v>182.09270035887437</v>
      </c>
      <c r="L4474" s="596">
        <v>258702.63938172464</v>
      </c>
      <c r="M4474" s="591">
        <f t="shared" si="586"/>
        <v>663.6906182753446</v>
      </c>
      <c r="O4474" s="596"/>
    </row>
    <row r="4475" spans="1:39" ht="13.5" customHeight="1">
      <c r="A4475" s="532">
        <v>45677</v>
      </c>
      <c r="B4475" s="615">
        <v>500000</v>
      </c>
      <c r="C4475" s="615">
        <f>500000+2678.26+37112.04</f>
        <v>539790.30000000005</v>
      </c>
      <c r="D4475" s="532">
        <v>45768</v>
      </c>
      <c r="E4475" s="534">
        <v>91</v>
      </c>
      <c r="F4475" s="653">
        <v>7.6915997575007777E-2</v>
      </c>
      <c r="G4475" s="536" t="s">
        <v>260</v>
      </c>
      <c r="H4475" s="835">
        <v>12678.461138737557</v>
      </c>
      <c r="I4475" s="835">
        <v>1319.14</v>
      </c>
      <c r="J4475">
        <v>1417.07</v>
      </c>
      <c r="K4475">
        <v>379.03482571978708</v>
      </c>
      <c r="L4475" s="596">
        <v>538457.99878750381</v>
      </c>
      <c r="M4475" s="591">
        <f t="shared" si="586"/>
        <v>1332.3012124962406</v>
      </c>
      <c r="O4475" s="596"/>
    </row>
    <row r="4476" spans="1:39" ht="13.5" customHeight="1">
      <c r="A4476" s="532">
        <v>45734</v>
      </c>
      <c r="B4476" s="615">
        <v>350000</v>
      </c>
      <c r="C4476" s="615">
        <v>360068.49315068492</v>
      </c>
      <c r="D4476" s="532">
        <v>45769</v>
      </c>
      <c r="E4476" s="534">
        <v>35</v>
      </c>
      <c r="F4476" s="653">
        <v>0.3</v>
      </c>
      <c r="G4476" s="536" t="s">
        <v>258</v>
      </c>
      <c r="H4476" s="835">
        <v>7846.2096909549591</v>
      </c>
      <c r="I4476" s="835">
        <v>1073.55</v>
      </c>
      <c r="J4476">
        <v>1322.4625218652798</v>
      </c>
      <c r="K4476">
        <v>186.29779702855015</v>
      </c>
      <c r="L4476" s="596">
        <v>247600.33879179342</v>
      </c>
      <c r="M4476" s="591">
        <f t="shared" si="586"/>
        <v>112468.15435889151</v>
      </c>
      <c r="O4476" s="596"/>
    </row>
    <row r="4477" spans="1:39" ht="13.5" customHeight="1">
      <c r="A4477" s="532">
        <v>45741</v>
      </c>
      <c r="B4477" s="615">
        <v>117000</v>
      </c>
      <c r="C4477" s="615">
        <v>119596.43835616438</v>
      </c>
      <c r="D4477" s="532">
        <v>45771</v>
      </c>
      <c r="E4477" s="534">
        <v>30</v>
      </c>
      <c r="F4477" s="653">
        <v>0.27</v>
      </c>
      <c r="G4477" s="536" t="s">
        <v>257</v>
      </c>
      <c r="H4477" s="835">
        <v>2596.4383561643772</v>
      </c>
      <c r="I4477" s="835">
        <v>1388.54</v>
      </c>
      <c r="J4477">
        <v>1429.13</v>
      </c>
      <c r="K4477">
        <v>84.261166405000935</v>
      </c>
      <c r="L4477" s="596">
        <v>119596.43835616438</v>
      </c>
      <c r="M4477" s="591">
        <f t="shared" si="586"/>
        <v>0</v>
      </c>
      <c r="O4477" s="596"/>
    </row>
    <row r="4478" spans="1:39" ht="13.5" customHeight="1">
      <c r="A4478" s="532">
        <v>45741</v>
      </c>
      <c r="B4478" s="615">
        <v>210000</v>
      </c>
      <c r="C4478" s="615">
        <v>215221.23287671234</v>
      </c>
      <c r="D4478" s="532">
        <v>45771</v>
      </c>
      <c r="E4478" s="534">
        <v>30</v>
      </c>
      <c r="F4478" s="653">
        <v>0.30249999999999999</v>
      </c>
      <c r="G4478" s="536" t="s">
        <v>258</v>
      </c>
      <c r="H4478" s="835">
        <v>5221.2328767123399</v>
      </c>
      <c r="I4478" s="835">
        <v>1388.54</v>
      </c>
      <c r="J4478">
        <v>1429.13</v>
      </c>
      <c r="K4478">
        <v>151.23799098333501</v>
      </c>
      <c r="L4478" s="596">
        <v>215221.23287671234</v>
      </c>
      <c r="M4478" s="591">
        <f t="shared" si="586"/>
        <v>0</v>
      </c>
      <c r="O4478" s="596"/>
    </row>
    <row r="4479" spans="1:39" ht="13.5" customHeight="1">
      <c r="A4479" s="532">
        <v>45741</v>
      </c>
      <c r="B4479" s="615">
        <v>323000</v>
      </c>
      <c r="C4479" s="615">
        <v>330167.94520547945</v>
      </c>
      <c r="D4479" s="532">
        <v>45771</v>
      </c>
      <c r="E4479" s="534">
        <v>30</v>
      </c>
      <c r="F4479" s="653">
        <v>0.27</v>
      </c>
      <c r="G4479" s="536" t="s">
        <v>264</v>
      </c>
      <c r="H4479" s="835">
        <v>7167.9452054794529</v>
      </c>
      <c r="I4479" s="835">
        <v>1388.54</v>
      </c>
      <c r="J4479">
        <v>1429.13</v>
      </c>
      <c r="K4479">
        <v>232.61843375055815</v>
      </c>
      <c r="L4479" s="596">
        <v>330167.94520547945</v>
      </c>
      <c r="M4479" s="591">
        <f t="shared" si="586"/>
        <v>0</v>
      </c>
      <c r="O4479" s="596"/>
      <c r="AL4479" t="s">
        <v>836</v>
      </c>
      <c r="AM4479">
        <f>AM4478</f>
        <v>0</v>
      </c>
    </row>
    <row r="4480" spans="1:39" ht="13.5" customHeight="1">
      <c r="A4480" s="532">
        <v>45741</v>
      </c>
      <c r="B4480" s="615">
        <v>350000</v>
      </c>
      <c r="C4480" s="615">
        <v>358198.63013698632</v>
      </c>
      <c r="D4480" s="532">
        <v>45771</v>
      </c>
      <c r="E4480" s="534">
        <v>30</v>
      </c>
      <c r="F4480" s="653">
        <v>0.28499999999999998</v>
      </c>
      <c r="G4480" s="536" t="s">
        <v>256</v>
      </c>
      <c r="H4480" s="835">
        <v>8198.6301369863213</v>
      </c>
      <c r="I4480" s="835">
        <v>1388.54</v>
      </c>
      <c r="J4480">
        <v>1429.13</v>
      </c>
      <c r="K4480">
        <v>252.06331830555837</v>
      </c>
      <c r="L4480" s="596">
        <v>358198.63013698632</v>
      </c>
      <c r="M4480" s="591">
        <f t="shared" si="586"/>
        <v>0</v>
      </c>
      <c r="O4480" s="596"/>
    </row>
    <row r="4481" spans="1:15" ht="13.5" customHeight="1">
      <c r="A4481" s="532">
        <v>45741</v>
      </c>
      <c r="B4481" s="615">
        <v>462000</v>
      </c>
      <c r="C4481" s="615">
        <v>472252.60273972602</v>
      </c>
      <c r="D4481" s="532">
        <v>45771</v>
      </c>
      <c r="E4481" s="534">
        <v>30</v>
      </c>
      <c r="F4481" s="653">
        <v>0.27</v>
      </c>
      <c r="G4481" s="536" t="s">
        <v>266</v>
      </c>
      <c r="H4481" s="835">
        <v>10252.602739726019</v>
      </c>
      <c r="I4481" s="835">
        <v>1388.54</v>
      </c>
      <c r="J4481">
        <v>1429.13</v>
      </c>
      <c r="K4481">
        <v>332.72358016333703</v>
      </c>
      <c r="L4481" s="596">
        <v>472252.60273972602</v>
      </c>
      <c r="M4481" s="591">
        <f t="shared" si="586"/>
        <v>0</v>
      </c>
      <c r="O4481" s="596"/>
    </row>
    <row r="4482" spans="1:15" ht="13.5" customHeight="1">
      <c r="A4482" s="532">
        <v>45742</v>
      </c>
      <c r="B4482" s="615">
        <v>392000</v>
      </c>
      <c r="C4482" s="615">
        <v>400699.17808219179</v>
      </c>
      <c r="D4482" s="532">
        <v>45772</v>
      </c>
      <c r="E4482" s="534">
        <v>30</v>
      </c>
      <c r="F4482" s="653">
        <v>0.27</v>
      </c>
      <c r="G4482" s="536" t="s">
        <v>257</v>
      </c>
      <c r="H4482" s="835">
        <v>8699.1780821917928</v>
      </c>
      <c r="I4482" s="835">
        <v>1392.8</v>
      </c>
      <c r="J4482">
        <v>1430.87</v>
      </c>
      <c r="K4482">
        <v>281.44744399770246</v>
      </c>
      <c r="L4482" s="596">
        <v>400699.17808219179</v>
      </c>
      <c r="M4482" s="591">
        <f t="shared" si="586"/>
        <v>0</v>
      </c>
      <c r="O4482" s="596"/>
    </row>
    <row r="4483" spans="1:15" ht="13.5" customHeight="1">
      <c r="A4483" s="532">
        <v>45742</v>
      </c>
      <c r="B4483" s="615">
        <v>490000</v>
      </c>
      <c r="C4483" s="615">
        <v>501478.08219178079</v>
      </c>
      <c r="D4483" s="532">
        <v>45772</v>
      </c>
      <c r="E4483" s="534">
        <v>30</v>
      </c>
      <c r="F4483" s="653">
        <v>0.28499999999999998</v>
      </c>
      <c r="G4483" s="536" t="s">
        <v>256</v>
      </c>
      <c r="H4483" s="835">
        <v>11478.082191780792</v>
      </c>
      <c r="I4483" s="835">
        <v>1392.8</v>
      </c>
      <c r="J4483">
        <v>1430.87</v>
      </c>
      <c r="K4483">
        <v>351.80930499712809</v>
      </c>
      <c r="L4483" s="596">
        <v>501478.08219178079</v>
      </c>
      <c r="M4483" s="591">
        <f t="shared" si="586"/>
        <v>0</v>
      </c>
      <c r="O4483" s="596"/>
    </row>
    <row r="4484" spans="1:15" ht="13.5" customHeight="1">
      <c r="A4484" s="532">
        <v>45742</v>
      </c>
      <c r="B4484" s="615">
        <v>800000</v>
      </c>
      <c r="C4484" s="615">
        <v>819890.41095890407</v>
      </c>
      <c r="D4484" s="532">
        <v>45772</v>
      </c>
      <c r="E4484" s="534">
        <v>30</v>
      </c>
      <c r="F4484" s="653">
        <v>0.30249999999999999</v>
      </c>
      <c r="G4484" s="536" t="s">
        <v>258</v>
      </c>
      <c r="H4484" s="835">
        <v>19890.410958904075</v>
      </c>
      <c r="I4484" s="835">
        <v>1392.8</v>
      </c>
      <c r="J4484">
        <v>1430.87</v>
      </c>
      <c r="K4484">
        <v>574.38253877082138</v>
      </c>
      <c r="L4484" s="596">
        <v>819890.41095890407</v>
      </c>
      <c r="M4484" s="591">
        <f t="shared" si="586"/>
        <v>0</v>
      </c>
      <c r="O4484" s="596"/>
    </row>
    <row r="4485" spans="1:15" ht="13.5" customHeight="1">
      <c r="A4485" s="532">
        <v>45684</v>
      </c>
      <c r="B4485" s="615">
        <v>1300000</v>
      </c>
      <c r="C4485" s="615">
        <f>1309723.29+104118.61</f>
        <v>1413841.9000000001</v>
      </c>
      <c r="D4485" s="532">
        <v>45775</v>
      </c>
      <c r="E4485" s="534">
        <v>91</v>
      </c>
      <c r="F4485" s="653">
        <v>8.2187994628311944E-2</v>
      </c>
      <c r="G4485" s="536" t="s">
        <v>257</v>
      </c>
      <c r="H4485" s="835">
        <v>35223.426269276584</v>
      </c>
      <c r="I4485" s="835">
        <v>1327.1</v>
      </c>
      <c r="J4485">
        <v>1432.6</v>
      </c>
      <c r="K4485">
        <v>979.57953432295994</v>
      </c>
      <c r="L4485" s="596">
        <v>1406844.3930168059</v>
      </c>
      <c r="M4485" s="591">
        <f t="shared" ref="A4485:M4485" si="587">+C4485-L4485</f>
        <v>6997.5069831942674</v>
      </c>
      <c r="O4485" s="596"/>
    </row>
    <row r="4486" spans="1:15" ht="13.5" customHeight="1">
      <c r="A4486" s="532">
        <v>45679</v>
      </c>
      <c r="B4486" s="615">
        <v>750000</v>
      </c>
      <c r="C4486" s="615">
        <v>808779.12</v>
      </c>
      <c r="D4486" s="532">
        <v>45770</v>
      </c>
      <c r="E4486" s="534">
        <v>91</v>
      </c>
      <c r="F4486" s="653">
        <v>8.1045814160273899E-2</v>
      </c>
      <c r="G4486" s="536" t="s">
        <v>262</v>
      </c>
      <c r="H4486" s="835">
        <v>20038.800204463321</v>
      </c>
      <c r="I4486" s="835">
        <v>1323.68</v>
      </c>
      <c r="J4486">
        <v>1427.4</v>
      </c>
      <c r="K4486">
        <v>566.60219992747489</v>
      </c>
      <c r="L4486" s="596">
        <v>810784.36062020529</v>
      </c>
      <c r="M4486" s="591">
        <f t="shared" ref="A4486:M4486" si="588">+C4486-L4486</f>
        <v>-2005.2406202052953</v>
      </c>
      <c r="O4486" s="596"/>
    </row>
    <row r="4487" spans="1:15" ht="13.5" customHeight="1">
      <c r="A4487" s="532">
        <v>45684</v>
      </c>
      <c r="B4487" s="615">
        <v>1000000</v>
      </c>
      <c r="C4487" s="615">
        <v>1083447.3500000001</v>
      </c>
      <c r="D4487" s="532">
        <v>45776</v>
      </c>
      <c r="E4487" s="534">
        <v>92</v>
      </c>
      <c r="F4487" s="653">
        <v>8.6153318545020063E-2</v>
      </c>
      <c r="G4487" s="536" t="s">
        <v>258</v>
      </c>
      <c r="H4487" s="835">
        <v>28093.473438593464</v>
      </c>
      <c r="I4487" s="835">
        <v>1327.1</v>
      </c>
      <c r="J4487">
        <v>1437.81</v>
      </c>
      <c r="K4487">
        <v>753.52271870996913</v>
      </c>
      <c r="L4487" s="596">
        <v>1086153.31854502</v>
      </c>
      <c r="M4487" s="591">
        <f t="shared" ref="A4487:M4487" si="589">+C4487-L4487</f>
        <v>-2705.9685450198594</v>
      </c>
      <c r="O4487" s="596"/>
    </row>
    <row r="4488" spans="1:15" ht="13.5" customHeight="1">
      <c r="A4488" s="532">
        <v>45686</v>
      </c>
      <c r="B4488" s="615">
        <v>350000</v>
      </c>
      <c r="C4488" s="615">
        <v>377913.98</v>
      </c>
      <c r="D4488" s="532">
        <v>45776</v>
      </c>
      <c r="E4488" s="534">
        <v>90</v>
      </c>
      <c r="F4488" s="653">
        <v>8.2366716177060928E-2</v>
      </c>
      <c r="G4488" s="536" t="s">
        <v>262</v>
      </c>
      <c r="H4488" s="835">
        <v>9609.4502206571051</v>
      </c>
      <c r="I4488" s="835">
        <v>1331.67</v>
      </c>
      <c r="J4488">
        <v>1437.81</v>
      </c>
      <c r="K4488">
        <v>262.82787777752748</v>
      </c>
      <c r="L4488" s="596">
        <v>378828.35066197137</v>
      </c>
      <c r="M4488" s="591">
        <f>+C4488-L4488</f>
        <v>-914.37066197139211</v>
      </c>
      <c r="O4488" s="596"/>
    </row>
    <row r="4489" spans="1:15" ht="13.5" customHeight="1">
      <c r="A4489" s="532">
        <v>45747</v>
      </c>
      <c r="B4489" s="615">
        <v>119000</v>
      </c>
      <c r="C4489" s="615">
        <v>121787.53424657535</v>
      </c>
      <c r="D4489" s="532">
        <v>45777</v>
      </c>
      <c r="E4489" s="534">
        <v>30</v>
      </c>
      <c r="F4489" s="653">
        <v>0.28499999999999998</v>
      </c>
      <c r="G4489" s="536" t="s">
        <v>264</v>
      </c>
      <c r="H4489" s="835">
        <v>2787.5342465753492</v>
      </c>
      <c r="I4489" s="835">
        <v>1396</v>
      </c>
      <c r="J4489">
        <v>1439.56</v>
      </c>
      <c r="K4489">
        <v>85.243553008595995</v>
      </c>
      <c r="L4489" s="596">
        <v>121787.53424657535</v>
      </c>
      <c r="M4489" s="591">
        <f>+C4489-L4489</f>
        <v>0</v>
      </c>
      <c r="O4489" s="596"/>
    </row>
    <row r="4490" spans="1:15" ht="13.5" customHeight="1">
      <c r="A4490" s="532">
        <v>45747</v>
      </c>
      <c r="B4490" s="615">
        <v>400000</v>
      </c>
      <c r="C4490" s="615">
        <v>410027.39726027398</v>
      </c>
      <c r="D4490" s="532">
        <v>45777</v>
      </c>
      <c r="E4490" s="534">
        <v>30</v>
      </c>
      <c r="F4490" s="653">
        <v>0.30499999999999999</v>
      </c>
      <c r="G4490" s="536" t="s">
        <v>262</v>
      </c>
      <c r="H4490" s="835">
        <v>10027.397260273981</v>
      </c>
      <c r="I4490" s="835">
        <v>1396</v>
      </c>
      <c r="J4490">
        <v>1439.56</v>
      </c>
      <c r="K4490">
        <v>286.53295128939828</v>
      </c>
      <c r="L4490" s="596">
        <v>410027.39726027398</v>
      </c>
      <c r="M4490" s="591">
        <f>+C4490-L4490</f>
        <v>0</v>
      </c>
      <c r="O4490" s="596"/>
    </row>
    <row r="4491" spans="1:15" ht="13.5" customHeight="1">
      <c r="A4491" s="532">
        <v>45684</v>
      </c>
      <c r="B4491" s="615">
        <v>1000000</v>
      </c>
      <c r="C4491" s="615">
        <v>1084766.03</v>
      </c>
      <c r="D4491" s="532">
        <v>45777</v>
      </c>
      <c r="E4491" s="534">
        <v>93</v>
      </c>
      <c r="F4491" s="653">
        <v>8.7505025996533981E-2</v>
      </c>
      <c r="G4491" s="536" t="s">
        <v>258</v>
      </c>
      <c r="H4491" s="835">
        <v>28227.427740817395</v>
      </c>
      <c r="I4491" s="835">
        <v>1327.1</v>
      </c>
      <c r="J4491">
        <v>1439.56</v>
      </c>
      <c r="K4491">
        <v>753.52271870996913</v>
      </c>
      <c r="L4491" s="596">
        <v>1087505.0259965337</v>
      </c>
      <c r="M4491" s="591">
        <f t="shared" ref="A4491:M4492" si="590">+C4491-L4491</f>
        <v>-2738.9959965336602</v>
      </c>
      <c r="O4491" s="596"/>
    </row>
    <row r="4492" spans="1:15" ht="13.5" customHeight="1">
      <c r="A4492" s="532">
        <v>45685</v>
      </c>
      <c r="B4492" s="615">
        <v>550000</v>
      </c>
      <c r="C4492" s="615">
        <f>550000+2994.28+45070.92</f>
        <v>598065.20000000007</v>
      </c>
      <c r="D4492" s="532">
        <v>45777</v>
      </c>
      <c r="E4492" s="534">
        <v>92</v>
      </c>
      <c r="F4492" s="653">
        <v>8.4680034873583221E-2</v>
      </c>
      <c r="G4492" s="536" t="s">
        <v>260</v>
      </c>
      <c r="H4492" s="835">
        <v>15187.180167544804</v>
      </c>
      <c r="I4492" s="835">
        <v>1330.52</v>
      </c>
      <c r="J4492">
        <v>1439.56</v>
      </c>
      <c r="K4492">
        <v>413.37221537444009</v>
      </c>
      <c r="L4492" s="596">
        <v>596574.01918047084</v>
      </c>
      <c r="M4492" s="591">
        <f t="shared" si="590"/>
        <v>1491.1808195292251</v>
      </c>
      <c r="O4492" s="596"/>
    </row>
    <row r="4493" spans="1:15" ht="13.5" customHeight="1">
      <c r="A4493" s="532">
        <v>45744</v>
      </c>
      <c r="B4493" s="615">
        <v>151000</v>
      </c>
      <c r="C4493" s="615">
        <f>B4493+(B4493*F4493/365*E4493)*1</f>
        <v>155904.8109589041</v>
      </c>
      <c r="D4493" s="532">
        <f>+A4493+E4493</f>
        <v>45782</v>
      </c>
      <c r="E4493" s="534">
        <v>38</v>
      </c>
      <c r="F4493" s="653">
        <f>2.6*12%</f>
        <v>0.312</v>
      </c>
      <c r="G4493" s="536" t="s">
        <v>259</v>
      </c>
      <c r="H4493" s="835">
        <f t="shared" ref="A4493:H4493" si="591">(C4493-B4493)/E4493*30</f>
        <v>3872.2191780821827</v>
      </c>
      <c r="I4493" s="835" t="e">
        <f>VLOOKUP(Tabla1[[#This Row],[FECHA]],TablaUVA[#All],2)</f>
        <v>#VALUE!</v>
      </c>
      <c r="J4493" t="e">
        <f>VLOOKUP(Tabla1[[#This Row],[VTO.]],TablaUVA[#All],2)</f>
        <v>#VALUE!</v>
      </c>
      <c r="K4493" t="e">
        <f>+Tabla1[[#This Row],[DEPOSITADO]]/I4493</f>
        <v>#VALUE!</v>
      </c>
      <c r="L4493" s="596" t="e">
        <f>IF(Tabla1[[#This Row],[DIAS]]&gt;89,+K4493*J4493*(1+1%/365*Tabla1[[#This Row],[DIAS]]),Tabla1[[#This Row],[ACOBRAR]])</f>
        <v>#VALUE!</v>
      </c>
      <c r="M4493" s="591" t="e">
        <f>+L4493-Tabla1[[#This Row],[ACOBRAR]]</f>
        <v>#VALUE!</v>
      </c>
      <c r="O4493" s="596"/>
    </row>
    <row r="4494" spans="1:15" ht="13.5" customHeight="1">
      <c r="A4494" s="532">
        <v>45743</v>
      </c>
      <c r="B4494" s="615">
        <v>230000</v>
      </c>
      <c r="C4494" s="615">
        <v>237003.97260273973</v>
      </c>
      <c r="D4494" s="532">
        <v>45782</v>
      </c>
      <c r="E4494" s="534">
        <v>39</v>
      </c>
      <c r="F4494" s="653">
        <v>0.28499999999999998</v>
      </c>
      <c r="G4494" s="536" t="s">
        <v>256</v>
      </c>
      <c r="H4494" s="835">
        <v>5387.6712328767126</v>
      </c>
      <c r="I4494" s="835">
        <v>1393.86</v>
      </c>
      <c r="J4494">
        <v>1441.3</v>
      </c>
      <c r="K4494">
        <v>165.00939836138494</v>
      </c>
      <c r="L4494" s="596">
        <v>237003.97260273973</v>
      </c>
      <c r="M4494" s="591">
        <v>0</v>
      </c>
      <c r="O4494" s="596"/>
    </row>
    <row r="4495" spans="1:15" ht="13.5" customHeight="1">
      <c r="A4495" s="532">
        <v>45743</v>
      </c>
      <c r="B4495" s="615">
        <v>80000</v>
      </c>
      <c r="C4495" s="615">
        <v>82585.753424657538</v>
      </c>
      <c r="D4495" s="532">
        <v>45782</v>
      </c>
      <c r="E4495" s="534">
        <v>39</v>
      </c>
      <c r="F4495" s="653">
        <v>0.30249999999999999</v>
      </c>
      <c r="G4495" s="536" t="s">
        <v>258</v>
      </c>
      <c r="H4495" s="835">
        <v>1989.0410958904138</v>
      </c>
      <c r="I4495" s="835">
        <v>1393.86</v>
      </c>
      <c r="J4495">
        <v>1441.3</v>
      </c>
      <c r="K4495">
        <v>57.394573343090414</v>
      </c>
      <c r="L4495" s="596">
        <v>82585.753424657538</v>
      </c>
      <c r="M4495" s="591">
        <v>0</v>
      </c>
      <c r="O4495" s="596"/>
    </row>
    <row r="4496" spans="1:15" ht="13.5" customHeight="1">
      <c r="A4496" s="532">
        <v>45748</v>
      </c>
      <c r="B4496" s="615">
        <v>500000</v>
      </c>
      <c r="C4496" s="615">
        <v>514438.35616438359</v>
      </c>
      <c r="D4496" s="532">
        <v>45782</v>
      </c>
      <c r="E4496" s="534">
        <v>34</v>
      </c>
      <c r="F4496" s="653">
        <v>0.31</v>
      </c>
      <c r="G4496" s="536" t="s">
        <v>258</v>
      </c>
      <c r="H4496" s="835">
        <v>12739.726027397282</v>
      </c>
      <c r="I4496" s="835">
        <v>1399.2</v>
      </c>
      <c r="J4496">
        <v>1441.3</v>
      </c>
      <c r="K4496">
        <v>357.34705546026299</v>
      </c>
      <c r="L4496" s="596">
        <v>514438.35616438359</v>
      </c>
      <c r="M4496" s="591">
        <v>0</v>
      </c>
      <c r="O4496" s="596"/>
    </row>
    <row r="4497" spans="1:15" ht="13.5" customHeight="1">
      <c r="A4497" s="532">
        <v>45750</v>
      </c>
      <c r="B4497" s="615">
        <v>300000</v>
      </c>
      <c r="C4497" s="615">
        <v>308153.42465753423</v>
      </c>
      <c r="D4497" s="532">
        <v>45782</v>
      </c>
      <c r="E4497" s="534">
        <v>32</v>
      </c>
      <c r="F4497" s="653">
        <v>0.31</v>
      </c>
      <c r="G4497" s="536" t="s">
        <v>258</v>
      </c>
      <c r="H4497" s="835">
        <v>7643.8356164383367</v>
      </c>
      <c r="I4497" s="835">
        <v>1400.28</v>
      </c>
      <c r="J4497">
        <v>1441.3</v>
      </c>
      <c r="K4497">
        <v>214.24286571257178</v>
      </c>
      <c r="L4497" s="596">
        <v>308153.42465753423</v>
      </c>
      <c r="M4497" s="591">
        <v>0</v>
      </c>
      <c r="O4497" s="596"/>
    </row>
    <row r="4498" spans="1:15" ht="13.5" customHeight="1">
      <c r="A4498" s="532">
        <v>45685</v>
      </c>
      <c r="B4498" s="615">
        <v>550000</v>
      </c>
      <c r="C4498" s="615">
        <v>595804.6</v>
      </c>
      <c r="D4498" s="532">
        <v>45782</v>
      </c>
      <c r="E4498" s="534">
        <v>97</v>
      </c>
      <c r="F4498" s="653">
        <v>8.6139482390034772E-2</v>
      </c>
      <c r="G4498" s="536" t="s">
        <v>258</v>
      </c>
      <c r="H4498" s="835">
        <v>14652.592365315193</v>
      </c>
      <c r="I4498" s="835">
        <v>1330.52</v>
      </c>
      <c r="J4498">
        <v>1441.3</v>
      </c>
      <c r="K4498">
        <v>413.37221537444009</v>
      </c>
      <c r="L4498" s="596">
        <v>597376.71531451901</v>
      </c>
      <c r="M4498" s="591">
        <f t="shared" ref="A4498:M4499" si="592">+C4498-L4498</f>
        <v>-1572.1153145190328</v>
      </c>
      <c r="O4498" s="596"/>
    </row>
    <row r="4499" spans="1:15" ht="13.5" customHeight="1">
      <c r="A4499" s="532">
        <v>45688</v>
      </c>
      <c r="B4499" s="615">
        <v>100000</v>
      </c>
      <c r="C4499" s="615">
        <v>108039.85</v>
      </c>
      <c r="D4499" s="532">
        <v>45782</v>
      </c>
      <c r="E4499" s="534">
        <v>94</v>
      </c>
      <c r="F4499" s="653">
        <v>8.3249753437802054E-2</v>
      </c>
      <c r="G4499" s="536" t="s">
        <v>258</v>
      </c>
      <c r="H4499" s="835">
        <v>2656.9070246107017</v>
      </c>
      <c r="I4499" s="835">
        <v>1333.96</v>
      </c>
      <c r="J4499">
        <v>1441.3</v>
      </c>
      <c r="K4499">
        <v>74.964766559716935</v>
      </c>
      <c r="L4499" s="596">
        <v>108324.97534378021</v>
      </c>
      <c r="M4499" s="591">
        <f t="shared" si="592"/>
        <v>-285.12534378020791</v>
      </c>
      <c r="O4499" s="596"/>
    </row>
    <row r="4500" spans="1:15" ht="13.5" customHeight="1">
      <c r="A4500" s="532">
        <v>45686</v>
      </c>
      <c r="B4500" s="615">
        <f>1026000</f>
        <v>1026000</v>
      </c>
      <c r="C4500" s="615">
        <v>1123150.72</v>
      </c>
      <c r="D4500" s="532">
        <v>45783</v>
      </c>
      <c r="E4500" s="534">
        <v>97</v>
      </c>
      <c r="F4500" s="653">
        <v>9.1789675771209556E-2</v>
      </c>
      <c r="G4500" s="536" t="s">
        <v>260</v>
      </c>
      <c r="H4500" s="835">
        <v>29126.662064307518</v>
      </c>
      <c r="I4500" s="835">
        <v>1331.67</v>
      </c>
      <c r="J4500">
        <v>1450.05</v>
      </c>
      <c r="K4500">
        <v>770.46115028498048</v>
      </c>
      <c r="L4500" s="596">
        <v>1120176.2073412607</v>
      </c>
      <c r="M4500" s="591">
        <f t="shared" ref="A4500:M4502" si="593">+C4500-L4500</f>
        <v>2974.5126587392297</v>
      </c>
      <c r="O4500" s="596"/>
    </row>
    <row r="4501" spans="1:15" ht="13.5" customHeight="1">
      <c r="A4501" s="532">
        <v>45748</v>
      </c>
      <c r="B4501" s="615">
        <v>500000</v>
      </c>
      <c r="C4501" s="615">
        <v>514863.01369863015</v>
      </c>
      <c r="D4501" s="532">
        <v>45783</v>
      </c>
      <c r="E4501" s="534">
        <v>35</v>
      </c>
      <c r="F4501" s="653">
        <v>0.31</v>
      </c>
      <c r="G4501" s="536" t="s">
        <v>258</v>
      </c>
      <c r="H4501" s="835">
        <v>12739.726027397273</v>
      </c>
      <c r="I4501" s="835">
        <v>1399.2</v>
      </c>
      <c r="J4501">
        <v>1450.05</v>
      </c>
      <c r="K4501">
        <v>357.34705546026299</v>
      </c>
      <c r="L4501" s="596">
        <v>514863.01369863015</v>
      </c>
      <c r="M4501" s="591">
        <f t="shared" si="593"/>
        <v>0</v>
      </c>
      <c r="O4501" s="596"/>
    </row>
    <row r="4502" spans="1:15" ht="13.5" customHeight="1">
      <c r="A4502" s="532">
        <v>45750</v>
      </c>
      <c r="B4502" s="615">
        <v>300000</v>
      </c>
      <c r="C4502" s="615">
        <v>308408.21917808219</v>
      </c>
      <c r="D4502" s="532">
        <v>45783</v>
      </c>
      <c r="E4502" s="534">
        <v>33</v>
      </c>
      <c r="F4502" s="653">
        <v>0.31</v>
      </c>
      <c r="G4502" s="536" t="s">
        <v>258</v>
      </c>
      <c r="H4502" s="835">
        <v>7643.8356164383531</v>
      </c>
      <c r="I4502" s="835">
        <v>1400.28</v>
      </c>
      <c r="J4502">
        <v>1450.05</v>
      </c>
      <c r="K4502">
        <v>214.24286571257178</v>
      </c>
      <c r="L4502" s="596">
        <v>308408.21917808219</v>
      </c>
      <c r="M4502" s="591">
        <f t="shared" si="593"/>
        <v>0</v>
      </c>
      <c r="O4502" s="596"/>
    </row>
    <row r="4503" spans="1:15" ht="13.5" customHeight="1">
      <c r="A4503" s="532">
        <v>45691</v>
      </c>
      <c r="B4503" s="615">
        <v>1000000</v>
      </c>
      <c r="C4503" s="615">
        <v>1094334.71</v>
      </c>
      <c r="D4503" s="532">
        <v>45785</v>
      </c>
      <c r="E4503" s="534">
        <v>94</v>
      </c>
      <c r="F4503" s="653">
        <v>9.153061586531841E-2</v>
      </c>
      <c r="G4503" s="536" t="s">
        <v>260</v>
      </c>
      <c r="H4503" s="835">
        <v>29211.898680420745</v>
      </c>
      <c r="I4503" s="835">
        <v>1335.11</v>
      </c>
      <c r="J4503">
        <v>1453.57</v>
      </c>
      <c r="K4503">
        <v>749.00195489510236</v>
      </c>
      <c r="L4503" s="596">
        <v>1091530.6158653186</v>
      </c>
      <c r="M4503" s="591">
        <f t="shared" ref="A4503:M4503" si="594">+C4503-L4503</f>
        <v>2804.0941346813925</v>
      </c>
      <c r="O4503" s="596"/>
    </row>
    <row r="4504" spans="1:15" ht="13.5" customHeight="1">
      <c r="A4504" s="532">
        <v>45692</v>
      </c>
      <c r="B4504" s="615">
        <v>430000</v>
      </c>
      <c r="C4504" s="615">
        <f>430000+2401.29+37510.21</f>
        <v>469911.5</v>
      </c>
      <c r="D4504" s="532">
        <v>45786</v>
      </c>
      <c r="E4504" s="534">
        <v>94</v>
      </c>
      <c r="F4504" s="653">
        <v>9.0043683949561082E-2</v>
      </c>
      <c r="G4504" s="536" t="s">
        <v>260</v>
      </c>
      <c r="H4504" s="835">
        <v>12357.058754780193</v>
      </c>
      <c r="I4504" s="835">
        <v>1338.55</v>
      </c>
      <c r="J4504">
        <v>1455.33</v>
      </c>
      <c r="K4504">
        <v>321.24313622950206</v>
      </c>
      <c r="L4504" s="596">
        <v>468718.78409831127</v>
      </c>
      <c r="M4504" s="591">
        <f t="shared" ref="A4504:M4509" si="595">+C4504-L4504</f>
        <v>1192.7159016887308</v>
      </c>
      <c r="O4504" s="596"/>
    </row>
    <row r="4505" spans="1:15" ht="13.5" customHeight="1">
      <c r="A4505" s="532">
        <v>45693</v>
      </c>
      <c r="B4505" s="615">
        <v>116000</v>
      </c>
      <c r="C4505" s="615">
        <f>116886.68+10088.53</f>
        <v>126975.20999999999</v>
      </c>
      <c r="D4505" s="532">
        <v>45786</v>
      </c>
      <c r="E4505" s="534">
        <v>93</v>
      </c>
      <c r="F4505" s="653">
        <v>8.9078227286624179E-2</v>
      </c>
      <c r="G4505" s="536" t="s">
        <v>265</v>
      </c>
      <c r="H4505" s="835">
        <v>3333.2497952414224</v>
      </c>
      <c r="I4505" s="835">
        <v>1339.7</v>
      </c>
      <c r="J4505">
        <v>1455.33</v>
      </c>
      <c r="K4505">
        <v>86.586549227438979</v>
      </c>
      <c r="L4505" s="596">
        <v>126333.07436524841</v>
      </c>
      <c r="M4505" s="591">
        <f t="shared" si="595"/>
        <v>642.13563475158298</v>
      </c>
      <c r="O4505" s="596"/>
    </row>
    <row r="4506" spans="1:15" ht="13.5" customHeight="1">
      <c r="A4506" s="532">
        <v>45693</v>
      </c>
      <c r="B4506" s="615">
        <v>305000</v>
      </c>
      <c r="C4506" s="615">
        <f>305000+1688.18+26320.43</f>
        <v>333008.61</v>
      </c>
      <c r="D4506" s="532">
        <v>45786</v>
      </c>
      <c r="E4506" s="534">
        <v>93</v>
      </c>
      <c r="F4506" s="653">
        <v>8.9078227286624179E-2</v>
      </c>
      <c r="G4506" s="536" t="s">
        <v>260</v>
      </c>
      <c r="H4506" s="835">
        <v>8764.1481685227027</v>
      </c>
      <c r="I4506" s="835">
        <v>1339.7</v>
      </c>
      <c r="J4506">
        <v>1455.33</v>
      </c>
      <c r="K4506">
        <v>227.66290960662835</v>
      </c>
      <c r="L4506" s="596">
        <v>332168.85932242038</v>
      </c>
      <c r="M4506" s="591">
        <f t="shared" si="595"/>
        <v>839.75067757960642</v>
      </c>
      <c r="O4506" s="596"/>
    </row>
    <row r="4507" spans="1:15" ht="13.5" customHeight="1">
      <c r="A4507" s="532">
        <v>45693</v>
      </c>
      <c r="B4507" s="615">
        <v>388000</v>
      </c>
      <c r="C4507" s="615">
        <f>390965.81+33744.4</f>
        <v>424710.21</v>
      </c>
      <c r="D4507" s="532">
        <v>45786</v>
      </c>
      <c r="E4507" s="534">
        <v>93</v>
      </c>
      <c r="F4507" s="653">
        <v>8.9078227286624179E-2</v>
      </c>
      <c r="G4507" s="536" t="s">
        <v>257</v>
      </c>
      <c r="H4507" s="835" t="e">
        <v>#REF!</v>
      </c>
      <c r="I4507" s="835">
        <v>1339.7</v>
      </c>
      <c r="J4507">
        <v>1455.33</v>
      </c>
      <c r="K4507">
        <v>289.61707845039933</v>
      </c>
      <c r="L4507" s="596">
        <v>422562.35218721017</v>
      </c>
      <c r="M4507" s="591">
        <f t="shared" si="595"/>
        <v>2147.8578127898509</v>
      </c>
      <c r="O4507" s="596"/>
    </row>
    <row r="4508" spans="1:15" ht="13.5" customHeight="1">
      <c r="A4508" s="532">
        <v>45693</v>
      </c>
      <c r="B4508" s="615">
        <v>400000</v>
      </c>
      <c r="C4508" s="615">
        <v>434532.42</v>
      </c>
      <c r="D4508" s="532">
        <v>45786</v>
      </c>
      <c r="E4508" s="534">
        <v>93</v>
      </c>
      <c r="F4508" s="653">
        <v>8.9078227286624179E-2</v>
      </c>
      <c r="G4508" s="536" t="s">
        <v>258</v>
      </c>
      <c r="H4508" s="835">
        <v>11493.964811177311</v>
      </c>
      <c r="I4508" s="835">
        <v>1339.7</v>
      </c>
      <c r="J4508">
        <v>1455.33</v>
      </c>
      <c r="K4508">
        <v>298.57430768082406</v>
      </c>
      <c r="L4508" s="596">
        <v>435631.29091464973</v>
      </c>
      <c r="M4508" s="591">
        <f t="shared" si="595"/>
        <v>-1098.8709146497422</v>
      </c>
      <c r="O4508" s="596"/>
    </row>
    <row r="4509" spans="1:15" ht="13.5" customHeight="1">
      <c r="A4509" s="532">
        <v>45691</v>
      </c>
      <c r="B4509" s="615">
        <v>800000</v>
      </c>
      <c r="C4509" s="615">
        <v>872062.42</v>
      </c>
      <c r="D4509" s="532">
        <v>45786</v>
      </c>
      <c r="E4509" s="534">
        <v>95</v>
      </c>
      <c r="F4509" s="653">
        <v>9.2882118481233178E-2</v>
      </c>
      <c r="G4509" s="536" t="s">
        <v>258</v>
      </c>
      <c r="H4509" s="835">
        <v>23464.956247890488</v>
      </c>
      <c r="I4509" s="835">
        <v>1335.11</v>
      </c>
      <c r="J4509">
        <v>1455.33</v>
      </c>
      <c r="K4509">
        <v>599.20156391608191</v>
      </c>
      <c r="L4509" s="596">
        <v>874305.69478498667</v>
      </c>
      <c r="M4509" s="591">
        <f t="shared" si="595"/>
        <v>-2243.2747849866282</v>
      </c>
      <c r="O4509" s="596"/>
    </row>
    <row r="4510" spans="1:15" ht="13.5" customHeight="1">
      <c r="A4510" s="532">
        <v>45691</v>
      </c>
      <c r="B4510" s="615">
        <v>1500000</v>
      </c>
      <c r="C4510" s="615">
        <v>1631152.09</v>
      </c>
      <c r="D4510" s="532">
        <v>45784</v>
      </c>
      <c r="E4510" s="534">
        <v>93</v>
      </c>
      <c r="F4510" s="653">
        <v>9.0179185481920943E-2</v>
      </c>
      <c r="G4510" s="536" t="s">
        <v>262</v>
      </c>
      <c r="H4510" s="835">
        <v>43635.089749316612</v>
      </c>
      <c r="I4510" s="835">
        <v>1335.11</v>
      </c>
      <c r="J4510">
        <v>1451.81</v>
      </c>
      <c r="K4510">
        <v>1123.5029323426536</v>
      </c>
      <c r="L4510" s="596">
        <v>1635268.7782228815</v>
      </c>
      <c r="M4510" s="591">
        <f t="shared" ref="A4510:M4510" si="596">+C4510-L4510</f>
        <v>-4116.6882228814065</v>
      </c>
      <c r="O4510" s="596"/>
    </row>
    <row r="4511" spans="1:15" ht="13.5" customHeight="1">
      <c r="A4511" s="532">
        <v>45694</v>
      </c>
      <c r="B4511" s="615">
        <v>300000</v>
      </c>
      <c r="C4511" s="615">
        <v>326026.12</v>
      </c>
      <c r="D4511" s="532">
        <v>45789</v>
      </c>
      <c r="E4511" s="534">
        <v>95</v>
      </c>
      <c r="F4511" s="653">
        <v>8.9519004262036628E-2</v>
      </c>
      <c r="G4511" s="536" t="s">
        <v>258</v>
      </c>
      <c r="H4511" s="835">
        <v>8480.7477721929372</v>
      </c>
      <c r="I4511" s="835">
        <v>1340.86</v>
      </c>
      <c r="J4511">
        <v>1457.1</v>
      </c>
      <c r="K4511">
        <v>223.73700460898232</v>
      </c>
      <c r="L4511" s="596">
        <v>326855.70127861097</v>
      </c>
      <c r="M4511" s="591">
        <f t="shared" ref="A4511:M4514" si="597">+C4511-L4511</f>
        <v>-829.58127861097455</v>
      </c>
      <c r="O4511" s="596"/>
    </row>
    <row r="4512" spans="1:15" ht="13.5" customHeight="1">
      <c r="A4512" s="532">
        <v>45695</v>
      </c>
      <c r="B4512" s="615">
        <v>600000</v>
      </c>
      <c r="C4512" s="615">
        <v>651469.4</v>
      </c>
      <c r="D4512" s="532">
        <v>45789</v>
      </c>
      <c r="E4512" s="534">
        <v>94</v>
      </c>
      <c r="F4512" s="653">
        <v>8.8555622914024079E-2</v>
      </c>
      <c r="G4512" s="536" t="s">
        <v>258</v>
      </c>
      <c r="H4512" s="835">
        <v>16957.459706940783</v>
      </c>
      <c r="I4512" s="835">
        <v>1342.01</v>
      </c>
      <c r="J4512">
        <v>1457.1</v>
      </c>
      <c r="K4512">
        <v>447.0905581925619</v>
      </c>
      <c r="L4512" s="596">
        <v>653133.37374841433</v>
      </c>
      <c r="M4512" s="591">
        <f t="shared" si="597"/>
        <v>-1663.9737484143116</v>
      </c>
      <c r="O4512" s="596"/>
    </row>
    <row r="4513" spans="1:34" ht="13.5" customHeight="1">
      <c r="A4513" s="532">
        <v>45756</v>
      </c>
      <c r="B4513" s="615">
        <v>138000</v>
      </c>
      <c r="C4513" s="615">
        <v>141680.63013698629</v>
      </c>
      <c r="D4513" s="532">
        <v>45789</v>
      </c>
      <c r="E4513" s="534">
        <v>33</v>
      </c>
      <c r="F4513" s="653">
        <v>0.29499999999999998</v>
      </c>
      <c r="G4513" s="536" t="s">
        <v>261</v>
      </c>
      <c r="H4513" s="835">
        <v>3346.0273972602658</v>
      </c>
      <c r="I4513" s="835">
        <v>1407.79</v>
      </c>
      <c r="J4513">
        <v>1457.1</v>
      </c>
      <c r="K4513">
        <v>98.025983989089283</v>
      </c>
      <c r="L4513" s="596">
        <v>141680.63013698629</v>
      </c>
      <c r="M4513" s="591">
        <f t="shared" si="597"/>
        <v>0</v>
      </c>
      <c r="O4513" s="596"/>
    </row>
    <row r="4514" spans="1:34" ht="13.5" customHeight="1">
      <c r="A4514" s="532">
        <v>45756</v>
      </c>
      <c r="B4514" s="615">
        <v>200000</v>
      </c>
      <c r="C4514" s="615">
        <v>205786.30136986301</v>
      </c>
      <c r="D4514" s="532">
        <v>45789</v>
      </c>
      <c r="E4514" s="534">
        <v>33</v>
      </c>
      <c r="F4514" s="653">
        <v>0.32</v>
      </c>
      <c r="G4514" s="536" t="s">
        <v>262</v>
      </c>
      <c r="H4514" s="835">
        <v>5260.2739726027357</v>
      </c>
      <c r="I4514" s="835">
        <v>1407.79</v>
      </c>
      <c r="J4514">
        <v>1457.1</v>
      </c>
      <c r="K4514">
        <v>142.06664346244824</v>
      </c>
      <c r="L4514" s="596">
        <v>205786.30136986301</v>
      </c>
      <c r="M4514" s="591">
        <f t="shared" si="597"/>
        <v>0</v>
      </c>
      <c r="O4514" s="596"/>
    </row>
    <row r="4515" spans="1:34" ht="13.5" customHeight="1">
      <c r="A4515" s="532">
        <v>45698</v>
      </c>
      <c r="B4515" s="615">
        <v>758000</v>
      </c>
      <c r="C4515" s="615">
        <f>763731.73+67800.83</f>
        <v>831532.55999999994</v>
      </c>
      <c r="D4515" s="532">
        <v>45790</v>
      </c>
      <c r="E4515" s="534">
        <v>92</v>
      </c>
      <c r="F4515" s="653">
        <v>9.1520034333265166E-2</v>
      </c>
      <c r="G4515" s="536" t="s">
        <v>257</v>
      </c>
      <c r="H4515" s="835">
        <v>22621.365008026616</v>
      </c>
      <c r="I4515" s="835">
        <v>1343.16</v>
      </c>
      <c r="J4515">
        <v>1462.4</v>
      </c>
      <c r="K4515">
        <v>564.34080824324724</v>
      </c>
      <c r="L4515" s="596">
        <v>827372.18602461508</v>
      </c>
      <c r="M4515" s="591">
        <f t="shared" ref="A4515:M4515" si="598">+C4515-L4515</f>
        <v>4160.373975384864</v>
      </c>
      <c r="O4515" s="596"/>
    </row>
    <row r="4516" spans="1:34" ht="13.5" customHeight="1">
      <c r="A4516" s="532">
        <v>45698</v>
      </c>
      <c r="B4516" s="615">
        <v>600000</v>
      </c>
      <c r="C4516" s="615">
        <v>654074.02</v>
      </c>
      <c r="D4516" s="532">
        <v>45791</v>
      </c>
      <c r="E4516" s="534">
        <v>93</v>
      </c>
      <c r="F4516" s="653">
        <v>9.2871009359649648E-2</v>
      </c>
      <c r="G4516" s="536" t="s">
        <v>258</v>
      </c>
      <c r="H4516" s="835">
        <v>17975.034069609603</v>
      </c>
      <c r="I4516" s="835">
        <v>1343.16</v>
      </c>
      <c r="J4516">
        <v>1464.17</v>
      </c>
      <c r="K4516">
        <v>446.7077637809345</v>
      </c>
      <c r="L4516" s="596">
        <v>655722.60561578977</v>
      </c>
      <c r="M4516" s="591">
        <f t="shared" ref="A4516:M4516" si="599">+C4516-L4516</f>
        <v>-1648.5856157897506</v>
      </c>
      <c r="O4516" s="596"/>
    </row>
    <row r="4517" spans="1:34" ht="13.5" customHeight="1">
      <c r="A4517" s="532">
        <v>45699</v>
      </c>
      <c r="B4517" s="615">
        <v>640000</v>
      </c>
      <c r="C4517" s="615">
        <v>696722.06</v>
      </c>
      <c r="D4517" s="532">
        <v>45792</v>
      </c>
      <c r="E4517" s="534">
        <v>93</v>
      </c>
      <c r="F4517" s="653">
        <v>9.1380082334399759E-2</v>
      </c>
      <c r="G4517" s="536" t="s">
        <v>258</v>
      </c>
      <c r="H4517" s="835">
        <v>3610.4383561643772</v>
      </c>
      <c r="I4517" s="835">
        <v>1346.63</v>
      </c>
      <c r="J4517">
        <v>1465.95</v>
      </c>
      <c r="K4517" t="e">
        <v>#VALUE!</v>
      </c>
      <c r="L4517" s="596">
        <v>698483.25</v>
      </c>
      <c r="M4517" s="591">
        <f>+C4517-L4517</f>
        <v>-1761.1899999999441</v>
      </c>
      <c r="O4517" s="596"/>
    </row>
    <row r="4518" spans="1:34" ht="13.5" customHeight="1">
      <c r="A4518" s="532">
        <v>45702</v>
      </c>
      <c r="B4518" s="615">
        <v>370000</v>
      </c>
      <c r="C4518" s="615">
        <f>372767.4+32472.29</f>
        <v>405239.69</v>
      </c>
      <c r="D4518" s="532">
        <v>45793</v>
      </c>
      <c r="E4518" s="534">
        <v>91</v>
      </c>
      <c r="F4518" s="653">
        <v>8.9821753133661586E-2</v>
      </c>
      <c r="G4518" s="536" t="s">
        <v>257</v>
      </c>
      <c r="H4518" s="835">
        <v>10956.279777842241</v>
      </c>
      <c r="I4518" s="835">
        <v>1350.11</v>
      </c>
      <c r="J4518">
        <v>1467.72</v>
      </c>
      <c r="K4518">
        <v>274.05174393197592</v>
      </c>
      <c r="L4518" s="596">
        <v>403234.0486594548</v>
      </c>
      <c r="M4518" s="591">
        <f>+C4518-L4518</f>
        <v>2005.641340545204</v>
      </c>
      <c r="O4518" s="596"/>
    </row>
    <row r="4519" spans="1:34" ht="13.5" customHeight="1">
      <c r="A4519" s="532">
        <v>45700</v>
      </c>
      <c r="B4519" s="615">
        <v>300000</v>
      </c>
      <c r="C4519" s="615">
        <v>326714.46999999997</v>
      </c>
      <c r="D4519" s="532">
        <v>45793</v>
      </c>
      <c r="E4519" s="534">
        <v>93</v>
      </c>
      <c r="F4519" s="653">
        <v>9.1757373282919774E-2</v>
      </c>
      <c r="G4519" s="536" t="s">
        <v>258</v>
      </c>
      <c r="H4519" s="835" t="s">
        <v>806</v>
      </c>
      <c r="I4519" s="835">
        <v>1347.79</v>
      </c>
      <c r="J4519">
        <v>1467.72</v>
      </c>
      <c r="K4519">
        <v>222.58660473812685</v>
      </c>
      <c r="L4519" s="596">
        <v>327527.2119848759</v>
      </c>
      <c r="M4519" s="591">
        <f t="shared" ref="A4519:M4519" si="600">+C4519-L4519</f>
        <v>-812.74198487593094</v>
      </c>
      <c r="O4519" s="596"/>
      <c r="AB4519">
        <f>AB4517</f>
        <v>0</v>
      </c>
    </row>
    <row r="4520" spans="1:34" ht="13.5" customHeight="1">
      <c r="A4520" s="532">
        <v>45706</v>
      </c>
      <c r="B4520" s="615">
        <v>210000</v>
      </c>
      <c r="C4520" s="615">
        <v>228874.87</v>
      </c>
      <c r="D4520" s="532">
        <v>45796</v>
      </c>
      <c r="E4520" s="534">
        <v>90</v>
      </c>
      <c r="F4520" s="653">
        <v>8.7205352228023614E-2</v>
      </c>
      <c r="G4520" s="536" t="s">
        <v>260</v>
      </c>
      <c r="H4520" s="835">
        <v>6104.3746559616502</v>
      </c>
      <c r="I4520" s="835">
        <v>1354.53</v>
      </c>
      <c r="J4520">
        <v>1469.03</v>
      </c>
      <c r="K4520">
        <v>155.03532590640296</v>
      </c>
      <c r="L4520" s="596">
        <v>228313.12396788492</v>
      </c>
      <c r="M4520" s="591">
        <f t="shared" ref="A4520:M4520" si="601">+C4520-L4520</f>
        <v>561.74603211507201</v>
      </c>
      <c r="O4520" s="596"/>
    </row>
    <row r="4521" spans="1:34" ht="13.5" customHeight="1">
      <c r="A4521" s="532">
        <v>45709</v>
      </c>
      <c r="B4521" s="615">
        <v>200000</v>
      </c>
      <c r="C4521" s="615">
        <f>201479.45+17496.2</f>
        <v>218975.65000000002</v>
      </c>
      <c r="D4521" s="532">
        <v>45799</v>
      </c>
      <c r="E4521" s="534">
        <v>90</v>
      </c>
      <c r="F4521" s="653">
        <v>8.9518550697059052E-2</v>
      </c>
      <c r="G4521" s="536" t="s">
        <v>265</v>
      </c>
      <c r="H4521" s="835">
        <v>5967.9033798039409</v>
      </c>
      <c r="I4521" s="835">
        <v>1357.69</v>
      </c>
      <c r="J4521">
        <v>1475.59</v>
      </c>
      <c r="K4521">
        <v>147.30903225331261</v>
      </c>
      <c r="L4521" s="596">
        <v>217903.71013941182</v>
      </c>
      <c r="M4521" s="591">
        <f>+C4521-L4521</f>
        <v>1071.9398605882016</v>
      </c>
      <c r="O4521" s="596"/>
    </row>
    <row r="4522" spans="1:34" ht="13.5" customHeight="1">
      <c r="A4522" s="532">
        <v>45709</v>
      </c>
      <c r="B4522" s="615">
        <v>300000</v>
      </c>
      <c r="C4522" s="615">
        <v>326091.13</v>
      </c>
      <c r="D4522" s="532">
        <v>45799</v>
      </c>
      <c r="E4522" s="534">
        <v>90</v>
      </c>
      <c r="F4522" s="653">
        <v>8.9518550697059052E-2</v>
      </c>
      <c r="G4522" s="536" t="s">
        <v>262</v>
      </c>
      <c r="H4522" s="835">
        <v>8951.8550697059054</v>
      </c>
      <c r="I4522" s="835">
        <v>1357.69</v>
      </c>
      <c r="J4522">
        <v>1475.59</v>
      </c>
      <c r="K4522">
        <v>220.9635483799689</v>
      </c>
      <c r="L4522" s="596">
        <v>326855.56520911772</v>
      </c>
      <c r="M4522" s="591">
        <f t="shared" ref="A4522:M4522" si="602">+C4522-L4522</f>
        <v>-764.43520911771338</v>
      </c>
      <c r="O4522" s="596"/>
    </row>
    <row r="4523" spans="1:34" ht="13.5" customHeight="1">
      <c r="A4523" s="532">
        <v>45712</v>
      </c>
      <c r="B4523" s="615">
        <v>299000</v>
      </c>
      <c r="C4523" s="615">
        <f>299000+1626.04+26297.09</f>
        <v>326923.13</v>
      </c>
      <c r="D4523" s="532">
        <v>45803</v>
      </c>
      <c r="E4523" s="534">
        <v>91</v>
      </c>
      <c r="F4523" s="653">
        <v>9.063876740053689E-2</v>
      </c>
      <c r="G4523" s="536" t="s">
        <v>260</v>
      </c>
      <c r="H4523" s="835">
        <v>8934.3927866243503</v>
      </c>
      <c r="I4523" s="835">
        <v>1358.75</v>
      </c>
      <c r="J4523">
        <v>1478.22</v>
      </c>
      <c r="K4523">
        <v>220.05519779208831</v>
      </c>
      <c r="L4523" s="596">
        <v>325341.96000000002</v>
      </c>
      <c r="M4523" s="591">
        <f t="shared" ref="A4523:M4529" si="603">+C4523-L4523</f>
        <v>1581.1699999999837</v>
      </c>
      <c r="N4523">
        <f>+C4523-M4523</f>
        <v>325341.96000000002</v>
      </c>
      <c r="O4523" s="596"/>
    </row>
    <row r="4524" spans="1:34" ht="13.5" customHeight="1">
      <c r="A4524" s="532">
        <v>45712</v>
      </c>
      <c r="B4524" s="615">
        <v>501000</v>
      </c>
      <c r="C4524" s="615">
        <f>501000+2719.92+44049.28</f>
        <v>547769.19999999995</v>
      </c>
      <c r="D4524" s="532">
        <v>45803</v>
      </c>
      <c r="E4524" s="534">
        <v>91</v>
      </c>
      <c r="F4524" s="653">
        <v>9.063876740053689E-2</v>
      </c>
      <c r="G4524" s="536" t="s">
        <v>260</v>
      </c>
      <c r="H4524" s="835">
        <v>14970.337077253511</v>
      </c>
      <c r="I4524" s="835">
        <v>1358.75</v>
      </c>
      <c r="J4524">
        <v>1478.22</v>
      </c>
      <c r="K4524">
        <v>368.72125114995401</v>
      </c>
      <c r="L4524" s="596">
        <v>545138.19999999995</v>
      </c>
      <c r="M4524" s="591">
        <f t="shared" si="603"/>
        <v>2631</v>
      </c>
      <c r="N4524">
        <f>+C4524-M4524</f>
        <v>545138.19999999995</v>
      </c>
      <c r="O4524" s="596"/>
      <c r="AD4524" t="s">
        <v>836</v>
      </c>
    </row>
    <row r="4525" spans="1:34" ht="13.5" customHeight="1">
      <c r="A4525" s="532">
        <v>45712</v>
      </c>
      <c r="B4525" s="615">
        <v>750000</v>
      </c>
      <c r="C4525" s="615">
        <f>750000+4120.46+68133.72</f>
        <v>822254.17999999993</v>
      </c>
      <c r="D4525" s="532">
        <v>45804</v>
      </c>
      <c r="E4525" s="534">
        <v>92</v>
      </c>
      <c r="F4525" s="653">
        <v>9.35903630199999E-2</v>
      </c>
      <c r="G4525" s="536" t="s">
        <v>260</v>
      </c>
      <c r="H4525" s="835">
        <v>22888.947477717364</v>
      </c>
      <c r="I4525" s="835">
        <v>1358.75</v>
      </c>
      <c r="J4525">
        <v>1482.18</v>
      </c>
      <c r="K4525">
        <v>551.97792088316464</v>
      </c>
      <c r="L4525" s="596">
        <v>818283.69</v>
      </c>
      <c r="M4525" s="591">
        <f t="shared" si="603"/>
        <v>3970.4899999999907</v>
      </c>
      <c r="O4525" s="596"/>
      <c r="AD4525" t="e">
        <f>AD4526+AD4524+AD4524</f>
        <v>#VALUE!</v>
      </c>
    </row>
    <row r="4526" spans="1:34" ht="13.5" customHeight="1">
      <c r="A4526" s="532">
        <v>45714</v>
      </c>
      <c r="B4526" s="615">
        <v>460000</v>
      </c>
      <c r="C4526" s="615">
        <v>500696.09</v>
      </c>
      <c r="D4526" s="532">
        <v>45805</v>
      </c>
      <c r="E4526" s="534">
        <v>91</v>
      </c>
      <c r="F4526" s="653">
        <v>9.1137499479886586E-2</v>
      </c>
      <c r="G4526" s="536" t="s">
        <v>258</v>
      </c>
      <c r="H4526" s="835">
        <v>13820.851569477307</v>
      </c>
      <c r="I4526" s="835">
        <v>1362.98</v>
      </c>
      <c r="J4526">
        <v>1483.5</v>
      </c>
      <c r="K4526">
        <v>337.49578130273369</v>
      </c>
      <c r="L4526" s="596">
        <v>501533.21</v>
      </c>
      <c r="M4526" s="591">
        <f t="shared" si="603"/>
        <v>-837.11999999999534</v>
      </c>
      <c r="O4526" s="596"/>
    </row>
    <row r="4527" spans="1:34" ht="13.5" customHeight="1">
      <c r="A4527" s="532">
        <v>45715</v>
      </c>
      <c r="B4527" s="615">
        <v>490000</v>
      </c>
      <c r="C4527" s="615">
        <f>490000+2625.8+42917.71</f>
        <v>535543.51</v>
      </c>
      <c r="D4527" s="532">
        <v>45805</v>
      </c>
      <c r="E4527" s="534">
        <v>90</v>
      </c>
      <c r="F4527" s="653">
        <v>9.0259776256912838E-2</v>
      </c>
      <c r="G4527" s="536" t="s">
        <v>260</v>
      </c>
      <c r="H4527" s="835">
        <v>14742.430121962447</v>
      </c>
      <c r="I4527" s="835">
        <v>1364.04</v>
      </c>
      <c r="J4527">
        <v>1483.5</v>
      </c>
      <c r="K4527">
        <v>359.22700214069971</v>
      </c>
      <c r="L4527" s="596">
        <v>533812.47</v>
      </c>
      <c r="M4527" s="591">
        <f t="shared" si="603"/>
        <v>1731.0400000000373</v>
      </c>
      <c r="O4527" s="596"/>
      <c r="AH4527">
        <f>AJ4485</f>
        <v>0</v>
      </c>
    </row>
    <row r="4528" spans="1:34" ht="13.5" customHeight="1">
      <c r="A4528" s="532">
        <v>45715</v>
      </c>
      <c r="B4528" s="615">
        <v>492000</v>
      </c>
      <c r="C4528" s="615">
        <f>495679.89+43890.36</f>
        <v>539570.25</v>
      </c>
      <c r="D4528" s="532">
        <v>45806</v>
      </c>
      <c r="E4528" s="534">
        <v>91</v>
      </c>
      <c r="F4528" s="653">
        <v>9.1259699129057736E-2</v>
      </c>
      <c r="G4528" s="536" t="s">
        <v>257</v>
      </c>
      <c r="H4528" s="835">
        <v>14802.122627965848</v>
      </c>
      <c r="I4528" s="835">
        <v>1364.04</v>
      </c>
      <c r="J4528">
        <v>1484.82</v>
      </c>
      <c r="K4528">
        <v>360.69323480249847</v>
      </c>
      <c r="L4528" s="596">
        <v>536482.87</v>
      </c>
      <c r="M4528" s="591">
        <f t="shared" si="603"/>
        <v>3087.3800000000047</v>
      </c>
      <c r="O4528" s="596"/>
    </row>
    <row r="4529" spans="1:32" ht="13.5" customHeight="1">
      <c r="A4529" s="532">
        <v>45716</v>
      </c>
      <c r="B4529" s="615">
        <v>300000</v>
      </c>
      <c r="C4529" s="615">
        <f>302243.84+26799.2</f>
        <v>329043.04000000004</v>
      </c>
      <c r="D4529" s="532">
        <v>45807</v>
      </c>
      <c r="E4529" s="534">
        <v>91</v>
      </c>
      <c r="F4529" s="653">
        <v>9.1381709002200884E-2</v>
      </c>
      <c r="G4529" s="536" t="s">
        <v>265</v>
      </c>
      <c r="H4529" s="835">
        <v>9037.7514397781106</v>
      </c>
      <c r="I4529" s="835">
        <v>1365.1</v>
      </c>
      <c r="J4529">
        <v>1486.14</v>
      </c>
      <c r="K4529">
        <v>219.76411984470005</v>
      </c>
      <c r="L4529" s="596">
        <v>327160.46999999997</v>
      </c>
      <c r="M4529" s="591">
        <f t="shared" si="603"/>
        <v>1882.5700000000652</v>
      </c>
      <c r="O4529" s="596"/>
    </row>
    <row r="4530" spans="1:32" ht="13.5" customHeight="1">
      <c r="A4530" s="532">
        <v>45716</v>
      </c>
      <c r="B4530" s="615">
        <v>200000</v>
      </c>
      <c r="C4530" s="615">
        <v>217734.37</v>
      </c>
      <c r="D4530" s="532">
        <v>45807</v>
      </c>
      <c r="E4530" s="534">
        <v>91</v>
      </c>
      <c r="F4530" s="653">
        <v>9.1381709002200884E-2</v>
      </c>
      <c r="G4530" s="536" t="s">
        <v>258</v>
      </c>
      <c r="H4530" s="835">
        <v>6025.1676265187443</v>
      </c>
      <c r="I4530" s="835">
        <v>1365.1</v>
      </c>
      <c r="J4530">
        <v>1486.14</v>
      </c>
      <c r="K4530">
        <v>146.50941322980003</v>
      </c>
      <c r="L4530" s="596">
        <v>218106.98</v>
      </c>
      <c r="M4530" s="591">
        <f t="shared" ref="A4530:M4531" si="604">+C4530-L4530</f>
        <v>-372.61000000001513</v>
      </c>
      <c r="O4530" s="596"/>
    </row>
    <row r="4531" spans="1:32" ht="13.5" customHeight="1">
      <c r="A4531" s="532">
        <v>45716</v>
      </c>
      <c r="B4531" s="615">
        <v>430000</v>
      </c>
      <c r="C4531" s="615">
        <v>468148.96</v>
      </c>
      <c r="D4531" s="532">
        <v>45807</v>
      </c>
      <c r="E4531" s="534">
        <v>91</v>
      </c>
      <c r="F4531" s="653">
        <v>9.1381709002200884E-2</v>
      </c>
      <c r="G4531" s="536" t="s">
        <v>258</v>
      </c>
      <c r="H4531" s="835">
        <v>12954.110397015298</v>
      </c>
      <c r="I4531" s="835">
        <v>1365.1</v>
      </c>
      <c r="J4531">
        <v>1486.14</v>
      </c>
      <c r="K4531">
        <v>314.99523844407003</v>
      </c>
      <c r="L4531" s="596">
        <v>468930.01</v>
      </c>
      <c r="M4531" s="591">
        <f t="shared" si="604"/>
        <v>-781.04999999998836</v>
      </c>
      <c r="O4531" s="596"/>
      <c r="AF4531" s="1136" t="s">
        <v>837</v>
      </c>
    </row>
    <row r="4532" spans="1:32" ht="13.5" customHeight="1">
      <c r="A4532" s="532">
        <v>45721</v>
      </c>
      <c r="B4532" s="615">
        <v>265000</v>
      </c>
      <c r="C4532" s="615">
        <f>266982.05+24744.73</f>
        <v>291726.77999999997</v>
      </c>
      <c r="D4532" s="532">
        <v>45812</v>
      </c>
      <c r="E4532" s="534">
        <v>91</v>
      </c>
      <c r="F4532" s="653">
        <v>9.5407364788496096E-2</v>
      </c>
      <c r="G4532" s="536" t="s">
        <v>257</v>
      </c>
      <c r="H4532" s="835">
        <v>8335.0390117422485</v>
      </c>
      <c r="I4532" s="835">
        <v>1366.16</v>
      </c>
      <c r="J4532">
        <v>1492.78</v>
      </c>
      <c r="K4532">
        <v>193.97435146688528</v>
      </c>
      <c r="L4532" s="596">
        <v>289156.94</v>
      </c>
      <c r="M4532" s="591">
        <f t="shared" ref="A4532:M4534" si="605">+C4532-L4532</f>
        <v>2569.8399999999674</v>
      </c>
      <c r="O4532" s="596"/>
    </row>
    <row r="4533" spans="1:32" ht="13.5" customHeight="1">
      <c r="A4533" s="532">
        <v>45721</v>
      </c>
      <c r="B4533" s="615">
        <v>500000</v>
      </c>
      <c r="C4533" s="615">
        <v>546357.48</v>
      </c>
      <c r="D4533" s="532">
        <v>45812</v>
      </c>
      <c r="E4533" s="534">
        <v>91</v>
      </c>
      <c r="F4533" s="653">
        <v>9.5407364788496096E-2</v>
      </c>
      <c r="G4533" s="536" t="s">
        <v>258</v>
      </c>
      <c r="H4533" s="835">
        <v>15726.488701400469</v>
      </c>
      <c r="I4533" s="835">
        <v>1366.16</v>
      </c>
      <c r="J4533">
        <v>1492.78</v>
      </c>
      <c r="K4533">
        <v>365.98934239034958</v>
      </c>
      <c r="L4533" s="596">
        <v>547703.68239424808</v>
      </c>
      <c r="M4533" s="591">
        <f t="shared" si="605"/>
        <v>-1346.2023942481028</v>
      </c>
      <c r="O4533" s="596"/>
    </row>
    <row r="4534" spans="1:32" ht="13.5" customHeight="1">
      <c r="A4534" s="532">
        <v>45721</v>
      </c>
      <c r="B4534" s="615">
        <v>600000</v>
      </c>
      <c r="C4534" s="615">
        <f>604487.67+56025.81</f>
        <v>660513.48</v>
      </c>
      <c r="D4534" s="532">
        <v>45812</v>
      </c>
      <c r="E4534" s="534">
        <v>91</v>
      </c>
      <c r="F4534" s="653">
        <v>9.5407364788496096E-2</v>
      </c>
      <c r="G4534" s="536" t="s">
        <v>257</v>
      </c>
      <c r="H4534" s="835">
        <v>18871.786441680535</v>
      </c>
      <c r="I4534" s="835">
        <v>1366.16</v>
      </c>
      <c r="J4534">
        <v>1492.78</v>
      </c>
      <c r="K4534">
        <v>439.18721086841947</v>
      </c>
      <c r="L4534" s="596">
        <v>656694.94999999995</v>
      </c>
      <c r="M4534" s="591">
        <f t="shared" si="605"/>
        <v>3818.5300000000279</v>
      </c>
      <c r="O4534" s="596"/>
    </row>
    <row r="4535" spans="1:32" ht="13.5" customHeight="1">
      <c r="A4535" s="532">
        <v>45723</v>
      </c>
      <c r="B4535" s="615">
        <v>300000</v>
      </c>
      <c r="C4535" s="615">
        <f>300000+1613.64+26567.62</f>
        <v>328181.26</v>
      </c>
      <c r="D4535" s="532">
        <v>45813</v>
      </c>
      <c r="E4535" s="534">
        <v>90</v>
      </c>
      <c r="F4535" s="653">
        <v>9.7959545351792299E-2</v>
      </c>
      <c r="G4535" s="536" t="s">
        <v>260</v>
      </c>
      <c r="H4535" s="835">
        <v>9795.9545351792294</v>
      </c>
      <c r="I4535" s="835">
        <v>1372.55</v>
      </c>
      <c r="J4535">
        <v>1494.11</v>
      </c>
      <c r="K4535">
        <v>218.57127244909111</v>
      </c>
      <c r="L4535" s="596">
        <v>327374.76380080468</v>
      </c>
      <c r="M4535" s="591">
        <f t="shared" ref="A4535:M4540" si="606">+C4535-L4535</f>
        <v>806.49619919533143</v>
      </c>
      <c r="O4535" s="596"/>
    </row>
    <row r="4536" spans="1:32" ht="13.5" customHeight="1">
      <c r="A4536" s="532">
        <v>45722</v>
      </c>
      <c r="B4536" s="615">
        <v>320000</v>
      </c>
      <c r="C4536" s="615">
        <f>322393.42+28826.6</f>
        <v>351220.01999999996</v>
      </c>
      <c r="D4536" s="532">
        <v>45813</v>
      </c>
      <c r="E4536" s="534">
        <v>91</v>
      </c>
      <c r="F4536" s="653">
        <v>9.2130429441087625E-2</v>
      </c>
      <c r="G4536" s="536" t="s">
        <v>256</v>
      </c>
      <c r="H4536" s="835">
        <v>9719.2540948839724</v>
      </c>
      <c r="I4536" s="835">
        <v>1371.48</v>
      </c>
      <c r="J4536">
        <v>1494.11</v>
      </c>
      <c r="K4536">
        <v>233.32458366144601</v>
      </c>
      <c r="L4536" s="596">
        <v>349481.73742114799</v>
      </c>
      <c r="M4536" s="591">
        <f t="shared" si="606"/>
        <v>1738.2825788519694</v>
      </c>
      <c r="O4536" s="596"/>
    </row>
    <row r="4537" spans="1:32" ht="13.5" customHeight="1">
      <c r="A4537" s="532">
        <v>45722</v>
      </c>
      <c r="B4537" s="615">
        <v>500000</v>
      </c>
      <c r="C4537" s="615">
        <f>503739.73+45041.56</f>
        <v>548781.29</v>
      </c>
      <c r="D4537" s="532">
        <v>45813</v>
      </c>
      <c r="E4537" s="534">
        <v>91</v>
      </c>
      <c r="F4537" s="653">
        <v>9.2130429441087625E-2</v>
      </c>
      <c r="G4537" s="536" t="s">
        <v>256</v>
      </c>
      <c r="H4537" s="835">
        <v>15186.334523256206</v>
      </c>
      <c r="I4537" s="835">
        <v>1371.48</v>
      </c>
      <c r="J4537">
        <v>1494.11</v>
      </c>
      <c r="K4537">
        <v>364.5696619710094</v>
      </c>
      <c r="L4537" s="596">
        <v>546065.21472054382</v>
      </c>
      <c r="M4537" s="591">
        <f t="shared" si="606"/>
        <v>2716.075279456214</v>
      </c>
      <c r="O4537" s="596"/>
    </row>
    <row r="4538" spans="1:32" ht="13.5" customHeight="1">
      <c r="A4538" s="532">
        <v>45723</v>
      </c>
      <c r="B4538" s="615">
        <v>353000</v>
      </c>
      <c r="C4538" s="615">
        <f>353000+1914.16+31612.21</f>
        <v>386526.37</v>
      </c>
      <c r="D4538" s="532">
        <v>45814</v>
      </c>
      <c r="E4538" s="534">
        <v>91</v>
      </c>
      <c r="F4538" s="653">
        <v>9.9041383126996507E-2</v>
      </c>
      <c r="G4538" s="536" t="s">
        <v>260</v>
      </c>
      <c r="H4538" s="835">
        <v>11525.804915548268</v>
      </c>
      <c r="I4538" s="835">
        <v>1372.55</v>
      </c>
      <c r="J4538">
        <v>1495.44</v>
      </c>
      <c r="K4538">
        <v>257.18553058176389</v>
      </c>
      <c r="L4538" s="596">
        <v>385266.87</v>
      </c>
      <c r="M4538" s="591">
        <f t="shared" si="606"/>
        <v>1259.5</v>
      </c>
      <c r="O4538" s="596"/>
    </row>
    <row r="4539" spans="1:32" ht="13.5" customHeight="1">
      <c r="A4539" s="532">
        <v>45721</v>
      </c>
      <c r="B4539" s="615">
        <v>800000</v>
      </c>
      <c r="C4539" s="615">
        <v>873378.44</v>
      </c>
      <c r="D4539" s="532">
        <v>45811</v>
      </c>
      <c r="E4539" s="534">
        <v>90</v>
      </c>
      <c r="F4539" s="653">
        <v>9.1736528283255403E-2</v>
      </c>
      <c r="G4539" s="536" t="s">
        <v>262</v>
      </c>
      <c r="H4539" s="835">
        <v>24463.074208868125</v>
      </c>
      <c r="I4539" s="835">
        <v>1366.16</v>
      </c>
      <c r="J4539">
        <v>1491.45</v>
      </c>
      <c r="K4539">
        <v>585.58294782455937</v>
      </c>
      <c r="L4539" s="596">
        <v>872125.03</v>
      </c>
      <c r="M4539" s="591">
        <f t="shared" si="606"/>
        <v>1253.4099999999162</v>
      </c>
      <c r="O4539" s="596"/>
    </row>
    <row r="4540" spans="1:32" ht="13.5" customHeight="1">
      <c r="A4540" s="532">
        <v>45721</v>
      </c>
      <c r="B4540" s="615">
        <v>800000</v>
      </c>
      <c r="C4540" s="615">
        <v>873378.44</v>
      </c>
      <c r="D4540" s="532">
        <v>45811</v>
      </c>
      <c r="E4540" s="534">
        <v>90</v>
      </c>
      <c r="F4540" s="653">
        <v>9.1736528283255403E-2</v>
      </c>
      <c r="G4540" s="536" t="s">
        <v>262</v>
      </c>
      <c r="H4540" s="835">
        <v>24463.074208868125</v>
      </c>
      <c r="I4540" s="835">
        <v>1366.16</v>
      </c>
      <c r="J4540">
        <v>1491.45</v>
      </c>
      <c r="K4540">
        <v>585.58294782455937</v>
      </c>
      <c r="L4540" s="596">
        <v>872125.03</v>
      </c>
      <c r="M4540" s="591">
        <f t="shared" si="606"/>
        <v>1253.4099999999162</v>
      </c>
      <c r="O4540" s="596"/>
    </row>
    <row r="4541" spans="1:32" ht="13.5" customHeight="1">
      <c r="A4541" s="532">
        <v>45723</v>
      </c>
      <c r="B4541" s="615">
        <v>400000</v>
      </c>
      <c r="C4541" s="615">
        <v>435831.03</v>
      </c>
      <c r="D4541" s="532">
        <v>45814</v>
      </c>
      <c r="E4541" s="534">
        <v>91</v>
      </c>
      <c r="F4541" s="653">
        <v>9.2250451539305667E-2</v>
      </c>
      <c r="G4541" s="536" t="s">
        <v>258</v>
      </c>
      <c r="H4541" s="835">
        <v>12164.894708479866</v>
      </c>
      <c r="I4541" s="835">
        <v>1372.55</v>
      </c>
      <c r="J4541">
        <v>1495.44</v>
      </c>
      <c r="K4541">
        <v>291.42836326545483</v>
      </c>
      <c r="L4541" s="596">
        <v>436563.03</v>
      </c>
      <c r="M4541" s="591">
        <f t="shared" ref="A4541:M4542" si="607">+C4541-L4541</f>
        <v>-732</v>
      </c>
      <c r="O4541" s="596"/>
    </row>
    <row r="4542" spans="1:32" ht="13.5" customHeight="1">
      <c r="A4542" s="532">
        <v>45723</v>
      </c>
      <c r="B4542" s="615">
        <v>400000</v>
      </c>
      <c r="C4542" s="615">
        <v>435831.03</v>
      </c>
      <c r="D4542" s="532">
        <v>45814</v>
      </c>
      <c r="E4542" s="534">
        <v>91</v>
      </c>
      <c r="F4542" s="653">
        <v>9.2250451539305667E-2</v>
      </c>
      <c r="G4542" s="536" t="s">
        <v>262</v>
      </c>
      <c r="H4542" s="835">
        <v>12164.894708479866</v>
      </c>
      <c r="I4542" s="835">
        <v>1372.55</v>
      </c>
      <c r="J4542">
        <v>1495.44</v>
      </c>
      <c r="K4542">
        <v>291.42836326545483</v>
      </c>
      <c r="L4542" s="596">
        <v>436563.03</v>
      </c>
      <c r="M4542" s="591">
        <f t="shared" si="607"/>
        <v>-732</v>
      </c>
      <c r="O4542" s="596"/>
    </row>
    <row r="4543" spans="1:32" ht="13.5" customHeight="1">
      <c r="A4543" s="532">
        <v>45727</v>
      </c>
      <c r="B4543" s="615">
        <v>500000</v>
      </c>
      <c r="C4543" s="615">
        <v>543581.96</v>
      </c>
      <c r="D4543" s="532">
        <v>45817</v>
      </c>
      <c r="E4543" s="534">
        <v>90</v>
      </c>
      <c r="F4543" s="653">
        <v>8.9801619495231577E-2</v>
      </c>
      <c r="G4543" s="536" t="s">
        <v>258</v>
      </c>
      <c r="H4543" s="835">
        <v>14966.93658253861</v>
      </c>
      <c r="I4543" s="835">
        <v>1376.82</v>
      </c>
      <c r="J4543">
        <v>1496.77</v>
      </c>
      <c r="K4543">
        <v>363.15567757586325</v>
      </c>
      <c r="L4543" s="596">
        <v>544477.67000000004</v>
      </c>
      <c r="M4543" s="591">
        <f t="shared" ref="A4543:M4544" si="608">+C4543-L4543</f>
        <v>-895.71000000007916</v>
      </c>
      <c r="O4543" s="596"/>
    </row>
    <row r="4544" spans="1:32" ht="13.5" customHeight="1">
      <c r="A4544" s="532">
        <v>45726</v>
      </c>
      <c r="B4544" s="615">
        <v>1316000</v>
      </c>
      <c r="C4544" s="615">
        <f>1316000+7154.56+117995.47</f>
        <v>1441150.03</v>
      </c>
      <c r="D4544" s="532">
        <v>45817</v>
      </c>
      <c r="E4544" s="534">
        <v>91</v>
      </c>
      <c r="F4544" s="653">
        <v>9.9169965293931517E-2</v>
      </c>
      <c r="G4544" s="536" t="s">
        <v>260</v>
      </c>
      <c r="H4544" s="835">
        <v>43024.508019828718</v>
      </c>
      <c r="I4544" s="835">
        <v>1373.61</v>
      </c>
      <c r="J4544">
        <v>1496.77</v>
      </c>
      <c r="K4544">
        <v>958.0594200682873</v>
      </c>
      <c r="L4544" s="596">
        <v>1434218.13</v>
      </c>
      <c r="M4544" s="591">
        <f t="shared" si="608"/>
        <v>6931.9000000001397</v>
      </c>
      <c r="O4544" s="596"/>
    </row>
    <row r="4545" spans="1:15" ht="13.5" customHeight="1">
      <c r="A4545" s="532">
        <v>45727</v>
      </c>
      <c r="B4545" s="615">
        <v>1600000</v>
      </c>
      <c r="C4545" s="615">
        <v>1744101.45</v>
      </c>
      <c r="D4545" s="532">
        <v>45818</v>
      </c>
      <c r="E4545" s="534">
        <v>91</v>
      </c>
      <c r="F4545" s="653">
        <v>9.2751173490312144E-2</v>
      </c>
      <c r="G4545" s="536" t="s">
        <v>258</v>
      </c>
      <c r="H4545" s="835">
        <v>48923.695906977868</v>
      </c>
      <c r="I4545" s="835">
        <v>1376.82</v>
      </c>
      <c r="J4545">
        <v>1500.78</v>
      </c>
      <c r="K4545">
        <v>1162.0981682427623</v>
      </c>
      <c r="L4545" s="596">
        <v>1748401.8775844993</v>
      </c>
      <c r="M4545" s="591">
        <f>+C4545-L4545</f>
        <v>-4300.4275844993535</v>
      </c>
      <c r="O4545" s="596"/>
    </row>
    <row r="4546" spans="1:15" ht="13.5" customHeight="1">
      <c r="A4546" s="532">
        <v>45728</v>
      </c>
      <c r="B4546" s="615">
        <v>270000</v>
      </c>
      <c r="C4546" s="615">
        <f>272019.45+24523.19</f>
        <v>296542.64</v>
      </c>
      <c r="D4546" s="532">
        <v>45819</v>
      </c>
      <c r="E4546" s="534">
        <v>91</v>
      </c>
      <c r="F4546" s="653">
        <v>9.2870248405418465E-2</v>
      </c>
      <c r="G4546" s="536" t="s">
        <v>265</v>
      </c>
      <c r="H4546" s="835">
        <v>8266.4726602625233</v>
      </c>
      <c r="I4546" s="835">
        <v>1377.89</v>
      </c>
      <c r="J4546">
        <v>1502.11</v>
      </c>
      <c r="K4546">
        <v>195.9517813468419</v>
      </c>
      <c r="L4546" s="596">
        <v>294846</v>
      </c>
      <c r="M4546" s="591">
        <f>+C4546-L4546</f>
        <v>1696.640000000014</v>
      </c>
      <c r="O4546" s="596"/>
    </row>
    <row r="4547" spans="1:15" ht="13.5" customHeight="1">
      <c r="A4547" s="532">
        <v>45728</v>
      </c>
      <c r="B4547" s="615">
        <v>1300000</v>
      </c>
      <c r="C4547" s="615">
        <v>1417225.76</v>
      </c>
      <c r="D4547" s="532">
        <v>45819</v>
      </c>
      <c r="E4547" s="534">
        <v>91</v>
      </c>
      <c r="F4547" s="653">
        <v>9.2870248405418465E-2</v>
      </c>
      <c r="G4547" s="536" t="s">
        <v>258</v>
      </c>
      <c r="H4547" s="835">
        <v>39801.535030893632</v>
      </c>
      <c r="I4547" s="835">
        <v>1377.89</v>
      </c>
      <c r="J4547">
        <v>1502.11</v>
      </c>
      <c r="K4547">
        <v>943.47153981812767</v>
      </c>
      <c r="L4547" s="596">
        <v>1419628.91</v>
      </c>
      <c r="M4547" s="591">
        <f>+C4547-L4547</f>
        <v>-2403.1499999999069</v>
      </c>
      <c r="O4547" s="596"/>
    </row>
    <row r="4548" spans="1:15" ht="13.5" customHeight="1">
      <c r="A4548" s="532">
        <v>45729</v>
      </c>
      <c r="B4548" s="615">
        <v>2000000</v>
      </c>
      <c r="C4548" s="615">
        <f>2014958.9+181906.82</f>
        <v>2196865.7199999997</v>
      </c>
      <c r="D4548" s="532">
        <v>45820</v>
      </c>
      <c r="E4548" s="534">
        <v>91</v>
      </c>
      <c r="F4548" s="653">
        <v>9.2996408450760182E-2</v>
      </c>
      <c r="G4548" s="536" t="s">
        <v>256</v>
      </c>
      <c r="H4548" s="835">
        <v>61316.313264237484</v>
      </c>
      <c r="I4548" s="835">
        <v>1378.96</v>
      </c>
      <c r="J4548">
        <v>1503.45</v>
      </c>
      <c r="K4548">
        <v>1450.3683935719673</v>
      </c>
      <c r="L4548" s="596">
        <v>2184297.92</v>
      </c>
      <c r="M4548" s="591">
        <f>+C4548-L4548</f>
        <v>12567.799999999814</v>
      </c>
      <c r="O4548" s="596"/>
    </row>
    <row r="4549" spans="1:15" ht="13.5" customHeight="1">
      <c r="A4549" s="532">
        <v>45730</v>
      </c>
      <c r="B4549" s="615">
        <v>700000</v>
      </c>
      <c r="C4549" s="615">
        <f>705235.62+63756</f>
        <v>768991.62</v>
      </c>
      <c r="D4549" s="532">
        <v>45821</v>
      </c>
      <c r="E4549" s="534">
        <v>91</v>
      </c>
      <c r="F4549" s="653">
        <v>9.3122372860863889E-2</v>
      </c>
      <c r="G4549" s="536" t="s">
        <v>257</v>
      </c>
      <c r="H4549" s="835">
        <v>21489.778352507063</v>
      </c>
      <c r="I4549" s="835">
        <v>1380.03</v>
      </c>
      <c r="J4549">
        <v>1504.79</v>
      </c>
      <c r="K4549">
        <v>507.23534995616041</v>
      </c>
      <c r="L4549" s="596">
        <v>764587.3</v>
      </c>
      <c r="M4549" s="591">
        <f t="shared" ref="A4549:M4553" si="609">+C4549-L4549</f>
        <v>4404.3199999999488</v>
      </c>
      <c r="O4549" s="596"/>
    </row>
    <row r="4550" spans="1:15" ht="13.5" customHeight="1">
      <c r="A4550" s="532">
        <v>45729</v>
      </c>
      <c r="B4550" s="615">
        <v>1200000</v>
      </c>
      <c r="C4550" s="615">
        <f>1209073.97+110327.91</f>
        <v>1319401.8799999999</v>
      </c>
      <c r="D4550" s="532">
        <v>45821</v>
      </c>
      <c r="E4550" s="534">
        <v>92</v>
      </c>
      <c r="F4550" s="653">
        <v>9.4000475243999571E-2</v>
      </c>
      <c r="G4550" s="536" t="s">
        <v>256</v>
      </c>
      <c r="H4550" s="835">
        <v>36782.794660695487</v>
      </c>
      <c r="I4550" s="835">
        <v>1378.96</v>
      </c>
      <c r="J4550">
        <v>1504.79</v>
      </c>
      <c r="K4550">
        <v>870.2210361431803</v>
      </c>
      <c r="L4550" s="596">
        <v>1311782.7</v>
      </c>
      <c r="M4550" s="591">
        <f t="shared" si="609"/>
        <v>7619.1799999999348</v>
      </c>
      <c r="O4550" s="596"/>
    </row>
    <row r="4551" spans="1:15" ht="13.5" customHeight="1">
      <c r="A4551" s="532">
        <v>45733</v>
      </c>
      <c r="B4551" s="615">
        <v>1200000</v>
      </c>
      <c r="C4551" s="615">
        <f>109447.06+1209073.97</f>
        <v>1318521.03</v>
      </c>
      <c r="D4551" s="532">
        <v>45825</v>
      </c>
      <c r="E4551" s="534">
        <v>92</v>
      </c>
      <c r="F4551" s="653">
        <v>9.3270103667856041E-2</v>
      </c>
      <c r="G4551" s="536" t="s">
        <v>256</v>
      </c>
      <c r="H4551" s="835">
        <v>36496.997087421958</v>
      </c>
      <c r="I4551" s="835">
        <v>1381.11</v>
      </c>
      <c r="J4551">
        <v>1506.13</v>
      </c>
      <c r="K4551">
        <v>868.8663466342291</v>
      </c>
      <c r="L4551" s="596">
        <v>1311924.1244014273</v>
      </c>
      <c r="M4551" s="591">
        <f t="shared" si="609"/>
        <v>6596.9055985726882</v>
      </c>
      <c r="N4551" t="e">
        <v>#REF!</v>
      </c>
      <c r="O4551" s="596"/>
    </row>
    <row r="4552" spans="1:15" ht="13.5" customHeight="1">
      <c r="A4552" s="532">
        <v>45733</v>
      </c>
      <c r="B4552" s="615">
        <v>779000</v>
      </c>
      <c r="C4552" s="615">
        <f>779000+7896.91+72880.89</f>
        <v>859777.8</v>
      </c>
      <c r="D4552" s="532">
        <v>45826</v>
      </c>
      <c r="E4552" s="534">
        <v>93</v>
      </c>
      <c r="F4552" s="653">
        <v>9.3555183873840653E-2</v>
      </c>
      <c r="G4552" s="536" t="s">
        <v>260</v>
      </c>
      <c r="H4552" s="835">
        <v>23509.512334748983</v>
      </c>
      <c r="I4552" s="835">
        <v>1381.11</v>
      </c>
      <c r="J4552">
        <v>1510.32</v>
      </c>
      <c r="K4552">
        <v>564.03907002338701</v>
      </c>
      <c r="L4552" s="596">
        <v>854050.03049542347</v>
      </c>
      <c r="M4552" s="591">
        <f t="shared" si="609"/>
        <v>5727.7695045765722</v>
      </c>
      <c r="O4552" s="596"/>
    </row>
    <row r="4553" spans="1:15" ht="13.5" customHeight="1">
      <c r="A4553" s="532">
        <v>45734</v>
      </c>
      <c r="B4553" s="615">
        <v>442000</v>
      </c>
      <c r="C4553" s="615">
        <f>442000+4259.1+40230.07</f>
        <v>486489.17</v>
      </c>
      <c r="D4553" s="532">
        <v>45826</v>
      </c>
      <c r="E4553" s="534">
        <v>92</v>
      </c>
      <c r="F4553" s="653">
        <v>9.3785186717187496E-2</v>
      </c>
      <c r="G4553" s="536" t="s">
        <v>260</v>
      </c>
      <c r="H4553" s="835">
        <v>13517.299737716379</v>
      </c>
      <c r="I4553" s="835">
        <v>1384.3</v>
      </c>
      <c r="J4553">
        <v>1510.32</v>
      </c>
      <c r="K4553">
        <v>319.29495051650656</v>
      </c>
      <c r="L4553" s="596">
        <v>483453.05252899689</v>
      </c>
      <c r="M4553" s="591">
        <f t="shared" si="609"/>
        <v>3036.11747100309</v>
      </c>
      <c r="O4553" s="596"/>
    </row>
    <row r="4554" spans="1:15" ht="13.5" customHeight="1">
      <c r="A4554" s="532">
        <v>45735</v>
      </c>
      <c r="B4554" s="615">
        <v>600000</v>
      </c>
      <c r="C4554" s="615">
        <f>604536.99+54856.74</f>
        <v>659393.73</v>
      </c>
      <c r="D4554" s="532">
        <v>45827</v>
      </c>
      <c r="E4554" s="534">
        <v>92</v>
      </c>
      <c r="F4554" s="653">
        <v>9.3491023548797125E-2</v>
      </c>
      <c r="G4554" s="536" t="s">
        <v>257</v>
      </c>
      <c r="H4554" s="835">
        <v>18291.721998677684</v>
      </c>
      <c r="I4554" s="835">
        <v>1385.36</v>
      </c>
      <c r="J4554">
        <v>1511.07</v>
      </c>
      <c r="K4554">
        <v>433.10042155107703</v>
      </c>
      <c r="L4554" s="596">
        <v>656094.61412927846</v>
      </c>
      <c r="M4554" s="591">
        <f>+C4554-L4554</f>
        <v>3299.1158707215218</v>
      </c>
      <c r="O4554" s="596"/>
    </row>
    <row r="4555" spans="1:15" ht="13.5" customHeight="1">
      <c r="A4555" s="532">
        <v>45734</v>
      </c>
      <c r="B4555" s="615">
        <v>500000</v>
      </c>
      <c r="C4555" s="615">
        <v>546357.48</v>
      </c>
      <c r="D4555" s="532">
        <v>45827</v>
      </c>
      <c r="E4555" s="534">
        <v>93</v>
      </c>
      <c r="F4555" s="653">
        <v>9.435824861781672E-2</v>
      </c>
      <c r="G4555" s="536" t="s">
        <v>258</v>
      </c>
      <c r="H4555" s="835">
        <v>15219.072357712374</v>
      </c>
      <c r="I4555" s="835">
        <v>1384.3</v>
      </c>
      <c r="J4555">
        <v>1511.07</v>
      </c>
      <c r="K4555">
        <v>361.19338293722461</v>
      </c>
      <c r="L4555" s="596">
        <v>547179.12430890836</v>
      </c>
      <c r="M4555" s="591">
        <f>+C4555-L4555</f>
        <v>-821.64430890837684</v>
      </c>
      <c r="O4555" s="596"/>
    </row>
    <row r="4556" spans="1:15" ht="13.5" customHeight="1">
      <c r="A4556" s="532">
        <v>45741</v>
      </c>
      <c r="B4556" s="615">
        <v>2000000</v>
      </c>
      <c r="C4556" s="615">
        <f>2014794.52+178881.32</f>
        <v>2193675.84</v>
      </c>
      <c r="D4556" s="532">
        <v>45831</v>
      </c>
      <c r="E4556" s="534">
        <v>90</v>
      </c>
      <c r="F4556" s="653">
        <v>9.1468575152653608E-2</v>
      </c>
      <c r="G4556" s="536" t="s">
        <v>256</v>
      </c>
      <c r="H4556" s="835">
        <v>60979.050101768997</v>
      </c>
      <c r="I4556" s="835">
        <v>1388.54</v>
      </c>
      <c r="J4556">
        <v>1511.82</v>
      </c>
      <c r="K4556">
        <v>1440.361818888905</v>
      </c>
      <c r="L4556" s="596">
        <v>2182937.1503053075</v>
      </c>
      <c r="M4556" s="591">
        <f>+C4556-L4556</f>
        <v>10738.689694692381</v>
      </c>
      <c r="O4556" s="596"/>
    </row>
    <row r="4557" spans="1:15" ht="13.5" customHeight="1">
      <c r="A4557" s="532">
        <v>45741</v>
      </c>
      <c r="B4557" s="615">
        <v>97000</v>
      </c>
      <c r="C4557" s="615">
        <f>97000+924.04+8825.33</f>
        <v>106749.37</v>
      </c>
      <c r="D4557" s="532">
        <v>45832</v>
      </c>
      <c r="E4557" s="534">
        <v>91</v>
      </c>
      <c r="F4557" s="653">
        <v>9.3664334135529215E-2</v>
      </c>
      <c r="G4557" s="536" t="s">
        <v>260</v>
      </c>
      <c r="H4557" s="835">
        <v>2995.2001355427487</v>
      </c>
      <c r="I4557" s="835">
        <v>1388.54</v>
      </c>
      <c r="J4557">
        <v>1514.82</v>
      </c>
      <c r="K4557">
        <v>69.857548216111894</v>
      </c>
      <c r="L4557" s="596">
        <v>106085.44041114635</v>
      </c>
      <c r="M4557" s="591">
        <f t="shared" ref="A4557:M4559" si="610">+C4557-L4557</f>
        <v>663.92958885364351</v>
      </c>
      <c r="O4557" s="596"/>
    </row>
    <row r="4558" spans="1:15" ht="13.5" customHeight="1">
      <c r="A4558" s="532">
        <v>45741</v>
      </c>
      <c r="B4558" s="615">
        <v>270000</v>
      </c>
      <c r="C4558" s="615">
        <f>272019.45+24738.66</f>
        <v>296758.11</v>
      </c>
      <c r="D4558" s="532">
        <v>45832</v>
      </c>
      <c r="E4558" s="534">
        <v>91</v>
      </c>
      <c r="F4558" s="653">
        <v>9.3664334135529215E-2</v>
      </c>
      <c r="G4558" s="536" t="s">
        <v>256</v>
      </c>
      <c r="H4558" s="835">
        <v>8337.1550164592027</v>
      </c>
      <c r="I4558" s="835">
        <v>1388.54</v>
      </c>
      <c r="J4558">
        <v>1514.82</v>
      </c>
      <c r="K4558">
        <v>194.44884555000218</v>
      </c>
      <c r="L4558" s="596">
        <v>295289.37021659291</v>
      </c>
      <c r="M4558" s="591">
        <f t="shared" si="610"/>
        <v>1468.7397834070725</v>
      </c>
      <c r="N4558" t="e">
        <v>#REF!</v>
      </c>
      <c r="O4558" s="596"/>
    </row>
    <row r="4559" spans="1:15" ht="13.5" customHeight="1">
      <c r="A4559" s="532">
        <v>45741</v>
      </c>
      <c r="B4559" s="615">
        <v>1500000</v>
      </c>
      <c r="C4559" s="615">
        <f>1511219.38+137436.98</f>
        <v>1648656.3599999999</v>
      </c>
      <c r="D4559" s="532">
        <v>45832</v>
      </c>
      <c r="E4559" s="534">
        <v>91</v>
      </c>
      <c r="F4559" s="653">
        <v>9.3664334135529215E-2</v>
      </c>
      <c r="G4559" s="536" t="s">
        <v>257</v>
      </c>
      <c r="H4559" s="835">
        <v>46317.527869217774</v>
      </c>
      <c r="I4559" s="835">
        <v>1388.54</v>
      </c>
      <c r="J4559">
        <v>1514.82</v>
      </c>
      <c r="K4559">
        <v>1080.2713641666787</v>
      </c>
      <c r="L4559" s="596">
        <v>1640496.5012032939</v>
      </c>
      <c r="M4559" s="591">
        <f t="shared" si="610"/>
        <v>8159.8587967059575</v>
      </c>
      <c r="O4559" s="596"/>
    </row>
    <row r="4560" spans="1:15" ht="13.5" customHeight="1">
      <c r="A4560" s="532">
        <v>45741</v>
      </c>
      <c r="B4560" s="615">
        <v>1500000</v>
      </c>
      <c r="C4560" s="615">
        <f>1511342.47+138264.53</f>
        <v>1649607</v>
      </c>
      <c r="D4560" s="532">
        <v>45833</v>
      </c>
      <c r="E4560" s="534">
        <v>92</v>
      </c>
      <c r="F4560" s="653">
        <v>9.4235720144407065E-2</v>
      </c>
      <c r="G4560" s="536" t="s">
        <v>265</v>
      </c>
      <c r="H4560" s="835">
        <v>46093.558766286056</v>
      </c>
      <c r="I4560" s="835">
        <v>1388.54</v>
      </c>
      <c r="J4560">
        <v>1515.57</v>
      </c>
      <c r="K4560">
        <v>1080.2713641666787</v>
      </c>
      <c r="L4560" s="596">
        <v>1641353.5802166106</v>
      </c>
      <c r="M4560" s="591">
        <f>+C4560-L4560</f>
        <v>8253.4197833894286</v>
      </c>
      <c r="O4560" s="596"/>
    </row>
    <row r="4561" spans="1:15" ht="13.5" customHeight="1">
      <c r="A4561" s="532">
        <v>45742</v>
      </c>
      <c r="B4561" s="615">
        <v>500000</v>
      </c>
      <c r="C4561" s="615">
        <v>544086.65</v>
      </c>
      <c r="D4561" s="532">
        <v>45833</v>
      </c>
      <c r="E4561" s="534">
        <v>91</v>
      </c>
      <c r="F4561" s="653">
        <v>9.0859092750977588E-2</v>
      </c>
      <c r="G4561" s="536" t="s">
        <v>258</v>
      </c>
      <c r="H4561" s="835">
        <v>14976.773530380906</v>
      </c>
      <c r="I4561" s="835">
        <v>1392.8</v>
      </c>
      <c r="J4561">
        <v>1515.57</v>
      </c>
      <c r="K4561">
        <v>358.98908673176339</v>
      </c>
      <c r="L4561" s="596">
        <v>545429.54637548886</v>
      </c>
      <c r="M4561" s="591">
        <f>+C4561-L4561</f>
        <v>-1342.8963754888391</v>
      </c>
      <c r="O4561" s="596"/>
    </row>
    <row r="4562" spans="1:15" ht="13.5" customHeight="1">
      <c r="A4562" s="532">
        <v>45741</v>
      </c>
      <c r="B4562" s="615">
        <v>558000</v>
      </c>
      <c r="C4562" s="615">
        <f>562265.26+51746.35</f>
        <v>614011.61</v>
      </c>
      <c r="D4562" s="532">
        <v>45834</v>
      </c>
      <c r="E4562" s="534">
        <v>93</v>
      </c>
      <c r="F4562" s="653">
        <v>9.4814355908670045E-2</v>
      </c>
      <c r="G4562" s="536" t="s">
        <v>265</v>
      </c>
      <c r="H4562" s="835">
        <v>17066.584063560607</v>
      </c>
      <c r="I4562" s="835">
        <v>1388.54</v>
      </c>
      <c r="J4562">
        <v>1516.33</v>
      </c>
      <c r="K4562">
        <v>401.86094747000448</v>
      </c>
      <c r="L4562" s="596">
        <v>610906.41059703787</v>
      </c>
      <c r="M4562" s="591">
        <f t="shared" ref="A4562:M4563" si="611">+C4562-L4562</f>
        <v>3105.1994029621128</v>
      </c>
      <c r="O4562" s="596"/>
    </row>
    <row r="4563" spans="1:15" ht="13.5" customHeight="1">
      <c r="A4563" s="532">
        <v>45742</v>
      </c>
      <c r="B4563" s="615">
        <v>1700000</v>
      </c>
      <c r="C4563" s="615">
        <f>1712854.79+151916.25</f>
        <v>1864771.04</v>
      </c>
      <c r="D4563" s="532">
        <v>45834</v>
      </c>
      <c r="E4563" s="534">
        <v>92</v>
      </c>
      <c r="F4563" s="653">
        <v>9.1435943757720795E-2</v>
      </c>
      <c r="G4563" s="536" t="s">
        <v>257</v>
      </c>
      <c r="H4563" s="835">
        <v>50687.316648301712</v>
      </c>
      <c r="I4563" s="835">
        <v>1392.8</v>
      </c>
      <c r="J4563">
        <v>1516.33</v>
      </c>
      <c r="K4563">
        <v>1220.5628948879955</v>
      </c>
      <c r="L4563" s="596">
        <v>1855441.1043881255</v>
      </c>
      <c r="M4563" s="591">
        <f t="shared" si="611"/>
        <v>9329.9356118745636</v>
      </c>
      <c r="O4563" s="596"/>
    </row>
    <row r="4564" spans="1:15" ht="13.5" customHeight="1">
      <c r="A4564" s="532">
        <v>45742</v>
      </c>
      <c r="B4564" s="615">
        <v>190000</v>
      </c>
      <c r="C4564" s="615">
        <f>190000+1850.84+16960.05</f>
        <v>208810.88999999998</v>
      </c>
      <c r="D4564" s="532">
        <v>45835</v>
      </c>
      <c r="E4564" s="534">
        <v>93</v>
      </c>
      <c r="F4564" s="653">
        <v>9.2005626588403722E-2</v>
      </c>
      <c r="G4564" s="536" t="s">
        <v>260</v>
      </c>
      <c r="H4564" s="835">
        <v>5639.0545328376502</v>
      </c>
      <c r="I4564" s="835">
        <v>1392.8</v>
      </c>
      <c r="J4564">
        <v>1517.08</v>
      </c>
      <c r="K4564">
        <v>136.41585295807008</v>
      </c>
      <c r="L4564" s="596">
        <v>207481.06905179672</v>
      </c>
      <c r="M4564" s="591">
        <f t="shared" ref="A4564:M4565" si="612">+C4564-L4564</f>
        <v>1329.8209482032689</v>
      </c>
      <c r="O4564" s="596"/>
    </row>
    <row r="4565" spans="1:15" ht="13.5" customHeight="1">
      <c r="A4565" s="532">
        <v>45742</v>
      </c>
      <c r="B4565" s="615">
        <v>1700000</v>
      </c>
      <c r="C4565" s="615">
        <f>1712994.52+152851.06</f>
        <v>1865845.58</v>
      </c>
      <c r="D4565" s="532">
        <v>45835</v>
      </c>
      <c r="E4565" s="534">
        <v>93</v>
      </c>
      <c r="F4565" s="653">
        <v>8.9230327398047038E-2</v>
      </c>
      <c r="G4565" s="536" t="s">
        <v>257</v>
      </c>
      <c r="H4565" s="835">
        <v>48932.760186025786</v>
      </c>
      <c r="I4565" s="835">
        <v>1392.8</v>
      </c>
      <c r="J4565">
        <v>1517.08</v>
      </c>
      <c r="K4565">
        <v>1220.5628948879955</v>
      </c>
      <c r="L4565" s="596">
        <v>1856409.5652002867</v>
      </c>
      <c r="M4565" s="591">
        <f t="shared" si="612"/>
        <v>9436.0147997133899</v>
      </c>
      <c r="O4565" s="596"/>
    </row>
    <row r="4566" spans="1:15" ht="13.5" customHeight="1">
      <c r="A4566" s="532">
        <v>45656</v>
      </c>
      <c r="B4566" s="615">
        <v>2000000</v>
      </c>
      <c r="C4566" s="615">
        <f>2338960.86+11656.93</f>
        <v>2350617.79</v>
      </c>
      <c r="D4566" s="532">
        <v>45838</v>
      </c>
      <c r="E4566" s="534">
        <v>182</v>
      </c>
      <c r="F4566" s="653">
        <v>0.17530905083576886</v>
      </c>
      <c r="G4566" s="536" t="s">
        <v>263</v>
      </c>
      <c r="H4566" s="835">
        <v>57794.192583220523</v>
      </c>
      <c r="I4566" s="835">
        <v>1297.8699999999999</v>
      </c>
      <c r="J4566">
        <v>1517.83</v>
      </c>
      <c r="K4566">
        <v>1540.9863853852853</v>
      </c>
      <c r="L4566" s="596">
        <v>2350618.1016715379</v>
      </c>
      <c r="M4566" s="591">
        <f t="shared" ref="A4566:M4566" si="613">+C4566-L4566</f>
        <v>-0.31167153781279922</v>
      </c>
      <c r="O4566" s="596"/>
    </row>
    <row r="4567" spans="1:15" ht="13.5" customHeight="1">
      <c r="A4567" s="532">
        <v>45742</v>
      </c>
      <c r="B4567" s="615">
        <v>2000000</v>
      </c>
      <c r="C4567" s="615">
        <v>2182840.89</v>
      </c>
      <c r="D4567" s="532">
        <v>45839</v>
      </c>
      <c r="E4567" s="534">
        <v>97</v>
      </c>
      <c r="F4567" s="653">
        <v>9.4291851832909668E-2</v>
      </c>
      <c r="G4567" s="536" t="s">
        <v>258</v>
      </c>
      <c r="H4567" s="835">
        <v>58324.856803861694</v>
      </c>
      <c r="I4567" s="835">
        <v>1392.8</v>
      </c>
      <c r="J4567">
        <v>1520.09</v>
      </c>
      <c r="K4567">
        <v>1435.9563469270536</v>
      </c>
      <c r="L4567" s="596">
        <v>2188583.7036658195</v>
      </c>
      <c r="M4567" s="591">
        <f t="shared" ref="A4567:M4567" si="614">+C4567-L4567</f>
        <v>-5742.8136658193544</v>
      </c>
      <c r="O4567" s="596"/>
    </row>
    <row r="4568" spans="1:15" ht="13.5" customHeight="1">
      <c r="A4568" s="532">
        <v>45742</v>
      </c>
      <c r="B4568" s="615">
        <v>2000000</v>
      </c>
      <c r="C4568" s="615">
        <v>2183932.85</v>
      </c>
      <c r="D4568" s="532">
        <v>45840</v>
      </c>
      <c r="E4568" s="534">
        <v>98</v>
      </c>
      <c r="F4568" s="653">
        <v>9.4868881449017506E-2</v>
      </c>
      <c r="G4568" s="536" t="s">
        <v>258</v>
      </c>
      <c r="H4568" s="835">
        <v>58082.988642255572</v>
      </c>
      <c r="I4568" s="835">
        <v>1392.8</v>
      </c>
      <c r="J4568">
        <v>1520.85</v>
      </c>
      <c r="K4568">
        <v>1435.9563469270536</v>
      </c>
      <c r="L4568" s="596">
        <v>2189737.7628980353</v>
      </c>
      <c r="M4568" s="591">
        <f t="shared" ref="A4568:M4568" si="615">+C4568-L4568</f>
        <v>-5804.9128980352543</v>
      </c>
      <c r="O4568" s="596"/>
    </row>
    <row r="4569" spans="1:15" ht="13.5" customHeight="1">
      <c r="A4569" s="532">
        <v>45742</v>
      </c>
      <c r="B4569" s="615">
        <v>2000000</v>
      </c>
      <c r="C4569" s="615">
        <f>2016273.97+186456.71</f>
        <v>2202730.6800000002</v>
      </c>
      <c r="D4569" s="532">
        <v>45841</v>
      </c>
      <c r="E4569" s="534">
        <v>99</v>
      </c>
      <c r="F4569" s="653">
        <v>9.5438741708827379E-2</v>
      </c>
      <c r="G4569" s="536" t="s">
        <v>256</v>
      </c>
      <c r="H4569" s="835">
        <v>57841.661641713596</v>
      </c>
      <c r="I4569" s="835">
        <v>1392.8</v>
      </c>
      <c r="J4569">
        <v>1521.6</v>
      </c>
      <c r="K4569">
        <v>1435.9563469270536</v>
      </c>
      <c r="L4569" s="596">
        <v>2190877.4834176549</v>
      </c>
      <c r="M4569" s="591">
        <f t="shared" ref="A4569:M4570" si="616">+C4569-L4569</f>
        <v>11853.196582345292</v>
      </c>
      <c r="O4569" s="596"/>
    </row>
    <row r="4570" spans="1:15" ht="13.5" customHeight="1">
      <c r="A4570" s="532">
        <v>45811</v>
      </c>
      <c r="B4570" s="615">
        <v>479000</v>
      </c>
      <c r="C4570" s="615">
        <v>490417.26027397258</v>
      </c>
      <c r="D4570" s="532">
        <v>45841</v>
      </c>
      <c r="E4570" s="534">
        <v>30</v>
      </c>
      <c r="F4570" s="653">
        <v>0.28999999999999998</v>
      </c>
      <c r="G4570" s="536" t="s">
        <v>820</v>
      </c>
      <c r="H4570" s="835">
        <v>11417.260273972584</v>
      </c>
      <c r="I4570" s="835">
        <v>1491.45</v>
      </c>
      <c r="J4570">
        <v>1521.6</v>
      </c>
      <c r="K4570">
        <v>321.16396795065202</v>
      </c>
      <c r="L4570" s="596">
        <v>490417.26027397258</v>
      </c>
      <c r="M4570" s="591">
        <f t="shared" si="616"/>
        <v>0</v>
      </c>
      <c r="O4570" s="596"/>
    </row>
    <row r="4571" spans="1:15" ht="13.5" customHeight="1">
      <c r="A4571" s="532">
        <v>45743</v>
      </c>
      <c r="B4571" s="615">
        <v>217000</v>
      </c>
      <c r="C4571" s="615">
        <f>218765.73+20168.01</f>
        <v>238933.74000000002</v>
      </c>
      <c r="D4571" s="532">
        <v>45842</v>
      </c>
      <c r="E4571" s="534">
        <v>99</v>
      </c>
      <c r="F4571" s="653">
        <v>9.5152411879182885E-2</v>
      </c>
      <c r="G4571" s="536" t="s">
        <v>257</v>
      </c>
      <c r="H4571" s="835">
        <v>6256.991932661419</v>
      </c>
      <c r="I4571" s="835">
        <v>1393.86</v>
      </c>
      <c r="J4571">
        <v>1522.36</v>
      </c>
      <c r="K4571">
        <v>155.68278019313274</v>
      </c>
      <c r="L4571" s="596">
        <v>237648.07337778268</v>
      </c>
      <c r="M4571" s="591">
        <f>+C4571-L4571</f>
        <v>1285.6666222173371</v>
      </c>
      <c r="O4571" s="596"/>
    </row>
    <row r="4572" spans="1:15" ht="13.5" customHeight="1">
      <c r="A4572" s="532">
        <v>45743</v>
      </c>
      <c r="B4572" s="615">
        <v>342000</v>
      </c>
      <c r="C4572" s="615">
        <f>343000+3547.1+31526.25</f>
        <v>378073.35</v>
      </c>
      <c r="D4572" s="532">
        <v>45842</v>
      </c>
      <c r="E4572" s="534">
        <v>99</v>
      </c>
      <c r="F4572" s="653">
        <v>9.5152411879182885E-2</v>
      </c>
      <c r="G4572" s="536" t="s">
        <v>260</v>
      </c>
      <c r="H4572" s="835">
        <v>9861.249958388049</v>
      </c>
      <c r="I4572" s="835">
        <v>1393.86</v>
      </c>
      <c r="J4572">
        <v>1522.36</v>
      </c>
      <c r="K4572">
        <v>245.36180104171152</v>
      </c>
      <c r="L4572" s="596">
        <v>374542.12486268056</v>
      </c>
      <c r="M4572" s="591">
        <f>+C4572-L4572</f>
        <v>3531.2251373194158</v>
      </c>
      <c r="N4572" t="e">
        <v>#REF!</v>
      </c>
      <c r="O4572" s="596"/>
    </row>
    <row r="4573" spans="1:15" ht="13.5" customHeight="1">
      <c r="A4573" s="532">
        <v>45743</v>
      </c>
      <c r="B4573" s="615">
        <v>1350000</v>
      </c>
      <c r="C4573" s="615">
        <f>1360984.93+125469.24</f>
        <v>1486454.17</v>
      </c>
      <c r="D4573" s="532">
        <v>45842</v>
      </c>
      <c r="E4573" s="534">
        <v>99</v>
      </c>
      <c r="F4573" s="653">
        <v>9.5152411879182885E-2</v>
      </c>
      <c r="G4573" s="536" t="s">
        <v>256</v>
      </c>
      <c r="H4573" s="835">
        <v>38925.986677847563</v>
      </c>
      <c r="I4573" s="835">
        <v>1393.86</v>
      </c>
      <c r="J4573">
        <v>1522.36</v>
      </c>
      <c r="K4573">
        <v>968.53342516465079</v>
      </c>
      <c r="L4573" s="596">
        <v>1478455.7560368972</v>
      </c>
      <c r="M4573" s="591">
        <f>+C4573-L4573</f>
        <v>7998.4139631027356</v>
      </c>
      <c r="O4573" s="596"/>
    </row>
    <row r="4574" spans="1:15" ht="13.5" customHeight="1">
      <c r="A4574" s="1126">
        <v>45664</v>
      </c>
      <c r="B4574" s="615">
        <v>700000</v>
      </c>
      <c r="C4574" s="615">
        <f>815214.17+4036.24</f>
        <v>819250.41</v>
      </c>
      <c r="D4574" s="532">
        <v>45845</v>
      </c>
      <c r="E4574" s="534">
        <v>181</v>
      </c>
      <c r="F4574" s="601">
        <v>0.17037478318323029</v>
      </c>
      <c r="G4574" s="1127" t="s">
        <v>263</v>
      </c>
      <c r="H4574" s="1021">
        <v>19767.240037833351</v>
      </c>
      <c r="I4574" s="1128">
        <v>1307.8399999999999</v>
      </c>
      <c r="J4574" s="1125">
        <v>1523.11</v>
      </c>
      <c r="K4574">
        <v>535.23366772693907</v>
      </c>
      <c r="L4574" s="591">
        <v>819262.34822826122</v>
      </c>
      <c r="M4574" s="591">
        <f t="shared" ref="A4574:M4577" si="617">+C4574-L4574</f>
        <v>-11.938228261191398</v>
      </c>
    </row>
    <row r="4575" spans="1:15" ht="13.5" customHeight="1">
      <c r="A4575" s="1126">
        <v>45747</v>
      </c>
      <c r="B4575" s="615">
        <v>700000</v>
      </c>
      <c r="C4575" s="615">
        <v>763757.62</v>
      </c>
      <c r="D4575" s="532">
        <v>45845</v>
      </c>
      <c r="E4575" s="534">
        <v>98</v>
      </c>
      <c r="F4575" s="601">
        <v>9.3982411194410531E-2</v>
      </c>
      <c r="G4575" s="1127" t="s">
        <v>262</v>
      </c>
      <c r="H4575" s="1021">
        <v>20139.088113087986</v>
      </c>
      <c r="I4575" s="1128">
        <v>1396</v>
      </c>
      <c r="J4575" s="1125">
        <v>1523.11</v>
      </c>
      <c r="K4575">
        <v>501.43266475644697</v>
      </c>
      <c r="L4575" s="591">
        <v>765787.68783608743</v>
      </c>
      <c r="M4575" s="591">
        <f t="shared" si="617"/>
        <v>-2030.0678360874299</v>
      </c>
      <c r="N4575" t="e">
        <v>#REF!</v>
      </c>
    </row>
    <row r="4576" spans="1:15" ht="13.5" customHeight="1">
      <c r="A4576" s="1126">
        <v>45748</v>
      </c>
      <c r="B4576" s="615">
        <v>500000</v>
      </c>
      <c r="C4576" s="615">
        <f>503986.3+44631.89</f>
        <v>548618.18999999994</v>
      </c>
      <c r="D4576" s="532">
        <v>45845</v>
      </c>
      <c r="E4576" s="534">
        <v>97</v>
      </c>
      <c r="F4576" s="601">
        <v>9.1450626776944821E-2</v>
      </c>
      <c r="G4576" s="1127" t="s">
        <v>256</v>
      </c>
      <c r="H4576" s="1021">
        <v>14141.84950158941</v>
      </c>
      <c r="I4576" s="1128">
        <v>1399.2</v>
      </c>
      <c r="J4576" s="1125">
        <v>1523.11</v>
      </c>
      <c r="K4576">
        <v>357.34705546026299</v>
      </c>
      <c r="L4576" s="591">
        <v>545725.31338847242</v>
      </c>
      <c r="M4576" s="591">
        <f t="shared" si="617"/>
        <v>2892.8766115275212</v>
      </c>
    </row>
    <row r="4577" spans="1:14" ht="13.5" customHeight="1">
      <c r="A4577" s="1126">
        <v>45755</v>
      </c>
      <c r="B4577" s="615">
        <v>341000</v>
      </c>
      <c r="C4577" s="615">
        <f>343522.47+28422.56</f>
        <v>371945.02999999997</v>
      </c>
      <c r="D4577" s="532">
        <v>45845</v>
      </c>
      <c r="E4577" s="534">
        <v>90</v>
      </c>
      <c r="F4577" s="601">
        <v>8.5408335488675657E-2</v>
      </c>
      <c r="G4577" s="1127" t="s">
        <v>257</v>
      </c>
      <c r="H4577" s="1021">
        <v>9708.0808005461404</v>
      </c>
      <c r="I4577" s="1128">
        <v>1406.72</v>
      </c>
      <c r="J4577" s="1125">
        <v>1523.11</v>
      </c>
      <c r="K4577">
        <v>242.40787079162874</v>
      </c>
      <c r="L4577" s="591">
        <v>370124.24240163836</v>
      </c>
      <c r="M4577" s="591">
        <f t="shared" si="617"/>
        <v>1820.7875983616104</v>
      </c>
    </row>
    <row r="4578" spans="1:14" ht="13.5" customHeight="1">
      <c r="A4578" s="1126">
        <v>45747</v>
      </c>
      <c r="B4578" s="615">
        <v>542000</v>
      </c>
      <c r="C4578" s="615">
        <f>546410.25+50640.8</f>
        <v>597051.05000000005</v>
      </c>
      <c r="D4578" s="532">
        <v>45846</v>
      </c>
      <c r="E4578" s="534">
        <v>99</v>
      </c>
      <c r="F4578" s="601">
        <v>9.5642788004867141E-2</v>
      </c>
      <c r="G4578" s="1127" t="s">
        <v>257</v>
      </c>
      <c r="H4578" s="1021">
        <v>15708.603363223621</v>
      </c>
      <c r="I4578" s="1128">
        <v>1396</v>
      </c>
      <c r="J4578" s="1125">
        <v>1525.38</v>
      </c>
      <c r="K4578">
        <v>388.25214899713467</v>
      </c>
      <c r="L4578" s="591">
        <v>593838.39109863807</v>
      </c>
      <c r="M4578" s="591">
        <f t="shared" ref="A4578:M4580" si="618">+C4578-L4578</f>
        <v>3212.6589013619814</v>
      </c>
    </row>
    <row r="4579" spans="1:14" ht="13.5" customHeight="1">
      <c r="A4579" s="1126">
        <v>45747</v>
      </c>
      <c r="B4579" s="615">
        <v>1000000</v>
      </c>
      <c r="C4579" s="615">
        <f>1000000+10372.58+92675.46</f>
        <v>1103048.04</v>
      </c>
      <c r="D4579" s="532">
        <v>45846</v>
      </c>
      <c r="E4579" s="534">
        <v>99</v>
      </c>
      <c r="F4579" s="601">
        <v>9.5642788004867141E-2</v>
      </c>
      <c r="G4579" s="1127" t="s">
        <v>260</v>
      </c>
      <c r="H4579" s="1021">
        <v>28982.663031777891</v>
      </c>
      <c r="I4579" s="1128">
        <v>1396</v>
      </c>
      <c r="J4579" s="1125">
        <v>1525.38</v>
      </c>
      <c r="K4579">
        <v>716.33237822349565</v>
      </c>
      <c r="L4579" s="591">
        <v>1095642.7880048673</v>
      </c>
      <c r="M4579" s="591">
        <f t="shared" si="618"/>
        <v>7405.2519951327704</v>
      </c>
    </row>
    <row r="4580" spans="1:14" ht="13.5" customHeight="1">
      <c r="A4580" s="1126">
        <v>45748</v>
      </c>
      <c r="B4580" s="615">
        <v>500000</v>
      </c>
      <c r="C4580" s="615">
        <f>504027.4+45453.24</f>
        <v>549480.64</v>
      </c>
      <c r="D4580" s="532">
        <v>45846</v>
      </c>
      <c r="E4580" s="534">
        <v>98</v>
      </c>
      <c r="F4580" s="601">
        <v>9.31071618224113E-2</v>
      </c>
      <c r="G4580" s="1127" t="s">
        <v>256</v>
      </c>
      <c r="H4580" s="1021">
        <v>14251.096197307843</v>
      </c>
      <c r="I4580" s="1128">
        <v>1399.2</v>
      </c>
      <c r="J4580" s="1125">
        <v>1525.38</v>
      </c>
      <c r="K4580">
        <v>357.34705546026299</v>
      </c>
      <c r="L4580" s="591">
        <v>546553.58091120562</v>
      </c>
      <c r="M4580" s="591">
        <f t="shared" si="618"/>
        <v>2927.0590887943981</v>
      </c>
    </row>
    <row r="4581" spans="1:14" ht="13.5" customHeight="1">
      <c r="A4581" s="1126">
        <v>45748</v>
      </c>
      <c r="B4581" s="615">
        <v>2000000</v>
      </c>
      <c r="C4581" s="615">
        <f>2016438.36+182937.88</f>
        <v>2199376.2400000002</v>
      </c>
      <c r="D4581" s="532">
        <v>45848</v>
      </c>
      <c r="E4581" s="534">
        <v>100</v>
      </c>
      <c r="F4581" s="601">
        <v>9.3711553372964884E-2</v>
      </c>
      <c r="G4581" s="1127" t="s">
        <v>256</v>
      </c>
      <c r="H4581" s="1021">
        <v>56226.93202377898</v>
      </c>
      <c r="I4581" s="1128">
        <v>1399.2</v>
      </c>
      <c r="J4581" s="1125">
        <v>1526.14</v>
      </c>
      <c r="K4581">
        <v>1429.388221841052</v>
      </c>
      <c r="L4581" s="591">
        <v>2187423.1067459295</v>
      </c>
      <c r="M4581" s="591">
        <f t="shared" ref="A4581:M4583" si="619">+C4581-L4581</f>
        <v>11953.133254070766</v>
      </c>
    </row>
    <row r="4582" spans="1:14" ht="13.5" customHeight="1">
      <c r="A4582" s="1126">
        <v>45817</v>
      </c>
      <c r="B4582" s="615">
        <v>450000</v>
      </c>
      <c r="C4582" s="615">
        <v>462325.68493150687</v>
      </c>
      <c r="D4582" s="532">
        <v>45848</v>
      </c>
      <c r="E4582" s="534">
        <v>31</v>
      </c>
      <c r="F4582" s="601">
        <v>0.32250000000000001</v>
      </c>
      <c r="G4582" s="1127" t="s">
        <v>258</v>
      </c>
      <c r="H4582" s="1021">
        <v>11928.082191780841</v>
      </c>
      <c r="I4582" s="1128">
        <v>1496.77</v>
      </c>
      <c r="J4582" s="1125">
        <v>1526.14</v>
      </c>
      <c r="K4582">
        <v>300.64739405519884</v>
      </c>
      <c r="L4582" s="591">
        <v>462325.68493150687</v>
      </c>
      <c r="M4582" s="591">
        <f t="shared" si="619"/>
        <v>0</v>
      </c>
    </row>
    <row r="4583" spans="1:14" ht="13.5" customHeight="1">
      <c r="A4583" s="1126">
        <v>45817</v>
      </c>
      <c r="B4583" s="615">
        <v>700000</v>
      </c>
      <c r="C4583" s="615">
        <f>700000+17835.62</f>
        <v>717835.62</v>
      </c>
      <c r="D4583" s="532">
        <v>45848</v>
      </c>
      <c r="E4583" s="534">
        <v>31</v>
      </c>
      <c r="F4583" s="601">
        <v>0.3</v>
      </c>
      <c r="G4583" s="1127" t="s">
        <v>260</v>
      </c>
      <c r="H4583" s="1021">
        <v>17260.273972602688</v>
      </c>
      <c r="I4583" s="1128">
        <v>1496.77</v>
      </c>
      <c r="J4583" s="1125">
        <v>1526.14</v>
      </c>
      <c r="K4583">
        <v>467.67372408586488</v>
      </c>
      <c r="L4583" s="591">
        <v>717835.61643835611</v>
      </c>
      <c r="M4583" s="591">
        <f t="shared" si="619"/>
        <v>3.5616438835859299E-3</v>
      </c>
    </row>
    <row r="4584" spans="1:14" ht="13.5" customHeight="1">
      <c r="A4584" s="1126">
        <v>45748</v>
      </c>
      <c r="B4584" s="615">
        <v>2000000</v>
      </c>
      <c r="C4584" s="615">
        <f>2016602.74+185143.5</f>
        <v>2201746.2400000002</v>
      </c>
      <c r="D4584" s="532">
        <v>45849</v>
      </c>
      <c r="E4584" s="534">
        <v>101</v>
      </c>
      <c r="F4584" s="601">
        <v>9.48307772739021E-2</v>
      </c>
      <c r="G4584" s="1127" t="s">
        <v>256</v>
      </c>
      <c r="H4584" s="1021">
        <v>56335.115212219134</v>
      </c>
      <c r="I4584" s="1128">
        <v>1399.2</v>
      </c>
      <c r="J4584" s="1125">
        <v>1527.66</v>
      </c>
      <c r="K4584">
        <v>1429.388221841052</v>
      </c>
      <c r="L4584" s="591">
        <v>2189661.5545478039</v>
      </c>
      <c r="M4584" s="591">
        <f t="shared" ref="A4584:M4585" si="620">+C4584-L4584</f>
        <v>12084.685452196281</v>
      </c>
    </row>
    <row r="4585" spans="1:14" ht="13.5" customHeight="1">
      <c r="A4585" s="1126">
        <v>45817</v>
      </c>
      <c r="B4585" s="615">
        <v>1109000</v>
      </c>
      <c r="C4585" s="615">
        <f>1109000+29168.22</f>
        <v>1138168.22</v>
      </c>
      <c r="D4585" s="532">
        <v>45849</v>
      </c>
      <c r="E4585" s="534">
        <v>32</v>
      </c>
      <c r="F4585" s="601">
        <v>0.3</v>
      </c>
      <c r="G4585" s="1127" t="s">
        <v>260</v>
      </c>
      <c r="H4585" s="1021">
        <v>27345.205479452052</v>
      </c>
      <c r="I4585" s="1128">
        <v>1496.77</v>
      </c>
      <c r="J4585" s="1125">
        <v>1527.66</v>
      </c>
      <c r="K4585">
        <v>740.92880001603453</v>
      </c>
      <c r="L4585" s="591">
        <v>1138168.2191780822</v>
      </c>
      <c r="M4585" s="591">
        <f t="shared" si="620"/>
        <v>8.2191778346896172E-4</v>
      </c>
    </row>
    <row r="4586" spans="1:14" ht="13.5" customHeight="1">
      <c r="A4586" s="1126">
        <v>45670</v>
      </c>
      <c r="B4586" s="615">
        <v>50000</v>
      </c>
      <c r="C4586" s="615">
        <v>58544.46441577591</v>
      </c>
      <c r="D4586" s="532">
        <v>45852</v>
      </c>
      <c r="E4586" s="534">
        <v>182</v>
      </c>
      <c r="F4586" s="601">
        <v>0.1708892883155182</v>
      </c>
      <c r="G4586" s="1127" t="s">
        <v>261</v>
      </c>
      <c r="H4586" s="1021">
        <v>1408.4282004026225</v>
      </c>
      <c r="I4586" s="1128">
        <v>1311.85</v>
      </c>
      <c r="J4586" s="1125">
        <v>1528.41</v>
      </c>
      <c r="K4586">
        <v>38.114113656286925</v>
      </c>
      <c r="L4586" s="591">
        <v>58544.46441577591</v>
      </c>
      <c r="M4586" s="591">
        <v>0</v>
      </c>
    </row>
    <row r="4587" spans="1:14" ht="13.5" customHeight="1">
      <c r="A4587" s="1126">
        <v>45670</v>
      </c>
      <c r="B4587" s="615">
        <v>1800000</v>
      </c>
      <c r="C4587" s="615">
        <v>2107600.7189679327</v>
      </c>
      <c r="D4587" s="532">
        <v>45852</v>
      </c>
      <c r="E4587" s="534">
        <v>182</v>
      </c>
      <c r="F4587" s="601">
        <v>0.1708892883155182</v>
      </c>
      <c r="G4587" s="1127" t="s">
        <v>261</v>
      </c>
      <c r="H4587" s="1021">
        <v>50703.415214494409</v>
      </c>
      <c r="I4587" s="1128">
        <v>1311.85</v>
      </c>
      <c r="J4587" s="1125">
        <v>1528.41</v>
      </c>
      <c r="K4587">
        <v>1372.1080916263293</v>
      </c>
      <c r="L4587" s="591">
        <v>2107600.7189679323</v>
      </c>
      <c r="M4587" s="591">
        <v>0</v>
      </c>
    </row>
    <row r="4588" spans="1:14" ht="13.5" customHeight="1">
      <c r="A4588" s="1126">
        <v>45817</v>
      </c>
      <c r="B4588" s="615">
        <v>831000</v>
      </c>
      <c r="C4588" s="615">
        <v>856499.17808219173</v>
      </c>
      <c r="D4588" s="532">
        <v>45852</v>
      </c>
      <c r="E4588" s="534">
        <v>35</v>
      </c>
      <c r="F4588" s="601">
        <v>0.32</v>
      </c>
      <c r="G4588" s="1127" t="s">
        <v>257</v>
      </c>
      <c r="H4588" s="1021">
        <v>21856.438356164344</v>
      </c>
      <c r="I4588" s="1128">
        <v>1496.77</v>
      </c>
      <c r="J4588" s="1125">
        <v>1528.41</v>
      </c>
      <c r="K4588">
        <v>555.19552102193393</v>
      </c>
      <c r="L4588" s="591">
        <v>856499.17808219173</v>
      </c>
      <c r="M4588" s="591">
        <v>0</v>
      </c>
    </row>
    <row r="4589" spans="1:14" ht="13.5" customHeight="1">
      <c r="A4589" s="1126">
        <v>45748</v>
      </c>
      <c r="B4589" s="615">
        <v>420000</v>
      </c>
      <c r="C4589" s="615">
        <f>423624.66+39810.18</f>
        <v>463434.83999999997</v>
      </c>
      <c r="D4589" s="532">
        <v>45853</v>
      </c>
      <c r="E4589" s="534">
        <v>105</v>
      </c>
      <c r="F4589" s="601">
        <v>9.7122180384877632E-2</v>
      </c>
      <c r="G4589" s="1127" t="s">
        <v>256</v>
      </c>
      <c r="H4589" s="1021">
        <v>11654.66164618531</v>
      </c>
      <c r="I4589" s="1128">
        <v>1399.2</v>
      </c>
      <c r="J4589" s="1125">
        <v>1530.69</v>
      </c>
      <c r="K4589">
        <v>300.17152658662093</v>
      </c>
      <c r="L4589" s="591">
        <v>460791.31576164858</v>
      </c>
      <c r="M4589" s="591">
        <f t="shared" ref="A4589:M4591" si="621">+C4589-L4589</f>
        <v>2643.5242383513832</v>
      </c>
    </row>
    <row r="4590" spans="1:14" ht="13.5" customHeight="1">
      <c r="A4590" s="1126">
        <v>45748</v>
      </c>
      <c r="B4590" s="615">
        <v>1371000</v>
      </c>
      <c r="C4590" s="615">
        <f>1371000+15107.91+128846.6</f>
        <v>1514954.51</v>
      </c>
      <c r="D4590" s="532">
        <v>45853</v>
      </c>
      <c r="E4590" s="534">
        <v>105</v>
      </c>
      <c r="F4590" s="601">
        <v>9.3975128644939954E-2</v>
      </c>
      <c r="G4590" s="1127" t="s">
        <v>260</v>
      </c>
      <c r="H4590" s="1021">
        <v>36811.400392060765</v>
      </c>
      <c r="I4590" s="1128">
        <v>1399.2</v>
      </c>
      <c r="J4590" s="1125">
        <v>1530.69</v>
      </c>
      <c r="K4590">
        <v>979.84562607204111</v>
      </c>
      <c r="L4590" s="591">
        <v>1504154.5093076671</v>
      </c>
      <c r="M4590" s="591">
        <f t="shared" si="621"/>
        <v>10800.000692332862</v>
      </c>
      <c r="N4590" t="e">
        <v>#REF!</v>
      </c>
    </row>
    <row r="4591" spans="1:14" ht="13.5" customHeight="1">
      <c r="A4591" s="1126">
        <v>45818</v>
      </c>
      <c r="B4591" s="615">
        <v>980000</v>
      </c>
      <c r="C4591" s="615">
        <v>1010306.1643835617</v>
      </c>
      <c r="D4591" s="532">
        <v>45853</v>
      </c>
      <c r="E4591" s="534">
        <v>35</v>
      </c>
      <c r="F4591" s="601">
        <v>0.32250000000000001</v>
      </c>
      <c r="G4591" s="1127" t="s">
        <v>258</v>
      </c>
      <c r="H4591" s="1021">
        <v>25976.712328767171</v>
      </c>
      <c r="I4591" s="1128">
        <v>1500.78</v>
      </c>
      <c r="J4591" s="1125">
        <v>1530.69</v>
      </c>
      <c r="K4591">
        <v>652.99377656951719</v>
      </c>
      <c r="L4591" s="591">
        <v>1010306.1643835617</v>
      </c>
      <c r="M4591" s="591">
        <f t="shared" si="621"/>
        <v>0</v>
      </c>
    </row>
    <row r="4592" spans="1:14" ht="13.5" customHeight="1">
      <c r="A4592" s="1126">
        <v>45674</v>
      </c>
      <c r="B4592" s="615">
        <v>226000</v>
      </c>
      <c r="C4592" s="615">
        <f>262597.73+1301.73</f>
        <v>263899.45999999996</v>
      </c>
      <c r="D4592" s="532">
        <v>45854</v>
      </c>
      <c r="E4592" s="534">
        <v>180</v>
      </c>
      <c r="F4592" s="601">
        <v>0.1676712287193447</v>
      </c>
      <c r="G4592" s="1127" t="s">
        <v>263</v>
      </c>
      <c r="H4592" s="1021">
        <v>6315.6162817619816</v>
      </c>
      <c r="I4592" s="1128">
        <v>1318.01</v>
      </c>
      <c r="J4592" s="1125">
        <v>1531.45</v>
      </c>
      <c r="K4592">
        <v>171.47062617127335</v>
      </c>
      <c r="L4592" s="591">
        <v>263893.69769057189</v>
      </c>
      <c r="M4592" s="591">
        <f t="shared" ref="A4592:M4596" si="622">+C4592-L4592</f>
        <v>5.7623094280716032</v>
      </c>
    </row>
    <row r="4593" spans="1:13" ht="13.5" customHeight="1">
      <c r="A4593" s="1126">
        <v>45748</v>
      </c>
      <c r="B4593" s="615">
        <v>500000</v>
      </c>
      <c r="C4593" s="615">
        <v>547275.04</v>
      </c>
      <c r="D4593" s="532">
        <v>45854</v>
      </c>
      <c r="E4593" s="534">
        <v>106</v>
      </c>
      <c r="F4593" s="601">
        <v>9.7696897248525705E-2</v>
      </c>
      <c r="G4593" s="1127" t="s">
        <v>258</v>
      </c>
      <c r="H4593" s="1021">
        <v>13825.032629508345</v>
      </c>
      <c r="I4593" s="1128">
        <v>1399.2</v>
      </c>
      <c r="J4593" s="1125">
        <v>1531.45</v>
      </c>
      <c r="K4593">
        <v>357.34705546026299</v>
      </c>
      <c r="L4593" s="591">
        <v>548848.44862426282</v>
      </c>
      <c r="M4593" s="591">
        <f t="shared" si="622"/>
        <v>-1573.4086242627818</v>
      </c>
    </row>
    <row r="4594" spans="1:13" ht="13.5" customHeight="1">
      <c r="A4594" s="1126">
        <v>45748</v>
      </c>
      <c r="B4594" s="615">
        <v>1200000</v>
      </c>
      <c r="C4594" s="615">
        <v>1313460.1000000001</v>
      </c>
      <c r="D4594" s="532">
        <v>45854</v>
      </c>
      <c r="E4594" s="534">
        <v>106</v>
      </c>
      <c r="F4594" s="601">
        <v>9.4518296169239457E-2</v>
      </c>
      <c r="G4594" s="1127" t="s">
        <v>262</v>
      </c>
      <c r="H4594" s="1021">
        <v>32100.553415968141</v>
      </c>
      <c r="I4594" s="1128">
        <v>1399.2</v>
      </c>
      <c r="J4594" s="1125">
        <v>1531.45</v>
      </c>
      <c r="K4594">
        <v>857.63293310463121</v>
      </c>
      <c r="L4594" s="591">
        <v>1317236.2766982308</v>
      </c>
      <c r="M4594" s="591">
        <f t="shared" si="622"/>
        <v>-3776.1766982306726</v>
      </c>
    </row>
    <row r="4595" spans="1:13" ht="13.5" customHeight="1">
      <c r="A4595" s="1126">
        <v>45818</v>
      </c>
      <c r="B4595" s="615">
        <v>450000</v>
      </c>
      <c r="C4595" s="615">
        <v>463884.29</v>
      </c>
      <c r="D4595" s="532">
        <v>45854</v>
      </c>
      <c r="E4595" s="534">
        <v>36</v>
      </c>
      <c r="F4595" s="601">
        <v>0.32250000000000001</v>
      </c>
      <c r="G4595" s="1127" t="s">
        <v>258</v>
      </c>
      <c r="H4595" s="1021">
        <v>11928.082191780801</v>
      </c>
      <c r="I4595" s="1128">
        <v>1500.78</v>
      </c>
      <c r="J4595" s="1125">
        <v>1531.45</v>
      </c>
      <c r="K4595">
        <v>299.84408107783952</v>
      </c>
      <c r="L4595" s="591">
        <v>464313.69863013696</v>
      </c>
      <c r="M4595" s="591">
        <f t="shared" si="622"/>
        <v>-429.40863013698254</v>
      </c>
    </row>
    <row r="4596" spans="1:13" ht="13.5" customHeight="1">
      <c r="A4596" s="1126">
        <v>45818</v>
      </c>
      <c r="B4596" s="615">
        <v>980000</v>
      </c>
      <c r="C4596" s="615">
        <v>1010236.89</v>
      </c>
      <c r="D4596" s="532">
        <v>45854</v>
      </c>
      <c r="E4596" s="534">
        <v>36</v>
      </c>
      <c r="F4596" s="601">
        <v>0.32250000000000001</v>
      </c>
      <c r="G4596" s="1127" t="s">
        <v>258</v>
      </c>
      <c r="H4596" s="1021">
        <v>25976.712328767171</v>
      </c>
      <c r="I4596" s="1128">
        <v>1500.78</v>
      </c>
      <c r="J4596" s="1125">
        <v>1531.45</v>
      </c>
      <c r="K4596">
        <v>652.99377656951719</v>
      </c>
      <c r="L4596" s="591">
        <v>1011172.0547945206</v>
      </c>
      <c r="M4596" s="591">
        <f t="shared" si="622"/>
        <v>-935.16479452059139</v>
      </c>
    </row>
    <row r="4597" spans="1:13" ht="13.5" customHeight="1">
      <c r="A4597" s="1126">
        <v>45750</v>
      </c>
      <c r="B4597" s="615">
        <v>200000</v>
      </c>
      <c r="C4597" s="615">
        <f>201726.03+19010.31</f>
        <v>220736.34</v>
      </c>
      <c r="D4597" s="532">
        <v>45855</v>
      </c>
      <c r="E4597" s="534">
        <v>105</v>
      </c>
      <c r="F4597" s="601">
        <v>9.7386103992508799E-2</v>
      </c>
      <c r="G4597" s="1127" t="s">
        <v>256</v>
      </c>
      <c r="H4597" s="1021">
        <v>5564.9202281433636</v>
      </c>
      <c r="I4597" s="1128">
        <v>1400.28</v>
      </c>
      <c r="J4597" s="1125">
        <v>1532.24</v>
      </c>
      <c r="K4597">
        <v>142.8285771417145</v>
      </c>
      <c r="L4597" s="591">
        <v>219477.22079850174</v>
      </c>
      <c r="M4597" s="591">
        <f t="shared" ref="A4597:M4600" si="623">+C4597-L4597</f>
        <v>1259.1192014982516</v>
      </c>
    </row>
    <row r="4598" spans="1:13" ht="13.5" customHeight="1">
      <c r="A4598" s="1126">
        <v>45750</v>
      </c>
      <c r="B4598" s="615">
        <v>1650000</v>
      </c>
      <c r="C4598" s="615">
        <v>1805545.13</v>
      </c>
      <c r="D4598" s="532">
        <v>45855</v>
      </c>
      <c r="E4598" s="534">
        <v>105</v>
      </c>
      <c r="F4598" s="601">
        <v>9.4238295198103339E-2</v>
      </c>
      <c r="G4598" s="1127" t="s">
        <v>262</v>
      </c>
      <c r="H4598" s="1021">
        <v>44426.624879105882</v>
      </c>
      <c r="I4598" s="1128">
        <v>1400.28</v>
      </c>
      <c r="J4598" s="1125">
        <v>1532.24</v>
      </c>
      <c r="K4598">
        <v>1178.3357614191448</v>
      </c>
      <c r="L4598" s="591">
        <v>1810687.0715876396</v>
      </c>
      <c r="M4598" s="591">
        <f t="shared" si="623"/>
        <v>-5141.9415876397397</v>
      </c>
    </row>
    <row r="4599" spans="1:13" ht="13.5" customHeight="1">
      <c r="A4599" s="1126">
        <v>45819</v>
      </c>
      <c r="B4599" s="615">
        <v>297000</v>
      </c>
      <c r="C4599" s="615">
        <v>305641.48</v>
      </c>
      <c r="D4599" s="532">
        <v>45855</v>
      </c>
      <c r="E4599" s="534">
        <v>36</v>
      </c>
      <c r="F4599" s="601">
        <v>0.29499999999999998</v>
      </c>
      <c r="G4599" s="1127" t="s">
        <v>265</v>
      </c>
      <c r="H4599" s="1021">
        <v>7201.2328767123108</v>
      </c>
      <c r="I4599" s="1128">
        <v>1502.11</v>
      </c>
      <c r="J4599" s="1125">
        <v>1532.24</v>
      </c>
      <c r="K4599">
        <v>197.72187123446352</v>
      </c>
      <c r="L4599" s="591">
        <v>305641.47945205477</v>
      </c>
      <c r="M4599" s="591">
        <f t="shared" si="623"/>
        <v>5.4794520838186145E-4</v>
      </c>
    </row>
    <row r="4600" spans="1:13" ht="13.5" customHeight="1">
      <c r="A4600" s="1126">
        <v>45819</v>
      </c>
      <c r="B4600" s="615">
        <v>700000</v>
      </c>
      <c r="C4600" s="615">
        <v>721597.78</v>
      </c>
      <c r="D4600" s="532">
        <v>45855</v>
      </c>
      <c r="E4600" s="534">
        <v>36</v>
      </c>
      <c r="F4600" s="601">
        <v>0.32250000000000001</v>
      </c>
      <c r="G4600" s="1127" t="s">
        <v>258</v>
      </c>
      <c r="H4600" s="1021">
        <v>18554.794520547923</v>
      </c>
      <c r="I4600" s="1128">
        <v>1502.11</v>
      </c>
      <c r="J4600" s="1125">
        <v>1532.24</v>
      </c>
      <c r="K4600">
        <v>466.01114432365142</v>
      </c>
      <c r="L4600" s="591">
        <v>722265.75342465751</v>
      </c>
      <c r="M4600" s="591">
        <f t="shared" si="623"/>
        <v>-667.97342465748079</v>
      </c>
    </row>
    <row r="4601" spans="1:13" ht="13.5" customHeight="1">
      <c r="A4601" s="1126">
        <v>45750</v>
      </c>
      <c r="B4601" s="615">
        <v>1650000</v>
      </c>
      <c r="C4601" s="615">
        <v>1806464.75</v>
      </c>
      <c r="D4601" s="532">
        <v>45856</v>
      </c>
      <c r="E4601" s="534">
        <v>106</v>
      </c>
      <c r="F4601" s="601">
        <v>9.4795326648955847E-2</v>
      </c>
      <c r="G4601" s="1127" t="s">
        <v>262</v>
      </c>
      <c r="H4601" s="1021">
        <v>44267.62895399351</v>
      </c>
      <c r="I4601" s="1128">
        <v>1400.28</v>
      </c>
      <c r="J4601" s="1125">
        <v>1533.02</v>
      </c>
      <c r="K4601">
        <v>1178.3357614191448</v>
      </c>
      <c r="L4601" s="591">
        <v>1811658.3082209392</v>
      </c>
      <c r="M4601" s="591">
        <f t="shared" ref="A4601:M4602" si="624">+C4601-L4601</f>
        <v>-5193.5582209392451</v>
      </c>
    </row>
    <row r="4602" spans="1:13" ht="13.5" customHeight="1">
      <c r="A4602" s="1126">
        <v>45819</v>
      </c>
      <c r="B4602" s="615">
        <v>700000</v>
      </c>
      <c r="C4602" s="615">
        <v>722197.72</v>
      </c>
      <c r="D4602" s="532">
        <v>45856</v>
      </c>
      <c r="E4602" s="534">
        <v>37</v>
      </c>
      <c r="F4602" s="601">
        <v>0.32250000000000001</v>
      </c>
      <c r="G4602" s="1127" t="s">
        <v>258</v>
      </c>
      <c r="H4602" s="1021">
        <v>18554.794520547966</v>
      </c>
      <c r="I4602" s="1128">
        <v>1502.11</v>
      </c>
      <c r="J4602" s="1125">
        <v>1533.02</v>
      </c>
      <c r="K4602">
        <v>466.01114432365142</v>
      </c>
      <c r="L4602" s="591">
        <v>722884.24657534249</v>
      </c>
      <c r="M4602" s="591">
        <f t="shared" si="624"/>
        <v>-686.52657534251921</v>
      </c>
    </row>
    <row r="4603" spans="1:13" ht="13.5" customHeight="1">
      <c r="A4603" s="1126">
        <v>45750</v>
      </c>
      <c r="B4603" s="615">
        <v>2000000</v>
      </c>
      <c r="C4603" s="615">
        <v>2190784.42</v>
      </c>
      <c r="D4603" s="532">
        <v>45859</v>
      </c>
      <c r="E4603" s="534">
        <v>109</v>
      </c>
      <c r="F4603" s="601">
        <v>9.5359499528665737E-2</v>
      </c>
      <c r="G4603" s="1127" t="s">
        <v>258</v>
      </c>
      <c r="H4603" s="1021">
        <v>52491.467630458232</v>
      </c>
      <c r="I4603" s="1128">
        <v>1400.28</v>
      </c>
      <c r="J4603" s="1125">
        <v>1533.81</v>
      </c>
      <c r="K4603">
        <v>1428.2857714171453</v>
      </c>
      <c r="L4603" s="591">
        <v>2197261.1462052013</v>
      </c>
      <c r="M4603" s="591">
        <f t="shared" ref="A4603:M4620" si="625">+C4603-L4603</f>
        <v>-6476.7262052013539</v>
      </c>
    </row>
    <row r="4604" spans="1:13" ht="13.5" customHeight="1">
      <c r="A4604" s="1126">
        <v>45750</v>
      </c>
      <c r="B4604" s="615">
        <v>1258000</v>
      </c>
      <c r="C4604" s="615">
        <f>1258000+14526.8+122070.78</f>
        <v>1394597.58</v>
      </c>
      <c r="D4604" s="532">
        <v>45860</v>
      </c>
      <c r="E4604" s="534">
        <v>110</v>
      </c>
      <c r="F4604" s="601">
        <v>9.7037735310080864E-2</v>
      </c>
      <c r="G4604" s="1127" t="s">
        <v>260</v>
      </c>
      <c r="H4604" s="1021">
        <v>33292.764823658668</v>
      </c>
      <c r="I4604" s="1128">
        <v>1400.28</v>
      </c>
      <c r="J4604" s="1125">
        <v>1536.16</v>
      </c>
      <c r="K4604">
        <v>898.39175022138431</v>
      </c>
      <c r="L4604" s="591">
        <v>1384232.5965491834</v>
      </c>
      <c r="M4604" s="591">
        <f t="shared" si="625"/>
        <v>10364.983450816711</v>
      </c>
    </row>
    <row r="4605" spans="1:13" ht="13.5" customHeight="1">
      <c r="A4605" s="1126">
        <v>45754</v>
      </c>
      <c r="B4605" s="615">
        <v>542000</v>
      </c>
      <c r="C4605" s="615">
        <f>546722.08+51680.89</f>
        <v>598402.97</v>
      </c>
      <c r="D4605" s="532">
        <v>45860</v>
      </c>
      <c r="E4605" s="534">
        <v>106</v>
      </c>
      <c r="F4605" s="601">
        <v>9.7707270437481952E-2</v>
      </c>
      <c r="G4605" s="1127" t="s">
        <v>265</v>
      </c>
      <c r="H4605" s="1021">
        <v>14987.926578428827</v>
      </c>
      <c r="I4605" s="1128">
        <v>1403.49</v>
      </c>
      <c r="J4605" s="1125">
        <v>1536.16</v>
      </c>
      <c r="K4605">
        <v>386.18016515970902</v>
      </c>
      <c r="L4605" s="591">
        <v>594957.34057711519</v>
      </c>
      <c r="M4605" s="591">
        <f t="shared" si="625"/>
        <v>3445.6294228847837</v>
      </c>
    </row>
    <row r="4606" spans="1:13" ht="13.5" customHeight="1">
      <c r="A4606" s="1126">
        <v>45820</v>
      </c>
      <c r="B4606" s="615">
        <v>190000</v>
      </c>
      <c r="C4606" s="615">
        <v>196715.0684931507</v>
      </c>
      <c r="D4606" s="532">
        <v>45860</v>
      </c>
      <c r="E4606" s="534">
        <v>40</v>
      </c>
      <c r="F4606" s="601">
        <v>0.32250000000000001</v>
      </c>
      <c r="G4606" s="1127" t="s">
        <v>258</v>
      </c>
      <c r="H4606" s="1021">
        <v>5036.3013698630239</v>
      </c>
      <c r="I4606" s="1128">
        <v>1503.45</v>
      </c>
      <c r="J4606" s="1125">
        <v>1536.16</v>
      </c>
      <c r="K4606">
        <v>126.37600186238318</v>
      </c>
      <c r="L4606" s="591">
        <v>196715.0684931507</v>
      </c>
      <c r="M4606" s="591">
        <f t="shared" si="625"/>
        <v>0</v>
      </c>
    </row>
    <row r="4607" spans="1:13" ht="13.5" customHeight="1">
      <c r="A4607" s="1126">
        <v>45821</v>
      </c>
      <c r="B4607" s="615">
        <v>400000</v>
      </c>
      <c r="C4607" s="615">
        <v>413676.71232876711</v>
      </c>
      <c r="D4607" s="532">
        <v>45860</v>
      </c>
      <c r="E4607" s="534">
        <v>39</v>
      </c>
      <c r="F4607" s="601">
        <v>0.32</v>
      </c>
      <c r="G4607" s="1127" t="s">
        <v>257</v>
      </c>
      <c r="H4607" s="1021">
        <v>10520.547945205471</v>
      </c>
      <c r="I4607" s="1128">
        <v>1504.79</v>
      </c>
      <c r="J4607" s="1125">
        <v>1536.16</v>
      </c>
      <c r="K4607">
        <v>265.81782175585965</v>
      </c>
      <c r="L4607" s="591">
        <v>413676.71232876711</v>
      </c>
      <c r="M4607" s="591">
        <f t="shared" si="625"/>
        <v>0</v>
      </c>
    </row>
    <row r="4608" spans="1:13" ht="13.5" customHeight="1">
      <c r="A4608" s="1126">
        <v>45751</v>
      </c>
      <c r="B4608" s="615">
        <v>1000000</v>
      </c>
      <c r="C4608" s="615">
        <f>1009041.1+96794.33</f>
        <v>1105835.43</v>
      </c>
      <c r="D4608" s="532">
        <v>45861</v>
      </c>
      <c r="E4608" s="534">
        <v>110</v>
      </c>
      <c r="F4608" s="601">
        <v>9.9229834221979951E-2</v>
      </c>
      <c r="G4608" s="1127" t="s">
        <v>256</v>
      </c>
      <c r="H4608" s="1021">
        <v>27062.682060539955</v>
      </c>
      <c r="I4608" s="1128">
        <v>1402.42</v>
      </c>
      <c r="J4608" s="1125">
        <v>1536.95</v>
      </c>
      <c r="K4608">
        <v>713.05315098187418</v>
      </c>
      <c r="L4608" s="591">
        <v>1099229.8342219798</v>
      </c>
      <c r="M4608" s="591">
        <f t="shared" si="625"/>
        <v>6605.5957780200988</v>
      </c>
    </row>
    <row r="4609" spans="1:13" ht="13.5" customHeight="1">
      <c r="A4609" s="1126">
        <v>45754</v>
      </c>
      <c r="B4609" s="615">
        <v>550000</v>
      </c>
      <c r="C4609" s="615">
        <f>554836.99+52760.29</f>
        <v>607597.28</v>
      </c>
      <c r="D4609" s="532">
        <v>45861</v>
      </c>
      <c r="E4609" s="534">
        <v>107</v>
      </c>
      <c r="F4609" s="601">
        <v>9.8301790146032131E-2</v>
      </c>
      <c r="G4609" s="1127" t="s">
        <v>256</v>
      </c>
      <c r="H4609" s="1021">
        <v>15158.687265509614</v>
      </c>
      <c r="I4609" s="1128">
        <v>1403.49</v>
      </c>
      <c r="J4609" s="1125">
        <v>1536.95</v>
      </c>
      <c r="K4609">
        <v>391.88024139822869</v>
      </c>
      <c r="L4609" s="591">
        <v>604065.98458031774</v>
      </c>
      <c r="M4609" s="591">
        <f t="shared" si="625"/>
        <v>3531.295419682283</v>
      </c>
    </row>
    <row r="4610" spans="1:13" ht="13.5" customHeight="1">
      <c r="A4610" s="1126">
        <v>45756</v>
      </c>
      <c r="B4610" s="615">
        <v>500000</v>
      </c>
      <c r="C4610" s="615">
        <v>545889.02</v>
      </c>
      <c r="D4610" s="532">
        <v>45861</v>
      </c>
      <c r="E4610" s="534">
        <v>105</v>
      </c>
      <c r="F4610" s="601">
        <v>9.4887279362475097E-2</v>
      </c>
      <c r="G4610" s="1127" t="s">
        <v>262</v>
      </c>
      <c r="H4610" s="1021">
        <v>13555.32562321072</v>
      </c>
      <c r="I4610" s="1128">
        <v>1407.79</v>
      </c>
      <c r="J4610" s="1125">
        <v>1536.95</v>
      </c>
      <c r="K4610">
        <v>355.16660865612062</v>
      </c>
      <c r="L4610" s="591">
        <v>547443.63968123763</v>
      </c>
      <c r="M4610" s="591">
        <f t="shared" si="625"/>
        <v>-1554.6196812376147</v>
      </c>
    </row>
    <row r="4611" spans="1:13" ht="13.5" customHeight="1">
      <c r="A4611" s="1126">
        <v>45821</v>
      </c>
      <c r="B4611" s="615">
        <v>369000</v>
      </c>
      <c r="C4611" s="615">
        <v>381940.27397260274</v>
      </c>
      <c r="D4611" s="532">
        <v>45861</v>
      </c>
      <c r="E4611" s="534">
        <v>40</v>
      </c>
      <c r="F4611" s="601">
        <v>0.32</v>
      </c>
      <c r="G4611" s="1127" t="s">
        <v>257</v>
      </c>
      <c r="H4611" s="1021">
        <v>9705.2054794520518</v>
      </c>
      <c r="I4611" s="1128">
        <v>1504.79</v>
      </c>
      <c r="J4611" s="1125">
        <v>1536.95</v>
      </c>
      <c r="K4611">
        <v>245.21694056978052</v>
      </c>
      <c r="L4611" s="591">
        <v>381940.27397260274</v>
      </c>
      <c r="M4611" s="591">
        <f t="shared" si="625"/>
        <v>0</v>
      </c>
    </row>
    <row r="4612" spans="1:13" ht="13.5" customHeight="1">
      <c r="A4612" s="1126">
        <v>45754</v>
      </c>
      <c r="B4612" s="615">
        <v>1000000</v>
      </c>
      <c r="C4612" s="615">
        <f>1008876.01+96503.5</f>
        <v>1105379.51</v>
      </c>
      <c r="D4612" s="532">
        <v>45862</v>
      </c>
      <c r="E4612" s="534">
        <v>108</v>
      </c>
      <c r="F4612" s="601">
        <v>9.8896340697461005E-2</v>
      </c>
      <c r="G4612" s="1127" t="s">
        <v>257</v>
      </c>
      <c r="H4612" s="1021">
        <v>27471.205749294735</v>
      </c>
      <c r="I4612" s="1128">
        <v>1403.49</v>
      </c>
      <c r="J4612" s="1125">
        <v>1537.74</v>
      </c>
      <c r="K4612">
        <v>712.5095298149613</v>
      </c>
      <c r="L4612" s="591">
        <v>1098896.340697461</v>
      </c>
      <c r="M4612" s="591">
        <f>+C4612-L4612</f>
        <v>6483.1693025389686</v>
      </c>
    </row>
    <row r="4613" spans="1:13" ht="13.5" customHeight="1">
      <c r="A4613" s="1126">
        <v>45754</v>
      </c>
      <c r="B4613" s="615">
        <f>1081000+12271.17+103398.1</f>
        <v>1196669.27</v>
      </c>
      <c r="C4613" s="615">
        <f>1081000+12271.17+103398.1</f>
        <v>1196669.27</v>
      </c>
      <c r="D4613" s="532">
        <v>45862</v>
      </c>
      <c r="E4613" s="534">
        <v>108</v>
      </c>
      <c r="F4613" s="601">
        <v>9.8896340697461005E-2</v>
      </c>
      <c r="G4613" s="1127" t="s">
        <v>260</v>
      </c>
      <c r="H4613" s="1021">
        <v>29696.373414987596</v>
      </c>
      <c r="I4613" s="1128">
        <v>1403.49</v>
      </c>
      <c r="J4613" s="1125">
        <v>1537.74</v>
      </c>
      <c r="K4613">
        <v>770.22280172997318</v>
      </c>
      <c r="L4613" s="591">
        <v>1187906.9442939553</v>
      </c>
      <c r="M4613" s="591">
        <f t="shared" si="625"/>
        <v>8762.3257060446776</v>
      </c>
    </row>
    <row r="4614" spans="1:13" ht="13.5" customHeight="1">
      <c r="A4614" s="1126">
        <v>45821</v>
      </c>
      <c r="B4614" s="615">
        <v>550000</v>
      </c>
      <c r="C4614" s="615">
        <v>570078.76712328766</v>
      </c>
      <c r="D4614" s="532">
        <v>45862</v>
      </c>
      <c r="E4614" s="534">
        <v>41</v>
      </c>
      <c r="F4614" s="601">
        <v>0.32500000000000001</v>
      </c>
      <c r="G4614" s="1127" t="s">
        <v>256</v>
      </c>
      <c r="H4614" s="1021">
        <v>14691.7808219178</v>
      </c>
      <c r="I4614" s="1128">
        <v>1504.79</v>
      </c>
      <c r="J4614" s="1125">
        <v>1537.74</v>
      </c>
      <c r="K4614">
        <v>365.49950491430701</v>
      </c>
      <c r="L4614" s="591">
        <v>570078.76712328766</v>
      </c>
      <c r="M4614" s="591">
        <f t="shared" si="625"/>
        <v>0</v>
      </c>
    </row>
    <row r="4615" spans="1:13" ht="13.5" customHeight="1">
      <c r="A4615" s="1126">
        <v>45832</v>
      </c>
      <c r="B4615" s="615">
        <v>400000</v>
      </c>
      <c r="C4615" s="615">
        <v>410684.9315068493</v>
      </c>
      <c r="D4615" s="532">
        <v>45862</v>
      </c>
      <c r="E4615" s="534">
        <v>30</v>
      </c>
      <c r="F4615" s="601">
        <v>0.32500000000000001</v>
      </c>
      <c r="G4615" s="1127" t="s">
        <v>256</v>
      </c>
      <c r="H4615" s="1021">
        <v>10684.931506849302</v>
      </c>
      <c r="I4615" s="1128">
        <v>1514.82</v>
      </c>
      <c r="J4615" s="1125">
        <v>1537.74</v>
      </c>
      <c r="K4615">
        <v>264.0577758413541</v>
      </c>
      <c r="L4615" s="591">
        <v>410684.9315068493</v>
      </c>
      <c r="M4615" s="591">
        <f t="shared" si="625"/>
        <v>0</v>
      </c>
    </row>
    <row r="4616" spans="1:13" ht="13.5" customHeight="1">
      <c r="A4616" s="1126">
        <v>45754</v>
      </c>
      <c r="B4616" s="615">
        <v>574000</v>
      </c>
      <c r="C4616" s="615">
        <f>579142.41+55719.38</f>
        <v>634861.79</v>
      </c>
      <c r="D4616" s="532">
        <v>45863</v>
      </c>
      <c r="E4616" s="534">
        <v>109</v>
      </c>
      <c r="F4616" s="601">
        <v>9.9483775718787859E-2</v>
      </c>
      <c r="G4616" s="1127" t="s">
        <v>257</v>
      </c>
      <c r="H4616" s="1021">
        <v>15716.611173188317</v>
      </c>
      <c r="I4616" s="1128">
        <v>1403.49</v>
      </c>
      <c r="J4616" s="1125">
        <v>1538.52</v>
      </c>
      <c r="K4616">
        <v>408.98047011378776</v>
      </c>
      <c r="L4616" s="591">
        <v>631103.68726258422</v>
      </c>
      <c r="M4616" s="591">
        <f t="shared" si="625"/>
        <v>3758.1027374158148</v>
      </c>
    </row>
    <row r="4617" spans="1:13" ht="13.5" customHeight="1">
      <c r="A4617" s="1126">
        <v>45756</v>
      </c>
      <c r="B4617" s="615">
        <v>300000</v>
      </c>
      <c r="C4617" s="615">
        <f>300000+3369.36+27858.61</f>
        <v>331227.96999999997</v>
      </c>
      <c r="D4617" s="532">
        <v>45863</v>
      </c>
      <c r="E4617" s="534">
        <v>107</v>
      </c>
      <c r="F4617" s="601">
        <v>9.6065593531569293E-2</v>
      </c>
      <c r="G4617" s="1127" t="s">
        <v>260</v>
      </c>
      <c r="H4617" s="1021">
        <v>8080.2835680759208</v>
      </c>
      <c r="I4617" s="1128">
        <v>1407.79</v>
      </c>
      <c r="J4617" s="1125">
        <v>1538.52</v>
      </c>
      <c r="K4617">
        <v>213.09996519367235</v>
      </c>
      <c r="L4617" s="591">
        <v>328819.67805947078</v>
      </c>
      <c r="M4617" s="591">
        <f t="shared" si="625"/>
        <v>2408.2919405291905</v>
      </c>
    </row>
    <row r="4618" spans="1:13" ht="13.5" customHeight="1">
      <c r="A4618" s="1126">
        <v>45756</v>
      </c>
      <c r="B4618" s="615">
        <v>1000000</v>
      </c>
      <c r="C4618" s="615">
        <v>1092893.8999999999</v>
      </c>
      <c r="D4618" s="532">
        <v>45863</v>
      </c>
      <c r="E4618" s="534">
        <v>107</v>
      </c>
      <c r="F4618" s="601">
        <v>9.6065593531569293E-2</v>
      </c>
      <c r="G4618" s="1127" t="s">
        <v>258</v>
      </c>
      <c r="H4618" s="1021">
        <v>26934.278560253053</v>
      </c>
      <c r="I4618" s="1128">
        <v>1407.79</v>
      </c>
      <c r="J4618" s="1125">
        <v>1538.52</v>
      </c>
      <c r="K4618">
        <v>710.33321731224123</v>
      </c>
      <c r="L4618" s="591">
        <v>1096065.5935315695</v>
      </c>
      <c r="M4618" s="591">
        <f t="shared" si="625"/>
        <v>-3171.6935315695591</v>
      </c>
    </row>
    <row r="4619" spans="1:13" ht="13.5" customHeight="1">
      <c r="A4619" s="1126">
        <v>45821</v>
      </c>
      <c r="B4619" s="615">
        <v>200000</v>
      </c>
      <c r="C4619" s="615">
        <v>207421.91780821918</v>
      </c>
      <c r="D4619" s="532">
        <v>45863</v>
      </c>
      <c r="E4619" s="534">
        <v>42</v>
      </c>
      <c r="F4619" s="601">
        <v>0.32250000000000001</v>
      </c>
      <c r="G4619" s="1127" t="s">
        <v>258</v>
      </c>
      <c r="H4619" s="1021">
        <v>5301.3698630136996</v>
      </c>
      <c r="I4619" s="1128">
        <v>1504.79</v>
      </c>
      <c r="J4619" s="1125">
        <v>1538.52</v>
      </c>
      <c r="K4619">
        <v>132.90891087792983</v>
      </c>
      <c r="L4619" s="591">
        <v>207421.91780821918</v>
      </c>
      <c r="M4619" s="591">
        <f t="shared" si="625"/>
        <v>0</v>
      </c>
    </row>
    <row r="4620" spans="1:13" ht="13.5" customHeight="1">
      <c r="A4620" s="1126">
        <v>45821</v>
      </c>
      <c r="B4620" s="615">
        <v>550000</v>
      </c>
      <c r="C4620" s="615">
        <v>570568.49315068498</v>
      </c>
      <c r="D4620" s="532">
        <v>45863</v>
      </c>
      <c r="E4620" s="534">
        <v>42</v>
      </c>
      <c r="F4620" s="601">
        <v>0.32500000000000001</v>
      </c>
      <c r="G4620" s="1127" t="s">
        <v>256</v>
      </c>
      <c r="H4620" s="1021">
        <v>14691.780821917844</v>
      </c>
      <c r="I4620" s="1128">
        <v>1504.79</v>
      </c>
      <c r="J4620" s="1125">
        <v>1538.52</v>
      </c>
      <c r="K4620">
        <v>365.49950491430701</v>
      </c>
      <c r="L4620" s="591">
        <v>570568.49315068498</v>
      </c>
      <c r="M4620" s="591">
        <f t="shared" si="625"/>
        <v>0</v>
      </c>
    </row>
    <row r="4621" spans="1:13" ht="13.5" customHeight="1">
      <c r="A4621" s="1126">
        <v>45686</v>
      </c>
      <c r="B4621" s="615">
        <v>500000</v>
      </c>
      <c r="C4621" s="615">
        <f>502465.75+78346.72</f>
        <v>580812.47</v>
      </c>
      <c r="D4621" s="532">
        <v>45866</v>
      </c>
      <c r="E4621" s="534">
        <v>180</v>
      </c>
      <c r="F4621" s="601">
        <v>0.16162496550062611</v>
      </c>
      <c r="G4621" s="1127" t="s">
        <v>256</v>
      </c>
      <c r="H4621" s="1021">
        <v>13468.747125052168</v>
      </c>
      <c r="I4621" s="1128">
        <v>1331.67</v>
      </c>
      <c r="J4621" s="1125">
        <v>1539.31</v>
      </c>
      <c r="K4621">
        <v>375.46839682503924</v>
      </c>
      <c r="L4621" s="591">
        <v>580812.48275031312</v>
      </c>
      <c r="M4621" s="591">
        <f t="shared" ref="A4621:M4623" si="626">+C4621-L4621</f>
        <v>-1.2750313151627779E-2</v>
      </c>
    </row>
    <row r="4622" spans="1:13" ht="13.5" customHeight="1">
      <c r="A4622" s="1126">
        <v>45686</v>
      </c>
      <c r="B4622" s="615">
        <v>910000</v>
      </c>
      <c r="C4622" s="615">
        <f>1051887.49+5187.47</f>
        <v>1057074.96</v>
      </c>
      <c r="D4622" s="532">
        <v>45866</v>
      </c>
      <c r="E4622" s="534">
        <v>180</v>
      </c>
      <c r="F4622" s="601">
        <v>0.16162496550062611</v>
      </c>
      <c r="G4622" s="1127" t="s">
        <v>263</v>
      </c>
      <c r="H4622" s="1021">
        <v>24513.119767594966</v>
      </c>
      <c r="I4622" s="1128">
        <v>1331.67</v>
      </c>
      <c r="J4622" s="1125">
        <v>1539.31</v>
      </c>
      <c r="K4622">
        <v>683.35248222157134</v>
      </c>
      <c r="L4622" s="591">
        <v>1057078.7186055696</v>
      </c>
      <c r="M4622" s="591">
        <f t="shared" si="626"/>
        <v>-3.758605569601059</v>
      </c>
    </row>
    <row r="4623" spans="1:13" ht="13.5" customHeight="1">
      <c r="A4623" s="1126">
        <v>45757</v>
      </c>
      <c r="B4623" s="615">
        <v>500000</v>
      </c>
      <c r="C4623" s="615">
        <v>546308.73</v>
      </c>
      <c r="D4623" s="532">
        <v>45866</v>
      </c>
      <c r="E4623" s="534">
        <v>109</v>
      </c>
      <c r="F4623" s="601">
        <v>9.58476250907776E-2</v>
      </c>
      <c r="G4623" s="1127" t="s">
        <v>258</v>
      </c>
      <c r="H4623" s="1021">
        <v>13190.040150107014</v>
      </c>
      <c r="I4623" s="1128">
        <v>1408.87</v>
      </c>
      <c r="J4623" s="1125">
        <v>1539.31</v>
      </c>
      <c r="K4623">
        <v>354.89434795261451</v>
      </c>
      <c r="L4623" s="591">
        <v>547923.81254538882</v>
      </c>
      <c r="M4623" s="591">
        <f t="shared" si="626"/>
        <v>-1615.0825453888392</v>
      </c>
    </row>
    <row r="4624" spans="1:13" ht="13.5" customHeight="1">
      <c r="A4624" s="1126">
        <v>45758</v>
      </c>
      <c r="B4624" s="615">
        <v>1300000</v>
      </c>
      <c r="C4624" s="615">
        <v>1421499.95</v>
      </c>
      <c r="D4624" s="532">
        <v>45867</v>
      </c>
      <c r="E4624" s="534">
        <v>109</v>
      </c>
      <c r="F4624" s="601">
        <v>9.6694153052158116E-2</v>
      </c>
      <c r="G4624" s="1127" t="s">
        <v>258</v>
      </c>
      <c r="H4624" s="1021">
        <v>34596.990541597857</v>
      </c>
      <c r="I4624" s="1128">
        <v>1409.95</v>
      </c>
      <c r="J4624" s="1125">
        <v>1541.68</v>
      </c>
      <c r="K4624">
        <v>922.01851129472675</v>
      </c>
      <c r="L4624" s="591">
        <v>1425702.3989678056</v>
      </c>
      <c r="M4624" s="591">
        <f t="shared" ref="A4624:M4625" si="627">+C4624-L4624</f>
        <v>-4202.4489678055979</v>
      </c>
    </row>
    <row r="4625" spans="1:13" ht="13.5" customHeight="1">
      <c r="A4625" s="1126">
        <v>45761</v>
      </c>
      <c r="B4625" s="615">
        <v>500000</v>
      </c>
      <c r="C4625" s="615">
        <f>504356.16+46699.31</f>
        <v>551055.47</v>
      </c>
      <c r="D4625" s="532">
        <v>45867</v>
      </c>
      <c r="E4625" s="534">
        <v>106</v>
      </c>
      <c r="F4625" s="601">
        <v>9.5764943106265044E-2</v>
      </c>
      <c r="G4625" s="1127" t="s">
        <v>257</v>
      </c>
      <c r="H4625" s="1021">
        <v>13551.642892395996</v>
      </c>
      <c r="I4625" s="1128">
        <v>1411.03</v>
      </c>
      <c r="J4625" s="1125">
        <v>1541.68</v>
      </c>
      <c r="K4625">
        <v>354.35107687292265</v>
      </c>
      <c r="L4625" s="591">
        <v>547882.47155313264</v>
      </c>
      <c r="M4625" s="591">
        <f t="shared" si="627"/>
        <v>3172.9984468673356</v>
      </c>
    </row>
    <row r="4626" spans="1:13" ht="13.5" customHeight="1">
      <c r="A4626" s="1126">
        <v>45826</v>
      </c>
      <c r="B4626" s="615">
        <v>1000000</v>
      </c>
      <c r="C4626" s="615">
        <v>1032013.698630137</v>
      </c>
      <c r="D4626" s="532">
        <v>45867</v>
      </c>
      <c r="E4626" s="534">
        <v>41</v>
      </c>
      <c r="F4626" s="601">
        <v>0.28499999999999998</v>
      </c>
      <c r="G4626" s="1127" t="s">
        <v>260</v>
      </c>
      <c r="H4626" s="1021">
        <v>23424.657534246599</v>
      </c>
      <c r="I4626" s="1128">
        <v>1510.32</v>
      </c>
      <c r="J4626" s="1125">
        <v>1541.68</v>
      </c>
      <c r="K4626">
        <v>662.11134064304258</v>
      </c>
      <c r="L4626" s="591">
        <v>1032013.698630137</v>
      </c>
      <c r="M4626" s="591">
        <v>0</v>
      </c>
    </row>
    <row r="4627" spans="1:13" ht="13.5" customHeight="1">
      <c r="A4627" s="1126">
        <v>45758</v>
      </c>
      <c r="B4627" s="615">
        <v>198000</v>
      </c>
      <c r="C4627" s="615">
        <f>198000+2266.27+18498.12</f>
        <v>218764.38999999998</v>
      </c>
      <c r="D4627" s="532">
        <v>45867</v>
      </c>
      <c r="E4627" s="534">
        <v>109</v>
      </c>
      <c r="F4627" s="601">
        <v>9.6694153052158116E-2</v>
      </c>
      <c r="G4627" s="1127" t="s">
        <v>260</v>
      </c>
      <c r="H4627" s="1021">
        <v>5269.387790181825</v>
      </c>
      <c r="I4627" s="1128">
        <v>1409.95</v>
      </c>
      <c r="J4627" s="1125">
        <v>1541.68</v>
      </c>
      <c r="K4627">
        <v>140.43051172027376</v>
      </c>
      <c r="L4627" s="591">
        <v>217145.4423043273</v>
      </c>
      <c r="M4627" s="591">
        <f t="shared" ref="A4627:M4627" si="628">+C4627-L4627</f>
        <v>1618.9476956726867</v>
      </c>
    </row>
    <row r="4628" spans="1:13" ht="13.5" customHeight="1">
      <c r="A4628" s="1126">
        <v>45761</v>
      </c>
      <c r="B4628" s="615">
        <v>434000</v>
      </c>
      <c r="C4628" s="615">
        <f>437816.82+40783.42</f>
        <v>478600.24</v>
      </c>
      <c r="D4628" s="532">
        <v>45868</v>
      </c>
      <c r="E4628" s="534">
        <v>107</v>
      </c>
      <c r="F4628" s="601">
        <v>9.6356393109900518E-2</v>
      </c>
      <c r="G4628" s="1127" t="s">
        <v>265</v>
      </c>
      <c r="H4628" s="1021">
        <v>11724.86204010192</v>
      </c>
      <c r="I4628" s="1128">
        <v>1411.03</v>
      </c>
      <c r="J4628" s="1125">
        <v>1542.47</v>
      </c>
      <c r="K4628">
        <v>307.57673472569684</v>
      </c>
      <c r="L4628" s="591">
        <v>475818.67460969684</v>
      </c>
      <c r="M4628" s="591">
        <f t="shared" ref="A4628:M4631" si="629">+C4628-L4628</f>
        <v>2781.5653903031489</v>
      </c>
    </row>
    <row r="4629" spans="1:13" ht="13.5" customHeight="1">
      <c r="A4629" s="1126">
        <v>45761</v>
      </c>
      <c r="B4629" s="615">
        <v>584000</v>
      </c>
      <c r="C4629" s="615">
        <f>589136+54879.08</f>
        <v>644015.07999999996</v>
      </c>
      <c r="D4629" s="532">
        <v>45868</v>
      </c>
      <c r="E4629" s="534">
        <v>107</v>
      </c>
      <c r="F4629" s="601">
        <v>9.6356393109900518E-2</v>
      </c>
      <c r="G4629" s="1127" t="s">
        <v>257</v>
      </c>
      <c r="H4629" s="1021">
        <v>15777.233712948211</v>
      </c>
      <c r="I4629" s="1128">
        <v>1411.03</v>
      </c>
      <c r="J4629" s="1125">
        <v>1542.47</v>
      </c>
      <c r="K4629">
        <v>413.88205778757361</v>
      </c>
      <c r="L4629" s="591">
        <v>640272.13357618183</v>
      </c>
      <c r="M4629" s="591">
        <f t="shared" si="629"/>
        <v>3742.9464238181245</v>
      </c>
    </row>
    <row r="4630" spans="1:13" ht="13.5" customHeight="1">
      <c r="A4630" s="1126">
        <v>45762</v>
      </c>
      <c r="B4630" s="615">
        <v>469000</v>
      </c>
      <c r="C4630" s="615">
        <f>469000+5198.12+42513.9</f>
        <v>516712.02</v>
      </c>
      <c r="D4630" s="532">
        <v>45868</v>
      </c>
      <c r="E4630" s="534">
        <v>106</v>
      </c>
      <c r="F4630" s="601">
        <v>9.3814831621832129E-2</v>
      </c>
      <c r="G4630" s="1127" t="s">
        <v>260</v>
      </c>
      <c r="H4630" s="1021">
        <v>12452.591329426203</v>
      </c>
      <c r="I4630" s="1128">
        <v>1414.27</v>
      </c>
      <c r="J4630" s="1125">
        <v>1542.47</v>
      </c>
      <c r="K4630">
        <v>331.61984628112032</v>
      </c>
      <c r="L4630" s="591">
        <v>512999.15603063925</v>
      </c>
      <c r="M4630" s="591">
        <f t="shared" si="629"/>
        <v>3712.8639693607693</v>
      </c>
    </row>
    <row r="4631" spans="1:13" ht="13.5" customHeight="1">
      <c r="A4631" s="1126">
        <v>45763</v>
      </c>
      <c r="B4631" s="615">
        <v>500000</v>
      </c>
      <c r="C4631" s="615">
        <f>501438.36+45036.81</f>
        <v>546475.16999999993</v>
      </c>
      <c r="D4631" s="532">
        <v>45868</v>
      </c>
      <c r="E4631" s="534">
        <v>105</v>
      </c>
      <c r="F4631" s="601">
        <v>9.2950324983752219E-2</v>
      </c>
      <c r="G4631" s="1127" t="s">
        <v>256</v>
      </c>
      <c r="H4631" s="1021">
        <v>13278.617854821761</v>
      </c>
      <c r="I4631" s="1128">
        <v>1415.35</v>
      </c>
      <c r="J4631" s="1125">
        <v>1542.47</v>
      </c>
      <c r="K4631">
        <v>353.26950930865161</v>
      </c>
      <c r="L4631" s="591">
        <v>546475.16249187617</v>
      </c>
      <c r="M4631" s="591">
        <f t="shared" si="629"/>
        <v>7.5081237591803074E-3</v>
      </c>
    </row>
    <row r="4632" spans="1:13" ht="13.5" customHeight="1">
      <c r="A4632" s="1126">
        <v>45768</v>
      </c>
      <c r="B4632" s="615">
        <v>799000</v>
      </c>
      <c r="C4632" s="615">
        <f>799000+8426.2+71151.72</f>
        <v>878577.91999999993</v>
      </c>
      <c r="D4632" s="532">
        <v>45869</v>
      </c>
      <c r="E4632" s="534">
        <v>101</v>
      </c>
      <c r="F4632" s="601">
        <v>9.2063476528986721E-2</v>
      </c>
      <c r="G4632" s="1127" t="s">
        <v>260</v>
      </c>
      <c r="H4632" s="1021">
        <v>21849.12408316644</v>
      </c>
      <c r="I4632" s="1128">
        <v>1417.07</v>
      </c>
      <c r="J4632" s="1125">
        <v>1543.26</v>
      </c>
      <c r="K4632">
        <v>563.83947158573676</v>
      </c>
      <c r="L4632" s="591">
        <v>872558.71774666046</v>
      </c>
      <c r="M4632" s="591">
        <f t="shared" ref="A4632:M4648" si="630">+C4632-L4632</f>
        <v>6019.2022533394629</v>
      </c>
    </row>
    <row r="4633" spans="1:13" ht="13.5" customHeight="1">
      <c r="A4633" s="1126">
        <v>45768</v>
      </c>
      <c r="B4633" s="615">
        <v>1150000</v>
      </c>
      <c r="C4633" s="615">
        <f>1153182.19+102690.8</f>
        <v>1255872.99</v>
      </c>
      <c r="D4633" s="532">
        <v>45869</v>
      </c>
      <c r="E4633" s="534">
        <v>101</v>
      </c>
      <c r="F4633" s="601">
        <v>9.2063476528986721E-2</v>
      </c>
      <c r="G4633" s="1127" t="s">
        <v>257</v>
      </c>
      <c r="H4633" s="1021">
        <v>31447.42515099053</v>
      </c>
      <c r="I4633" s="1128">
        <v>1417.07</v>
      </c>
      <c r="J4633" s="1125">
        <v>1543.26</v>
      </c>
      <c r="K4633">
        <v>811.53365747634211</v>
      </c>
      <c r="L4633" s="591">
        <v>1255872.998008335</v>
      </c>
      <c r="M4633" s="591">
        <f t="shared" si="630"/>
        <v>-8.008335018530488E-3</v>
      </c>
    </row>
    <row r="4634" spans="1:13" ht="13.5" customHeight="1">
      <c r="A4634" s="1126">
        <v>45768</v>
      </c>
      <c r="B4634" s="615">
        <v>350000</v>
      </c>
      <c r="C4634" s="615">
        <f>350978.08+31450.24</f>
        <v>382428.32</v>
      </c>
      <c r="D4634" s="532">
        <v>45870</v>
      </c>
      <c r="E4634" s="534">
        <v>102</v>
      </c>
      <c r="F4634" s="601">
        <v>9.2652359764905601E-2</v>
      </c>
      <c r="G4634" s="1127" t="s">
        <v>256</v>
      </c>
      <c r="H4634" s="1021">
        <v>9537.7429169755742</v>
      </c>
      <c r="I4634" s="1128">
        <v>1417.07</v>
      </c>
      <c r="J4634" s="1125">
        <v>1544.05</v>
      </c>
      <c r="K4634">
        <v>246.98850444932151</v>
      </c>
      <c r="L4634" s="591">
        <v>382428.32591771695</v>
      </c>
      <c r="M4634" s="591">
        <f t="shared" si="630"/>
        <v>-5.9177169459871948E-3</v>
      </c>
    </row>
    <row r="4635" spans="1:13" ht="13.5" customHeight="1">
      <c r="A4635" s="1126">
        <v>45769</v>
      </c>
      <c r="B4635" s="615">
        <v>390000</v>
      </c>
      <c r="C4635" s="615">
        <v>422392.24</v>
      </c>
      <c r="D4635" s="532">
        <v>45870</v>
      </c>
      <c r="E4635" s="534">
        <v>101</v>
      </c>
      <c r="F4635" s="601">
        <v>8.6023916104826181E-2</v>
      </c>
      <c r="G4635" s="1127" t="s">
        <v>258</v>
      </c>
      <c r="H4635" s="1021">
        <v>9965.1467170937303</v>
      </c>
      <c r="I4635" s="1128">
        <v>1425.68</v>
      </c>
      <c r="J4635" s="1125">
        <v>1544.05</v>
      </c>
      <c r="K4635">
        <v>273.55367263341003</v>
      </c>
      <c r="L4635" s="591">
        <v>423549.32728088222</v>
      </c>
      <c r="M4635" s="591">
        <f t="shared" si="630"/>
        <v>-1157.0872808822314</v>
      </c>
    </row>
    <row r="4636" spans="1:13" ht="13.5" customHeight="1">
      <c r="A4636" s="1126">
        <v>45770</v>
      </c>
      <c r="B4636" s="615">
        <v>880000</v>
      </c>
      <c r="C4636" s="615">
        <v>951941.45</v>
      </c>
      <c r="D4636" s="532">
        <v>45870</v>
      </c>
      <c r="E4636" s="534">
        <v>100</v>
      </c>
      <c r="F4636" s="601">
        <v>8.4685634000702503E-2</v>
      </c>
      <c r="G4636" s="1127" t="s">
        <v>262</v>
      </c>
      <c r="H4636" s="1021">
        <v>22357.007376185444</v>
      </c>
      <c r="I4636" s="1128">
        <v>1427.4</v>
      </c>
      <c r="J4636" s="1125">
        <v>1544.05</v>
      </c>
      <c r="K4636">
        <v>616.5055345383214</v>
      </c>
      <c r="L4636" s="591">
        <v>954523.35792061826</v>
      </c>
      <c r="M4636" s="591">
        <f t="shared" si="630"/>
        <v>-2581.9079206183087</v>
      </c>
    </row>
    <row r="4637" spans="1:13" ht="13.5" customHeight="1">
      <c r="A4637" s="1126">
        <v>45771</v>
      </c>
      <c r="B4637" s="615">
        <v>230000</v>
      </c>
      <c r="C4637" s="615">
        <v>248501.63</v>
      </c>
      <c r="D4637" s="532">
        <v>45870</v>
      </c>
      <c r="E4637" s="534">
        <v>99</v>
      </c>
      <c r="F4637" s="601">
        <v>8.3342992752847289E-2</v>
      </c>
      <c r="G4637" s="1127" t="s">
        <v>258</v>
      </c>
      <c r="H4637" s="1021">
        <v>5808.7540403499615</v>
      </c>
      <c r="I4637" s="1128">
        <v>1429.13</v>
      </c>
      <c r="J4637" s="1125">
        <v>1544.05</v>
      </c>
      <c r="K4637">
        <v>160.93707360422073</v>
      </c>
      <c r="L4637" s="591">
        <v>249168.88833315487</v>
      </c>
      <c r="M4637" s="591">
        <f t="shared" si="630"/>
        <v>-667.2583331548667</v>
      </c>
    </row>
    <row r="4638" spans="1:13" ht="13.5" customHeight="1">
      <c r="A4638" s="1126">
        <v>45840</v>
      </c>
      <c r="B4638" s="615">
        <v>1900000</v>
      </c>
      <c r="C4638" s="615">
        <v>1947630.1369863013</v>
      </c>
      <c r="D4638" s="532">
        <v>45870</v>
      </c>
      <c r="E4638" s="534">
        <v>30</v>
      </c>
      <c r="F4638" s="601">
        <v>0.30499999999999999</v>
      </c>
      <c r="G4638" s="1127" t="s">
        <v>258</v>
      </c>
      <c r="H4638" s="1021">
        <v>47630.136986301281</v>
      </c>
      <c r="I4638" s="1128">
        <v>1520.85</v>
      </c>
      <c r="J4638" s="1125">
        <v>1544.05</v>
      </c>
      <c r="K4638">
        <v>1249.3013775191505</v>
      </c>
      <c r="L4638" s="591">
        <v>1947630.1369863013</v>
      </c>
      <c r="M4638" s="591">
        <f t="shared" si="630"/>
        <v>0</v>
      </c>
    </row>
    <row r="4639" spans="1:13" ht="13.5" customHeight="1">
      <c r="A4639" s="1126">
        <v>45771</v>
      </c>
      <c r="B4639" s="615">
        <v>350000</v>
      </c>
      <c r="C4639" s="615">
        <f>350978.08+28417.05</f>
        <v>379395.13</v>
      </c>
      <c r="D4639" s="532">
        <v>45873</v>
      </c>
      <c r="E4639" s="534">
        <v>102</v>
      </c>
      <c r="F4639" s="601">
        <v>8.3986122412437858E-2</v>
      </c>
      <c r="G4639" s="1127" t="s">
        <v>256</v>
      </c>
      <c r="H4639" s="1021">
        <v>8645.6302483391992</v>
      </c>
      <c r="I4639" s="1128">
        <v>1429.13</v>
      </c>
      <c r="J4639" s="1125">
        <v>1544.84</v>
      </c>
      <c r="K4639">
        <v>244.90424244120547</v>
      </c>
      <c r="L4639" s="591">
        <v>379395.14284435328</v>
      </c>
      <c r="M4639" s="591">
        <f t="shared" si="630"/>
        <v>-1.2844353273976594E-2</v>
      </c>
    </row>
    <row r="4640" spans="1:13" ht="13.5" customHeight="1">
      <c r="A4640" s="1126">
        <v>45771</v>
      </c>
      <c r="B4640" s="615">
        <v>1033000</v>
      </c>
      <c r="C4640" s="615">
        <f>1033000+10922.02+83645.25</f>
        <v>1127567.27</v>
      </c>
      <c r="D4640" s="532">
        <v>45873</v>
      </c>
      <c r="E4640" s="534">
        <v>102</v>
      </c>
      <c r="F4640" s="601">
        <v>8.3986122412437858E-2</v>
      </c>
      <c r="G4640" s="1127" t="s">
        <v>260</v>
      </c>
      <c r="H4640" s="1021">
        <v>25516.960132955366</v>
      </c>
      <c r="I4640" s="1128">
        <v>1429.13</v>
      </c>
      <c r="J4640" s="1125">
        <v>1544.84</v>
      </c>
      <c r="K4640">
        <v>722.81737840504354</v>
      </c>
      <c r="L4640" s="591">
        <v>1119757.6644520483</v>
      </c>
      <c r="M4640" s="591">
        <f t="shared" si="630"/>
        <v>7809.6055479517672</v>
      </c>
    </row>
    <row r="4641" spans="1:13" ht="13.5" customHeight="1">
      <c r="A4641" s="1126">
        <v>45841</v>
      </c>
      <c r="B4641" s="615">
        <v>491400</v>
      </c>
      <c r="C4641" s="615">
        <v>503893.67671232874</v>
      </c>
      <c r="D4641" s="532">
        <v>45873</v>
      </c>
      <c r="E4641" s="534">
        <v>32</v>
      </c>
      <c r="F4641" s="601">
        <v>0.28999999999999998</v>
      </c>
      <c r="G4641" s="1127" t="s">
        <v>820</v>
      </c>
      <c r="H4641" s="1021">
        <v>11712.821917808196</v>
      </c>
      <c r="I4641" s="1128">
        <v>1521.6</v>
      </c>
      <c r="J4641" s="1125">
        <v>1544.84</v>
      </c>
      <c r="K4641">
        <v>322.94952681388014</v>
      </c>
      <c r="L4641" s="591">
        <v>503893.68</v>
      </c>
      <c r="M4641" s="591">
        <f t="shared" si="630"/>
        <v>-3.2876712502911687E-3</v>
      </c>
    </row>
    <row r="4642" spans="1:13" ht="13.5" customHeight="1">
      <c r="A4642" s="1126">
        <v>45842</v>
      </c>
      <c r="B4642" s="615">
        <v>239000</v>
      </c>
      <c r="C4642" s="615">
        <v>244988.09589041097</v>
      </c>
      <c r="D4642" s="532">
        <v>45873</v>
      </c>
      <c r="E4642" s="534">
        <v>31</v>
      </c>
      <c r="F4642" s="601">
        <v>0.29499999999999998</v>
      </c>
      <c r="G4642" s="1127" t="s">
        <v>257</v>
      </c>
      <c r="H4642" s="1021">
        <v>5794.9315068493279</v>
      </c>
      <c r="I4642" s="1128">
        <v>1522.36</v>
      </c>
      <c r="J4642" s="1125">
        <v>1544.84</v>
      </c>
      <c r="K4642">
        <v>156.99308967655483</v>
      </c>
      <c r="L4642" s="591">
        <v>244988.09589041097</v>
      </c>
      <c r="M4642" s="591">
        <f t="shared" si="630"/>
        <v>0</v>
      </c>
    </row>
    <row r="4643" spans="1:13" ht="13.5" customHeight="1">
      <c r="A4643" s="1126">
        <v>45771</v>
      </c>
      <c r="B4643" s="615">
        <v>594000</v>
      </c>
      <c r="C4643" s="615">
        <f>595659.95+48227.81</f>
        <v>643887.76</v>
      </c>
      <c r="D4643" s="532">
        <v>45873</v>
      </c>
      <c r="E4643" s="534">
        <v>102</v>
      </c>
      <c r="F4643" s="601">
        <v>8.3986122412437858E-2</v>
      </c>
      <c r="G4643" s="1127" t="s">
        <v>257</v>
      </c>
      <c r="H4643" s="1021">
        <v>14672.869621467098</v>
      </c>
      <c r="I4643" s="1128">
        <v>1429.13</v>
      </c>
      <c r="J4643" s="1125">
        <v>1544.84</v>
      </c>
      <c r="K4643">
        <v>415.63748574307442</v>
      </c>
      <c r="L4643" s="591">
        <v>643887.75671298814</v>
      </c>
      <c r="M4643" s="591">
        <f t="shared" si="630"/>
        <v>3.2870118739083409E-3</v>
      </c>
    </row>
    <row r="4644" spans="1:13" ht="13.5" customHeight="1">
      <c r="A4644" s="1126">
        <v>45772</v>
      </c>
      <c r="B4644" s="615">
        <v>250000</v>
      </c>
      <c r="C4644" s="615">
        <f>250698.63+20383.59</f>
        <v>271082.22000000003</v>
      </c>
      <c r="D4644" s="532">
        <v>45874</v>
      </c>
      <c r="E4644" s="534">
        <v>102</v>
      </c>
      <c r="F4644" s="601">
        <v>8.432891187668079E-2</v>
      </c>
      <c r="G4644" s="1127" t="s">
        <v>256</v>
      </c>
      <c r="H4644" s="1021">
        <v>6200.6552850500584</v>
      </c>
      <c r="I4644" s="1128">
        <v>1430.87</v>
      </c>
      <c r="J4644" s="1125">
        <v>1547.21</v>
      </c>
      <c r="K4644">
        <v>174.71887732638186</v>
      </c>
      <c r="L4644" s="591">
        <v>271082.2279691702</v>
      </c>
      <c r="M4644" s="591">
        <f t="shared" si="630"/>
        <v>-7.9691701685078442E-3</v>
      </c>
    </row>
    <row r="4645" spans="1:13" ht="13.5" customHeight="1">
      <c r="A4645" s="1126">
        <v>45841</v>
      </c>
      <c r="B4645" s="615">
        <v>1000000</v>
      </c>
      <c r="C4645" s="615">
        <v>1026671.2328767123</v>
      </c>
      <c r="D4645" s="532">
        <v>45874</v>
      </c>
      <c r="E4645" s="534">
        <v>33</v>
      </c>
      <c r="F4645" s="601">
        <v>0.29499999999999998</v>
      </c>
      <c r="G4645" s="1127" t="s">
        <v>256</v>
      </c>
      <c r="H4645" s="1021">
        <v>24246.575342465763</v>
      </c>
      <c r="I4645" s="1128">
        <v>1521.6</v>
      </c>
      <c r="J4645" s="1125">
        <v>1547.21</v>
      </c>
      <c r="K4645">
        <v>657.20294426919031</v>
      </c>
      <c r="L4645" s="591">
        <v>1026671.2328767123</v>
      </c>
      <c r="M4645" s="591">
        <f>+C4645-L4645</f>
        <v>0</v>
      </c>
    </row>
    <row r="4646" spans="1:13" ht="13.5" customHeight="1">
      <c r="A4646" s="1126">
        <v>45772</v>
      </c>
      <c r="B4646" s="615">
        <v>300000</v>
      </c>
      <c r="C4646" s="615">
        <f>300000+3171.78+24388.05</f>
        <v>327559.83</v>
      </c>
      <c r="D4646" s="532">
        <v>45874</v>
      </c>
      <c r="E4646" s="534">
        <v>102</v>
      </c>
      <c r="F4646" s="601">
        <v>8.432891187668079E-2</v>
      </c>
      <c r="G4646" s="1127" t="s">
        <v>260</v>
      </c>
      <c r="H4646" s="1021">
        <v>7440.7863420600697</v>
      </c>
      <c r="I4646" s="1128">
        <v>1430.87</v>
      </c>
      <c r="J4646" s="1125">
        <v>1547.21</v>
      </c>
      <c r="K4646">
        <v>209.66265279165825</v>
      </c>
      <c r="L4646" s="591">
        <v>325298.6735630043</v>
      </c>
      <c r="M4646" s="591">
        <f>+C4646-L4646</f>
        <v>2261.1564369957196</v>
      </c>
    </row>
    <row r="4647" spans="1:13" ht="13.5" customHeight="1">
      <c r="A4647" s="1126">
        <v>45772</v>
      </c>
      <c r="B4647" s="615">
        <v>800000</v>
      </c>
      <c r="C4647" s="615">
        <v>865069.91</v>
      </c>
      <c r="D4647" s="532">
        <v>45874</v>
      </c>
      <c r="E4647" s="534">
        <v>102</v>
      </c>
      <c r="F4647" s="601">
        <v>8.432891187668079E-2</v>
      </c>
      <c r="G4647" s="1127" t="s">
        <v>258</v>
      </c>
      <c r="H4647" s="1021">
        <v>19842.096912160185</v>
      </c>
      <c r="I4647" s="1128">
        <v>1430.87</v>
      </c>
      <c r="J4647" s="1125">
        <v>1547.21</v>
      </c>
      <c r="K4647">
        <v>559.10040744442199</v>
      </c>
      <c r="L4647" s="591">
        <v>867463.12950134475</v>
      </c>
      <c r="M4647" s="591">
        <f>+C4647-L4647</f>
        <v>-2393.2195013447199</v>
      </c>
    </row>
    <row r="4648" spans="1:13" ht="13.5" customHeight="1">
      <c r="A4648" s="1126">
        <v>45832</v>
      </c>
      <c r="B4648" s="615">
        <v>550000</v>
      </c>
      <c r="C4648" s="615">
        <v>570252.05479452061</v>
      </c>
      <c r="D4648" s="532">
        <v>45874</v>
      </c>
      <c r="E4648" s="534">
        <v>42</v>
      </c>
      <c r="F4648" s="601">
        <v>0.32</v>
      </c>
      <c r="G4648" s="1127" t="s">
        <v>257</v>
      </c>
      <c r="H4648" s="1021">
        <v>14465.753424657574</v>
      </c>
      <c r="I4648" s="1128">
        <v>1514.82</v>
      </c>
      <c r="J4648" s="1125">
        <v>1547.21</v>
      </c>
      <c r="K4648">
        <v>363.07944178186187</v>
      </c>
      <c r="L4648" s="591">
        <v>570252.05479452061</v>
      </c>
      <c r="M4648" s="591">
        <f t="shared" si="630"/>
        <v>0</v>
      </c>
    </row>
    <row r="4649" spans="1:13" ht="13.5" customHeight="1">
      <c r="A4649" s="1126">
        <v>45772</v>
      </c>
      <c r="B4649" s="615">
        <v>401000</v>
      </c>
      <c r="C4649" s="615">
        <f>402120.6+32695.28</f>
        <v>434815.88</v>
      </c>
      <c r="D4649" s="532">
        <v>45874</v>
      </c>
      <c r="E4649" s="534">
        <v>102</v>
      </c>
      <c r="F4649" s="601">
        <v>8.432891187668079E-2</v>
      </c>
      <c r="G4649" s="1127" t="s">
        <v>257</v>
      </c>
      <c r="H4649" s="1021">
        <v>9945.8510772202862</v>
      </c>
      <c r="I4649" s="1128">
        <v>1430.87</v>
      </c>
      <c r="J4649" s="1125">
        <v>1547.21</v>
      </c>
      <c r="K4649">
        <v>280.24907923151653</v>
      </c>
      <c r="L4649" s="591">
        <v>434815.89366254909</v>
      </c>
      <c r="M4649" s="591">
        <f>+C4649-L4649</f>
        <v>-1.3662549084983766E-2</v>
      </c>
    </row>
    <row r="4650" spans="1:13" ht="13.5" customHeight="1">
      <c r="A4650" s="1126">
        <v>45775</v>
      </c>
      <c r="B4650" s="615">
        <v>200000</v>
      </c>
      <c r="C4650" s="615">
        <f>200547.95+16156.1</f>
        <v>216704.05000000002</v>
      </c>
      <c r="D4650" s="532">
        <v>45875</v>
      </c>
      <c r="E4650" s="534">
        <v>100</v>
      </c>
      <c r="F4650" s="601">
        <v>8.3520259170509092E-2</v>
      </c>
      <c r="G4650" s="1127" t="s">
        <v>257</v>
      </c>
      <c r="H4650" s="1021">
        <v>5011.2155502305459</v>
      </c>
      <c r="I4650" s="1128">
        <v>1432.6</v>
      </c>
      <c r="J4650" s="1125">
        <v>1548.01</v>
      </c>
      <c r="K4650">
        <v>139.60631020522129</v>
      </c>
      <c r="L4650" s="591">
        <v>216704.05183410185</v>
      </c>
      <c r="M4650" s="591">
        <f t="shared" ref="A4650:M4661" si="631">+C4650-L4650</f>
        <v>-1.8341018294449896E-3</v>
      </c>
    </row>
    <row r="4651" spans="1:13" ht="13.5" customHeight="1">
      <c r="A4651" s="1126">
        <v>45775</v>
      </c>
      <c r="B4651" s="615">
        <v>600000</v>
      </c>
      <c r="C4651" s="615">
        <f>601643.84+48468.32</f>
        <v>650112.15999999992</v>
      </c>
      <c r="D4651" s="532">
        <v>45875</v>
      </c>
      <c r="E4651" s="534">
        <v>100</v>
      </c>
      <c r="F4651" s="601">
        <v>8.3520259170509092E-2</v>
      </c>
      <c r="G4651" s="1127" t="s">
        <v>257</v>
      </c>
      <c r="H4651" s="1021">
        <v>15033.646650691646</v>
      </c>
      <c r="I4651" s="1128">
        <v>1432.6</v>
      </c>
      <c r="J4651" s="1125">
        <v>1548.01</v>
      </c>
      <c r="K4651">
        <v>418.81893061566387</v>
      </c>
      <c r="L4651" s="591">
        <v>650112.15550230548</v>
      </c>
      <c r="M4651" s="591">
        <f t="shared" si="631"/>
        <v>4.4976944336667657E-3</v>
      </c>
    </row>
    <row r="4652" spans="1:13" ht="13.5" customHeight="1">
      <c r="A4652" s="1126">
        <v>45776</v>
      </c>
      <c r="B4652" s="615">
        <v>1000</v>
      </c>
      <c r="C4652" s="615">
        <v>1076.67</v>
      </c>
      <c r="D4652" s="532">
        <v>45875</v>
      </c>
      <c r="E4652" s="534">
        <v>99</v>
      </c>
      <c r="F4652" s="601">
        <v>7.9564554464633508E-2</v>
      </c>
      <c r="G4652" s="1127" t="s">
        <v>262</v>
      </c>
      <c r="H4652" s="1021">
        <v>24.110471049888972</v>
      </c>
      <c r="I4652" s="1128">
        <v>1437.81</v>
      </c>
      <c r="J4652" s="1125">
        <v>1548.01</v>
      </c>
      <c r="K4652">
        <v>0.6955021873543793</v>
      </c>
      <c r="L4652" s="591">
        <v>1079.5645544646334</v>
      </c>
      <c r="M4652" s="591">
        <f t="shared" si="631"/>
        <v>-2.8945544646333019</v>
      </c>
    </row>
    <row r="4653" spans="1:13" ht="13.5" customHeight="1">
      <c r="A4653" s="1126">
        <v>45776</v>
      </c>
      <c r="B4653" s="615">
        <v>350000</v>
      </c>
      <c r="C4653" s="615">
        <v>376835.74</v>
      </c>
      <c r="D4653" s="532">
        <v>45875</v>
      </c>
      <c r="E4653" s="534">
        <v>99</v>
      </c>
      <c r="F4653" s="601">
        <v>7.9564554464633508E-2</v>
      </c>
      <c r="G4653" s="1127" t="s">
        <v>262</v>
      </c>
      <c r="H4653" s="1021">
        <v>8438.6648674611224</v>
      </c>
      <c r="I4653" s="1128">
        <v>1437.81</v>
      </c>
      <c r="J4653" s="1125">
        <v>1548.01</v>
      </c>
      <c r="K4653">
        <v>243.42576557403274</v>
      </c>
      <c r="L4653" s="591">
        <v>377847.59406262171</v>
      </c>
      <c r="M4653" s="591">
        <f t="shared" si="631"/>
        <v>-1011.8540626217145</v>
      </c>
    </row>
    <row r="4654" spans="1:13" ht="13.5" customHeight="1">
      <c r="A4654" s="1126">
        <v>45777</v>
      </c>
      <c r="B4654" s="615">
        <v>450000</v>
      </c>
      <c r="C4654" s="615">
        <v>483913.97</v>
      </c>
      <c r="D4654" s="532">
        <v>45875</v>
      </c>
      <c r="E4654" s="534">
        <v>98</v>
      </c>
      <c r="F4654" s="601">
        <v>7.8222721402315898E-2</v>
      </c>
      <c r="G4654" s="1127" t="s">
        <v>262</v>
      </c>
      <c r="H4654" s="1021">
        <v>10775.578968686377</v>
      </c>
      <c r="I4654" s="1128">
        <v>1439.56</v>
      </c>
      <c r="J4654" s="1125">
        <v>1548.01</v>
      </c>
      <c r="K4654">
        <v>312.59551529634058</v>
      </c>
      <c r="L4654" s="591">
        <v>485200.22463104222</v>
      </c>
      <c r="M4654" s="591">
        <f t="shared" si="631"/>
        <v>-1286.2546310422476</v>
      </c>
    </row>
    <row r="4655" spans="1:13" ht="13.5" customHeight="1">
      <c r="A4655" s="1126">
        <v>45825</v>
      </c>
      <c r="B4655" s="615">
        <v>960000</v>
      </c>
      <c r="C4655" s="615">
        <v>1002410.9589041095</v>
      </c>
      <c r="D4655" s="532">
        <v>45875</v>
      </c>
      <c r="E4655" s="534">
        <v>50</v>
      </c>
      <c r="F4655" s="601">
        <v>0.32250000000000001</v>
      </c>
      <c r="G4655" s="1127" t="s">
        <v>258</v>
      </c>
      <c r="H4655" s="1021">
        <v>25446.575342465727</v>
      </c>
      <c r="I4655" s="1128">
        <v>1506.13</v>
      </c>
      <c r="J4655" s="1125">
        <v>1548.01</v>
      </c>
      <c r="K4655">
        <v>637.39517837105689</v>
      </c>
      <c r="L4655" s="591">
        <v>1002410.9589041095</v>
      </c>
      <c r="M4655" s="591">
        <f t="shared" si="631"/>
        <v>0</v>
      </c>
    </row>
    <row r="4656" spans="1:13" ht="13.5" customHeight="1">
      <c r="A4656" s="1126">
        <v>45842</v>
      </c>
      <c r="B4656" s="615">
        <v>1000000</v>
      </c>
      <c r="C4656" s="615">
        <v>1026671.2328767123</v>
      </c>
      <c r="D4656" s="532">
        <v>45875</v>
      </c>
      <c r="E4656" s="534">
        <v>33</v>
      </c>
      <c r="F4656" s="601">
        <v>0.29499999999999998</v>
      </c>
      <c r="G4656" s="1127" t="s">
        <v>256</v>
      </c>
      <c r="H4656" s="1021">
        <v>24246.575342465763</v>
      </c>
      <c r="I4656" s="1128">
        <v>1522.36</v>
      </c>
      <c r="J4656" s="1125">
        <v>1548.01</v>
      </c>
      <c r="K4656">
        <v>656.8748522031583</v>
      </c>
      <c r="L4656" s="591">
        <v>1026671.2328767123</v>
      </c>
      <c r="M4656" s="591">
        <f t="shared" si="631"/>
        <v>0</v>
      </c>
    </row>
    <row r="4657" spans="1:13" ht="13.5" customHeight="1">
      <c r="A4657" s="1126">
        <v>45776</v>
      </c>
      <c r="B4657" s="615">
        <v>1050000</v>
      </c>
      <c r="C4657" s="615">
        <v>1131084.47</v>
      </c>
      <c r="D4657" s="532">
        <v>45876</v>
      </c>
      <c r="E4657" s="534">
        <v>100</v>
      </c>
      <c r="F4657" s="601">
        <v>8.0145003631378886E-2</v>
      </c>
      <c r="G4657" s="1127" t="s">
        <v>258</v>
      </c>
      <c r="H4657" s="1021">
        <v>25245.676143884331</v>
      </c>
      <c r="I4657" s="1128">
        <v>1437.81</v>
      </c>
      <c r="J4657" s="1125">
        <v>1548.8</v>
      </c>
      <c r="K4657">
        <v>730.27729672209819</v>
      </c>
      <c r="L4657" s="591">
        <v>1134152.2538129478</v>
      </c>
      <c r="M4657" s="591">
        <f t="shared" si="631"/>
        <v>-3067.7838129478041</v>
      </c>
    </row>
    <row r="4658" spans="1:13" ht="13.5" customHeight="1">
      <c r="A4658" s="1126">
        <v>45777</v>
      </c>
      <c r="B4658" s="615">
        <v>800000</v>
      </c>
      <c r="C4658" s="615">
        <v>860730.79</v>
      </c>
      <c r="D4658" s="532">
        <v>45876</v>
      </c>
      <c r="E4658" s="534">
        <v>99</v>
      </c>
      <c r="F4658" s="601">
        <v>7.8802449911445693E-2</v>
      </c>
      <c r="G4658" s="1127" t="s">
        <v>258</v>
      </c>
      <c r="H4658" s="1021">
        <v>19103.624220956543</v>
      </c>
      <c r="I4658" s="1128">
        <v>1439.56</v>
      </c>
      <c r="J4658" s="1125">
        <v>1548.8</v>
      </c>
      <c r="K4658">
        <v>555.72536052682767</v>
      </c>
      <c r="L4658" s="591">
        <v>863041.95992915647</v>
      </c>
      <c r="M4658" s="591">
        <f t="shared" si="631"/>
        <v>-2311.1699291564291</v>
      </c>
    </row>
    <row r="4659" spans="1:13" ht="13.5" customHeight="1">
      <c r="A4659" s="1126">
        <v>45782</v>
      </c>
      <c r="B4659" s="615">
        <v>381000</v>
      </c>
      <c r="C4659" s="615">
        <f>381000+3686.14+28409.79</f>
        <v>413095.93</v>
      </c>
      <c r="D4659" s="532">
        <v>45876</v>
      </c>
      <c r="E4659" s="534">
        <v>94</v>
      </c>
      <c r="F4659" s="601">
        <v>7.7352869222895304E-2</v>
      </c>
      <c r="G4659" s="1127" t="s">
        <v>260</v>
      </c>
      <c r="H4659" s="1021">
        <v>9405.7797363584432</v>
      </c>
      <c r="I4659" s="1128">
        <v>1441.3</v>
      </c>
      <c r="J4659" s="1125">
        <v>1548.8</v>
      </c>
      <c r="K4659">
        <v>264.34468882259074</v>
      </c>
      <c r="L4659" s="591">
        <v>410471.44317392318</v>
      </c>
      <c r="M4659" s="591">
        <f t="shared" si="631"/>
        <v>2624.4868260768126</v>
      </c>
    </row>
    <row r="4660" spans="1:13" ht="13.5" customHeight="1">
      <c r="A4660" s="1126">
        <v>45846</v>
      </c>
      <c r="B4660" s="615">
        <v>1000000</v>
      </c>
      <c r="C4660" s="615">
        <v>1024246.5753424658</v>
      </c>
      <c r="D4660" s="532">
        <v>45876</v>
      </c>
      <c r="E4660" s="534">
        <v>30</v>
      </c>
      <c r="F4660" s="601">
        <v>0.29499999999999998</v>
      </c>
      <c r="G4660" s="1127" t="s">
        <v>260</v>
      </c>
      <c r="H4660" s="1021">
        <v>24246.575342465774</v>
      </c>
      <c r="I4660" s="1128">
        <v>1525.38</v>
      </c>
      <c r="J4660" s="1125">
        <v>1548.8</v>
      </c>
      <c r="K4660">
        <v>655.57434868688449</v>
      </c>
      <c r="L4660" s="591">
        <v>1024246.5753424658</v>
      </c>
      <c r="M4660" s="591">
        <f t="shared" si="631"/>
        <v>0</v>
      </c>
    </row>
    <row r="4661" spans="1:13" ht="13.5" customHeight="1">
      <c r="A4661" s="1126">
        <v>45777</v>
      </c>
      <c r="B4661" s="615">
        <v>598000</v>
      </c>
      <c r="C4661" s="615">
        <f>598000+6102.27+45371.52</f>
        <v>649473.79</v>
      </c>
      <c r="D4661" s="532">
        <v>45876</v>
      </c>
      <c r="E4661" s="534">
        <v>99</v>
      </c>
      <c r="F4661" s="601">
        <v>7.8802449911445693E-2</v>
      </c>
      <c r="G4661" s="1127" t="s">
        <v>260</v>
      </c>
      <c r="H4661" s="1021">
        <v>14279.959105164991</v>
      </c>
      <c r="I4661" s="1128">
        <v>1439.56</v>
      </c>
      <c r="J4661" s="1125">
        <v>1548.8</v>
      </c>
      <c r="K4661">
        <v>415.4047069938037</v>
      </c>
      <c r="L4661" s="591">
        <v>645123.86504704447</v>
      </c>
      <c r="M4661" s="591">
        <f t="shared" si="631"/>
        <v>4349.9249529555673</v>
      </c>
    </row>
    <row r="4662" spans="1:13" ht="13.5" customHeight="1">
      <c r="A4662" s="1126">
        <v>45846</v>
      </c>
      <c r="B4662" s="615">
        <v>597000</v>
      </c>
      <c r="C4662" s="615">
        <v>611475.20547945204</v>
      </c>
      <c r="D4662" s="532">
        <v>45876</v>
      </c>
      <c r="E4662" s="534">
        <v>30</v>
      </c>
      <c r="F4662" s="601">
        <v>0.29499999999999998</v>
      </c>
      <c r="G4662" s="1127" t="s">
        <v>257</v>
      </c>
      <c r="H4662" s="1021">
        <v>14475.205479452037</v>
      </c>
      <c r="I4662" s="1128">
        <v>1525.38</v>
      </c>
      <c r="J4662" s="1125">
        <v>1548.8</v>
      </c>
      <c r="K4662">
        <v>391.37788616607008</v>
      </c>
      <c r="L4662" s="591">
        <v>611475.20547945204</v>
      </c>
      <c r="M4662" s="591">
        <f>+C4662-L4662</f>
        <v>0</v>
      </c>
    </row>
    <row r="4663" spans="1:13" ht="13.5" customHeight="1">
      <c r="A4663" s="1126">
        <v>45782</v>
      </c>
      <c r="B4663" s="615">
        <v>900000</v>
      </c>
      <c r="C4663" s="615">
        <v>967645.38</v>
      </c>
      <c r="D4663" s="532">
        <v>45877</v>
      </c>
      <c r="E4663" s="534">
        <v>95</v>
      </c>
      <c r="F4663" s="601">
        <v>7.7931852807919588E-2</v>
      </c>
      <c r="G4663" s="1127" t="s">
        <v>258</v>
      </c>
      <c r="H4663" s="1021">
        <v>22149.052903303502</v>
      </c>
      <c r="I4663" s="1128">
        <v>1441.3</v>
      </c>
      <c r="J4663" s="1125">
        <v>1549.59</v>
      </c>
      <c r="K4663">
        <v>624.43627280926944</v>
      </c>
      <c r="L4663" s="591">
        <v>970138.66752712766</v>
      </c>
      <c r="M4663" s="591">
        <f t="shared" ref="A4663:M4665" si="632">+C4663-L4663</f>
        <v>-2493.2875271276571</v>
      </c>
    </row>
    <row r="4664" spans="1:13" ht="13.5" customHeight="1">
      <c r="A4664" s="1126">
        <v>45783</v>
      </c>
      <c r="B4664" s="615">
        <v>888000</v>
      </c>
      <c r="C4664" s="615">
        <f>888000+8553.74+60953.42</f>
        <v>957507.16</v>
      </c>
      <c r="D4664" s="532">
        <v>45877</v>
      </c>
      <c r="E4664" s="534">
        <v>94</v>
      </c>
      <c r="F4664" s="601">
        <v>7.1398037951454718E-2</v>
      </c>
      <c r="G4664" s="1127" t="s">
        <v>260</v>
      </c>
      <c r="H4664" s="1021">
        <v>20234.507776880353</v>
      </c>
      <c r="I4664" s="1128">
        <v>1450.05</v>
      </c>
      <c r="J4664" s="1125">
        <v>1549.59</v>
      </c>
      <c r="K4664">
        <v>612.39267611461673</v>
      </c>
      <c r="L4664" s="591">
        <v>951401.45770089177</v>
      </c>
      <c r="M4664" s="591">
        <f t="shared" si="632"/>
        <v>6105.7022991082631</v>
      </c>
    </row>
    <row r="4665" spans="1:13" ht="13.5" customHeight="1">
      <c r="A4665" s="1126">
        <v>45842</v>
      </c>
      <c r="B4665" s="615">
        <v>1050000</v>
      </c>
      <c r="C4665" s="615">
        <v>1079702.0547945206</v>
      </c>
      <c r="D4665" s="532">
        <v>45877</v>
      </c>
      <c r="E4665" s="534">
        <v>35</v>
      </c>
      <c r="F4665" s="601">
        <v>0.29499999999999998</v>
      </c>
      <c r="G4665" s="1127" t="s">
        <v>256</v>
      </c>
      <c r="H4665" s="1021">
        <v>25458.90410958909</v>
      </c>
      <c r="I4665" s="1128">
        <v>1522.36</v>
      </c>
      <c r="J4665" s="1125">
        <v>1549.59</v>
      </c>
      <c r="K4665">
        <v>689.71859481331626</v>
      </c>
      <c r="L4665" s="591">
        <v>1079702.0547945206</v>
      </c>
      <c r="M4665" s="591">
        <f t="shared" si="632"/>
        <v>0</v>
      </c>
    </row>
    <row r="4666" spans="1:13" ht="13.5" customHeight="1">
      <c r="A4666" s="1126">
        <v>45782</v>
      </c>
      <c r="B4666" s="615">
        <v>240000</v>
      </c>
      <c r="C4666" s="615">
        <f>240624.66+18078.98</f>
        <v>258703.64</v>
      </c>
      <c r="D4666" s="532">
        <v>45877</v>
      </c>
      <c r="E4666" s="534">
        <v>95</v>
      </c>
      <c r="F4666" s="601">
        <v>7.7931852807919588E-2</v>
      </c>
      <c r="G4666" s="1127" t="s">
        <v>256</v>
      </c>
      <c r="H4666" s="1021">
        <v>5906.4141075475918</v>
      </c>
      <c r="I4666" s="1128">
        <v>1441.3</v>
      </c>
      <c r="J4666" s="1125">
        <v>1549.59</v>
      </c>
      <c r="K4666">
        <v>166.51633941580519</v>
      </c>
      <c r="L4666" s="591">
        <v>258703.64467390074</v>
      </c>
      <c r="M4666" s="591">
        <f>+C4666-L4666</f>
        <v>-4.6739007229916751E-3</v>
      </c>
    </row>
    <row r="4667" spans="1:13" ht="13.5" customHeight="1">
      <c r="A4667" s="1126">
        <v>45849</v>
      </c>
      <c r="B4667" s="615">
        <v>300000</v>
      </c>
      <c r="C4667" s="615">
        <v>307134.24657534249</v>
      </c>
      <c r="D4667" s="532">
        <v>45880</v>
      </c>
      <c r="E4667" s="534">
        <v>31</v>
      </c>
      <c r="F4667" s="601">
        <v>0.28000000000000003</v>
      </c>
      <c r="G4667" s="1127" t="s">
        <v>258</v>
      </c>
      <c r="H4667" s="1021">
        <v>6904.1095890411207</v>
      </c>
      <c r="I4667" s="1128">
        <v>1527.66</v>
      </c>
      <c r="J4667" s="1125">
        <v>1550.39</v>
      </c>
      <c r="K4667">
        <v>196.3787753819567</v>
      </c>
      <c r="L4667" s="591">
        <v>307134.24657534249</v>
      </c>
      <c r="M4667" s="591">
        <f>+C4667-L4667</f>
        <v>0</v>
      </c>
    </row>
    <row r="4668" spans="1:13" ht="13.5" customHeight="1">
      <c r="A4668" s="1126">
        <v>45782</v>
      </c>
      <c r="B4668" s="615">
        <v>900000</v>
      </c>
      <c r="C4668" s="615">
        <v>968145.74</v>
      </c>
      <c r="D4668" s="532">
        <v>45880</v>
      </c>
      <c r="E4668" s="534">
        <v>98</v>
      </c>
      <c r="F4668" s="601">
        <v>7.8576764697775969E-2</v>
      </c>
      <c r="G4668" s="1127" t="s">
        <v>258</v>
      </c>
      <c r="H4668" s="1021">
        <v>21648.700477958675</v>
      </c>
      <c r="I4668" s="1128">
        <v>1441.3</v>
      </c>
      <c r="J4668" s="1125">
        <v>1550.39</v>
      </c>
      <c r="K4668">
        <v>624.43627280926944</v>
      </c>
      <c r="L4668" s="591">
        <v>970719.08822799835</v>
      </c>
      <c r="M4668" s="591">
        <f t="shared" ref="A4668:M4671" si="633">+C4668-L4668</f>
        <v>-2573.3482279983582</v>
      </c>
    </row>
    <row r="4669" spans="1:13" ht="13.5" customHeight="1">
      <c r="A4669" s="1126">
        <v>45782</v>
      </c>
      <c r="B4669" s="615">
        <v>1000000</v>
      </c>
      <c r="C4669" s="615">
        <v>1075717.49</v>
      </c>
      <c r="D4669" s="532">
        <v>45880</v>
      </c>
      <c r="E4669" s="534">
        <v>98</v>
      </c>
      <c r="F4669" s="601">
        <v>7.8576764697775969E-2</v>
      </c>
      <c r="G4669" s="1127" t="s">
        <v>262</v>
      </c>
      <c r="H4669" s="1021">
        <v>24054.111642176311</v>
      </c>
      <c r="I4669" s="1128">
        <v>1441.3</v>
      </c>
      <c r="J4669" s="1125">
        <v>1550.39</v>
      </c>
      <c r="K4669">
        <v>693.8180808991882</v>
      </c>
      <c r="L4669" s="591">
        <v>1078576.7646977757</v>
      </c>
      <c r="M4669" s="591">
        <f t="shared" si="633"/>
        <v>-2859.2746977757197</v>
      </c>
    </row>
    <row r="4670" spans="1:13" ht="13.5" customHeight="1">
      <c r="A4670" s="1126">
        <v>45820</v>
      </c>
      <c r="B4670" s="615">
        <v>1000000</v>
      </c>
      <c r="C4670" s="615">
        <v>1053835.6164383562</v>
      </c>
      <c r="D4670" s="532">
        <v>45880</v>
      </c>
      <c r="E4670" s="534">
        <v>60</v>
      </c>
      <c r="F4670" s="601">
        <v>0.32750000000000001</v>
      </c>
      <c r="G4670" s="1127" t="s">
        <v>256</v>
      </c>
      <c r="H4670" s="1021">
        <v>26917.808219178114</v>
      </c>
      <c r="I4670" s="1128">
        <v>1503.45</v>
      </c>
      <c r="J4670" s="1125">
        <v>1550.39</v>
      </c>
      <c r="K4670">
        <v>665.13685190727995</v>
      </c>
      <c r="L4670" s="591">
        <v>1053835.6164383562</v>
      </c>
      <c r="M4670" s="591">
        <f t="shared" si="633"/>
        <v>0</v>
      </c>
    </row>
    <row r="4671" spans="1:13" ht="13.5" customHeight="1">
      <c r="A4671" s="1126">
        <v>45849</v>
      </c>
      <c r="B4671" s="615">
        <v>2200000</v>
      </c>
      <c r="C4671" s="615">
        <v>2255120.5479452056</v>
      </c>
      <c r="D4671" s="532">
        <v>45880</v>
      </c>
      <c r="E4671" s="534">
        <v>31</v>
      </c>
      <c r="F4671" s="601">
        <v>0.29499999999999998</v>
      </c>
      <c r="G4671" s="1127" t="s">
        <v>256</v>
      </c>
      <c r="H4671" s="1021">
        <v>53342.465753424767</v>
      </c>
      <c r="I4671" s="1128">
        <v>1527.66</v>
      </c>
      <c r="J4671" s="1125">
        <v>1550.39</v>
      </c>
      <c r="K4671">
        <v>1440.1110194676826</v>
      </c>
      <c r="L4671" s="591">
        <v>2255120.5479452056</v>
      </c>
      <c r="M4671" s="591">
        <f t="shared" si="633"/>
        <v>0</v>
      </c>
    </row>
    <row r="4672" spans="1:13" ht="13.5" customHeight="1">
      <c r="A4672" s="1126">
        <v>45848</v>
      </c>
      <c r="B4672" s="615">
        <v>1450000</v>
      </c>
      <c r="C4672" s="615">
        <v>1487501.3698630137</v>
      </c>
      <c r="D4672" s="532">
        <v>45880</v>
      </c>
      <c r="E4672" s="534">
        <v>32</v>
      </c>
      <c r="F4672" s="601">
        <v>0.29499999999999998</v>
      </c>
      <c r="G4672" s="1127" t="s">
        <v>256</v>
      </c>
      <c r="H4672" s="1021">
        <v>35157.534246575378</v>
      </c>
      <c r="I4672" s="1128">
        <v>1526.14</v>
      </c>
      <c r="J4672" s="1125">
        <v>1550.39</v>
      </c>
      <c r="K4672">
        <v>950.10942639600557</v>
      </c>
      <c r="L4672" s="591">
        <v>1487501.3698630137</v>
      </c>
      <c r="M4672" s="591">
        <f>+C4672-L4672</f>
        <v>0</v>
      </c>
    </row>
    <row r="4673" spans="1:13" ht="13.5" customHeight="1">
      <c r="A4673" s="1126">
        <v>45783</v>
      </c>
      <c r="B4673" s="615">
        <v>1000000</v>
      </c>
      <c r="C4673" s="615">
        <v>1070867.69</v>
      </c>
      <c r="D4673" s="532">
        <v>45881</v>
      </c>
      <c r="E4673" s="534">
        <v>98</v>
      </c>
      <c r="F4673" s="601">
        <v>7.3714065788000882E-2</v>
      </c>
      <c r="G4673" s="1127" t="s">
        <v>258</v>
      </c>
      <c r="H4673" s="1021">
        <v>22565.53034326556</v>
      </c>
      <c r="I4673" s="1128">
        <v>1450.05</v>
      </c>
      <c r="J4673" s="1125">
        <v>1552.77</v>
      </c>
      <c r="K4673">
        <v>689.63139202096477</v>
      </c>
      <c r="L4673" s="591">
        <v>1073714.0657880008</v>
      </c>
      <c r="M4673" s="591">
        <f t="shared" ref="A4673:M4680" si="634">+C4673-L4673</f>
        <v>-2846.3757880008779</v>
      </c>
    </row>
    <row r="4674" spans="1:13" ht="13.5" customHeight="1">
      <c r="A4674" s="1126">
        <v>45784</v>
      </c>
      <c r="B4674" s="615">
        <v>850000</v>
      </c>
      <c r="C4674" s="615">
        <v>909133.82</v>
      </c>
      <c r="D4674" s="532">
        <v>45881</v>
      </c>
      <c r="E4674" s="534">
        <v>97</v>
      </c>
      <c r="F4674" s="601">
        <v>7.2383121380934723E-2</v>
      </c>
      <c r="G4674" s="1127" t="s">
        <v>262</v>
      </c>
      <c r="H4674" s="1021">
        <v>19028.552527977681</v>
      </c>
      <c r="I4674" s="1128">
        <v>1451.81</v>
      </c>
      <c r="J4674" s="1125">
        <v>1552.77</v>
      </c>
      <c r="K4674">
        <v>585.47606091706223</v>
      </c>
      <c r="L4674" s="591">
        <v>911525.65317379462</v>
      </c>
      <c r="M4674" s="591">
        <f t="shared" si="634"/>
        <v>-2391.8331737946719</v>
      </c>
    </row>
    <row r="4675" spans="1:13" ht="13.5" customHeight="1">
      <c r="A4675" s="1126">
        <v>45845</v>
      </c>
      <c r="B4675" s="615">
        <v>800000</v>
      </c>
      <c r="C4675" s="615">
        <v>824065.75342465751</v>
      </c>
      <c r="D4675" s="532">
        <v>45881</v>
      </c>
      <c r="E4675" s="534">
        <v>36</v>
      </c>
      <c r="F4675" s="601">
        <v>0.30499999999999999</v>
      </c>
      <c r="G4675" s="1127" t="s">
        <v>262</v>
      </c>
      <c r="H4675" s="1021">
        <v>20054.794520547923</v>
      </c>
      <c r="I4675" s="1128">
        <v>1523.11</v>
      </c>
      <c r="J4675" s="1125">
        <v>1552.77</v>
      </c>
      <c r="K4675">
        <v>525.24111850096187</v>
      </c>
      <c r="L4675" s="591">
        <v>824065.75342465751</v>
      </c>
      <c r="M4675" s="591">
        <f t="shared" si="634"/>
        <v>0</v>
      </c>
    </row>
    <row r="4676" spans="1:13" ht="13.5" customHeight="1">
      <c r="A4676" s="1126">
        <v>45832</v>
      </c>
      <c r="B4676" s="615">
        <v>550000</v>
      </c>
      <c r="C4676" s="615">
        <v>573627.39726027392</v>
      </c>
      <c r="D4676" s="532">
        <v>45881</v>
      </c>
      <c r="E4676" s="534">
        <v>49</v>
      </c>
      <c r="F4676" s="601">
        <v>0.32</v>
      </c>
      <c r="G4676" s="1127" t="s">
        <v>257</v>
      </c>
      <c r="H4676" s="1021">
        <v>14465.753424657503</v>
      </c>
      <c r="I4676" s="1128">
        <v>1514.82</v>
      </c>
      <c r="J4676" s="1125">
        <v>1552.77</v>
      </c>
      <c r="K4676">
        <v>363.07944178186187</v>
      </c>
      <c r="L4676" s="591">
        <v>573627.39726027392</v>
      </c>
      <c r="M4676" s="591">
        <f t="shared" si="634"/>
        <v>0</v>
      </c>
    </row>
    <row r="4677" spans="1:13" ht="13.5" customHeight="1">
      <c r="A4677" s="1126">
        <v>45784</v>
      </c>
      <c r="B4677" s="615">
        <v>800000</v>
      </c>
      <c r="C4677" s="615">
        <v>856096.43</v>
      </c>
      <c r="D4677" s="532">
        <v>45882</v>
      </c>
      <c r="E4677" s="534">
        <v>98</v>
      </c>
      <c r="F4677" s="601">
        <v>7.2964939655392858E-2</v>
      </c>
      <c r="G4677" s="1127" t="s">
        <v>262</v>
      </c>
      <c r="H4677" s="1021">
        <v>17868.964813565588</v>
      </c>
      <c r="I4677" s="1128">
        <v>1451.81</v>
      </c>
      <c r="J4677" s="1125">
        <v>1553.57</v>
      </c>
      <c r="K4677">
        <v>551.03629262782317</v>
      </c>
      <c r="L4677" s="591">
        <v>858371.95172431425</v>
      </c>
      <c r="M4677" s="591">
        <f t="shared" si="634"/>
        <v>-2275.521724314196</v>
      </c>
    </row>
    <row r="4678" spans="1:13" ht="13.5" customHeight="1">
      <c r="A4678" s="1126">
        <v>45785</v>
      </c>
      <c r="B4678" s="615">
        <v>1094000</v>
      </c>
      <c r="C4678" s="615">
        <f>1094000+10874.99+75263.39</f>
        <v>1180138.3799999999</v>
      </c>
      <c r="D4678" s="532">
        <v>45882</v>
      </c>
      <c r="E4678" s="534">
        <v>97</v>
      </c>
      <c r="F4678" s="601">
        <v>7.1636498744093613E-2</v>
      </c>
      <c r="G4678" s="1127" t="s">
        <v>260</v>
      </c>
      <c r="H4678" s="1021">
        <v>24238.246276094364</v>
      </c>
      <c r="I4678" s="1128">
        <v>1453.57</v>
      </c>
      <c r="J4678" s="1125">
        <v>1553.57</v>
      </c>
      <c r="K4678">
        <v>752.62973231423325</v>
      </c>
      <c r="L4678" s="591">
        <v>1172370.3296260384</v>
      </c>
      <c r="M4678" s="591">
        <f t="shared" si="634"/>
        <v>7768.0503739614505</v>
      </c>
    </row>
    <row r="4679" spans="1:13" ht="13.5" customHeight="1">
      <c r="A4679" s="1126">
        <v>45845</v>
      </c>
      <c r="B4679" s="615">
        <v>312000</v>
      </c>
      <c r="C4679" s="615">
        <v>321774.42</v>
      </c>
      <c r="D4679" s="532">
        <v>45882</v>
      </c>
      <c r="E4679" s="534">
        <v>37</v>
      </c>
      <c r="F4679" s="601">
        <v>0.29499999999999998</v>
      </c>
      <c r="G4679" s="1127" t="s">
        <v>257</v>
      </c>
      <c r="H4679" s="1021">
        <v>7564.9315068493379</v>
      </c>
      <c r="I4679" s="1128">
        <v>1523.11</v>
      </c>
      <c r="J4679" s="1125">
        <v>1553.57</v>
      </c>
      <c r="K4679">
        <v>204.84403621537513</v>
      </c>
      <c r="L4679" s="591">
        <v>321330.08219178085</v>
      </c>
      <c r="M4679" s="591">
        <f t="shared" si="634"/>
        <v>444.33780821913388</v>
      </c>
    </row>
    <row r="4680" spans="1:13" ht="13.5" customHeight="1">
      <c r="A4680" s="1126">
        <v>45786</v>
      </c>
      <c r="B4680" s="615">
        <v>803000</v>
      </c>
      <c r="C4680" s="615">
        <f>803000+7892.14+54197.78</f>
        <v>865089.92</v>
      </c>
      <c r="D4680" s="532">
        <v>45882</v>
      </c>
      <c r="E4680" s="534">
        <v>96</v>
      </c>
      <c r="F4680" s="601">
        <v>7.0311270926736835E-2</v>
      </c>
      <c r="G4680" s="1127" t="s">
        <v>260</v>
      </c>
      <c r="H4680" s="1021">
        <v>17643.734548178036</v>
      </c>
      <c r="I4680" s="1128">
        <v>1455.33</v>
      </c>
      <c r="J4680" s="1125">
        <v>1553.57</v>
      </c>
      <c r="K4680">
        <v>551.76489181147917</v>
      </c>
      <c r="L4680" s="591">
        <v>859459.95055416971</v>
      </c>
      <c r="M4680" s="591">
        <f t="shared" si="634"/>
        <v>5629.9694458303275</v>
      </c>
    </row>
    <row r="4681" spans="1:13" ht="13.5" customHeight="1">
      <c r="A4681" s="1126">
        <v>45786</v>
      </c>
      <c r="B4681" s="615">
        <v>425000</v>
      </c>
      <c r="C4681" s="615">
        <f>28996.58+426129.45</f>
        <v>455126.03</v>
      </c>
      <c r="D4681" s="532">
        <v>45883</v>
      </c>
      <c r="E4681" s="534">
        <v>97</v>
      </c>
      <c r="F4681" s="601">
        <v>7.0884792405507158E-2</v>
      </c>
      <c r="G4681" s="1127" t="s">
        <v>257</v>
      </c>
      <c r="H4681" s="1021">
        <v>9317.3309605176928</v>
      </c>
      <c r="I4681" s="1128">
        <v>1455.33</v>
      </c>
      <c r="J4681" s="1125">
        <v>1554.36</v>
      </c>
      <c r="K4681">
        <v>292.02998632612537</v>
      </c>
      <c r="L4681" s="591">
        <v>455126.03677234059</v>
      </c>
      <c r="M4681" s="591">
        <f t="shared" ref="A4681:M4717" si="635">+C4681-L4681</f>
        <v>-6.7723405663855374E-3</v>
      </c>
    </row>
    <row r="4682" spans="1:13" ht="13.5" customHeight="1">
      <c r="A4682" s="1126">
        <v>45789</v>
      </c>
      <c r="B4682" s="615">
        <v>831000</v>
      </c>
      <c r="C4682" s="615">
        <f>55611.28+833140.11</f>
        <v>888751.39</v>
      </c>
      <c r="D4682" s="532">
        <v>45883</v>
      </c>
      <c r="E4682" s="534">
        <v>94</v>
      </c>
      <c r="F4682" s="601">
        <v>6.94962660867946E-2</v>
      </c>
      <c r="G4682" s="1127" t="s">
        <v>257</v>
      </c>
      <c r="H4682" s="1021">
        <v>18431.296952593493</v>
      </c>
      <c r="I4682" s="1128">
        <v>1457.1</v>
      </c>
      <c r="J4682" s="1125">
        <v>1554.36</v>
      </c>
      <c r="K4682">
        <v>570.31089149680872</v>
      </c>
      <c r="L4682" s="591">
        <v>888751.39711812639</v>
      </c>
      <c r="M4682" s="591">
        <f t="shared" si="635"/>
        <v>-7.1181263774633408E-3</v>
      </c>
    </row>
    <row r="4683" spans="1:13" ht="13.5" customHeight="1">
      <c r="A4683" s="1126">
        <v>45832</v>
      </c>
      <c r="B4683" s="615">
        <v>500000</v>
      </c>
      <c r="C4683" s="615">
        <v>522356.16438356164</v>
      </c>
      <c r="D4683" s="532">
        <v>45883</v>
      </c>
      <c r="E4683" s="534">
        <v>51</v>
      </c>
      <c r="F4683" s="601">
        <v>0.32</v>
      </c>
      <c r="G4683" s="1127" t="s">
        <v>257</v>
      </c>
      <c r="H4683" s="1021">
        <v>13150.684931506847</v>
      </c>
      <c r="I4683" s="1128">
        <v>1514.82</v>
      </c>
      <c r="J4683" s="1125">
        <v>1554.36</v>
      </c>
      <c r="K4683">
        <v>330.0722198016926</v>
      </c>
      <c r="L4683" s="591">
        <v>522356.16438356164</v>
      </c>
      <c r="M4683" s="591">
        <f t="shared" si="635"/>
        <v>0</v>
      </c>
    </row>
    <row r="4684" spans="1:13" ht="13.5" customHeight="1">
      <c r="A4684" s="1126">
        <v>45834</v>
      </c>
      <c r="B4684" s="615">
        <v>314000</v>
      </c>
      <c r="C4684" s="615">
        <v>327489.09589041094</v>
      </c>
      <c r="D4684" s="532">
        <v>45883</v>
      </c>
      <c r="E4684" s="534">
        <v>49</v>
      </c>
      <c r="F4684" s="601">
        <v>0.32</v>
      </c>
      <c r="G4684" s="1127" t="s">
        <v>257</v>
      </c>
      <c r="H4684" s="1021">
        <v>8258.6301369862922</v>
      </c>
      <c r="I4684" s="1128">
        <v>1516.33</v>
      </c>
      <c r="J4684" s="1125">
        <v>1554.36</v>
      </c>
      <c r="K4684">
        <v>207.07893400513083</v>
      </c>
      <c r="L4684" s="591">
        <v>327489.09589041094</v>
      </c>
      <c r="M4684" s="591">
        <f t="shared" si="635"/>
        <v>0</v>
      </c>
    </row>
    <row r="4685" spans="1:13" ht="13.5" customHeight="1">
      <c r="A4685" s="1126">
        <v>45834</v>
      </c>
      <c r="B4685" s="615">
        <v>614000</v>
      </c>
      <c r="C4685" s="615">
        <v>638316.08219178079</v>
      </c>
      <c r="D4685" s="532">
        <v>45883</v>
      </c>
      <c r="E4685" s="534">
        <v>49</v>
      </c>
      <c r="F4685" s="601">
        <v>0.29499999999999998</v>
      </c>
      <c r="G4685" s="1127" t="s">
        <v>265</v>
      </c>
      <c r="H4685" s="1021">
        <v>14887.397260273954</v>
      </c>
      <c r="I4685" s="1128">
        <v>1516.33</v>
      </c>
      <c r="J4685" s="1125">
        <v>1554.36</v>
      </c>
      <c r="K4685">
        <v>404.92504929665711</v>
      </c>
      <c r="L4685" s="591">
        <v>638316.08219178079</v>
      </c>
      <c r="M4685" s="591">
        <f t="shared" si="635"/>
        <v>0</v>
      </c>
    </row>
    <row r="4686" spans="1:13" ht="13.5" customHeight="1">
      <c r="A4686" s="1126">
        <v>45834</v>
      </c>
      <c r="B4686" s="615">
        <v>330000</v>
      </c>
      <c r="C4686" s="615">
        <v>342625.89041095891</v>
      </c>
      <c r="D4686" s="532">
        <v>45883</v>
      </c>
      <c r="E4686" s="534">
        <v>49</v>
      </c>
      <c r="F4686" s="601">
        <v>0.28499999999999998</v>
      </c>
      <c r="G4686" s="1127" t="s">
        <v>260</v>
      </c>
      <c r="H4686" s="1021">
        <v>7730.1369863013697</v>
      </c>
      <c r="I4686" s="1128">
        <v>1516.33</v>
      </c>
      <c r="J4686" s="1125">
        <v>1554.36</v>
      </c>
      <c r="K4686">
        <v>217.63072682067889</v>
      </c>
      <c r="L4686" s="591">
        <v>342625.89041095891</v>
      </c>
      <c r="M4686" s="591">
        <f t="shared" si="635"/>
        <v>0</v>
      </c>
    </row>
    <row r="4687" spans="1:13" ht="13.5" customHeight="1">
      <c r="A4687" s="1126">
        <v>45786</v>
      </c>
      <c r="B4687" s="615">
        <v>500000</v>
      </c>
      <c r="C4687" s="615">
        <v>534037.4</v>
      </c>
      <c r="D4687" s="532">
        <v>45883</v>
      </c>
      <c r="E4687" s="534">
        <v>97</v>
      </c>
      <c r="F4687" s="601">
        <v>7.0884792405507158E-2</v>
      </c>
      <c r="G4687" s="1127" t="s">
        <v>258</v>
      </c>
      <c r="H4687" s="1021">
        <v>10961.565835903155</v>
      </c>
      <c r="I4687" s="1128">
        <v>1455.33</v>
      </c>
      <c r="J4687" s="1125">
        <v>1554.36</v>
      </c>
      <c r="K4687">
        <v>343.56468979544161</v>
      </c>
      <c r="L4687" s="591">
        <v>535442.39620275365</v>
      </c>
      <c r="M4687" s="591">
        <f t="shared" si="635"/>
        <v>-1404.9962027536239</v>
      </c>
    </row>
    <row r="4688" spans="1:13" ht="13.5" customHeight="1">
      <c r="A4688" s="1126">
        <v>45789</v>
      </c>
      <c r="B4688" s="615">
        <v>340000</v>
      </c>
      <c r="C4688" s="615">
        <f>340000+3405.8+22881.03</f>
        <v>366286.82999999996</v>
      </c>
      <c r="D4688" s="532">
        <v>45887</v>
      </c>
      <c r="E4688" s="534">
        <v>98</v>
      </c>
      <c r="F4688" s="601">
        <v>7.1876855225199598E-2</v>
      </c>
      <c r="G4688" s="1127" t="s">
        <v>260</v>
      </c>
      <c r="H4688" s="1021">
        <v>7481.0604418064841</v>
      </c>
      <c r="I4688" s="1128">
        <v>1457.1</v>
      </c>
      <c r="J4688" s="1125">
        <v>1557.6495833057897</v>
      </c>
      <c r="K4688">
        <v>233.34019628028275</v>
      </c>
      <c r="L4688" s="591">
        <v>364438.13077656779</v>
      </c>
      <c r="M4688" s="591">
        <f t="shared" si="635"/>
        <v>1848.699223432166</v>
      </c>
    </row>
    <row r="4689" spans="1:13" ht="13.5" customHeight="1">
      <c r="A4689" s="1126">
        <v>45789</v>
      </c>
      <c r="B4689" s="615">
        <v>1500000</v>
      </c>
      <c r="C4689" s="615">
        <v>1600890.07</v>
      </c>
      <c r="D4689" s="532">
        <v>45887</v>
      </c>
      <c r="E4689" s="534">
        <v>98</v>
      </c>
      <c r="F4689" s="601">
        <v>7.1876855225199598E-2</v>
      </c>
      <c r="G4689" s="1127" t="s">
        <v>258</v>
      </c>
      <c r="H4689" s="1021">
        <v>33004.678419734475</v>
      </c>
      <c r="I4689" s="1128">
        <v>1457.1</v>
      </c>
      <c r="J4689" s="1125">
        <v>1557.6495833057897</v>
      </c>
      <c r="K4689">
        <v>1029.4420424130121</v>
      </c>
      <c r="L4689" s="591">
        <v>1607815.2828377993</v>
      </c>
      <c r="M4689" s="591">
        <f t="shared" si="635"/>
        <v>-6925.2128377992194</v>
      </c>
    </row>
    <row r="4690" spans="1:13" ht="13.5" customHeight="1">
      <c r="A4690" s="1126">
        <v>45827</v>
      </c>
      <c r="B4690" s="615">
        <v>390000</v>
      </c>
      <c r="C4690" s="615">
        <v>411316.43835616438</v>
      </c>
      <c r="D4690" s="532">
        <v>45887</v>
      </c>
      <c r="E4690" s="534">
        <v>60</v>
      </c>
      <c r="F4690" s="601">
        <v>0.33250000000000002</v>
      </c>
      <c r="G4690" s="1127" t="s">
        <v>258</v>
      </c>
      <c r="H4690" s="1021">
        <v>10658.219178082189</v>
      </c>
      <c r="I4690" s="1128">
        <v>1511.07</v>
      </c>
      <c r="J4690" s="1125">
        <v>1557.6495833057897</v>
      </c>
      <c r="K4690">
        <v>258.09525700331557</v>
      </c>
      <c r="L4690" s="591">
        <v>411316.43835616438</v>
      </c>
      <c r="M4690" s="591">
        <f t="shared" si="635"/>
        <v>0</v>
      </c>
    </row>
    <row r="4691" spans="1:13" ht="13.5" customHeight="1">
      <c r="A4691" s="1126">
        <v>45854</v>
      </c>
      <c r="B4691" s="615">
        <v>1000000</v>
      </c>
      <c r="C4691" s="615">
        <v>1024410.9589041095</v>
      </c>
      <c r="D4691" s="532">
        <v>45887</v>
      </c>
      <c r="E4691" s="534">
        <v>33</v>
      </c>
      <c r="F4691" s="601">
        <v>0.27</v>
      </c>
      <c r="G4691" s="1127" t="s">
        <v>258</v>
      </c>
      <c r="H4691" s="1021">
        <v>22191.780821917768</v>
      </c>
      <c r="I4691" s="1128">
        <v>1531.45</v>
      </c>
      <c r="J4691" s="1125">
        <v>1557.6495833057897</v>
      </c>
      <c r="K4691">
        <v>652.97593783669072</v>
      </c>
      <c r="L4691" s="591">
        <v>1024410.9589041095</v>
      </c>
      <c r="M4691" s="591">
        <f t="shared" si="635"/>
        <v>0</v>
      </c>
    </row>
    <row r="4692" spans="1:13" ht="13.5" customHeight="1">
      <c r="A4692" s="1126">
        <v>45855</v>
      </c>
      <c r="B4692" s="615">
        <v>305000</v>
      </c>
      <c r="C4692" s="615">
        <v>311885.47945205477</v>
      </c>
      <c r="D4692" s="532">
        <v>45887</v>
      </c>
      <c r="E4692" s="534">
        <v>32</v>
      </c>
      <c r="F4692" s="601">
        <v>0.25750000000000001</v>
      </c>
      <c r="G4692" s="1127" t="s">
        <v>265</v>
      </c>
      <c r="H4692" s="1021">
        <v>6455.1369863013497</v>
      </c>
      <c r="I4692" s="1128">
        <v>1532.24</v>
      </c>
      <c r="J4692" s="1125">
        <v>1557.6495833057897</v>
      </c>
      <c r="K4692">
        <v>199.05497833237612</v>
      </c>
      <c r="L4692" s="591">
        <v>311885.47945205477</v>
      </c>
      <c r="M4692" s="591">
        <f t="shared" si="635"/>
        <v>0</v>
      </c>
    </row>
    <row r="4693" spans="1:13" ht="13.5" customHeight="1">
      <c r="A4693" s="1126">
        <v>45855</v>
      </c>
      <c r="B4693" s="615">
        <v>580000</v>
      </c>
      <c r="C4693" s="615">
        <v>593729.31506849313</v>
      </c>
      <c r="D4693" s="532">
        <v>45887</v>
      </c>
      <c r="E4693" s="534">
        <v>32</v>
      </c>
      <c r="F4693" s="601">
        <v>0.27</v>
      </c>
      <c r="G4693" s="1127" t="s">
        <v>262</v>
      </c>
      <c r="H4693" s="1021">
        <v>12871.232876712311</v>
      </c>
      <c r="I4693" s="1128">
        <v>1532.24</v>
      </c>
      <c r="J4693" s="1125">
        <v>1557.6495833057897</v>
      </c>
      <c r="K4693">
        <v>378.53077846812511</v>
      </c>
      <c r="L4693" s="591">
        <v>593729.31506849313</v>
      </c>
      <c r="M4693" s="591">
        <f t="shared" si="635"/>
        <v>0</v>
      </c>
    </row>
    <row r="4694" spans="1:13" ht="13.5" customHeight="1">
      <c r="A4694" s="1126">
        <v>45826</v>
      </c>
      <c r="B4694" s="615">
        <v>514000</v>
      </c>
      <c r="C4694" s="615">
        <v>540414.67123287672</v>
      </c>
      <c r="D4694" s="532">
        <v>45887</v>
      </c>
      <c r="E4694" s="534">
        <v>61</v>
      </c>
      <c r="F4694" s="601">
        <v>0.3075</v>
      </c>
      <c r="G4694" s="1127" t="s">
        <v>261</v>
      </c>
      <c r="H4694" s="1021">
        <v>12990.821917808222</v>
      </c>
      <c r="I4694" s="1128">
        <v>1510.32</v>
      </c>
      <c r="J4694" s="1125">
        <v>1557.6495833057897</v>
      </c>
      <c r="K4694">
        <v>340.32522909052386</v>
      </c>
      <c r="L4694" s="591">
        <v>540414.67123287672</v>
      </c>
      <c r="M4694" s="591">
        <f t="shared" si="635"/>
        <v>0</v>
      </c>
    </row>
    <row r="4695" spans="1:13" ht="13.5" customHeight="1">
      <c r="A4695" s="1126">
        <v>45790</v>
      </c>
      <c r="B4695" s="615">
        <v>831000</v>
      </c>
      <c r="C4695" s="615">
        <f>833231.18+54920.09</f>
        <v>888151.27</v>
      </c>
      <c r="D4695" s="532">
        <v>45888</v>
      </c>
      <c r="E4695" s="534">
        <v>98</v>
      </c>
      <c r="F4695" s="601">
        <v>6.8561777003809166E-2</v>
      </c>
      <c r="G4695" s="1127" t="s">
        <v>257</v>
      </c>
      <c r="H4695" s="1021">
        <v>17441.276537805752</v>
      </c>
      <c r="I4695" s="1128">
        <v>1462.4</v>
      </c>
      <c r="J4695" s="1125">
        <v>1558.4803297502194</v>
      </c>
      <c r="K4695">
        <v>568.24398249452952</v>
      </c>
      <c r="L4695" s="591">
        <v>887974.83669016557</v>
      </c>
      <c r="M4695" s="591">
        <f t="shared" si="635"/>
        <v>176.43330983445048</v>
      </c>
    </row>
    <row r="4696" spans="1:13" ht="13.5" customHeight="1">
      <c r="A4696" s="1126">
        <v>45791</v>
      </c>
      <c r="B4696" s="615">
        <v>94000</v>
      </c>
      <c r="C4696" s="615">
        <f>94000+935.27+6074.32</f>
        <v>101009.59</v>
      </c>
      <c r="D4696" s="532">
        <v>45888</v>
      </c>
      <c r="E4696" s="534">
        <v>97</v>
      </c>
      <c r="F4696" s="601">
        <v>6.7240856320744502E-2</v>
      </c>
      <c r="G4696" s="1127" t="s">
        <v>260</v>
      </c>
      <c r="H4696" s="1021">
        <v>1954.8372662319521</v>
      </c>
      <c r="I4696" s="1128">
        <v>1464.17</v>
      </c>
      <c r="J4696" s="1125">
        <v>1558.4803297502194</v>
      </c>
      <c r="K4696">
        <v>64.200195332509196</v>
      </c>
      <c r="L4696" s="591">
        <v>100320.64049414998</v>
      </c>
      <c r="M4696" s="591">
        <f t="shared" si="635"/>
        <v>688.94950585001789</v>
      </c>
    </row>
    <row r="4697" spans="1:13" ht="13.5" customHeight="1">
      <c r="A4697" s="1126">
        <v>45791</v>
      </c>
      <c r="B4697" s="615">
        <v>300000</v>
      </c>
      <c r="C4697" s="615">
        <f>300797.26+19438.61</f>
        <v>320235.87</v>
      </c>
      <c r="D4697" s="532">
        <v>45888</v>
      </c>
      <c r="E4697" s="534">
        <v>97</v>
      </c>
      <c r="F4697" s="601">
        <v>6.7240856320744502E-2</v>
      </c>
      <c r="G4697" s="1127" t="s">
        <v>256</v>
      </c>
      <c r="H4697" s="1021">
        <v>6238.8423390381495</v>
      </c>
      <c r="I4697" s="1128">
        <v>1464.17</v>
      </c>
      <c r="J4697" s="1125">
        <v>1558.4803297502194</v>
      </c>
      <c r="K4697">
        <v>204.8942404229017</v>
      </c>
      <c r="L4697" s="591">
        <v>320172.25689622341</v>
      </c>
      <c r="M4697" s="591">
        <f t="shared" si="635"/>
        <v>63.613103776588105</v>
      </c>
    </row>
    <row r="4698" spans="1:13" ht="13.5" customHeight="1">
      <c r="A4698" s="1126">
        <v>45792</v>
      </c>
      <c r="B4698" s="615">
        <v>800000</v>
      </c>
      <c r="C4698" s="615">
        <v>850687.13</v>
      </c>
      <c r="D4698" s="532">
        <v>45888</v>
      </c>
      <c r="E4698" s="534">
        <v>96</v>
      </c>
      <c r="F4698" s="601">
        <v>6.5915854229624982E-2</v>
      </c>
      <c r="G4698" s="1127" t="s">
        <v>258</v>
      </c>
      <c r="H4698" s="1021">
        <v>3610.4383561643772</v>
      </c>
      <c r="I4698" s="1128">
        <v>1465.95</v>
      </c>
      <c r="J4698" s="1125">
        <v>1558.4803297502194</v>
      </c>
      <c r="K4698">
        <v>545.72120467955926</v>
      </c>
      <c r="L4698" s="591">
        <v>852732.68338369974</v>
      </c>
      <c r="M4698" s="591">
        <f t="shared" si="635"/>
        <v>-2045.5533836997347</v>
      </c>
    </row>
    <row r="4699" spans="1:13" ht="13.5" customHeight="1">
      <c r="A4699" s="1126">
        <v>45845</v>
      </c>
      <c r="B4699" s="615">
        <v>819000</v>
      </c>
      <c r="C4699" s="615">
        <f>819000+27980.63</f>
        <v>846980.63</v>
      </c>
      <c r="D4699" s="532">
        <v>45888</v>
      </c>
      <c r="E4699" s="534">
        <v>43</v>
      </c>
      <c r="F4699" s="601">
        <v>0.28999999999999998</v>
      </c>
      <c r="G4699" s="1127" t="s">
        <v>263</v>
      </c>
      <c r="H4699" s="1021">
        <v>19521.369863013671</v>
      </c>
      <c r="I4699" s="1128">
        <v>1523.11</v>
      </c>
      <c r="J4699" s="1125">
        <v>1558.4803297502194</v>
      </c>
      <c r="K4699">
        <v>537.71559506535971</v>
      </c>
      <c r="L4699" s="591">
        <v>846980.63013698626</v>
      </c>
      <c r="M4699" s="591">
        <f t="shared" si="635"/>
        <v>-1.3698625843971968E-4</v>
      </c>
    </row>
    <row r="4700" spans="1:13" ht="13.5" customHeight="1">
      <c r="A4700" s="1126">
        <v>45855</v>
      </c>
      <c r="B4700" s="615">
        <v>370000</v>
      </c>
      <c r="C4700" s="615">
        <v>379366.57534246577</v>
      </c>
      <c r="D4700" s="532">
        <v>45888</v>
      </c>
      <c r="E4700" s="534">
        <v>33</v>
      </c>
      <c r="F4700" s="601">
        <v>0.28000000000000003</v>
      </c>
      <c r="G4700" s="1127" t="s">
        <v>261</v>
      </c>
      <c r="H4700" s="1021">
        <v>8515.0684931507039</v>
      </c>
      <c r="I4700" s="1128">
        <v>1532.24</v>
      </c>
      <c r="J4700" s="1125">
        <v>1558.4803297502194</v>
      </c>
      <c r="K4700">
        <v>241.47653109173498</v>
      </c>
      <c r="L4700" s="591">
        <v>379366.57534246577</v>
      </c>
      <c r="M4700" s="591">
        <f t="shared" si="635"/>
        <v>0</v>
      </c>
    </row>
    <row r="4701" spans="1:13" ht="13.5" customHeight="1">
      <c r="A4701" s="1126">
        <v>45853</v>
      </c>
      <c r="B4701" s="615">
        <v>700000</v>
      </c>
      <c r="C4701" s="615">
        <v>720367.12328767125</v>
      </c>
      <c r="D4701" s="532">
        <v>45889</v>
      </c>
      <c r="E4701" s="534">
        <v>36</v>
      </c>
      <c r="F4701" s="601">
        <v>0.29499999999999998</v>
      </c>
      <c r="G4701" s="1127" t="s">
        <v>257</v>
      </c>
      <c r="H4701" s="1021">
        <v>16972.60273972604</v>
      </c>
      <c r="I4701" s="1128">
        <v>1530.69</v>
      </c>
      <c r="J4701" s="1125">
        <v>1559.3115192594194</v>
      </c>
      <c r="K4701">
        <v>457.31010198015275</v>
      </c>
      <c r="L4701" s="591">
        <v>720367.12328767125</v>
      </c>
      <c r="M4701" s="591">
        <f t="shared" si="635"/>
        <v>0</v>
      </c>
    </row>
    <row r="4702" spans="1:13" ht="13.5" customHeight="1">
      <c r="A4702" s="1126">
        <v>45793</v>
      </c>
      <c r="B4702" s="615">
        <v>405000</v>
      </c>
      <c r="C4702" s="615">
        <f>406065.21+25458.61</f>
        <v>431523.82</v>
      </c>
      <c r="D4702" s="532">
        <v>45889</v>
      </c>
      <c r="E4702" s="534">
        <v>96</v>
      </c>
      <c r="F4702" s="601">
        <v>6.5198213664315441E-2</v>
      </c>
      <c r="G4702" s="1127" t="s">
        <v>257</v>
      </c>
      <c r="H4702" s="1021">
        <v>8251.648916889917</v>
      </c>
      <c r="I4702" s="1128">
        <v>1467.72</v>
      </c>
      <c r="J4702" s="1125">
        <v>1559.3115192594194</v>
      </c>
      <c r="K4702">
        <v>275.9381898454746</v>
      </c>
      <c r="L4702" s="591">
        <v>431405.27653404779</v>
      </c>
      <c r="M4702" s="591">
        <f t="shared" si="635"/>
        <v>118.54346595221432</v>
      </c>
    </row>
    <row r="4703" spans="1:13" ht="13.5" customHeight="1">
      <c r="A4703" s="1126">
        <v>45796</v>
      </c>
      <c r="B4703" s="615">
        <v>429000</v>
      </c>
      <c r="C4703" s="615">
        <f>429000+4055.32+26490.87</f>
        <v>459546.19</v>
      </c>
      <c r="D4703" s="532">
        <v>45889</v>
      </c>
      <c r="E4703" s="534">
        <v>93</v>
      </c>
      <c r="F4703" s="601">
        <v>6.4161085593055001E-2</v>
      </c>
      <c r="G4703" s="1127" t="s">
        <v>260</v>
      </c>
      <c r="H4703" s="1021">
        <v>8879.0663611034161</v>
      </c>
      <c r="I4703" s="1128">
        <v>1469.03</v>
      </c>
      <c r="J4703" s="1125">
        <v>1559.3115192594194</v>
      </c>
      <c r="K4703">
        <v>292.02943438867823</v>
      </c>
      <c r="L4703" s="591">
        <v>456525.10571942054</v>
      </c>
      <c r="M4703" s="591">
        <f t="shared" si="635"/>
        <v>3021.0842805794673</v>
      </c>
    </row>
    <row r="4704" spans="1:13" ht="13.5" customHeight="1">
      <c r="A4704" s="1126">
        <v>45832</v>
      </c>
      <c r="B4704" s="615">
        <v>579000</v>
      </c>
      <c r="C4704" s="615">
        <v>606577.84931506845</v>
      </c>
      <c r="D4704" s="532">
        <v>45889</v>
      </c>
      <c r="E4704" s="534">
        <v>57</v>
      </c>
      <c r="F4704" s="601">
        <v>0.30499999999999999</v>
      </c>
      <c r="G4704" s="1127" t="s">
        <v>264</v>
      </c>
      <c r="H4704" s="1021">
        <v>14514.657534246555</v>
      </c>
      <c r="I4704" s="1128">
        <v>1514.82</v>
      </c>
      <c r="J4704" s="1125">
        <v>1559.3115192594194</v>
      </c>
      <c r="K4704">
        <v>382.22363053036008</v>
      </c>
      <c r="L4704" s="591">
        <v>606577.84931506845</v>
      </c>
      <c r="M4704" s="591">
        <f t="shared" si="635"/>
        <v>0</v>
      </c>
    </row>
    <row r="4705" spans="1:13" ht="13.5" customHeight="1">
      <c r="A4705" s="1126">
        <v>45839</v>
      </c>
      <c r="B4705" s="615">
        <v>500000</v>
      </c>
      <c r="C4705" s="615">
        <v>519863.01369863015</v>
      </c>
      <c r="D4705" s="532">
        <v>45889</v>
      </c>
      <c r="E4705" s="534">
        <v>50</v>
      </c>
      <c r="F4705" s="601">
        <v>0.28999999999999998</v>
      </c>
      <c r="G4705" s="1127" t="s">
        <v>820</v>
      </c>
      <c r="H4705" s="1021">
        <v>11917.808219178092</v>
      </c>
      <c r="I4705" s="1128">
        <v>1520.09</v>
      </c>
      <c r="J4705" s="1125">
        <v>1559.3115192594194</v>
      </c>
      <c r="K4705">
        <v>328.92789242742208</v>
      </c>
      <c r="L4705" s="591">
        <v>519863.01369863015</v>
      </c>
      <c r="M4705" s="591">
        <f t="shared" si="635"/>
        <v>0</v>
      </c>
    </row>
    <row r="4706" spans="1:13" ht="13.5" customHeight="1">
      <c r="A4706" s="1126">
        <v>45856</v>
      </c>
      <c r="B4706" s="615">
        <v>500000</v>
      </c>
      <c r="C4706" s="615">
        <v>513787.67123287672</v>
      </c>
      <c r="D4706" s="532">
        <v>45889</v>
      </c>
      <c r="E4706" s="534">
        <v>33</v>
      </c>
      <c r="F4706" s="601">
        <v>0.30499999999999999</v>
      </c>
      <c r="G4706" s="1127" t="s">
        <v>258</v>
      </c>
      <c r="H4706" s="1021">
        <v>12534.246575342469</v>
      </c>
      <c r="I4706" s="1128">
        <v>1533.02</v>
      </c>
      <c r="J4706" s="1125">
        <v>1559.3115192594194</v>
      </c>
      <c r="K4706">
        <v>326.15360530195301</v>
      </c>
      <c r="L4706" s="591">
        <v>513787.67123287672</v>
      </c>
      <c r="M4706" s="591">
        <f t="shared" si="635"/>
        <v>0</v>
      </c>
    </row>
    <row r="4707" spans="1:13" ht="13.5" customHeight="1">
      <c r="A4707" s="1126">
        <v>45793</v>
      </c>
      <c r="B4707" s="615">
        <v>300000</v>
      </c>
      <c r="C4707" s="615">
        <v>318817.15000000002</v>
      </c>
      <c r="D4707" s="532">
        <v>45889</v>
      </c>
      <c r="E4707" s="534">
        <v>96</v>
      </c>
      <c r="F4707" s="601">
        <v>6.5198213664315441E-2</v>
      </c>
      <c r="G4707" s="1127" t="s">
        <v>258</v>
      </c>
      <c r="H4707" s="1021">
        <v>6112.3325310295695</v>
      </c>
      <c r="I4707" s="1128">
        <v>1467.72</v>
      </c>
      <c r="J4707" s="1125">
        <v>1559.3115192594194</v>
      </c>
      <c r="K4707">
        <v>204.398659144796</v>
      </c>
      <c r="L4707" s="591">
        <v>319559.46409929468</v>
      </c>
      <c r="M4707" s="591">
        <f t="shared" si="635"/>
        <v>-742.31409929465735</v>
      </c>
    </row>
    <row r="4708" spans="1:13" ht="13.5" customHeight="1">
      <c r="A4708" s="1126">
        <v>45800</v>
      </c>
      <c r="B4708" s="615">
        <v>219000</v>
      </c>
      <c r="C4708" s="615">
        <f>219540+12453.82</f>
        <v>231993.82</v>
      </c>
      <c r="D4708" s="532">
        <v>45890</v>
      </c>
      <c r="E4708" s="534">
        <v>90</v>
      </c>
      <c r="F4708" s="601">
        <v>5.8968163308187993E-2</v>
      </c>
      <c r="G4708" s="1127" t="s">
        <v>265</v>
      </c>
      <c r="H4708" s="1021">
        <v>4304.675921497721</v>
      </c>
      <c r="I4708" s="1128">
        <v>1476.9</v>
      </c>
      <c r="J4708" s="1125">
        <v>1560.143152069691</v>
      </c>
      <c r="K4708">
        <v>148.28356693073329</v>
      </c>
      <c r="L4708" s="591">
        <v>231914.02776449316</v>
      </c>
      <c r="M4708" s="591">
        <f t="shared" si="635"/>
        <v>79.792235506844008</v>
      </c>
    </row>
    <row r="4709" spans="1:13" ht="13.5" customHeight="1">
      <c r="A4709" s="1126">
        <v>45825</v>
      </c>
      <c r="B4709" s="615">
        <v>1400000</v>
      </c>
      <c r="C4709" s="615">
        <v>1481650.6849315069</v>
      </c>
      <c r="D4709" s="532">
        <v>45890</v>
      </c>
      <c r="E4709" s="534">
        <v>65</v>
      </c>
      <c r="F4709" s="601">
        <v>0.32750000000000001</v>
      </c>
      <c r="G4709" s="1127" t="s">
        <v>256</v>
      </c>
      <c r="H4709" s="1021">
        <v>37684.931506849323</v>
      </c>
      <c r="I4709" s="1128">
        <v>1506.13</v>
      </c>
      <c r="J4709" s="1125">
        <v>1560.143152069691</v>
      </c>
      <c r="K4709">
        <v>929.53463512445796</v>
      </c>
      <c r="L4709" s="591">
        <v>1481650.6849315069</v>
      </c>
      <c r="M4709" s="591">
        <f t="shared" si="635"/>
        <v>0</v>
      </c>
    </row>
    <row r="4710" spans="1:13" ht="13.5" customHeight="1">
      <c r="A4710" s="1126">
        <v>45848</v>
      </c>
      <c r="B4710" s="615">
        <v>1100000</v>
      </c>
      <c r="C4710" s="615">
        <v>1138605.4794520547</v>
      </c>
      <c r="D4710" s="532">
        <v>45890</v>
      </c>
      <c r="E4710" s="534">
        <v>42</v>
      </c>
      <c r="F4710" s="601">
        <v>0.30499999999999999</v>
      </c>
      <c r="G4710" s="1127" t="s">
        <v>258</v>
      </c>
      <c r="H4710" s="1021">
        <v>27575.342465753369</v>
      </c>
      <c r="I4710" s="1128">
        <v>1526.14</v>
      </c>
      <c r="J4710" s="1125">
        <v>1560.143152069691</v>
      </c>
      <c r="K4710">
        <v>720.77266830041799</v>
      </c>
      <c r="L4710" s="591">
        <v>1138605.4794520547</v>
      </c>
      <c r="M4710" s="591">
        <f t="shared" si="635"/>
        <v>0</v>
      </c>
    </row>
    <row r="4711" spans="1:13" ht="13.5" customHeight="1">
      <c r="A4711" s="1126">
        <v>45856</v>
      </c>
      <c r="B4711" s="615">
        <v>280000</v>
      </c>
      <c r="C4711" s="615">
        <v>287955.0684931507</v>
      </c>
      <c r="D4711" s="532">
        <v>45890</v>
      </c>
      <c r="E4711" s="534">
        <v>34</v>
      </c>
      <c r="F4711" s="601">
        <v>0.30499999999999999</v>
      </c>
      <c r="G4711" s="1127" t="s">
        <v>258</v>
      </c>
      <c r="H4711" s="1021">
        <v>7019.1780821917928</v>
      </c>
      <c r="I4711" s="1128">
        <v>1533.02</v>
      </c>
      <c r="J4711" s="1125">
        <v>1560.143152069691</v>
      </c>
      <c r="K4711">
        <v>182.64601896909369</v>
      </c>
      <c r="L4711" s="591">
        <v>287955.0684931507</v>
      </c>
      <c r="M4711" s="591">
        <f t="shared" si="635"/>
        <v>0</v>
      </c>
    </row>
    <row r="4712" spans="1:13" ht="13.5" customHeight="1">
      <c r="A4712" s="1126">
        <v>45859</v>
      </c>
      <c r="B4712" s="615">
        <v>500000</v>
      </c>
      <c r="C4712" s="615">
        <v>512952.05479452055</v>
      </c>
      <c r="D4712" s="532">
        <v>45890</v>
      </c>
      <c r="E4712" s="534">
        <v>31</v>
      </c>
      <c r="F4712" s="601">
        <v>0.30499999999999999</v>
      </c>
      <c r="G4712" s="1127" t="s">
        <v>258</v>
      </c>
      <c r="H4712" s="1021">
        <v>12534.246575342464</v>
      </c>
      <c r="I4712" s="1128">
        <v>1533.81</v>
      </c>
      <c r="J4712" s="1125">
        <v>1560.143152069691</v>
      </c>
      <c r="K4712">
        <v>325.98561751455526</v>
      </c>
      <c r="L4712" s="591">
        <v>512952.05479452055</v>
      </c>
      <c r="M4712" s="591">
        <f t="shared" si="635"/>
        <v>0</v>
      </c>
    </row>
    <row r="4713" spans="1:13" ht="13.5" customHeight="1">
      <c r="A4713" s="1126">
        <v>45856</v>
      </c>
      <c r="B4713" s="615">
        <v>500000</v>
      </c>
      <c r="C4713" s="615">
        <v>514205.47945205477</v>
      </c>
      <c r="D4713" s="532">
        <v>45890</v>
      </c>
      <c r="E4713" s="534">
        <v>34</v>
      </c>
      <c r="F4713" s="601">
        <v>0.30499999999999999</v>
      </c>
      <c r="G4713" s="1127" t="s">
        <v>262</v>
      </c>
      <c r="H4713" s="1021">
        <v>12534.246575342448</v>
      </c>
      <c r="I4713" s="1128">
        <v>1533.02</v>
      </c>
      <c r="J4713" s="1125">
        <v>1560.143152069691</v>
      </c>
      <c r="K4713">
        <v>326.15360530195301</v>
      </c>
      <c r="L4713" s="591">
        <v>514205.47945205477</v>
      </c>
      <c r="M4713" s="591">
        <f t="shared" si="635"/>
        <v>0</v>
      </c>
    </row>
    <row r="4714" spans="1:13" ht="13.5" customHeight="1">
      <c r="A4714" s="1126">
        <v>45800</v>
      </c>
      <c r="B4714" s="615">
        <v>280000</v>
      </c>
      <c r="C4714" s="615">
        <v>295890.84000000003</v>
      </c>
      <c r="D4714" s="532">
        <v>45890</v>
      </c>
      <c r="E4714" s="534">
        <v>90</v>
      </c>
      <c r="F4714" s="601">
        <v>5.8968163308187993E-2</v>
      </c>
      <c r="G4714" s="1127" t="s">
        <v>262</v>
      </c>
      <c r="H4714" s="1021">
        <v>5503.6952420975431</v>
      </c>
      <c r="I4714" s="1128">
        <v>1476.9</v>
      </c>
      <c r="J4714" s="1125">
        <v>1560.143152069691</v>
      </c>
      <c r="K4714">
        <v>189.58629561920236</v>
      </c>
      <c r="L4714" s="591">
        <v>296511.08572629263</v>
      </c>
      <c r="M4714" s="591">
        <f t="shared" si="635"/>
        <v>-620.24572629260365</v>
      </c>
    </row>
    <row r="4715" spans="1:13" ht="13.5" customHeight="1">
      <c r="A4715" s="1126">
        <v>45833</v>
      </c>
      <c r="B4715" s="615">
        <v>1650000</v>
      </c>
      <c r="C4715" s="615">
        <v>1727346.5753424657</v>
      </c>
      <c r="D4715" s="532">
        <v>45891</v>
      </c>
      <c r="E4715" s="534">
        <v>58</v>
      </c>
      <c r="F4715" s="601">
        <v>0.29499999999999998</v>
      </c>
      <c r="G4715" s="1127" t="s">
        <v>265</v>
      </c>
      <c r="H4715" s="1021">
        <v>40006.849315068444</v>
      </c>
      <c r="I4715" s="1128">
        <v>1515.57</v>
      </c>
      <c r="J4715" s="1125">
        <v>1560.9752284174615</v>
      </c>
      <c r="K4715">
        <v>1088.699301252994</v>
      </c>
      <c r="L4715" s="591">
        <v>1727346.5753424657</v>
      </c>
      <c r="M4715" s="591">
        <f t="shared" si="635"/>
        <v>0</v>
      </c>
    </row>
    <row r="4716" spans="1:13" ht="13.5" customHeight="1">
      <c r="A4716" s="1126">
        <v>45853</v>
      </c>
      <c r="B4716" s="615">
        <v>666000</v>
      </c>
      <c r="C4716" s="615">
        <v>686454.41095890407</v>
      </c>
      <c r="D4716" s="532">
        <v>45891</v>
      </c>
      <c r="E4716" s="534">
        <v>38</v>
      </c>
      <c r="F4716" s="601">
        <v>0.29499999999999998</v>
      </c>
      <c r="G4716" s="1127" t="s">
        <v>257</v>
      </c>
      <c r="H4716" s="1021">
        <v>16148.219178082165</v>
      </c>
      <c r="I4716" s="1128">
        <v>1530.69</v>
      </c>
      <c r="J4716" s="1125">
        <v>1560.9752284174615</v>
      </c>
      <c r="K4716">
        <v>435.09789702683105</v>
      </c>
      <c r="L4716" s="591">
        <v>686454.41095890407</v>
      </c>
      <c r="M4716" s="591">
        <f t="shared" si="635"/>
        <v>0</v>
      </c>
    </row>
    <row r="4717" spans="1:13" ht="13.5" customHeight="1">
      <c r="A4717" s="1126">
        <v>45859</v>
      </c>
      <c r="B4717" s="615">
        <v>500000</v>
      </c>
      <c r="C4717" s="615">
        <v>513369.8630136986</v>
      </c>
      <c r="D4717" s="532">
        <v>45891</v>
      </c>
      <c r="E4717" s="534">
        <v>32</v>
      </c>
      <c r="F4717" s="601">
        <v>0.30499999999999999</v>
      </c>
      <c r="G4717" s="1127" t="s">
        <v>258</v>
      </c>
      <c r="H4717" s="1021">
        <v>12534.24657534244</v>
      </c>
      <c r="I4717" s="1128">
        <v>1533.81</v>
      </c>
      <c r="J4717" s="1125">
        <v>1560.9752284174615</v>
      </c>
      <c r="K4717">
        <v>325.98561751455526</v>
      </c>
      <c r="L4717" s="591">
        <v>513369.8630136986</v>
      </c>
      <c r="M4717" s="591">
        <f t="shared" si="635"/>
        <v>0</v>
      </c>
    </row>
    <row r="4718" spans="1:13" ht="13.5" customHeight="1">
      <c r="A4718" s="1126">
        <v>45833</v>
      </c>
      <c r="B4718" s="615">
        <v>560000</v>
      </c>
      <c r="C4718" s="615">
        <v>587808.21917808219</v>
      </c>
      <c r="D4718" s="532">
        <v>45891</v>
      </c>
      <c r="E4718" s="534">
        <v>58</v>
      </c>
      <c r="F4718" s="601">
        <v>0.3125</v>
      </c>
      <c r="G4718" s="1127" t="s">
        <v>258</v>
      </c>
      <c r="H4718" s="1021">
        <v>14383.561643835616</v>
      </c>
      <c r="I4718" s="1128">
        <v>1515.57</v>
      </c>
      <c r="J4718" s="1125">
        <v>1560.9752284174615</v>
      </c>
      <c r="K4718">
        <v>369.49794466768282</v>
      </c>
      <c r="L4718" s="591">
        <v>587808.21917808219</v>
      </c>
      <c r="M4718" s="591">
        <f>+C4718-L4718</f>
        <v>0</v>
      </c>
    </row>
    <row r="4719" spans="1:13" ht="13.5" customHeight="1">
      <c r="A4719" s="1126">
        <v>45712</v>
      </c>
      <c r="B4719" s="615">
        <v>500000</v>
      </c>
      <c r="C4719" s="615">
        <v>577873.6</v>
      </c>
      <c r="D4719" s="532">
        <v>45894</v>
      </c>
      <c r="E4719" s="534">
        <v>182</v>
      </c>
      <c r="F4719" s="601">
        <v>0.15640851827302793</v>
      </c>
      <c r="G4719" s="1127" t="s">
        <v>261</v>
      </c>
      <c r="H4719" s="1021">
        <v>12890.811945579218</v>
      </c>
      <c r="I4719" s="1128">
        <v>1358.75</v>
      </c>
      <c r="J4719" s="1125">
        <v>1563.4741210519301</v>
      </c>
      <c r="K4719">
        <v>367.98528058877645</v>
      </c>
      <c r="L4719" s="591">
        <v>578204.25913651392</v>
      </c>
      <c r="M4719" s="591">
        <f t="shared" ref="A4719:M4724" si="636">+C4719-L4719</f>
        <v>-330.65913651394658</v>
      </c>
    </row>
    <row r="4720" spans="1:13" ht="13.5" customHeight="1">
      <c r="A4720" s="1126">
        <v>45714</v>
      </c>
      <c r="B4720" s="615">
        <v>439000</v>
      </c>
      <c r="C4720" s="615">
        <v>505770.8</v>
      </c>
      <c r="D4720" s="532">
        <v>45894</v>
      </c>
      <c r="E4720" s="534">
        <v>180</v>
      </c>
      <c r="F4720" s="601">
        <v>0.15275675680393297</v>
      </c>
      <c r="G4720" s="1127" t="s">
        <v>261</v>
      </c>
      <c r="H4720" s="1021">
        <v>11176.702706154427</v>
      </c>
      <c r="I4720" s="1128">
        <v>1362.98</v>
      </c>
      <c r="J4720" s="1125">
        <v>1563.4741210519301</v>
      </c>
      <c r="K4720">
        <v>322.0883651997828</v>
      </c>
      <c r="L4720" s="591">
        <v>506060.21623692644</v>
      </c>
      <c r="M4720" s="591">
        <f t="shared" si="636"/>
        <v>-289.41623692645226</v>
      </c>
    </row>
    <row r="4721" spans="1:13" ht="13.5" customHeight="1">
      <c r="A4721" s="1126">
        <v>45803</v>
      </c>
      <c r="B4721" s="615">
        <v>883000</v>
      </c>
      <c r="C4721" s="615">
        <f>883000+8141.04+50391.54</f>
        <v>941532.58000000007</v>
      </c>
      <c r="D4721" s="532">
        <v>45894</v>
      </c>
      <c r="E4721" s="534">
        <v>91</v>
      </c>
      <c r="F4721" s="601">
        <v>6.0310439330886645E-2</v>
      </c>
      <c r="G4721" s="1127" t="s">
        <v>260</v>
      </c>
      <c r="H4721" s="1021">
        <v>17556.302614013057</v>
      </c>
      <c r="I4721" s="1128">
        <v>1478.22</v>
      </c>
      <c r="J4721" s="1125">
        <v>1563.4741210519301</v>
      </c>
      <c r="K4721">
        <v>597.34004410710179</v>
      </c>
      <c r="L4721" s="591">
        <v>936254.11792917305</v>
      </c>
      <c r="M4721" s="591">
        <f t="shared" si="636"/>
        <v>5278.4620708270231</v>
      </c>
    </row>
    <row r="4722" spans="1:13" ht="13.5" customHeight="1">
      <c r="A4722" s="1126">
        <v>45853</v>
      </c>
      <c r="B4722" s="615">
        <v>500000</v>
      </c>
      <c r="C4722" s="615">
        <v>515164.38356164383</v>
      </c>
      <c r="D4722" s="532">
        <v>45894</v>
      </c>
      <c r="E4722" s="534">
        <v>41</v>
      </c>
      <c r="F4722" s="601">
        <v>0.27</v>
      </c>
      <c r="G4722" s="1127" t="s">
        <v>258</v>
      </c>
      <c r="H4722" s="1021">
        <v>11095.8904109589</v>
      </c>
      <c r="I4722" s="1128">
        <v>1530.69</v>
      </c>
      <c r="J4722" s="1125">
        <v>1563.4741210519301</v>
      </c>
      <c r="K4722">
        <v>326.65007284296621</v>
      </c>
      <c r="L4722" s="591">
        <v>515164.38356164383</v>
      </c>
      <c r="M4722" s="591">
        <f t="shared" si="636"/>
        <v>0</v>
      </c>
    </row>
    <row r="4723" spans="1:13" ht="13.5" customHeight="1">
      <c r="A4723" s="1126">
        <v>45853</v>
      </c>
      <c r="B4723" s="615">
        <v>600000</v>
      </c>
      <c r="C4723" s="615">
        <v>619882.19178082189</v>
      </c>
      <c r="D4723" s="532">
        <v>45894</v>
      </c>
      <c r="E4723" s="534">
        <v>41</v>
      </c>
      <c r="F4723" s="601">
        <v>0.29499999999999998</v>
      </c>
      <c r="G4723" s="1127" t="s">
        <v>256</v>
      </c>
      <c r="H4723" s="1021">
        <v>14547.945205479429</v>
      </c>
      <c r="I4723" s="1128">
        <v>1530.69</v>
      </c>
      <c r="J4723" s="1125">
        <v>1563.4741210519301</v>
      </c>
      <c r="K4723">
        <v>391.98008741155945</v>
      </c>
      <c r="L4723" s="591">
        <v>619882.19178082189</v>
      </c>
      <c r="M4723" s="591">
        <f t="shared" si="636"/>
        <v>0</v>
      </c>
    </row>
    <row r="4724" spans="1:13" ht="13.5" customHeight="1">
      <c r="A4724" s="1126">
        <v>45859</v>
      </c>
      <c r="B4724" s="615">
        <v>500000</v>
      </c>
      <c r="C4724" s="615">
        <v>514623.28767123289</v>
      </c>
      <c r="D4724" s="532">
        <v>45894</v>
      </c>
      <c r="E4724" s="534">
        <v>35</v>
      </c>
      <c r="F4724" s="601">
        <v>0.30499999999999999</v>
      </c>
      <c r="G4724" s="1127" t="s">
        <v>258</v>
      </c>
      <c r="H4724" s="1021">
        <v>12534.246575342475</v>
      </c>
      <c r="I4724" s="1128">
        <v>1533.81</v>
      </c>
      <c r="J4724" s="1125">
        <v>1563.4741210519301</v>
      </c>
      <c r="K4724">
        <v>325.98561751455526</v>
      </c>
      <c r="L4724" s="591">
        <v>514623.28767123289</v>
      </c>
      <c r="M4724" s="591">
        <f t="shared" si="636"/>
        <v>0</v>
      </c>
    </row>
    <row r="4725" spans="1:13" ht="13.5" customHeight="1">
      <c r="A4725" s="1126">
        <v>45712</v>
      </c>
      <c r="B4725" s="615">
        <v>750000</v>
      </c>
      <c r="C4725" s="615">
        <f>864086.05+4336.24</f>
        <v>868422.29</v>
      </c>
      <c r="D4725" s="532">
        <v>45895</v>
      </c>
      <c r="E4725" s="534">
        <v>183</v>
      </c>
      <c r="F4725" s="601">
        <v>0.15705681152708628</v>
      </c>
      <c r="G4725" s="1127" t="s">
        <v>263</v>
      </c>
      <c r="H4725" s="1021">
        <v>19310.26371234667</v>
      </c>
      <c r="I4725" s="1128">
        <v>1358.75</v>
      </c>
      <c r="J4725" s="1125">
        <v>1564.3079739164909</v>
      </c>
      <c r="K4725">
        <v>551.97792088316464</v>
      </c>
      <c r="L4725" s="591">
        <v>865772.74</v>
      </c>
      <c r="M4725" s="591">
        <f t="shared" ref="A4725:M4729" si="637">+C4725-L4725</f>
        <v>2649.5500000000466</v>
      </c>
    </row>
    <row r="4726" spans="1:13" ht="13.5" customHeight="1">
      <c r="A4726" s="1126">
        <v>45713</v>
      </c>
      <c r="B4726" s="615">
        <v>450000</v>
      </c>
      <c r="C4726" s="615">
        <v>519822.06</v>
      </c>
      <c r="D4726" s="532">
        <v>45895</v>
      </c>
      <c r="E4726" s="534">
        <v>182</v>
      </c>
      <c r="F4726" s="601">
        <v>0.15433218170650131</v>
      </c>
      <c r="G4726" s="1127" t="s">
        <v>264</v>
      </c>
      <c r="H4726" s="1021">
        <v>11447.716774932793</v>
      </c>
      <c r="I4726" s="1128">
        <v>1361.92</v>
      </c>
      <c r="J4726" s="1125">
        <v>1564.3079739164909</v>
      </c>
      <c r="K4726">
        <v>330.41588345864659</v>
      </c>
      <c r="L4726" s="591">
        <v>519045.5</v>
      </c>
      <c r="M4726" s="591">
        <f t="shared" si="637"/>
        <v>776.55999999999767</v>
      </c>
    </row>
    <row r="4727" spans="1:13" ht="13.5" customHeight="1">
      <c r="A4727" s="1126">
        <v>45853</v>
      </c>
      <c r="B4727" s="615">
        <v>490000</v>
      </c>
      <c r="C4727" s="615">
        <v>505223.56164383562</v>
      </c>
      <c r="D4727" s="532">
        <v>45895</v>
      </c>
      <c r="E4727" s="534">
        <v>42</v>
      </c>
      <c r="F4727" s="601">
        <v>0.27</v>
      </c>
      <c r="G4727" s="1127" t="s">
        <v>258</v>
      </c>
      <c r="H4727" s="1021">
        <v>10873.97260273973</v>
      </c>
      <c r="I4727" s="1128">
        <v>1530.69</v>
      </c>
      <c r="J4727" s="1125">
        <v>1564.3079739164909</v>
      </c>
      <c r="K4727">
        <v>320.11707138610689</v>
      </c>
      <c r="L4727" s="591">
        <v>505223.56164383562</v>
      </c>
      <c r="M4727" s="591">
        <f t="shared" si="637"/>
        <v>0</v>
      </c>
    </row>
    <row r="4728" spans="1:13" ht="13.5" customHeight="1">
      <c r="A4728" s="1126">
        <v>45853</v>
      </c>
      <c r="B4728" s="615">
        <v>600000</v>
      </c>
      <c r="C4728" s="615">
        <v>620367.12328767125</v>
      </c>
      <c r="D4728" s="532">
        <v>45895</v>
      </c>
      <c r="E4728" s="534">
        <v>42</v>
      </c>
      <c r="F4728" s="601">
        <v>0.29499999999999998</v>
      </c>
      <c r="G4728" s="1127" t="s">
        <v>256</v>
      </c>
      <c r="H4728" s="1021">
        <v>14547.945205479462</v>
      </c>
      <c r="I4728" s="1128">
        <v>1530.69</v>
      </c>
      <c r="J4728" s="1125">
        <v>1564.3079739164909</v>
      </c>
      <c r="K4728">
        <v>391.98008741155945</v>
      </c>
      <c r="L4728" s="591">
        <v>620367.12328767125</v>
      </c>
      <c r="M4728" s="591">
        <f t="shared" si="637"/>
        <v>0</v>
      </c>
    </row>
    <row r="4729" spans="1:13" ht="13.5" customHeight="1">
      <c r="A4729" s="1126">
        <v>45860</v>
      </c>
      <c r="B4729" s="615">
        <v>506000</v>
      </c>
      <c r="C4729" s="615">
        <f>506000+18195.21</f>
        <v>524195.21</v>
      </c>
      <c r="D4729" s="532">
        <v>45895</v>
      </c>
      <c r="E4729" s="534">
        <v>35</v>
      </c>
      <c r="F4729" s="601">
        <v>0.376</v>
      </c>
      <c r="G4729" s="1127" t="s">
        <v>260</v>
      </c>
      <c r="H4729" s="1021">
        <v>15637.479452054798</v>
      </c>
      <c r="I4729" s="1128">
        <v>1536.16</v>
      </c>
      <c r="J4729" s="1125">
        <v>1564.3079739164909</v>
      </c>
      <c r="K4729">
        <v>329.39277158629307</v>
      </c>
      <c r="L4729" s="591">
        <v>524243.72602739726</v>
      </c>
      <c r="M4729" s="591">
        <f t="shared" si="637"/>
        <v>-48.516027397243306</v>
      </c>
    </row>
    <row r="4730" spans="1:13" ht="13.5" customHeight="1">
      <c r="A4730" s="1126">
        <v>45804</v>
      </c>
      <c r="B4730" s="615">
        <v>500000</v>
      </c>
      <c r="C4730" s="615">
        <f>500000+4602.36+28082.16</f>
        <v>532684.52</v>
      </c>
      <c r="D4730" s="532">
        <v>45895</v>
      </c>
      <c r="E4730" s="534">
        <v>91</v>
      </c>
      <c r="F4730" s="601">
        <v>5.8041553261482859E-2</v>
      </c>
      <c r="G4730" s="1127" t="s">
        <v>260</v>
      </c>
      <c r="H4730" s="1021">
        <v>9567.2889991455249</v>
      </c>
      <c r="I4730" s="1128">
        <v>1482.18</v>
      </c>
      <c r="J4730" s="1125">
        <v>1564.3079739164909</v>
      </c>
      <c r="K4730">
        <v>337.34094374502422</v>
      </c>
      <c r="L4730" s="591">
        <v>529020.77663074143</v>
      </c>
      <c r="M4730" s="591">
        <f>+C4730-L4730</f>
        <v>3663.743369258591</v>
      </c>
    </row>
    <row r="4731" spans="1:13" ht="13.5" customHeight="1">
      <c r="A4731" s="1126">
        <v>45804</v>
      </c>
      <c r="B4731" s="615">
        <v>322000</v>
      </c>
      <c r="C4731" s="615">
        <f>322000+3007.45+18296.06</f>
        <v>343303.51</v>
      </c>
      <c r="D4731" s="532">
        <v>45896</v>
      </c>
      <c r="E4731" s="534">
        <v>92</v>
      </c>
      <c r="F4731" s="601">
        <v>5.8634772860900686E-2</v>
      </c>
      <c r="G4731" s="1127" t="s">
        <v>260</v>
      </c>
      <c r="H4731" s="1021">
        <v>6156.6511503945649</v>
      </c>
      <c r="I4731" s="1128">
        <v>1482.18</v>
      </c>
      <c r="J4731" s="1125">
        <v>1565.1422715025797</v>
      </c>
      <c r="K4731">
        <v>217.24756777179559</v>
      </c>
      <c r="L4731" s="591">
        <v>340880.39686121</v>
      </c>
      <c r="M4731" s="591">
        <f t="shared" ref="A4731:M4736" si="638">+C4731-L4731</f>
        <v>2423.1131387900095</v>
      </c>
    </row>
    <row r="4732" spans="1:13" ht="13.5" customHeight="1">
      <c r="A4732" s="1126">
        <v>45805</v>
      </c>
      <c r="B4732" s="615">
        <v>536000</v>
      </c>
      <c r="C4732" s="615">
        <f>536000+4934.1+29948.76</f>
        <v>570882.86</v>
      </c>
      <c r="D4732" s="532">
        <v>45896</v>
      </c>
      <c r="E4732" s="534">
        <v>91</v>
      </c>
      <c r="F4732" s="601">
        <v>5.7663907670233661E-2</v>
      </c>
      <c r="G4732" s="1127" t="s">
        <v>260</v>
      </c>
      <c r="H4732" s="1021">
        <v>10189.402586124814</v>
      </c>
      <c r="I4732" s="1128">
        <v>1483.5</v>
      </c>
      <c r="J4732" s="1125">
        <v>1565.1422715025797</v>
      </c>
      <c r="K4732">
        <v>361.30771823390631</v>
      </c>
      <c r="L4732" s="591">
        <v>566907.85451124527</v>
      </c>
      <c r="M4732" s="591">
        <f t="shared" si="638"/>
        <v>3975.0054887547158</v>
      </c>
    </row>
    <row r="4733" spans="1:13" ht="13.5" customHeight="1">
      <c r="A4733" s="1126">
        <v>45806</v>
      </c>
      <c r="B4733" s="615">
        <v>540000</v>
      </c>
      <c r="C4733" s="615">
        <f>541331.51+29734.91</f>
        <v>571066.42000000004</v>
      </c>
      <c r="D4733" s="532">
        <v>45896</v>
      </c>
      <c r="E4733" s="534">
        <v>90</v>
      </c>
      <c r="F4733" s="601">
        <v>5.6694768671363249E-2</v>
      </c>
      <c r="G4733" s="1127" t="s">
        <v>257</v>
      </c>
      <c r="H4733" s="1021">
        <v>10205.058360845393</v>
      </c>
      <c r="I4733" s="1128">
        <v>1484.82</v>
      </c>
      <c r="J4733" s="1125">
        <v>1565.1422715025797</v>
      </c>
      <c r="K4733">
        <v>363.68044611468059</v>
      </c>
      <c r="L4733" s="591">
        <v>570615.17508253618</v>
      </c>
      <c r="M4733" s="591">
        <f t="shared" si="638"/>
        <v>451.24491746386047</v>
      </c>
    </row>
    <row r="4734" spans="1:13" ht="13.5" customHeight="1">
      <c r="A4734" s="1126">
        <v>45853</v>
      </c>
      <c r="B4734" s="615">
        <v>296000</v>
      </c>
      <c r="C4734" s="615">
        <v>305763.94520547945</v>
      </c>
      <c r="D4734" s="532">
        <v>45896</v>
      </c>
      <c r="E4734" s="534">
        <v>43</v>
      </c>
      <c r="F4734" s="601">
        <v>0.28000000000000003</v>
      </c>
      <c r="G4734" s="1127" t="s">
        <v>261</v>
      </c>
      <c r="H4734" s="1021">
        <v>6812.054794520549</v>
      </c>
      <c r="I4734" s="1128">
        <v>1530.69</v>
      </c>
      <c r="J4734" s="1125">
        <v>1565.1422715025797</v>
      </c>
      <c r="K4734">
        <v>193.376843123036</v>
      </c>
      <c r="L4734" s="591">
        <v>305763.94520547945</v>
      </c>
      <c r="M4734" s="591">
        <f t="shared" si="638"/>
        <v>0</v>
      </c>
    </row>
    <row r="4735" spans="1:13" ht="13.5" customHeight="1">
      <c r="A4735" s="1126">
        <v>45854</v>
      </c>
      <c r="B4735" s="615">
        <v>1000000</v>
      </c>
      <c r="C4735" s="615">
        <v>1031068.493150685</v>
      </c>
      <c r="D4735" s="532">
        <v>45896</v>
      </c>
      <c r="E4735" s="534">
        <v>42</v>
      </c>
      <c r="F4735" s="601">
        <v>0.27</v>
      </c>
      <c r="G4735" s="1127" t="s">
        <v>258</v>
      </c>
      <c r="H4735" s="1021">
        <v>22191.780821917848</v>
      </c>
      <c r="I4735" s="1128">
        <v>1531.45</v>
      </c>
      <c r="J4735" s="1125">
        <v>1565.1422715025797</v>
      </c>
      <c r="K4735">
        <v>652.97593783669072</v>
      </c>
      <c r="L4735" s="591">
        <v>1031068.493150685</v>
      </c>
      <c r="M4735" s="591">
        <f t="shared" si="638"/>
        <v>0</v>
      </c>
    </row>
    <row r="4736" spans="1:13" ht="13.5" customHeight="1">
      <c r="A4736" s="1126">
        <v>45805</v>
      </c>
      <c r="B4736" s="615">
        <v>510000</v>
      </c>
      <c r="C4736" s="615">
        <v>538506.05000000005</v>
      </c>
      <c r="D4736" s="532">
        <v>45896</v>
      </c>
      <c r="E4736" s="534">
        <v>91</v>
      </c>
      <c r="F4736" s="601">
        <v>5.7663907670233661E-2</v>
      </c>
      <c r="G4736" s="1127" t="s">
        <v>258</v>
      </c>
      <c r="H4736" s="1021">
        <v>9695.1405203799259</v>
      </c>
      <c r="I4736" s="1128">
        <v>1483.5</v>
      </c>
      <c r="J4736" s="1125">
        <v>1565.1422715025797</v>
      </c>
      <c r="K4736">
        <v>343.78159757330639</v>
      </c>
      <c r="L4736" s="591">
        <v>539408.59291181911</v>
      </c>
      <c r="M4736" s="591">
        <f t="shared" si="638"/>
        <v>-902.54291181906592</v>
      </c>
    </row>
    <row r="4737" spans="1:13" ht="13.5" customHeight="1">
      <c r="A4737" s="1126">
        <v>45867</v>
      </c>
      <c r="B4737" s="615">
        <v>10000</v>
      </c>
      <c r="C4737" s="615">
        <v>10020.547945205479</v>
      </c>
      <c r="D4737" s="532">
        <v>45897</v>
      </c>
      <c r="E4737" s="534">
        <v>30</v>
      </c>
      <c r="F4737" s="601">
        <v>2.5000000000000001E-2</v>
      </c>
      <c r="G4737" s="1127" t="s">
        <v>258</v>
      </c>
      <c r="H4737" s="1021" t="s">
        <v>38</v>
      </c>
      <c r="I4737" s="1128">
        <v>1541.68</v>
      </c>
      <c r="J4737" s="1125">
        <v>1565.9770140473809</v>
      </c>
      <c r="K4737">
        <v>6.4864303876290794</v>
      </c>
      <c r="L4737" s="591">
        <v>10020.547945205479</v>
      </c>
      <c r="M4737" s="591">
        <v>0</v>
      </c>
    </row>
    <row r="4738" spans="1:13" ht="13.5" customHeight="1">
      <c r="A4738" s="1126">
        <v>45867</v>
      </c>
      <c r="B4738" s="615">
        <v>19000</v>
      </c>
      <c r="C4738" s="615">
        <v>19039.04109589041</v>
      </c>
      <c r="D4738" s="532">
        <v>45897</v>
      </c>
      <c r="E4738" s="534">
        <v>30</v>
      </c>
      <c r="F4738" s="601">
        <v>2.5000000000000001E-2</v>
      </c>
      <c r="G4738" s="1127" t="s">
        <v>258</v>
      </c>
      <c r="H4738" s="1021" t="s">
        <v>38</v>
      </c>
      <c r="I4738" s="1128">
        <v>1541.68</v>
      </c>
      <c r="J4738" s="1125">
        <v>1565.9770140473809</v>
      </c>
      <c r="K4738">
        <v>12.324217736495251</v>
      </c>
      <c r="L4738" s="591">
        <v>19039.04109589041</v>
      </c>
      <c r="M4738" s="591">
        <v>0</v>
      </c>
    </row>
    <row r="4739" spans="1:13" ht="13.5" customHeight="1">
      <c r="A4739" s="1126">
        <v>45807</v>
      </c>
      <c r="B4739" s="615">
        <v>690000</v>
      </c>
      <c r="C4739" s="615">
        <v>727713.65</v>
      </c>
      <c r="D4739" s="532">
        <v>45897</v>
      </c>
      <c r="E4739" s="534">
        <v>90</v>
      </c>
      <c r="F4739" s="601">
        <v>5.6319274922081997E-2</v>
      </c>
      <c r="G4739" s="1127" t="s">
        <v>258</v>
      </c>
      <c r="H4739" s="1021">
        <v>12953.433232078873</v>
      </c>
      <c r="I4739" s="1128">
        <v>1486.14</v>
      </c>
      <c r="J4739" s="1125">
        <v>1565.9770140473809</v>
      </c>
      <c r="K4739">
        <v>464.29003996931647</v>
      </c>
      <c r="L4739" s="591">
        <v>728860.29969623662</v>
      </c>
      <c r="M4739" s="591">
        <f t="shared" ref="A4739:M4742" si="639">+C4739-L4739</f>
        <v>-1146.6496962365927</v>
      </c>
    </row>
    <row r="4740" spans="1:13" ht="13.5" customHeight="1">
      <c r="A4740" s="1126">
        <v>45827</v>
      </c>
      <c r="B4740" s="615">
        <v>659000</v>
      </c>
      <c r="C4740" s="615">
        <v>699758.69863013702</v>
      </c>
      <c r="D4740" s="532">
        <v>45897</v>
      </c>
      <c r="E4740" s="534">
        <v>70</v>
      </c>
      <c r="F4740" s="601">
        <v>0.32250000000000001</v>
      </c>
      <c r="G4740" s="1127" t="s">
        <v>257</v>
      </c>
      <c r="H4740" s="1021">
        <v>17468.013698630151</v>
      </c>
      <c r="I4740" s="1128">
        <v>1511.07</v>
      </c>
      <c r="J4740" s="1125">
        <v>1565.9770140473809</v>
      </c>
      <c r="K4740">
        <v>436.11480606457678</v>
      </c>
      <c r="L4740" s="591">
        <v>699758.69863013702</v>
      </c>
      <c r="M4740" s="591">
        <f t="shared" si="639"/>
        <v>0</v>
      </c>
    </row>
    <row r="4741" spans="1:13" ht="13.5" customHeight="1">
      <c r="A4741" s="1126">
        <v>45835</v>
      </c>
      <c r="B4741" s="615">
        <v>1865000</v>
      </c>
      <c r="C4741" s="615">
        <v>1967166.2328767122</v>
      </c>
      <c r="D4741" s="532">
        <v>45897</v>
      </c>
      <c r="E4741" s="534">
        <v>62</v>
      </c>
      <c r="F4741" s="601">
        <v>0.32250000000000001</v>
      </c>
      <c r="G4741" s="1127" t="s">
        <v>257</v>
      </c>
      <c r="H4741" s="1021">
        <v>49435.273972602685</v>
      </c>
      <c r="I4741" s="1128">
        <v>1517.08</v>
      </c>
      <c r="J4741" s="1125">
        <v>1565.9770140473809</v>
      </c>
      <c r="K4741">
        <v>1229.3353020275792</v>
      </c>
      <c r="L4741" s="591">
        <v>1967166.2328767122</v>
      </c>
      <c r="M4741" s="591">
        <v>0</v>
      </c>
    </row>
    <row r="4742" spans="1:13" ht="13.5" customHeight="1">
      <c r="A4742" s="1126">
        <v>45839</v>
      </c>
      <c r="B4742" s="615">
        <v>678000</v>
      </c>
      <c r="C4742" s="615">
        <v>709243.72602739721</v>
      </c>
      <c r="D4742" s="532">
        <v>45897</v>
      </c>
      <c r="E4742" s="534">
        <v>58</v>
      </c>
      <c r="F4742" s="601">
        <v>0.28999999999999998</v>
      </c>
      <c r="G4742" s="1127" t="s">
        <v>820</v>
      </c>
      <c r="H4742" s="1021">
        <v>16160.54794520545</v>
      </c>
      <c r="I4742" s="1128">
        <v>1520.09</v>
      </c>
      <c r="J4742" s="1125">
        <v>1565.9770140473809</v>
      </c>
      <c r="K4742">
        <v>446.02622213158435</v>
      </c>
      <c r="L4742" s="591">
        <v>709243.72602739721</v>
      </c>
      <c r="M4742" s="591">
        <f t="shared" si="639"/>
        <v>0</v>
      </c>
    </row>
    <row r="4743" spans="1:13" ht="13.5" customHeight="1">
      <c r="A4743" s="1126">
        <v>45807</v>
      </c>
      <c r="B4743" s="615">
        <v>387000</v>
      </c>
      <c r="C4743" s="615">
        <f>387964.85+21443.09</f>
        <v>409407.94</v>
      </c>
      <c r="D4743" s="532">
        <v>45898</v>
      </c>
      <c r="E4743" s="534">
        <v>91</v>
      </c>
      <c r="F4743" s="601">
        <v>5.6911529668976835E-2</v>
      </c>
      <c r="G4743" s="1127" t="s">
        <v>265</v>
      </c>
      <c r="H4743" s="1021">
        <v>7260.9105434815483</v>
      </c>
      <c r="I4743" s="1128">
        <v>1486.14</v>
      </c>
      <c r="J4743" s="1125">
        <v>1566.812201788206</v>
      </c>
      <c r="K4743">
        <v>260.40615285235577</v>
      </c>
      <c r="L4743" s="591">
        <v>409024.76198189409</v>
      </c>
      <c r="M4743" s="591">
        <f t="shared" ref="A4743:M4746" si="640">+C4743-L4743</f>
        <v>383.17801810591482</v>
      </c>
    </row>
    <row r="4744" spans="1:13" ht="13.5" customHeight="1">
      <c r="A4744" s="1126">
        <v>45839</v>
      </c>
      <c r="B4744" s="615">
        <v>536000</v>
      </c>
      <c r="C4744" s="615">
        <v>561125.91780821921</v>
      </c>
      <c r="D4744" s="532">
        <v>45898</v>
      </c>
      <c r="E4744" s="534">
        <v>59</v>
      </c>
      <c r="F4744" s="601">
        <v>0.28999999999999998</v>
      </c>
      <c r="G4744" s="1127" t="s">
        <v>263</v>
      </c>
      <c r="H4744" s="1021">
        <v>12775.89041095892</v>
      </c>
      <c r="I4744" s="1128">
        <v>1520.09</v>
      </c>
      <c r="J4744" s="1125">
        <v>1566.812201788206</v>
      </c>
      <c r="K4744">
        <v>352.61070068219647</v>
      </c>
      <c r="L4744" s="591">
        <v>561125.91780821921</v>
      </c>
      <c r="M4744" s="591">
        <f t="shared" si="640"/>
        <v>0</v>
      </c>
    </row>
    <row r="4745" spans="1:13" ht="13.5" customHeight="1">
      <c r="A4745" s="1126">
        <v>45839</v>
      </c>
      <c r="B4745" s="615">
        <v>900000</v>
      </c>
      <c r="C4745" s="615">
        <v>944371.23287671234</v>
      </c>
      <c r="D4745" s="532">
        <v>45898</v>
      </c>
      <c r="E4745" s="534">
        <v>59</v>
      </c>
      <c r="F4745" s="601">
        <v>0.30499999999999999</v>
      </c>
      <c r="G4745" s="1127" t="s">
        <v>261</v>
      </c>
      <c r="H4745" s="1021">
        <v>22561.643835616444</v>
      </c>
      <c r="I4745" s="1128">
        <v>1520.09</v>
      </c>
      <c r="J4745" s="1125">
        <v>1566.812201788206</v>
      </c>
      <c r="K4745">
        <v>592.07020636935977</v>
      </c>
      <c r="L4745" s="591">
        <v>944371.23287671234</v>
      </c>
      <c r="M4745" s="591">
        <f t="shared" si="640"/>
        <v>0</v>
      </c>
    </row>
    <row r="4746" spans="1:13" ht="13.5" customHeight="1">
      <c r="A4746" s="1126">
        <v>45860</v>
      </c>
      <c r="B4746" s="615">
        <v>1000000</v>
      </c>
      <c r="C4746" s="615">
        <v>1039145.205479452</v>
      </c>
      <c r="D4746" s="532">
        <v>45898</v>
      </c>
      <c r="E4746" s="534">
        <v>38</v>
      </c>
      <c r="F4746" s="601">
        <v>0.376</v>
      </c>
      <c r="G4746" s="1127" t="s">
        <v>260</v>
      </c>
      <c r="H4746" s="1021">
        <v>30904.109589041083</v>
      </c>
      <c r="I4746" s="1128">
        <v>1536.16</v>
      </c>
      <c r="J4746" s="1125">
        <v>1566.812201788206</v>
      </c>
      <c r="K4746">
        <v>650.97385688990721</v>
      </c>
      <c r="L4746" s="591">
        <v>1039145.205479452</v>
      </c>
      <c r="M4746" s="591">
        <f t="shared" si="640"/>
        <v>0</v>
      </c>
    </row>
    <row r="4747" spans="1:13" ht="13.5" customHeight="1">
      <c r="A4747" s="1126">
        <v>45860</v>
      </c>
      <c r="B4747" s="615">
        <v>300000</v>
      </c>
      <c r="C4747" s="615">
        <v>311743.56164383562</v>
      </c>
      <c r="D4747" s="532">
        <v>45898</v>
      </c>
      <c r="E4747" s="534">
        <v>38</v>
      </c>
      <c r="F4747" s="601">
        <v>0.376</v>
      </c>
      <c r="G4747" s="1127" t="s">
        <v>260</v>
      </c>
      <c r="H4747" s="1021">
        <v>9271.2328767123327</v>
      </c>
      <c r="I4747" s="1128">
        <v>1536.16</v>
      </c>
      <c r="J4747" s="1125">
        <v>1566.812201788206</v>
      </c>
      <c r="K4747">
        <v>195.29215706697218</v>
      </c>
      <c r="L4747" s="591">
        <v>311743.56164383562</v>
      </c>
      <c r="M4747" s="591">
        <v>0</v>
      </c>
    </row>
    <row r="4748" spans="1:13" ht="13.5" customHeight="1">
      <c r="A4748" s="1126">
        <v>45721</v>
      </c>
      <c r="B4748" s="615">
        <v>1000000</v>
      </c>
      <c r="C4748" s="615">
        <v>1154314.8</v>
      </c>
      <c r="D4748" s="532">
        <v>45901</v>
      </c>
      <c r="E4748" s="534">
        <v>180</v>
      </c>
      <c r="F4748" s="601">
        <v>0.15437397746484649</v>
      </c>
      <c r="G4748" s="1127" t="s">
        <v>261</v>
      </c>
      <c r="H4748" s="1021">
        <v>25728.996244141093</v>
      </c>
      <c r="I4748" s="1128">
        <v>1366.16</v>
      </c>
      <c r="J4748" s="1125">
        <v>1569.3204385618369</v>
      </c>
      <c r="K4748">
        <v>731.97868478069915</v>
      </c>
      <c r="L4748" s="591">
        <v>1149896.1399999999</v>
      </c>
      <c r="M4748" s="591">
        <f t="shared" ref="A4748:M4756" si="641">+C4748-L4748</f>
        <v>4418.660000000149</v>
      </c>
    </row>
    <row r="4749" spans="1:13" ht="13.5" customHeight="1">
      <c r="A4749" s="1126">
        <v>45810</v>
      </c>
      <c r="B4749" s="615">
        <v>1000000</v>
      </c>
      <c r="C4749" s="615">
        <f>1000000+9211.44+54968.67</f>
        <v>1064180.1099999999</v>
      </c>
      <c r="D4749" s="532">
        <v>45901</v>
      </c>
      <c r="E4749" s="534">
        <v>91</v>
      </c>
      <c r="F4749" s="601">
        <v>6.4232805840660934E-2</v>
      </c>
      <c r="G4749" s="1127" t="s">
        <v>260</v>
      </c>
      <c r="H4749" s="1021">
        <v>21175.650277140929</v>
      </c>
      <c r="I4749" s="1128">
        <v>1487.47</v>
      </c>
      <c r="J4749" s="1125">
        <v>1569.3204385618369</v>
      </c>
      <c r="K4749">
        <v>672.28246620099901</v>
      </c>
      <c r="L4749" s="591">
        <v>1057656.9550230354</v>
      </c>
      <c r="M4749" s="591">
        <f t="shared" si="641"/>
        <v>6523.1549769644625</v>
      </c>
    </row>
    <row r="4750" spans="1:13" ht="13.5" customHeight="1">
      <c r="A4750" s="1126">
        <v>45860</v>
      </c>
      <c r="B4750" s="615">
        <v>800000</v>
      </c>
      <c r="C4750" s="615">
        <v>833788.49315068498</v>
      </c>
      <c r="D4750" s="532">
        <v>45901</v>
      </c>
      <c r="E4750" s="534">
        <v>41</v>
      </c>
      <c r="F4750" s="601">
        <v>0.376</v>
      </c>
      <c r="G4750" s="1127" t="s">
        <v>260</v>
      </c>
      <c r="H4750" s="1021">
        <v>24723.287671232913</v>
      </c>
      <c r="I4750" s="1128">
        <v>1536.16</v>
      </c>
      <c r="J4750" s="1125">
        <v>1569.3204385618369</v>
      </c>
      <c r="K4750">
        <v>520.77908551192581</v>
      </c>
      <c r="L4750" s="591">
        <v>833788.49315068498</v>
      </c>
      <c r="M4750" s="591">
        <f t="shared" si="641"/>
        <v>0</v>
      </c>
    </row>
    <row r="4751" spans="1:13" ht="13.5" customHeight="1">
      <c r="A4751" s="1126">
        <v>45861</v>
      </c>
      <c r="B4751" s="615">
        <v>548000</v>
      </c>
      <c r="C4751" s="615">
        <v>567818.08219178079</v>
      </c>
      <c r="D4751" s="532">
        <v>45901</v>
      </c>
      <c r="E4751" s="534">
        <v>40</v>
      </c>
      <c r="F4751" s="601">
        <v>0.33</v>
      </c>
      <c r="G4751" s="1127" t="s">
        <v>262</v>
      </c>
      <c r="H4751" s="1021">
        <v>14863.561643835594</v>
      </c>
      <c r="I4751" s="1128">
        <v>1536.95</v>
      </c>
      <c r="J4751" s="1125">
        <v>1569.3204385618369</v>
      </c>
      <c r="K4751">
        <v>356.55031068024334</v>
      </c>
      <c r="L4751" s="591">
        <v>567818.08219178079</v>
      </c>
      <c r="M4751" s="591">
        <f t="shared" si="641"/>
        <v>0</v>
      </c>
    </row>
    <row r="4752" spans="1:13" ht="13.5" customHeight="1">
      <c r="A4752" s="1126">
        <v>45862</v>
      </c>
      <c r="B4752" s="615">
        <v>400000</v>
      </c>
      <c r="C4752" s="615">
        <v>413369.86</v>
      </c>
      <c r="D4752" s="532">
        <v>45902</v>
      </c>
      <c r="E4752" s="534">
        <v>40</v>
      </c>
      <c r="F4752" s="601">
        <v>0.32500000000000001</v>
      </c>
      <c r="G4752" s="1127" t="s">
        <v>257</v>
      </c>
      <c r="H4752" s="1021">
        <v>10684.931506849331</v>
      </c>
      <c r="I4752" s="1128">
        <v>1537.74</v>
      </c>
      <c r="J4752" s="1125">
        <v>1570.1574094624032</v>
      </c>
      <c r="K4752">
        <v>260.12199721669464</v>
      </c>
      <c r="L4752" s="591">
        <v>414246.57534246577</v>
      </c>
      <c r="M4752" s="591">
        <f t="shared" si="641"/>
        <v>-876.71534246578813</v>
      </c>
    </row>
    <row r="4753" spans="1:13" ht="13.5" customHeight="1">
      <c r="A4753" s="1126">
        <v>45721</v>
      </c>
      <c r="B4753" s="615">
        <v>800000</v>
      </c>
      <c r="C4753" s="615">
        <v>925160.08</v>
      </c>
      <c r="D4753" s="532">
        <v>45902</v>
      </c>
      <c r="E4753" s="534">
        <v>181</v>
      </c>
      <c r="F4753" s="601">
        <v>0.15502113185343425</v>
      </c>
      <c r="G4753" s="1127" t="s">
        <v>264</v>
      </c>
      <c r="H4753" s="1021">
        <v>20555.288201560335</v>
      </c>
      <c r="I4753" s="1128">
        <v>1366.16</v>
      </c>
      <c r="J4753" s="1125">
        <v>1570.1574094624032</v>
      </c>
      <c r="K4753">
        <v>585.58294782455937</v>
      </c>
      <c r="L4753" s="591">
        <v>924016.90548274748</v>
      </c>
      <c r="M4753" s="591">
        <f t="shared" si="641"/>
        <v>1143.1745172524825</v>
      </c>
    </row>
    <row r="4754" spans="1:13" ht="13.5" customHeight="1">
      <c r="A4754" s="1126">
        <v>45810</v>
      </c>
      <c r="B4754" s="615">
        <v>850000</v>
      </c>
      <c r="C4754" s="615">
        <v>898383.62</v>
      </c>
      <c r="D4754" s="532">
        <v>45902</v>
      </c>
      <c r="E4754" s="534">
        <v>92</v>
      </c>
      <c r="F4754" s="601">
        <v>5.5615902191455069E-2</v>
      </c>
      <c r="G4754" s="1127" t="s">
        <v>262</v>
      </c>
      <c r="H4754" s="1021">
        <v>15415.277237848952</v>
      </c>
      <c r="I4754" s="1128">
        <v>1487.47</v>
      </c>
      <c r="J4754" s="1125">
        <v>1570.1574094624032</v>
      </c>
      <c r="K4754">
        <v>571.44009627084915</v>
      </c>
      <c r="L4754" s="591">
        <v>899512.46513899567</v>
      </c>
      <c r="M4754" s="591">
        <f t="shared" si="641"/>
        <v>-1128.8451389956754</v>
      </c>
    </row>
    <row r="4755" spans="1:13" ht="13.5" customHeight="1">
      <c r="A4755" s="1126">
        <v>45861</v>
      </c>
      <c r="B4755" s="615">
        <v>670000</v>
      </c>
      <c r="C4755" s="615">
        <v>694835.89041095891</v>
      </c>
      <c r="D4755" s="532">
        <v>45902</v>
      </c>
      <c r="E4755" s="534">
        <v>41</v>
      </c>
      <c r="F4755" s="601">
        <v>0.33</v>
      </c>
      <c r="G4755" s="1127" t="s">
        <v>258</v>
      </c>
      <c r="H4755" s="1021">
        <v>18172.60273972603</v>
      </c>
      <c r="I4755" s="1128">
        <v>1536.95</v>
      </c>
      <c r="J4755" s="1125">
        <v>1570.1574094624032</v>
      </c>
      <c r="K4755">
        <v>435.9282995543121</v>
      </c>
      <c r="L4755" s="591">
        <v>694835.89041095891</v>
      </c>
      <c r="M4755" s="591">
        <f t="shared" si="641"/>
        <v>0</v>
      </c>
    </row>
    <row r="4756" spans="1:13" ht="13.5" customHeight="1">
      <c r="A4756" s="1126">
        <v>45861</v>
      </c>
      <c r="B4756" s="615">
        <v>372000</v>
      </c>
      <c r="C4756" s="615">
        <v>385831.26575342467</v>
      </c>
      <c r="D4756" s="532">
        <v>45902</v>
      </c>
      <c r="E4756" s="534">
        <v>41</v>
      </c>
      <c r="F4756" s="601">
        <v>0.33100000000000002</v>
      </c>
      <c r="G4756" s="1127" t="s">
        <v>260</v>
      </c>
      <c r="H4756" s="1021">
        <v>10120.438356164392</v>
      </c>
      <c r="I4756" s="1128">
        <v>1536.95</v>
      </c>
      <c r="J4756" s="1125">
        <v>1570.1574094624032</v>
      </c>
      <c r="K4756">
        <v>242.03780214060313</v>
      </c>
      <c r="L4756" s="591">
        <v>385831.26575342467</v>
      </c>
      <c r="M4756" s="591">
        <f t="shared" si="641"/>
        <v>0</v>
      </c>
    </row>
    <row r="4757" spans="1:13" ht="13.5" customHeight="1">
      <c r="A4757" s="1126">
        <v>45862</v>
      </c>
      <c r="B4757" s="615">
        <v>554000</v>
      </c>
      <c r="C4757" s="615">
        <f>554000+20598.18</f>
        <v>574598.18000000005</v>
      </c>
      <c r="D4757" s="532">
        <v>45903</v>
      </c>
      <c r="E4757" s="534">
        <v>41</v>
      </c>
      <c r="F4757" s="601">
        <v>0.33100000000000002</v>
      </c>
      <c r="G4757" s="1127" t="s">
        <v>260</v>
      </c>
      <c r="H4757" s="1021">
        <v>15071.835616438355</v>
      </c>
      <c r="I4757" s="1128">
        <v>1537.74</v>
      </c>
      <c r="J4757" s="1125">
        <v>1570.9948267474497</v>
      </c>
      <c r="K4757">
        <v>360.26896614512208</v>
      </c>
      <c r="L4757" s="591">
        <v>574598.17534246575</v>
      </c>
      <c r="M4757" s="591">
        <f t="shared" ref="A4757:M4764" si="642">+C4757-L4757</f>
        <v>4.6575343003496528E-3</v>
      </c>
    </row>
    <row r="4758" spans="1:13" ht="13.5" customHeight="1">
      <c r="A4758" s="1126">
        <v>45811</v>
      </c>
      <c r="B4758" s="615">
        <v>1700000</v>
      </c>
      <c r="C4758" s="615">
        <v>1793055.35</v>
      </c>
      <c r="D4758" s="532">
        <v>45903</v>
      </c>
      <c r="E4758" s="534">
        <v>92</v>
      </c>
      <c r="F4758" s="601">
        <v>5.336043744361163E-2</v>
      </c>
      <c r="G4758" s="1127" t="s">
        <v>262</v>
      </c>
      <c r="H4758" s="1021">
        <v>29580.242495915154</v>
      </c>
      <c r="I4758" s="1128">
        <v>1491.45</v>
      </c>
      <c r="J4758" s="1125">
        <v>1570.9948267474497</v>
      </c>
      <c r="K4758">
        <v>1139.8303664219384</v>
      </c>
      <c r="L4758" s="591">
        <v>1795181.0725809727</v>
      </c>
      <c r="M4758" s="591">
        <f t="shared" si="642"/>
        <v>-2125.7225809725933</v>
      </c>
    </row>
    <row r="4759" spans="1:13" ht="13.5" customHeight="1">
      <c r="A4759" s="1126">
        <v>45861</v>
      </c>
      <c r="B4759" s="615">
        <v>1000000</v>
      </c>
      <c r="C4759" s="615">
        <v>1037972.6027397261</v>
      </c>
      <c r="D4759" s="532">
        <v>45903</v>
      </c>
      <c r="E4759" s="534">
        <v>42</v>
      </c>
      <c r="F4759" s="601">
        <v>0.33</v>
      </c>
      <c r="G4759" s="1127" t="s">
        <v>258</v>
      </c>
      <c r="H4759" s="1021">
        <v>27123.287671232909</v>
      </c>
      <c r="I4759" s="1128">
        <v>1536.95</v>
      </c>
      <c r="J4759" s="1125">
        <v>1570.9948267474497</v>
      </c>
      <c r="K4759">
        <v>650.63925306613748</v>
      </c>
      <c r="L4759" s="591">
        <v>1037972.6027397261</v>
      </c>
      <c r="M4759" s="591">
        <f t="shared" si="642"/>
        <v>0</v>
      </c>
    </row>
    <row r="4760" spans="1:13" ht="13">
      <c r="A4760" s="1126">
        <v>45863</v>
      </c>
      <c r="B4760" s="615">
        <v>635000</v>
      </c>
      <c r="C4760" s="615">
        <v>656755.27397260279</v>
      </c>
      <c r="D4760" s="532">
        <v>45904</v>
      </c>
      <c r="E4760" s="534">
        <v>41</v>
      </c>
      <c r="F4760" s="601">
        <v>0.30499999999999999</v>
      </c>
      <c r="G4760" s="1127" t="s">
        <v>257</v>
      </c>
      <c r="H4760" s="1021">
        <v>15918.493150684973</v>
      </c>
      <c r="I4760" s="1128">
        <v>1538.52</v>
      </c>
      <c r="J4760" s="1125">
        <v>1571.8326906550483</v>
      </c>
      <c r="K4760">
        <v>412.73431609598833</v>
      </c>
      <c r="L4760" s="591">
        <v>656755.27397260279</v>
      </c>
      <c r="M4760" s="591">
        <f t="shared" si="642"/>
        <v>0</v>
      </c>
    </row>
    <row r="4761" spans="1:13" ht="13">
      <c r="A4761" s="1126">
        <v>45812</v>
      </c>
      <c r="B4761" s="615">
        <v>952000</v>
      </c>
      <c r="C4761" s="615">
        <f>954399.56+51933.88</f>
        <v>1006333.4400000001</v>
      </c>
      <c r="D4761" s="532">
        <v>45904</v>
      </c>
      <c r="E4761" s="534">
        <v>92</v>
      </c>
      <c r="F4761" s="601">
        <v>5.5610719807128728E-2</v>
      </c>
      <c r="G4761" s="1127" t="s">
        <v>257</v>
      </c>
      <c r="H4761" s="1021">
        <v>17263.501714039074</v>
      </c>
      <c r="I4761" s="1128">
        <v>1492.78</v>
      </c>
      <c r="J4761" s="1125">
        <v>1571.8326906550483</v>
      </c>
      <c r="K4761">
        <v>637.73630407695714</v>
      </c>
      <c r="L4761" s="591">
        <v>1004941.4052563866</v>
      </c>
      <c r="M4761" s="591">
        <f>+C4761-L4761</f>
        <v>1392.0347436134471</v>
      </c>
    </row>
    <row r="4762" spans="1:13" ht="13">
      <c r="A4762" s="1126">
        <v>45862</v>
      </c>
      <c r="B4762" s="615">
        <v>980000</v>
      </c>
      <c r="C4762" s="615">
        <v>1014393.9726027397</v>
      </c>
      <c r="D4762" s="532">
        <v>45904</v>
      </c>
      <c r="E4762" s="534">
        <v>42</v>
      </c>
      <c r="F4762" s="601">
        <v>0.30499999999999999</v>
      </c>
      <c r="G4762" s="1127" t="s">
        <v>256</v>
      </c>
      <c r="H4762" s="1021">
        <v>24567.123287671213</v>
      </c>
      <c r="I4762" s="1128">
        <v>1537.74</v>
      </c>
      <c r="J4762" s="1125">
        <v>1571.8326906550483</v>
      </c>
      <c r="K4762">
        <v>637.29889318090181</v>
      </c>
      <c r="L4762" s="591">
        <v>1014393.9726027397</v>
      </c>
      <c r="M4762" s="591">
        <f t="shared" si="642"/>
        <v>0</v>
      </c>
    </row>
    <row r="4763" spans="1:13" ht="13">
      <c r="A4763" s="1126">
        <v>45812</v>
      </c>
      <c r="B4763" s="615">
        <v>540000</v>
      </c>
      <c r="C4763" s="615">
        <v>569398.59</v>
      </c>
      <c r="D4763" s="532">
        <v>45904</v>
      </c>
      <c r="E4763" s="534">
        <v>92</v>
      </c>
      <c r="F4763" s="601">
        <v>5.5610719807128728E-2</v>
      </c>
      <c r="G4763" s="1127" t="s">
        <v>258</v>
      </c>
      <c r="H4763" s="1021">
        <v>9792.3224008204816</v>
      </c>
      <c r="I4763" s="1128">
        <v>1492.78</v>
      </c>
      <c r="J4763" s="1125">
        <v>1571.8326906550483</v>
      </c>
      <c r="K4763">
        <v>361.74118088398825</v>
      </c>
      <c r="L4763" s="591">
        <v>570029.78869584948</v>
      </c>
      <c r="M4763" s="591">
        <f t="shared" si="642"/>
        <v>-631.19869584951084</v>
      </c>
    </row>
    <row r="4764" spans="1:13" ht="13">
      <c r="A4764" s="1126">
        <v>45812</v>
      </c>
      <c r="B4764" s="615">
        <v>199000</v>
      </c>
      <c r="C4764" s="615">
        <f>199000+1857.33+10831.27</f>
        <v>211688.59999999998</v>
      </c>
      <c r="D4764" s="532">
        <v>45904</v>
      </c>
      <c r="E4764" s="534">
        <v>92</v>
      </c>
      <c r="F4764" s="601">
        <v>6.2245789373035043E-2</v>
      </c>
      <c r="G4764" s="1127" t="s">
        <v>260</v>
      </c>
      <c r="H4764" s="1021">
        <v>4039.2104625762991</v>
      </c>
      <c r="I4764" s="1128">
        <v>1492.78</v>
      </c>
      <c r="J4764" s="1125">
        <v>1571.8326906550483</v>
      </c>
      <c r="K4764">
        <v>133.3083240665068</v>
      </c>
      <c r="L4764" s="591">
        <v>210066.53324161863</v>
      </c>
      <c r="M4764" s="591">
        <f t="shared" si="642"/>
        <v>1622.0667583813483</v>
      </c>
    </row>
    <row r="4765" spans="1:13" ht="13">
      <c r="A4765" s="1126">
        <v>45866</v>
      </c>
      <c r="B4765" s="615">
        <v>580000</v>
      </c>
      <c r="C4765" s="615">
        <v>598901.64383561641</v>
      </c>
      <c r="D4765" s="532">
        <v>45905</v>
      </c>
      <c r="E4765" s="534">
        <v>39</v>
      </c>
      <c r="F4765" s="601">
        <v>0.30499999999999999</v>
      </c>
      <c r="G4765" s="1127" t="s">
        <v>256</v>
      </c>
      <c r="H4765" s="1021">
        <v>14539.726027397242</v>
      </c>
      <c r="I4765" s="1128">
        <v>1539.31</v>
      </c>
      <c r="J4765" s="1125">
        <v>1572.6710014233975</v>
      </c>
      <c r="K4765">
        <v>376.79219910219513</v>
      </c>
      <c r="L4765" s="591">
        <v>598901.64383561641</v>
      </c>
      <c r="M4765" s="591">
        <f t="shared" ref="A4765:M4770" si="643">+C4765-L4765</f>
        <v>0</v>
      </c>
    </row>
    <row r="4766" spans="1:13" ht="13">
      <c r="A4766" s="1126">
        <v>45863</v>
      </c>
      <c r="B4766" s="615">
        <v>560000</v>
      </c>
      <c r="C4766" s="615">
        <v>579653.69863013702</v>
      </c>
      <c r="D4766" s="532">
        <v>45905</v>
      </c>
      <c r="E4766" s="534">
        <v>42</v>
      </c>
      <c r="F4766" s="601">
        <v>0.30499999999999999</v>
      </c>
      <c r="G4766" s="1127" t="s">
        <v>256</v>
      </c>
      <c r="H4766" s="1021">
        <v>14038.356164383586</v>
      </c>
      <c r="I4766" s="1128">
        <v>1538.52</v>
      </c>
      <c r="J4766" s="1125">
        <v>1572.6710014233975</v>
      </c>
      <c r="K4766">
        <v>363.98616852559604</v>
      </c>
      <c r="L4766" s="591">
        <v>579653.69863013702</v>
      </c>
      <c r="M4766" s="591">
        <f t="shared" si="643"/>
        <v>0</v>
      </c>
    </row>
    <row r="4767" spans="1:13" ht="13">
      <c r="A4767" s="1126">
        <v>45866</v>
      </c>
      <c r="B4767" s="615">
        <v>640000</v>
      </c>
      <c r="C4767" s="615">
        <v>662566.57534246577</v>
      </c>
      <c r="D4767" s="532">
        <v>45905</v>
      </c>
      <c r="E4767" s="534">
        <v>39</v>
      </c>
      <c r="F4767" s="601">
        <v>0.33</v>
      </c>
      <c r="G4767" s="1127" t="s">
        <v>258</v>
      </c>
      <c r="H4767" s="1021">
        <v>17358.904109589057</v>
      </c>
      <c r="I4767" s="1128">
        <v>1539.31</v>
      </c>
      <c r="J4767" s="1125">
        <v>1572.6710014233975</v>
      </c>
      <c r="K4767">
        <v>415.77070245759467</v>
      </c>
      <c r="L4767" s="591">
        <v>662566.57534246577</v>
      </c>
      <c r="M4767" s="591">
        <f t="shared" si="643"/>
        <v>0</v>
      </c>
    </row>
    <row r="4768" spans="1:13" ht="13">
      <c r="A4768" s="1126">
        <v>45863</v>
      </c>
      <c r="B4768" s="615">
        <v>331000</v>
      </c>
      <c r="C4768" s="615">
        <v>343607.01917808218</v>
      </c>
      <c r="D4768" s="532">
        <v>45905</v>
      </c>
      <c r="E4768" s="534">
        <v>42</v>
      </c>
      <c r="F4768" s="601">
        <v>0.33100000000000002</v>
      </c>
      <c r="G4768" s="1127" t="s">
        <v>260</v>
      </c>
      <c r="H4768" s="1021">
        <v>9005.0136986301277</v>
      </c>
      <c r="I4768" s="1128">
        <v>1538.52</v>
      </c>
      <c r="J4768" s="1125">
        <v>1572.6710014233975</v>
      </c>
      <c r="K4768">
        <v>215.1418246106648</v>
      </c>
      <c r="L4768" s="591">
        <v>343607.01917808218</v>
      </c>
      <c r="M4768" s="591">
        <f t="shared" si="643"/>
        <v>0</v>
      </c>
    </row>
    <row r="4769" spans="1:13" ht="13">
      <c r="A4769" s="1126">
        <v>45866</v>
      </c>
      <c r="B4769" s="615">
        <v>404000</v>
      </c>
      <c r="C4769" s="615">
        <v>417597.64383561641</v>
      </c>
      <c r="D4769" s="532">
        <v>45905</v>
      </c>
      <c r="E4769" s="534">
        <v>39</v>
      </c>
      <c r="F4769" s="601">
        <v>0.315</v>
      </c>
      <c r="G4769" s="1127" t="s">
        <v>260</v>
      </c>
      <c r="H4769" s="1021">
        <v>10459.726027397242</v>
      </c>
      <c r="I4769" s="1128">
        <v>1539.31</v>
      </c>
      <c r="J4769" s="1125">
        <v>1572.6710014233975</v>
      </c>
      <c r="K4769">
        <v>262.45525592635664</v>
      </c>
      <c r="L4769" s="591">
        <v>417597.64383561641</v>
      </c>
      <c r="M4769" s="591">
        <f t="shared" si="643"/>
        <v>0</v>
      </c>
    </row>
    <row r="4770" spans="1:13" ht="13">
      <c r="A4770" s="1126">
        <v>45814</v>
      </c>
      <c r="B4770" s="615">
        <v>714000</v>
      </c>
      <c r="C4770" s="615">
        <f>714000+6567.58+37964.65</f>
        <v>758532.23</v>
      </c>
      <c r="D4770" s="532">
        <v>45905</v>
      </c>
      <c r="E4770" s="534">
        <v>91</v>
      </c>
      <c r="F4770" s="601">
        <v>6.0821010317160695E-2</v>
      </c>
      <c r="G4770" s="1127" t="s">
        <v>260</v>
      </c>
      <c r="H4770" s="1021">
        <v>14316.330120808594</v>
      </c>
      <c r="I4770" s="1128">
        <v>1495.44</v>
      </c>
      <c r="J4770" s="1125">
        <v>1572.6710014233975</v>
      </c>
      <c r="K4770">
        <v>477.4514524153426</v>
      </c>
      <c r="L4770" s="591">
        <v>752746.09596262395</v>
      </c>
      <c r="M4770" s="591">
        <f t="shared" si="643"/>
        <v>5786.1340373760322</v>
      </c>
    </row>
    <row r="4771" spans="1:13" ht="13">
      <c r="A4771" s="1126">
        <v>45867</v>
      </c>
      <c r="B4771" s="615">
        <v>1400000</v>
      </c>
      <c r="C4771" s="615">
        <v>1451895.8904109588</v>
      </c>
      <c r="D4771" s="532">
        <v>45908</v>
      </c>
      <c r="E4771" s="534">
        <v>41</v>
      </c>
      <c r="F4771" s="601">
        <v>0.33</v>
      </c>
      <c r="G4771" s="1127" t="s">
        <v>258</v>
      </c>
      <c r="H4771" s="1021">
        <v>37972.602739725946</v>
      </c>
      <c r="I4771" s="1128">
        <v>1541.68</v>
      </c>
      <c r="J4771" s="1125">
        <v>1575.1886172768427</v>
      </c>
      <c r="K4771">
        <v>908.10025426807113</v>
      </c>
      <c r="L4771" s="591">
        <v>1451895.8904109588</v>
      </c>
      <c r="M4771" s="591">
        <f t="shared" ref="A4771:M4787" si="644">+C4771-L4771</f>
        <v>0</v>
      </c>
    </row>
    <row r="4772" spans="1:13" ht="13">
      <c r="A4772" s="1126">
        <v>45726</v>
      </c>
      <c r="B4772" s="615">
        <v>1500000</v>
      </c>
      <c r="C4772" s="615">
        <v>1729506.19</v>
      </c>
      <c r="D4772" s="532">
        <v>45908</v>
      </c>
      <c r="E4772" s="534">
        <v>182</v>
      </c>
      <c r="F4772" s="601">
        <v>0.15246902864493039</v>
      </c>
      <c r="G4772" s="1127" t="s">
        <v>264</v>
      </c>
      <c r="H4772" s="1021">
        <v>37698.386203416856</v>
      </c>
      <c r="I4772" s="1128">
        <v>1373.61</v>
      </c>
      <c r="J4772" s="1125">
        <v>1575.1886172768427</v>
      </c>
      <c r="K4772">
        <v>1092.0130167951602</v>
      </c>
      <c r="L4772" s="591">
        <v>1724673.14</v>
      </c>
      <c r="M4772" s="591">
        <f t="shared" si="644"/>
        <v>4833.0500000000466</v>
      </c>
    </row>
    <row r="4773" spans="1:13" ht="13">
      <c r="A4773" s="1126">
        <v>45867</v>
      </c>
      <c r="B4773" s="615">
        <v>551000</v>
      </c>
      <c r="C4773" s="615">
        <v>570337.83561643842</v>
      </c>
      <c r="D4773" s="532">
        <v>45909</v>
      </c>
      <c r="E4773" s="534">
        <v>42</v>
      </c>
      <c r="F4773" s="601">
        <v>0.30499999999999999</v>
      </c>
      <c r="G4773" s="1127" t="s">
        <v>257</v>
      </c>
      <c r="H4773" s="1021">
        <v>13812.739726027441</v>
      </c>
      <c r="I4773" s="1128">
        <v>1541.68</v>
      </c>
      <c r="J4773" s="1125">
        <v>1576.0287178727235</v>
      </c>
      <c r="K4773">
        <v>357.40231435836228</v>
      </c>
      <c r="L4773" s="591">
        <v>570337.83561643842</v>
      </c>
      <c r="M4773" s="591">
        <f t="shared" si="644"/>
        <v>0</v>
      </c>
    </row>
    <row r="4774" spans="1:13" ht="13">
      <c r="A4774" s="1126">
        <v>45867</v>
      </c>
      <c r="B4774" s="615">
        <v>1251000</v>
      </c>
      <c r="C4774" s="615">
        <f>1251000+45344.47</f>
        <v>1296344.47</v>
      </c>
      <c r="D4774" s="532">
        <v>45909</v>
      </c>
      <c r="E4774" s="534">
        <v>42</v>
      </c>
      <c r="F4774" s="601">
        <v>0.30499999999999999</v>
      </c>
      <c r="G4774" s="1127" t="s">
        <v>260</v>
      </c>
      <c r="H4774" s="1021">
        <v>31360.684931506898</v>
      </c>
      <c r="I4774" s="1128">
        <v>1541.68</v>
      </c>
      <c r="J4774" s="1125">
        <v>1576.0287178727235</v>
      </c>
      <c r="K4774">
        <v>811.45244149239784</v>
      </c>
      <c r="L4774" s="591">
        <v>1294904.9589041097</v>
      </c>
      <c r="M4774" s="591">
        <f t="shared" si="644"/>
        <v>1439.5110958903097</v>
      </c>
    </row>
    <row r="4775" spans="1:13" ht="13">
      <c r="A4775" s="1126">
        <v>45726</v>
      </c>
      <c r="B4775" s="615">
        <v>1000000</v>
      </c>
      <c r="C4775" s="615">
        <v>1155135.42</v>
      </c>
      <c r="D4775" s="532">
        <v>45909</v>
      </c>
      <c r="E4775" s="534">
        <v>183</v>
      </c>
      <c r="F4775" s="601">
        <v>0.15311511338486095</v>
      </c>
      <c r="G4775" s="1127" t="s">
        <v>261</v>
      </c>
      <c r="H4775" s="1021">
        <v>25100.838259813285</v>
      </c>
      <c r="I4775" s="1128">
        <v>1373.61</v>
      </c>
      <c r="J4775" s="1125">
        <v>1576.0287178727235</v>
      </c>
      <c r="K4775">
        <v>728.0086778634402</v>
      </c>
      <c r="L4775" s="591">
        <v>1150426.67</v>
      </c>
      <c r="M4775" s="591">
        <f t="shared" si="644"/>
        <v>4708.75</v>
      </c>
    </row>
    <row r="4776" spans="1:13" ht="13">
      <c r="A4776" s="1126">
        <v>45868</v>
      </c>
      <c r="B4776" s="615">
        <v>478000</v>
      </c>
      <c r="C4776" s="615">
        <v>494775.83561643836</v>
      </c>
      <c r="D4776" s="532">
        <v>45910</v>
      </c>
      <c r="E4776" s="534">
        <v>42</v>
      </c>
      <c r="F4776" s="601">
        <v>0.30499999999999999</v>
      </c>
      <c r="G4776" s="1127" t="s">
        <v>265</v>
      </c>
      <c r="H4776" s="1021">
        <v>11982.739726027399</v>
      </c>
      <c r="I4776" s="1128">
        <v>1542.47</v>
      </c>
      <c r="J4776" s="1125">
        <v>1576.8692665222557</v>
      </c>
      <c r="K4776">
        <v>309.89257489610816</v>
      </c>
      <c r="L4776" s="591">
        <v>494775.83561643836</v>
      </c>
      <c r="M4776" s="591">
        <f t="shared" si="644"/>
        <v>0</v>
      </c>
    </row>
    <row r="4777" spans="1:13" ht="13">
      <c r="A4777" s="1126">
        <v>45868</v>
      </c>
      <c r="B4777" s="615">
        <v>517000</v>
      </c>
      <c r="C4777" s="615">
        <v>536334.38356164389</v>
      </c>
      <c r="D4777" s="532">
        <v>45910</v>
      </c>
      <c r="E4777" s="534">
        <v>42</v>
      </c>
      <c r="F4777" s="601">
        <v>0.32500000000000001</v>
      </c>
      <c r="G4777" s="1127" t="s">
        <v>260</v>
      </c>
      <c r="H4777" s="1021">
        <v>13810.273972602778</v>
      </c>
      <c r="I4777" s="1128">
        <v>1542.47</v>
      </c>
      <c r="J4777" s="1125">
        <v>1576.8692665222557</v>
      </c>
      <c r="K4777">
        <v>335.17669711566515</v>
      </c>
      <c r="L4777" s="591">
        <v>536334.38356164389</v>
      </c>
      <c r="M4777" s="591">
        <f t="shared" si="644"/>
        <v>0</v>
      </c>
    </row>
    <row r="4778" spans="1:13" ht="13">
      <c r="A4778" s="1126">
        <v>45868</v>
      </c>
      <c r="B4778" s="615">
        <v>380000</v>
      </c>
      <c r="C4778" s="615">
        <v>393336.43835616438</v>
      </c>
      <c r="D4778" s="532">
        <v>45910</v>
      </c>
      <c r="E4778" s="534">
        <v>42</v>
      </c>
      <c r="F4778" s="601">
        <v>0.30499999999999999</v>
      </c>
      <c r="G4778" s="1127" t="s">
        <v>256</v>
      </c>
      <c r="H4778" s="1021">
        <v>9526.0273972602699</v>
      </c>
      <c r="I4778" s="1128">
        <v>1542.47</v>
      </c>
      <c r="J4778" s="1125">
        <v>1576.8692665222557</v>
      </c>
      <c r="K4778">
        <v>246.35811393414457</v>
      </c>
      <c r="L4778" s="591">
        <v>393336.43835616438</v>
      </c>
      <c r="M4778" s="591">
        <f t="shared" si="644"/>
        <v>0</v>
      </c>
    </row>
    <row r="4779" spans="1:13" ht="13">
      <c r="A4779" s="1126">
        <v>45726</v>
      </c>
      <c r="B4779" s="615">
        <v>1543000</v>
      </c>
      <c r="C4779" s="615">
        <v>1783506.36</v>
      </c>
      <c r="D4779" s="532">
        <v>45910</v>
      </c>
      <c r="E4779" s="534">
        <v>184</v>
      </c>
      <c r="F4779" s="601">
        <v>0.15376155946843473</v>
      </c>
      <c r="G4779" s="1127" t="s">
        <v>264</v>
      </c>
      <c r="H4779" s="1021">
        <v>38682.731455401343</v>
      </c>
      <c r="I4779" s="1128">
        <v>1373.61</v>
      </c>
      <c r="J4779" s="1125">
        <v>1576.8692665222557</v>
      </c>
      <c r="K4779">
        <v>1123.3173899432882</v>
      </c>
      <c r="L4779" s="591">
        <v>1776103.5</v>
      </c>
      <c r="M4779" s="591">
        <f t="shared" si="644"/>
        <v>7402.8600000001024</v>
      </c>
    </row>
    <row r="4780" spans="1:13" ht="13">
      <c r="A4780" s="1126">
        <v>45870</v>
      </c>
      <c r="B4780" s="615">
        <v>350000</v>
      </c>
      <c r="C4780" s="615">
        <v>361597.94520547945</v>
      </c>
      <c r="D4780" s="532">
        <v>45911</v>
      </c>
      <c r="E4780" s="534">
        <v>41</v>
      </c>
      <c r="F4780" s="601">
        <v>0.29499999999999998</v>
      </c>
      <c r="G4780" s="1127" t="s">
        <v>256</v>
      </c>
      <c r="H4780" s="1021">
        <v>8486.3013698630148</v>
      </c>
      <c r="I4780" s="1128">
        <v>1544.05</v>
      </c>
      <c r="J4780" s="1125">
        <v>1577.7102634644007</v>
      </c>
      <c r="K4780">
        <v>226.67659726045142</v>
      </c>
      <c r="L4780" s="591">
        <v>361597.94520547945</v>
      </c>
      <c r="M4780" s="591">
        <f t="shared" si="644"/>
        <v>0</v>
      </c>
    </row>
    <row r="4781" spans="1:13" ht="13">
      <c r="A4781" s="1126">
        <v>45869</v>
      </c>
      <c r="B4781" s="615">
        <v>878000</v>
      </c>
      <c r="C4781" s="615">
        <v>910834.79452054796</v>
      </c>
      <c r="D4781" s="532">
        <v>45911</v>
      </c>
      <c r="E4781" s="534">
        <v>42</v>
      </c>
      <c r="F4781" s="601">
        <v>0.32500000000000001</v>
      </c>
      <c r="G4781" s="1127" t="s">
        <v>260</v>
      </c>
      <c r="H4781" s="1021">
        <v>23453.424657534262</v>
      </c>
      <c r="I4781" s="1128">
        <v>1543.26</v>
      </c>
      <c r="J4781" s="1125">
        <v>1577.7102634644007</v>
      </c>
      <c r="K4781">
        <v>568.92552129906824</v>
      </c>
      <c r="L4781" s="591">
        <v>910834.79452054796</v>
      </c>
      <c r="M4781" s="591">
        <f t="shared" si="644"/>
        <v>0</v>
      </c>
    </row>
    <row r="4782" spans="1:13" ht="13">
      <c r="A4782" s="1126">
        <v>45870</v>
      </c>
      <c r="B4782" s="615">
        <v>1000000</v>
      </c>
      <c r="C4782" s="615">
        <v>1034260.2739726028</v>
      </c>
      <c r="D4782" s="532">
        <v>45911</v>
      </c>
      <c r="E4782" s="534">
        <v>41</v>
      </c>
      <c r="F4782" s="601">
        <v>0.30499999999999999</v>
      </c>
      <c r="G4782" s="1127" t="s">
        <v>820</v>
      </c>
      <c r="H4782" s="1021">
        <v>25068.493150684972</v>
      </c>
      <c r="I4782" s="1128">
        <v>1544.05</v>
      </c>
      <c r="J4782" s="1125">
        <v>1577.7102634644007</v>
      </c>
      <c r="K4782">
        <v>647.64742074414687</v>
      </c>
      <c r="L4782" s="591">
        <v>1034260.2739726028</v>
      </c>
      <c r="M4782" s="591">
        <f t="shared" si="644"/>
        <v>0</v>
      </c>
    </row>
    <row r="4783" spans="1:13" ht="13">
      <c r="A4783" s="1126">
        <v>45873</v>
      </c>
      <c r="B4783" s="615">
        <v>444000</v>
      </c>
      <c r="C4783" s="615">
        <v>458098.52054794523</v>
      </c>
      <c r="D4783" s="532">
        <v>45911</v>
      </c>
      <c r="E4783" s="534">
        <v>38</v>
      </c>
      <c r="F4783" s="601">
        <v>0.30499999999999999</v>
      </c>
      <c r="G4783" s="1127" t="s">
        <v>257</v>
      </c>
      <c r="H4783" s="1021">
        <v>11130.410958904125</v>
      </c>
      <c r="I4783" s="1128">
        <v>1544.84</v>
      </c>
      <c r="J4783" s="1125">
        <v>1577.7102634644007</v>
      </c>
      <c r="K4783">
        <v>287.40840475389041</v>
      </c>
      <c r="L4783" s="591">
        <v>458098.52054794523</v>
      </c>
      <c r="M4783" s="591">
        <f t="shared" si="644"/>
        <v>0</v>
      </c>
    </row>
    <row r="4784" spans="1:13" ht="13">
      <c r="A4784" s="1126">
        <v>45869</v>
      </c>
      <c r="B4784" s="615">
        <v>556000</v>
      </c>
      <c r="C4784" s="615">
        <v>575513.31506849313</v>
      </c>
      <c r="D4784" s="532">
        <v>45911</v>
      </c>
      <c r="E4784" s="534">
        <v>42</v>
      </c>
      <c r="F4784" s="601">
        <v>0.30499999999999999</v>
      </c>
      <c r="G4784" s="1127" t="s">
        <v>257</v>
      </c>
      <c r="H4784" s="1021">
        <v>13938.082191780808</v>
      </c>
      <c r="I4784" s="1128">
        <v>1543.26</v>
      </c>
      <c r="J4784" s="1125">
        <v>1577.7102634644007</v>
      </c>
      <c r="K4784">
        <v>360.27629822583361</v>
      </c>
      <c r="L4784" s="591">
        <v>575513.31506849313</v>
      </c>
      <c r="M4784" s="591">
        <f t="shared" si="644"/>
        <v>0</v>
      </c>
    </row>
    <row r="4785" spans="1:13" ht="13">
      <c r="A4785" s="1126">
        <v>45873</v>
      </c>
      <c r="B4785" s="615">
        <v>444000</v>
      </c>
      <c r="C4785" s="615">
        <v>458469.53424657532</v>
      </c>
      <c r="D4785" s="532">
        <v>45912</v>
      </c>
      <c r="E4785" s="534">
        <v>39</v>
      </c>
      <c r="F4785" s="601">
        <v>0.30499999999999999</v>
      </c>
      <c r="G4785" s="1127" t="s">
        <v>257</v>
      </c>
      <c r="H4785" s="1021">
        <v>11130.410958904091</v>
      </c>
      <c r="I4785" s="1128">
        <v>1544.84</v>
      </c>
      <c r="J4785" s="1125">
        <v>1578.5517089382483</v>
      </c>
      <c r="K4785">
        <v>287.40840475389041</v>
      </c>
      <c r="L4785" s="591">
        <v>458469.53424657532</v>
      </c>
      <c r="M4785" s="591">
        <f t="shared" si="644"/>
        <v>0</v>
      </c>
    </row>
    <row r="4786" spans="1:13" ht="13">
      <c r="A4786" s="1126">
        <v>45870</v>
      </c>
      <c r="B4786" s="615">
        <v>900000</v>
      </c>
      <c r="C4786" s="615">
        <v>937282.19178082189</v>
      </c>
      <c r="D4786" s="532">
        <v>45912</v>
      </c>
      <c r="E4786" s="534">
        <v>42</v>
      </c>
      <c r="F4786" s="601">
        <v>0.36</v>
      </c>
      <c r="G4786" s="1127" t="s">
        <v>262</v>
      </c>
      <c r="H4786" s="1021">
        <v>26630.136986301346</v>
      </c>
      <c r="I4786" s="1128">
        <v>1544.05</v>
      </c>
      <c r="J4786" s="1125">
        <v>1578.5517089382483</v>
      </c>
      <c r="K4786">
        <v>582.88267866973217</v>
      </c>
      <c r="L4786" s="591">
        <v>937282.19178082189</v>
      </c>
      <c r="M4786" s="591">
        <f t="shared" si="644"/>
        <v>0</v>
      </c>
    </row>
    <row r="4787" spans="1:13" ht="13">
      <c r="A4787" s="1126">
        <v>45870</v>
      </c>
      <c r="B4787" s="615">
        <v>550000</v>
      </c>
      <c r="C4787" s="615">
        <v>572783.56164383562</v>
      </c>
      <c r="D4787" s="532">
        <v>45912</v>
      </c>
      <c r="E4787" s="534">
        <v>42</v>
      </c>
      <c r="F4787" s="601">
        <v>0.36</v>
      </c>
      <c r="G4787" s="1127" t="s">
        <v>258</v>
      </c>
      <c r="H4787" s="1021">
        <v>16273.97260273973</v>
      </c>
      <c r="I4787" s="1128">
        <v>1544.05</v>
      </c>
      <c r="J4787" s="1125">
        <v>1578.5517089382483</v>
      </c>
      <c r="K4787">
        <v>356.20608140928078</v>
      </c>
      <c r="L4787" s="591">
        <v>572783.56164383562</v>
      </c>
      <c r="M4787" s="591">
        <f t="shared" si="644"/>
        <v>0</v>
      </c>
    </row>
    <row r="4788" spans="1:13" ht="13">
      <c r="A4788" s="1126">
        <v>45870</v>
      </c>
      <c r="B4788" s="615">
        <v>1300000</v>
      </c>
      <c r="C4788" s="615">
        <v>1345624.6575342466</v>
      </c>
      <c r="D4788" s="532">
        <v>45912</v>
      </c>
      <c r="E4788" s="534">
        <v>42</v>
      </c>
      <c r="F4788" s="601">
        <v>0.30499999999999999</v>
      </c>
      <c r="G4788" s="1127" t="s">
        <v>820</v>
      </c>
      <c r="H4788" s="1021">
        <v>32589.041095890403</v>
      </c>
      <c r="I4788" s="1128">
        <v>1544.05</v>
      </c>
      <c r="J4788" s="1125">
        <v>1578.5517089382483</v>
      </c>
      <c r="K4788">
        <v>841.94164696739097</v>
      </c>
      <c r="L4788" s="591">
        <v>1345624.6575342466</v>
      </c>
      <c r="M4788" s="591">
        <v>0</v>
      </c>
    </row>
    <row r="4789" spans="1:13" ht="13">
      <c r="A4789" s="1126">
        <v>45873</v>
      </c>
      <c r="B4789" s="615">
        <v>500000</v>
      </c>
      <c r="C4789" s="615">
        <v>520424.65753424657</v>
      </c>
      <c r="D4789" s="532">
        <v>45915</v>
      </c>
      <c r="E4789" s="534">
        <v>42</v>
      </c>
      <c r="F4789" s="601">
        <v>0.35499999999999998</v>
      </c>
      <c r="G4789" s="1127" t="s">
        <v>260</v>
      </c>
      <c r="H4789" s="1021">
        <v>14589.041095890403</v>
      </c>
      <c r="I4789" s="1128">
        <v>1544.84</v>
      </c>
      <c r="J4789" s="1125">
        <v>1581.0787389428131</v>
      </c>
      <c r="K4789">
        <v>323.6581134615883</v>
      </c>
      <c r="L4789" s="591">
        <v>520424.65753424657</v>
      </c>
      <c r="M4789" s="591">
        <f t="shared" ref="A4789:M4791" si="645">+C4789-L4789</f>
        <v>0</v>
      </c>
    </row>
    <row r="4790" spans="1:13" ht="13">
      <c r="A4790" s="1126">
        <v>45733</v>
      </c>
      <c r="B4790" s="615">
        <v>550000</v>
      </c>
      <c r="C4790" s="615">
        <f>630250.75+3149.43</f>
        <v>633400.18000000005</v>
      </c>
      <c r="D4790" s="532">
        <v>45915</v>
      </c>
      <c r="E4790" s="534">
        <v>182</v>
      </c>
      <c r="F4790" s="601">
        <v>0.15049668312058051</v>
      </c>
      <c r="G4790" s="1127" t="s">
        <v>263</v>
      </c>
      <c r="H4790" s="1021">
        <v>13643.930063129545</v>
      </c>
      <c r="I4790" s="1128">
        <v>1381.11</v>
      </c>
      <c r="J4790" s="1125">
        <v>1581.0787389428131</v>
      </c>
      <c r="K4790">
        <v>398.23040887402163</v>
      </c>
      <c r="L4790" s="591">
        <v>632773.17571631924</v>
      </c>
      <c r="M4790" s="591">
        <f t="shared" si="645"/>
        <v>627.00428368081339</v>
      </c>
    </row>
    <row r="4791" spans="1:13" ht="13">
      <c r="A4791" s="1126">
        <v>45733</v>
      </c>
      <c r="B4791" s="615">
        <v>1809000</v>
      </c>
      <c r="C4791" s="615">
        <v>2083290</v>
      </c>
      <c r="D4791" s="532">
        <v>45915</v>
      </c>
      <c r="E4791" s="534">
        <v>182</v>
      </c>
      <c r="F4791" s="601">
        <v>0.15049668312058051</v>
      </c>
      <c r="G4791" s="1127" t="s">
        <v>266</v>
      </c>
      <c r="H4791" s="1021">
        <v>44876.126334911576</v>
      </c>
      <c r="I4791" s="1128">
        <v>1381.11</v>
      </c>
      <c r="J4791" s="1125">
        <v>1581.0787389428131</v>
      </c>
      <c r="K4791">
        <v>1309.8160175511002</v>
      </c>
      <c r="L4791" s="591">
        <v>2081248.4997651302</v>
      </c>
      <c r="M4791" s="591">
        <f t="shared" si="645"/>
        <v>2041.5002348697744</v>
      </c>
    </row>
    <row r="4792" spans="1:13" ht="13">
      <c r="A4792" s="1126">
        <v>45873</v>
      </c>
      <c r="B4792" s="615">
        <v>477000</v>
      </c>
      <c r="C4792" s="615">
        <v>496949.05479452055</v>
      </c>
      <c r="D4792" s="532">
        <v>45916</v>
      </c>
      <c r="E4792" s="534">
        <v>43</v>
      </c>
      <c r="F4792" s="601">
        <v>0.35499999999999998</v>
      </c>
      <c r="G4792" s="1127" t="s">
        <v>260</v>
      </c>
      <c r="H4792" s="1021">
        <v>13917.945205479451</v>
      </c>
      <c r="I4792" s="1128">
        <v>1544.84</v>
      </c>
      <c r="J4792" s="1125">
        <v>1581.9219809369158</v>
      </c>
      <c r="K4792">
        <v>308.7698402423552</v>
      </c>
      <c r="L4792" s="591">
        <v>496949.05479452055</v>
      </c>
      <c r="M4792" s="591">
        <v>0</v>
      </c>
    </row>
    <row r="4793" spans="1:13" ht="13">
      <c r="A4793" s="1126">
        <v>45873</v>
      </c>
      <c r="B4793" s="615">
        <v>700000</v>
      </c>
      <c r="C4793" s="615">
        <v>730718.49315068498</v>
      </c>
      <c r="D4793" s="532">
        <v>45916</v>
      </c>
      <c r="E4793" s="534">
        <v>43</v>
      </c>
      <c r="F4793" s="601">
        <v>0.3725</v>
      </c>
      <c r="G4793" s="1127" t="s">
        <v>258</v>
      </c>
      <c r="H4793" s="1021">
        <v>21431.506849315105</v>
      </c>
      <c r="I4793" s="1128">
        <v>1544.84</v>
      </c>
      <c r="J4793" s="1125">
        <v>1581.9219809369158</v>
      </c>
      <c r="K4793">
        <v>453.12135884622359</v>
      </c>
      <c r="L4793" s="591">
        <v>730718.49315068498</v>
      </c>
      <c r="M4793" s="591">
        <v>0</v>
      </c>
    </row>
    <row r="4794" spans="1:13" ht="13">
      <c r="A4794" s="1126">
        <v>45873</v>
      </c>
      <c r="B4794" s="615">
        <v>504000</v>
      </c>
      <c r="C4794" s="615">
        <v>522109.47945205477</v>
      </c>
      <c r="D4794" s="532">
        <v>45916</v>
      </c>
      <c r="E4794" s="534">
        <v>43</v>
      </c>
      <c r="F4794" s="601">
        <v>0.30499999999999999</v>
      </c>
      <c r="G4794" s="1127" t="s">
        <v>820</v>
      </c>
      <c r="H4794" s="1021">
        <v>12634.520547945191</v>
      </c>
      <c r="I4794" s="1128">
        <v>1544.84</v>
      </c>
      <c r="J4794" s="1125">
        <v>1581.9219809369158</v>
      </c>
      <c r="K4794">
        <v>326.24737836928097</v>
      </c>
      <c r="L4794" s="591">
        <v>522109.47945205477</v>
      </c>
      <c r="M4794" s="591">
        <v>0</v>
      </c>
    </row>
    <row r="4795" spans="1:13" ht="13">
      <c r="A4795" s="1126">
        <v>45820</v>
      </c>
      <c r="B4795" s="615">
        <v>1200000</v>
      </c>
      <c r="C4795" s="615">
        <v>1293895.8904109588</v>
      </c>
      <c r="D4795" s="532">
        <v>45916</v>
      </c>
      <c r="E4795" s="534">
        <v>96</v>
      </c>
      <c r="F4795" s="601">
        <v>0.29749999999999999</v>
      </c>
      <c r="G4795" s="1127" t="s">
        <v>256</v>
      </c>
      <c r="H4795" s="1021">
        <v>29342.465753424622</v>
      </c>
      <c r="I4795" s="1128">
        <v>1503.45</v>
      </c>
      <c r="J4795" s="1125">
        <v>1581.9219809369158</v>
      </c>
      <c r="K4795">
        <v>798.16422228873591</v>
      </c>
      <c r="L4795" s="591">
        <v>1265954.4267771493</v>
      </c>
      <c r="M4795" s="591">
        <v>-27941.463633809472</v>
      </c>
    </row>
    <row r="4796" spans="1:13" ht="13">
      <c r="A4796" s="1126">
        <v>45874</v>
      </c>
      <c r="B4796" s="615">
        <v>200000</v>
      </c>
      <c r="C4796" s="615">
        <v>208246.57534246575</v>
      </c>
      <c r="D4796" s="532">
        <v>45917</v>
      </c>
      <c r="E4796" s="534">
        <v>43</v>
      </c>
      <c r="F4796" s="601">
        <v>0.35</v>
      </c>
      <c r="G4796" s="1127" t="s">
        <v>256</v>
      </c>
      <c r="H4796" s="1021">
        <v>5753.4246575342404</v>
      </c>
      <c r="I4796" s="1128">
        <v>1547.21</v>
      </c>
      <c r="J4796" s="1125">
        <v>1582.7656726600821</v>
      </c>
      <c r="K4796">
        <v>129.26493494742149</v>
      </c>
      <c r="L4796" s="591">
        <v>208246.57534246575</v>
      </c>
      <c r="M4796" s="591">
        <v>0</v>
      </c>
    </row>
    <row r="4797" spans="1:13" ht="13">
      <c r="A4797" s="1126">
        <v>45874</v>
      </c>
      <c r="B4797" s="615">
        <v>650000</v>
      </c>
      <c r="C4797" s="615">
        <v>676801.36986301374</v>
      </c>
      <c r="D4797" s="532">
        <v>45917</v>
      </c>
      <c r="E4797" s="534">
        <v>43</v>
      </c>
      <c r="F4797" s="601">
        <v>0.35</v>
      </c>
      <c r="G4797" s="1127" t="s">
        <v>256</v>
      </c>
      <c r="H4797" s="1021">
        <v>18698.630136986329</v>
      </c>
      <c r="I4797" s="1128">
        <v>1547.21</v>
      </c>
      <c r="J4797" s="1125">
        <v>1582.7656726600821</v>
      </c>
      <c r="K4797">
        <v>420.11103857911985</v>
      </c>
      <c r="L4797" s="591">
        <v>676801.36986301374</v>
      </c>
      <c r="M4797" s="591">
        <v>0</v>
      </c>
    </row>
    <row r="4798" spans="1:13" ht="13">
      <c r="A4798" s="1126">
        <v>45874</v>
      </c>
      <c r="B4798" s="615">
        <v>450000</v>
      </c>
      <c r="C4798" s="615">
        <v>468554.79452054796</v>
      </c>
      <c r="D4798" s="532">
        <v>45917</v>
      </c>
      <c r="E4798" s="534">
        <v>43</v>
      </c>
      <c r="F4798" s="601">
        <v>0.35</v>
      </c>
      <c r="G4798" s="1127" t="s">
        <v>257</v>
      </c>
      <c r="H4798" s="1021">
        <v>12945.205479452066</v>
      </c>
      <c r="I4798" s="1128">
        <v>1547.21</v>
      </c>
      <c r="J4798" s="1125">
        <v>1582.7656726600821</v>
      </c>
      <c r="K4798">
        <v>290.84610363169833</v>
      </c>
      <c r="L4798" s="591">
        <v>468554.79452054796</v>
      </c>
      <c r="M4798" s="591">
        <v>0</v>
      </c>
    </row>
    <row r="4799" spans="1:13" ht="13">
      <c r="A4799" s="1126">
        <v>45874</v>
      </c>
      <c r="B4799" s="615">
        <v>800000</v>
      </c>
      <c r="C4799" s="615">
        <v>835106.84931506845</v>
      </c>
      <c r="D4799" s="532">
        <v>45917</v>
      </c>
      <c r="E4799" s="534">
        <v>43</v>
      </c>
      <c r="F4799" s="601">
        <v>0.3725</v>
      </c>
      <c r="G4799" s="1127" t="s">
        <v>258</v>
      </c>
      <c r="H4799" s="1021">
        <v>24493.150684931479</v>
      </c>
      <c r="I4799" s="1128">
        <v>1547.21</v>
      </c>
      <c r="J4799" s="1125">
        <v>1582.7656726600821</v>
      </c>
      <c r="K4799">
        <v>517.05973978968598</v>
      </c>
      <c r="L4799" s="591">
        <v>835106.84931506845</v>
      </c>
      <c r="M4799" s="591">
        <v>0</v>
      </c>
    </row>
    <row r="4800" spans="1:13" ht="13">
      <c r="A4800" s="1126">
        <v>45873</v>
      </c>
      <c r="B4800" s="615">
        <v>690000</v>
      </c>
      <c r="C4800" s="615">
        <v>720983.83561643842</v>
      </c>
      <c r="D4800" s="532">
        <v>45917</v>
      </c>
      <c r="E4800" s="534">
        <v>44</v>
      </c>
      <c r="F4800" s="601">
        <v>0.3725</v>
      </c>
      <c r="G4800" s="1127" t="s">
        <v>258</v>
      </c>
      <c r="H4800" s="1021">
        <v>21125.342465753467</v>
      </c>
      <c r="I4800" s="1128">
        <v>1544.84</v>
      </c>
      <c r="J4800" s="1125">
        <v>1582.7656726600821</v>
      </c>
      <c r="K4800">
        <v>446.64819657699184</v>
      </c>
      <c r="L4800" s="591">
        <v>720983.83561643842</v>
      </c>
      <c r="M4800" s="591">
        <v>0</v>
      </c>
    </row>
    <row r="4801" spans="1:13" ht="13">
      <c r="A4801" s="1126">
        <v>45888</v>
      </c>
      <c r="B4801" s="615">
        <v>170000</v>
      </c>
      <c r="C4801" s="615">
        <v>175589.0410958904</v>
      </c>
      <c r="D4801" s="532">
        <v>45918</v>
      </c>
      <c r="E4801" s="534">
        <v>30</v>
      </c>
      <c r="F4801" s="601">
        <v>0.4</v>
      </c>
      <c r="G4801" s="1127" t="s">
        <v>265</v>
      </c>
      <c r="H4801" s="1021">
        <v>5589.0410958903958</v>
      </c>
      <c r="I4801" s="1128">
        <v>1558.4803297502194</v>
      </c>
      <c r="J4801" s="1125">
        <v>1583.6098143521674</v>
      </c>
      <c r="K4801">
        <v>109.08061959771172</v>
      </c>
      <c r="L4801" s="591">
        <v>175589.0410958904</v>
      </c>
      <c r="M4801" s="591">
        <v>0</v>
      </c>
    </row>
    <row r="4802" spans="1:13" ht="13">
      <c r="A4802" s="1126">
        <v>45875</v>
      </c>
      <c r="B4802" s="615">
        <v>850000</v>
      </c>
      <c r="C4802" s="615">
        <v>887301.0273972603</v>
      </c>
      <c r="D4802" s="532">
        <v>45918</v>
      </c>
      <c r="E4802" s="534">
        <v>43</v>
      </c>
      <c r="F4802" s="601">
        <v>0.3725</v>
      </c>
      <c r="G4802" s="1127" t="s">
        <v>262</v>
      </c>
      <c r="H4802" s="1021">
        <v>26023.972602739745</v>
      </c>
      <c r="I4802" s="1128">
        <v>1548.01</v>
      </c>
      <c r="J4802" s="1125">
        <v>1583.6098143521674</v>
      </c>
      <c r="K4802">
        <v>549.09206012881054</v>
      </c>
      <c r="L4802" s="591">
        <v>887301.0273972603</v>
      </c>
      <c r="M4802" s="591">
        <v>0</v>
      </c>
    </row>
    <row r="4803" spans="1:13" ht="13">
      <c r="A4803" s="1126">
        <v>45875</v>
      </c>
      <c r="B4803" s="615">
        <v>800000</v>
      </c>
      <c r="C4803" s="615">
        <v>835106.84931506845</v>
      </c>
      <c r="D4803" s="532">
        <v>45918</v>
      </c>
      <c r="E4803" s="534">
        <v>43</v>
      </c>
      <c r="F4803" s="601">
        <v>0.3725</v>
      </c>
      <c r="G4803" s="1127" t="s">
        <v>258</v>
      </c>
      <c r="H4803" s="1021">
        <v>24493.150684931479</v>
      </c>
      <c r="I4803" s="1128">
        <v>1548.01</v>
      </c>
      <c r="J4803" s="1125">
        <v>1583.6098143521674</v>
      </c>
      <c r="K4803">
        <v>516.79252718005694</v>
      </c>
      <c r="L4803" s="591">
        <v>835106.84931506845</v>
      </c>
      <c r="M4803" s="591">
        <v>0</v>
      </c>
    </row>
    <row r="4804" spans="1:13" ht="13">
      <c r="A4804" s="1126">
        <v>45874</v>
      </c>
      <c r="B4804" s="615">
        <v>630000</v>
      </c>
      <c r="C4804" s="615">
        <v>656580.82191780827</v>
      </c>
      <c r="D4804" s="532">
        <v>45918</v>
      </c>
      <c r="E4804" s="534">
        <v>44</v>
      </c>
      <c r="F4804" s="601">
        <v>0.35</v>
      </c>
      <c r="G4804" s="1127" t="s">
        <v>256</v>
      </c>
      <c r="H4804" s="1021">
        <v>18123.287671232909</v>
      </c>
      <c r="I4804" s="1128">
        <v>1547.21</v>
      </c>
      <c r="J4804" s="1125">
        <v>1583.6098143521674</v>
      </c>
      <c r="K4804">
        <v>407.1845450843777</v>
      </c>
      <c r="L4804" s="591">
        <v>656580.82191780827</v>
      </c>
      <c r="M4804" s="591">
        <v>0</v>
      </c>
    </row>
    <row r="4805" spans="1:13" ht="13">
      <c r="A4805" s="1126">
        <v>45874</v>
      </c>
      <c r="B4805" s="615">
        <v>550000</v>
      </c>
      <c r="C4805" s="615">
        <v>573205.47945205483</v>
      </c>
      <c r="D4805" s="532">
        <v>45918</v>
      </c>
      <c r="E4805" s="534">
        <v>44</v>
      </c>
      <c r="F4805" s="601">
        <v>0.35</v>
      </c>
      <c r="G4805" s="1127" t="s">
        <v>257</v>
      </c>
      <c r="H4805" s="1021">
        <v>15821.917808219203</v>
      </c>
      <c r="I4805" s="1128">
        <v>1547.21</v>
      </c>
      <c r="J4805" s="1125">
        <v>1583.6098143521674</v>
      </c>
      <c r="K4805">
        <v>355.47857110540906</v>
      </c>
      <c r="L4805" s="591">
        <v>573205.47945205483</v>
      </c>
      <c r="M4805" s="591">
        <v>0</v>
      </c>
    </row>
    <row r="4806" spans="1:13" ht="13">
      <c r="A4806" s="1126">
        <v>45875</v>
      </c>
      <c r="B4806" s="615">
        <v>327000</v>
      </c>
      <c r="C4806" s="615">
        <v>341486.54794520547</v>
      </c>
      <c r="D4806" s="532">
        <v>45919</v>
      </c>
      <c r="E4806" s="534">
        <v>44</v>
      </c>
      <c r="F4806" s="601">
        <v>0.36749999999999999</v>
      </c>
      <c r="G4806" s="1127" t="s">
        <v>260</v>
      </c>
      <c r="H4806" s="1021">
        <v>9877.1917808219114</v>
      </c>
      <c r="I4806" s="1128">
        <v>1548.01</v>
      </c>
      <c r="J4806" s="1125">
        <v>1584.4544062531552</v>
      </c>
      <c r="K4806">
        <v>211.2389454848483</v>
      </c>
      <c r="L4806" s="591">
        <v>341486.54794520547</v>
      </c>
      <c r="M4806" s="591">
        <v>0</v>
      </c>
    </row>
    <row r="4807" spans="1:13" ht="13">
      <c r="A4807" s="1126">
        <v>45880</v>
      </c>
      <c r="B4807" s="615">
        <v>180000</v>
      </c>
      <c r="C4807" s="615">
        <v>187645.0684931507</v>
      </c>
      <c r="D4807" s="532">
        <v>45919</v>
      </c>
      <c r="E4807" s="534">
        <v>39</v>
      </c>
      <c r="F4807" s="601">
        <v>0.39750000000000002</v>
      </c>
      <c r="G4807" s="1127" t="s">
        <v>260</v>
      </c>
      <c r="H4807" s="1021">
        <v>5880.821917808229</v>
      </c>
      <c r="I4807" s="1128">
        <v>1550.39</v>
      </c>
      <c r="J4807" s="1125">
        <v>1584.4544062531552</v>
      </c>
      <c r="K4807">
        <v>116.09982004527892</v>
      </c>
      <c r="L4807" s="591">
        <v>187645.0684931507</v>
      </c>
      <c r="M4807" s="591">
        <v>0</v>
      </c>
    </row>
    <row r="4808" spans="1:13" ht="13">
      <c r="A4808" s="1126">
        <v>45875</v>
      </c>
      <c r="B4808" s="615">
        <v>970000</v>
      </c>
      <c r="C4808" s="615">
        <v>1010926.0273972603</v>
      </c>
      <c r="D4808" s="532">
        <v>45919</v>
      </c>
      <c r="E4808" s="534">
        <v>44</v>
      </c>
      <c r="F4808" s="601">
        <v>0.35</v>
      </c>
      <c r="G4808" s="1127" t="s">
        <v>256</v>
      </c>
      <c r="H4808" s="1021">
        <v>27904.109589041116</v>
      </c>
      <c r="I4808" s="1128">
        <v>1548.01</v>
      </c>
      <c r="J4808" s="1125">
        <v>1584.4544062531552</v>
      </c>
      <c r="K4808">
        <v>626.61093920581914</v>
      </c>
      <c r="L4808" s="591">
        <v>1010926.0273972603</v>
      </c>
      <c r="M4808" s="591">
        <v>0</v>
      </c>
    </row>
    <row r="4809" spans="1:13" ht="13">
      <c r="A4809" s="1126">
        <v>45875</v>
      </c>
      <c r="B4809" s="615">
        <v>700000</v>
      </c>
      <c r="C4809" s="615">
        <v>731432.87671232875</v>
      </c>
      <c r="D4809" s="532">
        <v>45919</v>
      </c>
      <c r="E4809" s="534">
        <v>44</v>
      </c>
      <c r="F4809" s="601">
        <v>0.3725</v>
      </c>
      <c r="G4809" s="1127" t="s">
        <v>258</v>
      </c>
      <c r="H4809" s="1021">
        <v>21431.506849315061</v>
      </c>
      <c r="I4809" s="1128">
        <v>1548.01</v>
      </c>
      <c r="J4809" s="1125">
        <v>1584.4544062531552</v>
      </c>
      <c r="K4809">
        <v>452.19346128254983</v>
      </c>
      <c r="L4809" s="591">
        <v>731432.87671232875</v>
      </c>
      <c r="M4809" s="591">
        <v>0</v>
      </c>
    </row>
    <row r="4810" spans="1:13" ht="13">
      <c r="A4810" s="1126">
        <v>45875</v>
      </c>
      <c r="B4810" s="615">
        <v>800000</v>
      </c>
      <c r="C4810" s="615">
        <v>835923.28767123283</v>
      </c>
      <c r="D4810" s="532">
        <v>45919</v>
      </c>
      <c r="E4810" s="534">
        <v>44</v>
      </c>
      <c r="F4810" s="601">
        <v>0.3725</v>
      </c>
      <c r="G4810" s="1127" t="s">
        <v>258</v>
      </c>
      <c r="H4810" s="1021">
        <v>24493.150684931476</v>
      </c>
      <c r="I4810" s="1128">
        <v>1548.01</v>
      </c>
      <c r="J4810" s="1125">
        <v>1584.4544062531552</v>
      </c>
      <c r="K4810">
        <v>516.79252718005694</v>
      </c>
      <c r="L4810" s="591">
        <v>835923.28767123283</v>
      </c>
      <c r="M4810" s="591">
        <v>0</v>
      </c>
    </row>
    <row r="4811" spans="1:13" ht="13">
      <c r="A4811" s="1126">
        <v>45876</v>
      </c>
      <c r="B4811" s="615">
        <v>500000</v>
      </c>
      <c r="C4811" s="615">
        <v>523472.60273972602</v>
      </c>
      <c r="D4811" s="532">
        <v>45922</v>
      </c>
      <c r="E4811" s="534">
        <v>46</v>
      </c>
      <c r="F4811" s="601">
        <v>0.3725</v>
      </c>
      <c r="G4811" s="1127" t="s">
        <v>258</v>
      </c>
      <c r="H4811" s="1021">
        <v>15308.219178082187</v>
      </c>
      <c r="I4811" s="1128">
        <v>1548.8</v>
      </c>
      <c r="J4811" s="1125">
        <v>1586.9908856112877</v>
      </c>
      <c r="K4811">
        <v>322.8305785123967</v>
      </c>
      <c r="L4811" s="591">
        <v>523472.60273972602</v>
      </c>
      <c r="M4811" s="591">
        <v>0</v>
      </c>
    </row>
    <row r="4812" spans="1:13" ht="13">
      <c r="A4812" s="1126">
        <v>45876</v>
      </c>
      <c r="B4812" s="615">
        <v>1000000</v>
      </c>
      <c r="C4812" s="615">
        <v>1046315.0684931506</v>
      </c>
      <c r="D4812" s="532">
        <v>45922</v>
      </c>
      <c r="E4812" s="534">
        <v>46</v>
      </c>
      <c r="F4812" s="601">
        <v>0.36749999999999999</v>
      </c>
      <c r="G4812" s="1127" t="s">
        <v>260</v>
      </c>
      <c r="H4812" s="1021">
        <v>30205.479452054766</v>
      </c>
      <c r="I4812" s="1128">
        <v>1548.8</v>
      </c>
      <c r="J4812" s="1125">
        <v>1586.9908856112877</v>
      </c>
      <c r="K4812">
        <v>645.6611570247934</v>
      </c>
      <c r="L4812" s="591">
        <v>1046315.0684931506</v>
      </c>
      <c r="M4812" s="591">
        <v>0</v>
      </c>
    </row>
    <row r="4813" spans="1:13" ht="13">
      <c r="A4813" s="1126">
        <v>45876</v>
      </c>
      <c r="B4813" s="615">
        <v>597000</v>
      </c>
      <c r="C4813" s="615">
        <v>623333.42465753423</v>
      </c>
      <c r="D4813" s="532">
        <v>45922</v>
      </c>
      <c r="E4813" s="534">
        <v>46</v>
      </c>
      <c r="F4813" s="601">
        <v>0.35</v>
      </c>
      <c r="G4813" s="1127" t="s">
        <v>257</v>
      </c>
      <c r="H4813" s="1021">
        <v>17173.972602739712</v>
      </c>
      <c r="I4813" s="1128">
        <v>1548.8</v>
      </c>
      <c r="J4813" s="1125">
        <v>1586.9908856112877</v>
      </c>
      <c r="K4813">
        <v>385.45971074380168</v>
      </c>
      <c r="L4813" s="591">
        <v>623333.42465753423</v>
      </c>
      <c r="M4813" s="591">
        <v>0</v>
      </c>
    </row>
    <row r="4814" spans="1:13" ht="13">
      <c r="A4814" s="1126">
        <v>45741</v>
      </c>
      <c r="B4814" s="615">
        <v>800000</v>
      </c>
      <c r="C4814" s="615">
        <v>918870.53811100917</v>
      </c>
      <c r="D4814" s="532">
        <v>45922</v>
      </c>
      <c r="E4814" s="534">
        <v>181</v>
      </c>
      <c r="F4814" s="601">
        <v>0.14858817263876145</v>
      </c>
      <c r="G4814" s="1127" t="s">
        <v>266</v>
      </c>
      <c r="H4814" s="1021">
        <v>19702.29913442141</v>
      </c>
      <c r="I4814" s="1128">
        <v>1388.54</v>
      </c>
      <c r="J4814" s="1125">
        <v>1586.9908856112877</v>
      </c>
      <c r="K4814">
        <v>576.14472755556199</v>
      </c>
      <c r="L4814" s="591">
        <v>918870.53811100917</v>
      </c>
      <c r="M4814" s="591">
        <v>0</v>
      </c>
    </row>
    <row r="4815" spans="1:13" ht="13">
      <c r="A4815" s="1126">
        <v>45876</v>
      </c>
      <c r="B4815" s="615">
        <v>520000</v>
      </c>
      <c r="C4815" s="615">
        <v>544942.19178082189</v>
      </c>
      <c r="D4815" s="532">
        <v>45923</v>
      </c>
      <c r="E4815" s="534">
        <v>47</v>
      </c>
      <c r="F4815" s="601">
        <v>0.3725</v>
      </c>
      <c r="G4815" s="1127" t="s">
        <v>258</v>
      </c>
      <c r="H4815" s="1021">
        <v>15920.547945205461</v>
      </c>
      <c r="I4815" s="1128">
        <v>1548.8</v>
      </c>
      <c r="J4815" s="1125">
        <v>1587.8372807502803</v>
      </c>
      <c r="K4815">
        <v>335.74380165289256</v>
      </c>
      <c r="L4815" s="591">
        <v>544942.19178082189</v>
      </c>
      <c r="M4815" s="591">
        <v>0</v>
      </c>
    </row>
    <row r="4816" spans="1:13" ht="13">
      <c r="A4816" s="1126">
        <v>45876</v>
      </c>
      <c r="B4816" s="615">
        <v>1000000</v>
      </c>
      <c r="C4816" s="615">
        <v>1047965.7534246575</v>
      </c>
      <c r="D4816" s="532">
        <v>45923</v>
      </c>
      <c r="E4816" s="534">
        <v>47</v>
      </c>
      <c r="F4816" s="601">
        <v>0.3725</v>
      </c>
      <c r="G4816" s="1127" t="s">
        <v>258</v>
      </c>
      <c r="H4816" s="1021">
        <v>30616.438356164366</v>
      </c>
      <c r="I4816" s="1128">
        <v>1548.8</v>
      </c>
      <c r="J4816" s="1125">
        <v>1587.8372807502803</v>
      </c>
      <c r="K4816">
        <v>645.6611570247934</v>
      </c>
      <c r="L4816" s="591">
        <v>1047965.7534246575</v>
      </c>
      <c r="M4816" s="591">
        <v>0</v>
      </c>
    </row>
    <row r="4817" spans="1:13" ht="13">
      <c r="A4817" s="1126">
        <v>45876</v>
      </c>
      <c r="B4817" s="615">
        <v>1087000</v>
      </c>
      <c r="C4817" s="615">
        <v>1138438.9246575343</v>
      </c>
      <c r="D4817" s="532">
        <v>45923</v>
      </c>
      <c r="E4817" s="534">
        <v>47</v>
      </c>
      <c r="F4817" s="601">
        <v>0.36749999999999999</v>
      </c>
      <c r="G4817" s="1127" t="s">
        <v>260</v>
      </c>
      <c r="H4817" s="1021">
        <v>32833.356164383622</v>
      </c>
      <c r="I4817" s="1128">
        <v>1548.8</v>
      </c>
      <c r="J4817" s="1125">
        <v>1587.8372807502803</v>
      </c>
      <c r="K4817">
        <v>701.83367768595042</v>
      </c>
      <c r="L4817" s="591">
        <v>1138438.9246575343</v>
      </c>
      <c r="M4817" s="591">
        <v>0</v>
      </c>
    </row>
    <row r="4818" spans="1:13" ht="13">
      <c r="A4818" s="1126">
        <v>45877</v>
      </c>
      <c r="B4818" s="615">
        <v>400000</v>
      </c>
      <c r="C4818" s="615">
        <v>419030.1369863014</v>
      </c>
      <c r="D4818" s="532">
        <v>45923</v>
      </c>
      <c r="E4818" s="534">
        <v>46</v>
      </c>
      <c r="F4818" s="601">
        <v>0.3775</v>
      </c>
      <c r="G4818" s="1127" t="s">
        <v>260</v>
      </c>
      <c r="H4818" s="1021">
        <v>12410.958904109606</v>
      </c>
      <c r="I4818" s="1128">
        <v>1549.59</v>
      </c>
      <c r="J4818" s="1125">
        <v>1587.8372807502803</v>
      </c>
      <c r="K4818">
        <v>258.13279641711682</v>
      </c>
      <c r="L4818" s="591">
        <v>419030.1369863014</v>
      </c>
      <c r="M4818" s="591">
        <v>0</v>
      </c>
    </row>
    <row r="4819" spans="1:13" ht="13">
      <c r="A4819" s="1126">
        <v>45877</v>
      </c>
      <c r="B4819" s="615">
        <v>350000</v>
      </c>
      <c r="C4819" s="615">
        <v>365773.9726027397</v>
      </c>
      <c r="D4819" s="532">
        <v>45924</v>
      </c>
      <c r="E4819" s="534">
        <v>47</v>
      </c>
      <c r="F4819" s="601">
        <v>0.35</v>
      </c>
      <c r="G4819" s="1127" t="s">
        <v>256</v>
      </c>
      <c r="H4819" s="1021">
        <v>10068.493150684913</v>
      </c>
      <c r="I4819" s="1128">
        <v>1549.59</v>
      </c>
      <c r="J4819" s="1125">
        <v>1588.6841273000136</v>
      </c>
      <c r="K4819">
        <v>225.86619686497721</v>
      </c>
      <c r="L4819" s="591">
        <v>365773.9726027397</v>
      </c>
      <c r="M4819" s="591">
        <v>0</v>
      </c>
    </row>
    <row r="4820" spans="1:13" ht="13">
      <c r="A4820" s="1126">
        <v>45880</v>
      </c>
      <c r="B4820" s="615">
        <v>600000</v>
      </c>
      <c r="C4820" s="615">
        <v>625315.06849315064</v>
      </c>
      <c r="D4820" s="532">
        <v>45924</v>
      </c>
      <c r="E4820" s="534">
        <v>44</v>
      </c>
      <c r="F4820" s="601">
        <v>0.35</v>
      </c>
      <c r="G4820" s="1127" t="s">
        <v>256</v>
      </c>
      <c r="H4820" s="1021">
        <v>17260.27397260271</v>
      </c>
      <c r="I4820" s="1128">
        <v>1550.39</v>
      </c>
      <c r="J4820" s="1125">
        <v>1588.6841273000136</v>
      </c>
      <c r="K4820">
        <v>386.99940015092972</v>
      </c>
      <c r="L4820" s="591">
        <v>625315.06849315064</v>
      </c>
      <c r="M4820" s="591">
        <v>0</v>
      </c>
    </row>
    <row r="4821" spans="1:13" ht="13">
      <c r="A4821" s="1126">
        <v>45877</v>
      </c>
      <c r="B4821" s="615">
        <v>900000</v>
      </c>
      <c r="C4821" s="615">
        <v>944038.35616438359</v>
      </c>
      <c r="D4821" s="532">
        <v>45924</v>
      </c>
      <c r="E4821" s="534">
        <v>47</v>
      </c>
      <c r="F4821" s="601">
        <v>0.38</v>
      </c>
      <c r="G4821" s="1127" t="s">
        <v>258</v>
      </c>
      <c r="H4821" s="1021">
        <v>28109.589041095907</v>
      </c>
      <c r="I4821" s="1128">
        <v>1549.59</v>
      </c>
      <c r="J4821" s="1125">
        <v>1588.6841273000136</v>
      </c>
      <c r="K4821">
        <v>580.79879193851275</v>
      </c>
      <c r="L4821" s="591">
        <v>944038.35616438359</v>
      </c>
      <c r="M4821" s="591">
        <v>0</v>
      </c>
    </row>
    <row r="4822" spans="1:13" ht="13">
      <c r="A4822" s="1126">
        <v>45880</v>
      </c>
      <c r="B4822" s="615">
        <v>600000</v>
      </c>
      <c r="C4822" s="615">
        <v>628931.50684931502</v>
      </c>
      <c r="D4822" s="532">
        <v>45924</v>
      </c>
      <c r="E4822" s="534">
        <v>44</v>
      </c>
      <c r="F4822" s="601">
        <v>0.4</v>
      </c>
      <c r="G4822" s="1127" t="s">
        <v>258</v>
      </c>
      <c r="H4822" s="1021">
        <v>19726.027397260237</v>
      </c>
      <c r="I4822" s="1128">
        <v>1550.39</v>
      </c>
      <c r="J4822" s="1125">
        <v>1588.6841273000136</v>
      </c>
      <c r="K4822">
        <v>386.99940015092972</v>
      </c>
      <c r="L4822" s="591">
        <v>628931.50684931502</v>
      </c>
      <c r="M4822" s="591">
        <v>0</v>
      </c>
    </row>
    <row r="4823" spans="1:13" ht="13">
      <c r="A4823" s="1126">
        <v>45877</v>
      </c>
      <c r="B4823" s="615">
        <v>938000</v>
      </c>
      <c r="C4823" s="615">
        <v>983595.79452054796</v>
      </c>
      <c r="D4823" s="532">
        <v>45924</v>
      </c>
      <c r="E4823" s="534">
        <v>47</v>
      </c>
      <c r="F4823" s="601">
        <v>0.3775</v>
      </c>
      <c r="G4823" s="1127" t="s">
        <v>260</v>
      </c>
      <c r="H4823" s="1021">
        <v>29103.698630136998</v>
      </c>
      <c r="I4823" s="1128">
        <v>1549.59</v>
      </c>
      <c r="J4823" s="1125">
        <v>1588.6841273000136</v>
      </c>
      <c r="K4823">
        <v>605.32140759813888</v>
      </c>
      <c r="L4823" s="591">
        <v>983595.79452054796</v>
      </c>
      <c r="M4823" s="591">
        <v>0</v>
      </c>
    </row>
    <row r="4824" spans="1:13" ht="13">
      <c r="A4824" s="1126">
        <v>45880</v>
      </c>
      <c r="B4824" s="615">
        <v>1000000</v>
      </c>
      <c r="C4824" s="615">
        <v>1043150.6849315069</v>
      </c>
      <c r="D4824" s="532">
        <v>45925</v>
      </c>
      <c r="E4824" s="534">
        <v>45</v>
      </c>
      <c r="F4824" s="601">
        <v>0.35</v>
      </c>
      <c r="G4824" s="1127" t="s">
        <v>256</v>
      </c>
      <c r="H4824" s="1021">
        <v>28767.123287671246</v>
      </c>
      <c r="I4824" s="1128">
        <v>1550.39</v>
      </c>
      <c r="J4824" s="1125">
        <v>1589.5314255012402</v>
      </c>
      <c r="K4824">
        <v>644.99900025154955</v>
      </c>
      <c r="L4824" s="591">
        <v>1043150.6849315069</v>
      </c>
      <c r="M4824" s="591">
        <v>0</v>
      </c>
    </row>
    <row r="4825" spans="1:13" ht="13">
      <c r="A4825" s="1126">
        <v>45880</v>
      </c>
      <c r="B4825" s="615">
        <v>1000000</v>
      </c>
      <c r="C4825" s="615">
        <v>1049315.0684931506</v>
      </c>
      <c r="D4825" s="532">
        <v>45925</v>
      </c>
      <c r="E4825" s="534">
        <v>45</v>
      </c>
      <c r="F4825" s="601">
        <v>0.4</v>
      </c>
      <c r="G4825" s="1127" t="s">
        <v>258</v>
      </c>
      <c r="H4825" s="1021">
        <v>32876.712328767098</v>
      </c>
      <c r="I4825" s="1128">
        <v>1550.39</v>
      </c>
      <c r="J4825" s="1125">
        <v>1589.5314255012402</v>
      </c>
      <c r="K4825">
        <v>644.99900025154955</v>
      </c>
      <c r="L4825" s="591">
        <v>1049315.0684931506</v>
      </c>
      <c r="M4825" s="591">
        <v>0</v>
      </c>
    </row>
    <row r="4826" spans="1:13" ht="13">
      <c r="A4826" s="1126">
        <v>45880</v>
      </c>
      <c r="B4826" s="615">
        <v>1050000</v>
      </c>
      <c r="C4826" s="615">
        <v>1101780.8219178081</v>
      </c>
      <c r="D4826" s="532">
        <v>45925</v>
      </c>
      <c r="E4826" s="534">
        <v>45</v>
      </c>
      <c r="F4826" s="601">
        <v>0.4</v>
      </c>
      <c r="G4826" s="1127" t="s">
        <v>262</v>
      </c>
      <c r="H4826" s="1021">
        <v>34520.547945205435</v>
      </c>
      <c r="I4826" s="1128">
        <v>1550.39</v>
      </c>
      <c r="J4826" s="1125">
        <v>1589.5314255012402</v>
      </c>
      <c r="K4826">
        <v>677.24895026412707</v>
      </c>
      <c r="L4826" s="591">
        <v>1101780.8219178081</v>
      </c>
      <c r="M4826" s="591">
        <v>0</v>
      </c>
    </row>
    <row r="4827" spans="1:13" ht="13">
      <c r="A4827" s="1126">
        <v>45881</v>
      </c>
      <c r="B4827" s="615">
        <v>574000</v>
      </c>
      <c r="C4827" s="615">
        <v>598768.49315068498</v>
      </c>
      <c r="D4827" s="532">
        <v>45926</v>
      </c>
      <c r="E4827" s="534">
        <v>45</v>
      </c>
      <c r="F4827" s="601">
        <v>0.35</v>
      </c>
      <c r="G4827" s="1127" t="s">
        <v>257</v>
      </c>
      <c r="H4827" s="1021">
        <v>16512.328767123323</v>
      </c>
      <c r="I4827" s="1128">
        <v>1552.77</v>
      </c>
      <c r="J4827" s="1125">
        <v>1590.3791755948407</v>
      </c>
      <c r="K4827">
        <v>369.66195895077828</v>
      </c>
      <c r="L4827" s="591">
        <v>598768.49315068498</v>
      </c>
      <c r="M4827" s="591">
        <v>0</v>
      </c>
    </row>
    <row r="4828" spans="1:13" ht="13">
      <c r="A4828" s="1126">
        <v>45880</v>
      </c>
      <c r="B4828" s="615">
        <v>1250000</v>
      </c>
      <c r="C4828" s="615">
        <v>1313013.6986301369</v>
      </c>
      <c r="D4828" s="532">
        <v>45926</v>
      </c>
      <c r="E4828" s="534">
        <v>46</v>
      </c>
      <c r="F4828" s="601">
        <v>0.4</v>
      </c>
      <c r="G4828" s="1127" t="s">
        <v>258</v>
      </c>
      <c r="H4828" s="1021">
        <v>41095.890410958847</v>
      </c>
      <c r="I4828" s="1128">
        <v>1550.39</v>
      </c>
      <c r="J4828" s="1125">
        <v>1590.3791755948407</v>
      </c>
      <c r="K4828">
        <v>806.24875031443696</v>
      </c>
      <c r="L4828" s="591">
        <v>1313013.6986301369</v>
      </c>
      <c r="M4828" s="591">
        <v>0</v>
      </c>
    </row>
    <row r="4829" spans="1:13" ht="13">
      <c r="A4829" s="1126">
        <v>45880</v>
      </c>
      <c r="B4829" s="615">
        <v>1500000</v>
      </c>
      <c r="C4829" s="615">
        <v>1575616.4383561644</v>
      </c>
      <c r="D4829" s="532">
        <v>45926</v>
      </c>
      <c r="E4829" s="534">
        <v>46</v>
      </c>
      <c r="F4829" s="601">
        <v>0.4</v>
      </c>
      <c r="G4829" s="1127" t="s">
        <v>258</v>
      </c>
      <c r="H4829" s="1021">
        <v>49315.068493150684</v>
      </c>
      <c r="I4829" s="1128">
        <v>1550.39</v>
      </c>
      <c r="J4829" s="1125">
        <v>1590.3791755948407</v>
      </c>
      <c r="K4829">
        <v>967.49850037732438</v>
      </c>
      <c r="L4829" s="591">
        <v>1575616.4383561644</v>
      </c>
      <c r="M4829" s="591">
        <v>0</v>
      </c>
    </row>
    <row r="4830" spans="1:13" ht="13">
      <c r="A4830" s="1126">
        <v>45881</v>
      </c>
      <c r="B4830" s="615">
        <v>850000</v>
      </c>
      <c r="C4830" s="615">
        <v>899183.56164383562</v>
      </c>
      <c r="D4830" s="532">
        <v>45929</v>
      </c>
      <c r="E4830" s="534">
        <v>48</v>
      </c>
      <c r="F4830" s="601">
        <v>0.44</v>
      </c>
      <c r="G4830" s="1127" t="s">
        <v>262</v>
      </c>
      <c r="H4830" s="1021">
        <v>30739.726027397268</v>
      </c>
      <c r="I4830" s="1128">
        <v>1552.77</v>
      </c>
      <c r="J4830" s="1125">
        <v>1592.9251396406219</v>
      </c>
      <c r="K4830">
        <v>547.40882423024664</v>
      </c>
      <c r="L4830" s="591">
        <v>899183.56164383562</v>
      </c>
      <c r="M4830" s="591">
        <v>0</v>
      </c>
    </row>
    <row r="4831" spans="1:13" ht="13">
      <c r="A4831" s="1126">
        <v>45882</v>
      </c>
      <c r="B4831" s="615">
        <v>850000</v>
      </c>
      <c r="C4831" s="615">
        <v>898158.90410958906</v>
      </c>
      <c r="D4831" s="532">
        <v>45929</v>
      </c>
      <c r="E4831" s="534">
        <v>47</v>
      </c>
      <c r="F4831" s="601">
        <v>0.44</v>
      </c>
      <c r="G4831" s="1127" t="s">
        <v>262</v>
      </c>
      <c r="H4831" s="1021">
        <v>30739.726027397272</v>
      </c>
      <c r="I4831" s="1128">
        <v>1553.57</v>
      </c>
      <c r="J4831" s="1125">
        <v>1592.9251396406219</v>
      </c>
      <c r="K4831">
        <v>547.12693988684134</v>
      </c>
      <c r="L4831" s="591">
        <v>898158.90410958906</v>
      </c>
      <c r="M4831" s="591">
        <v>0</v>
      </c>
    </row>
    <row r="4832" spans="1:13" ht="13">
      <c r="A4832" s="1126">
        <v>45882</v>
      </c>
      <c r="B4832" s="615">
        <v>500000</v>
      </c>
      <c r="C4832" s="615">
        <v>525914.38356164389</v>
      </c>
      <c r="D4832" s="532">
        <v>45929</v>
      </c>
      <c r="E4832" s="534">
        <v>47</v>
      </c>
      <c r="F4832" s="601">
        <v>0.40250000000000002</v>
      </c>
      <c r="G4832" s="1127" t="s">
        <v>260</v>
      </c>
      <c r="H4832" s="1021">
        <v>16541.09589041099</v>
      </c>
      <c r="I4832" s="1128">
        <v>1553.57</v>
      </c>
      <c r="J4832" s="1125">
        <v>1592.9251396406219</v>
      </c>
      <c r="K4832">
        <v>321.83937640402428</v>
      </c>
      <c r="L4832" s="591">
        <v>525914.38356164389</v>
      </c>
      <c r="M4832" s="591">
        <v>0</v>
      </c>
    </row>
    <row r="4833" spans="1:13" ht="13">
      <c r="A4833" s="1126">
        <v>45881</v>
      </c>
      <c r="B4833" s="615">
        <v>540000</v>
      </c>
      <c r="C4833" s="615">
        <v>571246.0273972603</v>
      </c>
      <c r="D4833" s="532">
        <v>45929</v>
      </c>
      <c r="E4833" s="534">
        <v>48</v>
      </c>
      <c r="F4833" s="601">
        <v>0.44</v>
      </c>
      <c r="G4833" s="1127" t="s">
        <v>258</v>
      </c>
      <c r="H4833" s="1021">
        <v>19528.767123287689</v>
      </c>
      <c r="I4833" s="1128">
        <v>1552.77</v>
      </c>
      <c r="J4833" s="1125">
        <v>1592.9251396406219</v>
      </c>
      <c r="K4833">
        <v>347.7656059815684</v>
      </c>
      <c r="L4833" s="591">
        <v>571246.0273972603</v>
      </c>
      <c r="M4833" s="591">
        <v>0</v>
      </c>
    </row>
    <row r="4834" spans="1:13" ht="13">
      <c r="A4834" s="1126">
        <v>45748</v>
      </c>
      <c r="B4834" s="615">
        <v>200000</v>
      </c>
      <c r="C4834" s="615">
        <v>228819.94034617685</v>
      </c>
      <c r="D4834" s="532">
        <v>45929</v>
      </c>
      <c r="E4834" s="534">
        <v>181</v>
      </c>
      <c r="F4834" s="601">
        <v>0.14409970173088427</v>
      </c>
      <c r="G4834" s="1127" t="s">
        <v>261</v>
      </c>
      <c r="H4834" s="1021">
        <v>4776.7856927364946</v>
      </c>
      <c r="I4834" s="1128">
        <v>1399.2</v>
      </c>
      <c r="J4834" s="1125">
        <v>1592.9251396406219</v>
      </c>
      <c r="K4834">
        <v>142.93882218410519</v>
      </c>
      <c r="L4834" s="591">
        <v>228819.94034617685</v>
      </c>
      <c r="M4834" s="591">
        <v>0</v>
      </c>
    </row>
    <row r="4835" spans="1:13" ht="13">
      <c r="A4835" s="1126">
        <v>45882</v>
      </c>
      <c r="B4835" s="615">
        <v>321000</v>
      </c>
      <c r="C4835" s="615">
        <v>336408</v>
      </c>
      <c r="D4835" s="532">
        <v>45930</v>
      </c>
      <c r="E4835" s="534">
        <v>48</v>
      </c>
      <c r="F4835" s="601">
        <v>0.36499999999999999</v>
      </c>
      <c r="G4835" s="1127" t="s">
        <v>257</v>
      </c>
      <c r="H4835" s="1021">
        <v>9630</v>
      </c>
      <c r="I4835" s="1128">
        <v>1553.57</v>
      </c>
      <c r="J4835" s="1125">
        <v>1593.7746997150969</v>
      </c>
      <c r="K4835">
        <v>206.6208796513836</v>
      </c>
      <c r="L4835" s="591">
        <v>336408</v>
      </c>
      <c r="M4835" s="591">
        <v>0</v>
      </c>
    </row>
    <row r="4836" spans="1:13" ht="13">
      <c r="A4836" s="1126">
        <v>45882</v>
      </c>
      <c r="B4836" s="615">
        <v>1000000</v>
      </c>
      <c r="C4836" s="615">
        <v>1052931.506849315</v>
      </c>
      <c r="D4836" s="532">
        <v>45930</v>
      </c>
      <c r="E4836" s="534">
        <v>48</v>
      </c>
      <c r="F4836" s="601">
        <v>0.40250000000000002</v>
      </c>
      <c r="G4836" s="1127" t="s">
        <v>260</v>
      </c>
      <c r="H4836" s="1021">
        <v>33082.191780821886</v>
      </c>
      <c r="I4836" s="1128">
        <v>1553.57</v>
      </c>
      <c r="J4836" s="1125">
        <v>1593.7746997150969</v>
      </c>
      <c r="K4836">
        <v>643.67875280804856</v>
      </c>
      <c r="L4836" s="591">
        <v>1052931.506849315</v>
      </c>
      <c r="M4836" s="591">
        <v>0</v>
      </c>
    </row>
    <row r="4837" spans="1:13" ht="13">
      <c r="A4837" s="1126">
        <v>45882</v>
      </c>
      <c r="B4837" s="615">
        <v>150000</v>
      </c>
      <c r="C4837" s="615">
        <v>155326.02739726027</v>
      </c>
      <c r="D4837" s="532">
        <v>45930</v>
      </c>
      <c r="E4837" s="534">
        <v>48</v>
      </c>
      <c r="F4837" s="601">
        <v>0.27</v>
      </c>
      <c r="G4837" s="1127" t="s">
        <v>258</v>
      </c>
      <c r="H4837" s="1021">
        <v>3328.767123287671</v>
      </c>
      <c r="I4837" s="1128">
        <v>1553.57</v>
      </c>
      <c r="J4837" s="1125">
        <v>1593.7746997150969</v>
      </c>
      <c r="K4837">
        <v>96.551812921207286</v>
      </c>
      <c r="L4837" s="591">
        <v>155326.02739726027</v>
      </c>
      <c r="M4837" s="591">
        <v>0</v>
      </c>
    </row>
    <row r="4838" spans="1:13" ht="13">
      <c r="A4838" s="1126">
        <v>45881</v>
      </c>
      <c r="B4838" s="615">
        <v>540000</v>
      </c>
      <c r="C4838" s="615">
        <v>571896.98630136985</v>
      </c>
      <c r="D4838" s="532">
        <v>45930</v>
      </c>
      <c r="E4838" s="534">
        <v>49</v>
      </c>
      <c r="F4838" s="601">
        <v>0.44</v>
      </c>
      <c r="G4838" s="1127" t="s">
        <v>258</v>
      </c>
      <c r="H4838" s="1021">
        <v>19528.76712328766</v>
      </c>
      <c r="I4838" s="1128">
        <v>1552.77</v>
      </c>
      <c r="J4838" s="1125">
        <v>1593.7746997150969</v>
      </c>
      <c r="K4838">
        <v>347.7656059815684</v>
      </c>
      <c r="L4838" s="591">
        <v>571896.98630136985</v>
      </c>
      <c r="M4838" s="591">
        <v>0</v>
      </c>
    </row>
    <row r="4839" spans="1:13" ht="13">
      <c r="A4839" s="1126">
        <v>45881</v>
      </c>
      <c r="B4839" s="615">
        <v>850000</v>
      </c>
      <c r="C4839" s="615">
        <v>900208.21917808219</v>
      </c>
      <c r="D4839" s="532">
        <v>45930</v>
      </c>
      <c r="E4839" s="534">
        <v>49</v>
      </c>
      <c r="F4839" s="601">
        <v>0.44</v>
      </c>
      <c r="G4839" s="1127" t="s">
        <v>262</v>
      </c>
      <c r="H4839" s="1021">
        <v>30739.726027397261</v>
      </c>
      <c r="I4839" s="1128">
        <v>1552.77</v>
      </c>
      <c r="J4839" s="1125">
        <v>1593.7746997150969</v>
      </c>
      <c r="K4839">
        <v>547.40882423024664</v>
      </c>
      <c r="L4839" s="591">
        <v>900208.21917808219</v>
      </c>
      <c r="M4839" s="591">
        <v>0</v>
      </c>
    </row>
    <row r="4840" spans="1:13" ht="13">
      <c r="A4840" s="1126">
        <v>45883</v>
      </c>
      <c r="B4840" s="615">
        <v>500000</v>
      </c>
      <c r="C4840" s="615">
        <v>526301.36986301374</v>
      </c>
      <c r="D4840" s="532">
        <v>45931</v>
      </c>
      <c r="E4840" s="534">
        <v>48</v>
      </c>
      <c r="F4840" s="601">
        <v>0.4</v>
      </c>
      <c r="G4840" s="1127" t="s">
        <v>265</v>
      </c>
      <c r="H4840" s="1021">
        <v>16438.356164383586</v>
      </c>
      <c r="I4840" s="1128">
        <v>1554.36</v>
      </c>
      <c r="J4840" s="1125">
        <v>1594.6247128882781</v>
      </c>
      <c r="K4840">
        <v>321.67580225945085</v>
      </c>
      <c r="L4840" s="591">
        <v>526301.36986301374</v>
      </c>
      <c r="M4840" s="591">
        <v>0</v>
      </c>
    </row>
    <row r="4841" spans="1:13" ht="13">
      <c r="A4841" s="1126">
        <v>45883</v>
      </c>
      <c r="B4841" s="615">
        <v>1300000</v>
      </c>
      <c r="C4841" s="615">
        <v>1375221.9178082191</v>
      </c>
      <c r="D4841" s="532">
        <v>45931</v>
      </c>
      <c r="E4841" s="534">
        <v>48</v>
      </c>
      <c r="F4841" s="601">
        <v>0.44</v>
      </c>
      <c r="G4841" s="1127" t="s">
        <v>258</v>
      </c>
      <c r="H4841" s="1021">
        <v>47013.698630136932</v>
      </c>
      <c r="I4841" s="1128">
        <v>1554.36</v>
      </c>
      <c r="J4841" s="1125">
        <v>1594.6247128882781</v>
      </c>
      <c r="K4841">
        <v>836.35708587457225</v>
      </c>
      <c r="L4841" s="591">
        <v>1375221.9178082191</v>
      </c>
      <c r="M4841" s="591">
        <v>0</v>
      </c>
    </row>
    <row r="4842" spans="1:13" ht="13">
      <c r="A4842" s="1126">
        <v>45882</v>
      </c>
      <c r="B4842" s="615">
        <v>545000</v>
      </c>
      <c r="C4842" s="615">
        <v>576460.68493150687</v>
      </c>
      <c r="D4842" s="532">
        <v>45931</v>
      </c>
      <c r="E4842" s="534">
        <v>49</v>
      </c>
      <c r="F4842" s="601">
        <v>0.43</v>
      </c>
      <c r="G4842" s="1127" t="s">
        <v>260</v>
      </c>
      <c r="H4842" s="1021">
        <v>19261.643835616447</v>
      </c>
      <c r="I4842" s="1128">
        <v>1553.57</v>
      </c>
      <c r="J4842" s="1125">
        <v>1594.6247128882781</v>
      </c>
      <c r="K4842">
        <v>350.80492028038645</v>
      </c>
      <c r="L4842" s="591">
        <v>576460.68493150687</v>
      </c>
      <c r="M4842" s="591">
        <v>0</v>
      </c>
    </row>
    <row r="4843" spans="1:13" ht="13">
      <c r="A4843" s="1126">
        <v>45883</v>
      </c>
      <c r="B4843" s="615">
        <v>450000</v>
      </c>
      <c r="C4843" s="615">
        <v>476038.35616438359</v>
      </c>
      <c r="D4843" s="532">
        <v>45931</v>
      </c>
      <c r="E4843" s="534">
        <v>48</v>
      </c>
      <c r="F4843" s="601">
        <v>0.44</v>
      </c>
      <c r="G4843" s="1127" t="s">
        <v>260</v>
      </c>
      <c r="H4843" s="1021">
        <v>16273.972602739741</v>
      </c>
      <c r="I4843" s="1128">
        <v>1554.36</v>
      </c>
      <c r="J4843" s="1125">
        <v>1594.6247128882781</v>
      </c>
      <c r="K4843">
        <v>289.50822203350577</v>
      </c>
      <c r="L4843" s="591">
        <v>476038.35616438359</v>
      </c>
      <c r="M4843" s="591">
        <v>0</v>
      </c>
    </row>
    <row r="4844" spans="1:13" ht="13">
      <c r="A4844" s="1126">
        <v>45887</v>
      </c>
      <c r="B4844" s="615">
        <v>367000</v>
      </c>
      <c r="C4844" s="615">
        <v>386908.49315068492</v>
      </c>
      <c r="D4844" s="532">
        <v>45932</v>
      </c>
      <c r="E4844" s="534">
        <v>45</v>
      </c>
      <c r="F4844" s="601">
        <v>0.44</v>
      </c>
      <c r="G4844" s="536" t="s">
        <v>260</v>
      </c>
      <c r="H4844" s="1021">
        <v>13272.328767123283</v>
      </c>
      <c r="I4844" s="1128">
        <v>1557.6495833057897</v>
      </c>
      <c r="J4844" s="1125">
        <v>1595.4751794018184</v>
      </c>
      <c r="K4844">
        <v>235.61140062138895</v>
      </c>
      <c r="L4844" s="591">
        <v>386908.49315068492</v>
      </c>
      <c r="M4844" s="596">
        <v>0</v>
      </c>
    </row>
    <row r="4845" spans="1:13" ht="13">
      <c r="A4845" s="1126">
        <v>45887</v>
      </c>
      <c r="B4845" s="615">
        <v>500000</v>
      </c>
      <c r="C4845" s="615">
        <v>527123.28767123283</v>
      </c>
      <c r="D4845" s="532">
        <v>45932</v>
      </c>
      <c r="E4845" s="534">
        <v>45</v>
      </c>
      <c r="F4845" s="601">
        <v>0.44</v>
      </c>
      <c r="G4845" s="1127" t="s">
        <v>261</v>
      </c>
      <c r="H4845" s="1021">
        <v>18082.191780821886</v>
      </c>
      <c r="I4845" s="1128">
        <v>1557.6495833057897</v>
      </c>
      <c r="J4845" s="1125">
        <v>1595.4751794018184</v>
      </c>
      <c r="K4845">
        <v>320.99645861224656</v>
      </c>
      <c r="L4845" s="591">
        <v>527123.28767123283</v>
      </c>
      <c r="M4845" s="596">
        <v>0</v>
      </c>
    </row>
    <row r="4846" spans="1:13" ht="13">
      <c r="A4846" s="1126">
        <v>45887</v>
      </c>
      <c r="B4846" s="615">
        <v>1500000</v>
      </c>
      <c r="C4846" s="615">
        <v>1588767.1232876712</v>
      </c>
      <c r="D4846" s="532">
        <v>45932</v>
      </c>
      <c r="E4846" s="534">
        <v>45</v>
      </c>
      <c r="F4846" s="601">
        <v>0.48</v>
      </c>
      <c r="G4846" s="1127" t="s">
        <v>258</v>
      </c>
      <c r="H4846" s="1021">
        <v>59178.082191780835</v>
      </c>
      <c r="I4846" s="1128">
        <v>1557.6495833057897</v>
      </c>
      <c r="J4846" s="1125">
        <v>1595.4751794018184</v>
      </c>
      <c r="K4846">
        <v>962.98937583673955</v>
      </c>
      <c r="L4846" s="591">
        <v>1588767.1232876712</v>
      </c>
      <c r="M4846" s="596">
        <v>0</v>
      </c>
    </row>
    <row r="4847" spans="1:13" ht="13">
      <c r="A4847" s="532">
        <v>45883</v>
      </c>
      <c r="B4847" s="615">
        <v>800000</v>
      </c>
      <c r="C4847" s="615">
        <v>847254.79452054796</v>
      </c>
      <c r="D4847" s="532">
        <v>45932</v>
      </c>
      <c r="E4847" s="534">
        <v>49</v>
      </c>
      <c r="F4847" s="601">
        <v>0.44</v>
      </c>
      <c r="G4847" s="1127" t="s">
        <v>258</v>
      </c>
      <c r="H4847" s="1021">
        <v>28931.506849315079</v>
      </c>
      <c r="I4847" s="1128">
        <v>1554.36</v>
      </c>
      <c r="J4847" s="1125">
        <v>1595.4751794018184</v>
      </c>
      <c r="K4847">
        <v>514.6812836151214</v>
      </c>
      <c r="L4847" s="591">
        <v>847254.79452054796</v>
      </c>
      <c r="M4847" s="596">
        <v>0</v>
      </c>
    </row>
    <row r="4848" spans="1:13" ht="13">
      <c r="A4848" s="532">
        <v>45887</v>
      </c>
      <c r="B4848" s="615">
        <v>415000</v>
      </c>
      <c r="C4848" s="615">
        <v>438012.60273972602</v>
      </c>
      <c r="D4848" s="532">
        <v>45933</v>
      </c>
      <c r="E4848" s="534">
        <v>46</v>
      </c>
      <c r="F4848" s="601">
        <v>0.44</v>
      </c>
      <c r="G4848" s="1127" t="s">
        <v>261</v>
      </c>
      <c r="H4848" s="1021">
        <v>15008.219178082187</v>
      </c>
      <c r="I4848" s="1128">
        <v>1557.6495833057897</v>
      </c>
      <c r="J4848" s="1125">
        <v>1596.3260994974994</v>
      </c>
      <c r="K4848">
        <v>266.42706064816463</v>
      </c>
      <c r="L4848" s="591">
        <v>438012.60273972602</v>
      </c>
      <c r="M4848" s="596">
        <v>0</v>
      </c>
    </row>
    <row r="4849" spans="1:13" ht="13">
      <c r="A4849" s="532">
        <v>45887</v>
      </c>
      <c r="B4849" s="615">
        <v>650000</v>
      </c>
      <c r="C4849" s="615">
        <v>689320.54794520547</v>
      </c>
      <c r="D4849" s="532">
        <v>45933</v>
      </c>
      <c r="E4849" s="534">
        <v>46</v>
      </c>
      <c r="F4849" s="601">
        <v>0.48</v>
      </c>
      <c r="G4849" s="1127" t="s">
        <v>262</v>
      </c>
      <c r="H4849" s="1021">
        <v>25643.835616438351</v>
      </c>
      <c r="I4849" s="1128">
        <v>1557.6495833057897</v>
      </c>
      <c r="J4849" s="1125">
        <v>1596.3260994974994</v>
      </c>
      <c r="K4849">
        <v>417.29539619592049</v>
      </c>
      <c r="L4849" s="591">
        <v>689320.54794520547</v>
      </c>
      <c r="M4849" s="596">
        <v>0</v>
      </c>
    </row>
    <row r="4850" spans="1:13" ht="13">
      <c r="A4850" s="532">
        <v>45887</v>
      </c>
      <c r="B4850" s="615">
        <v>1800000</v>
      </c>
      <c r="C4850" s="615">
        <v>1908887.6712328768</v>
      </c>
      <c r="D4850" s="532">
        <v>45933</v>
      </c>
      <c r="E4850" s="534">
        <v>46</v>
      </c>
      <c r="F4850" s="601">
        <v>0.48</v>
      </c>
      <c r="G4850" s="1127" t="s">
        <v>258</v>
      </c>
      <c r="H4850" s="1021">
        <v>71013.698630137063</v>
      </c>
      <c r="I4850" s="1128">
        <v>1557.6495833057897</v>
      </c>
      <c r="J4850" s="1125">
        <v>1596.3260994974994</v>
      </c>
      <c r="K4850">
        <v>1155.5872510040874</v>
      </c>
      <c r="L4850" s="591">
        <v>1908887.6712328768</v>
      </c>
      <c r="M4850" s="596">
        <v>0</v>
      </c>
    </row>
    <row r="4851" spans="1:13" ht="13">
      <c r="A4851" s="532">
        <v>45888</v>
      </c>
      <c r="B4851" s="615">
        <v>1328000</v>
      </c>
      <c r="C4851" s="615">
        <v>1409208.1095890412</v>
      </c>
      <c r="D4851" s="532">
        <v>45936</v>
      </c>
      <c r="E4851" s="534">
        <v>48</v>
      </c>
      <c r="F4851" s="601">
        <v>0.46500000000000002</v>
      </c>
      <c r="G4851" s="1127" t="s">
        <v>260</v>
      </c>
      <c r="H4851" s="1021">
        <v>50755.068493150757</v>
      </c>
      <c r="I4851" s="1128">
        <v>1558.4803297502194</v>
      </c>
      <c r="J4851" s="1125">
        <v>1598.8815836971353</v>
      </c>
      <c r="K4851">
        <v>852.11213426918323</v>
      </c>
      <c r="L4851" s="591">
        <v>1409208.1095890412</v>
      </c>
      <c r="M4851" s="596">
        <v>0</v>
      </c>
    </row>
    <row r="4852" spans="1:13" ht="13">
      <c r="A4852" s="532">
        <v>45888</v>
      </c>
      <c r="B4852" s="615">
        <v>900000</v>
      </c>
      <c r="C4852" s="615">
        <v>965095.89041095891</v>
      </c>
      <c r="D4852" s="532">
        <v>45936</v>
      </c>
      <c r="E4852" s="534">
        <v>48</v>
      </c>
      <c r="F4852" s="601">
        <v>0.55000000000000004</v>
      </c>
      <c r="G4852" s="1127" t="s">
        <v>258</v>
      </c>
      <c r="H4852" s="1021">
        <v>2038.3561643835565</v>
      </c>
      <c r="I4852" s="1128">
        <v>1558.4803297502194</v>
      </c>
      <c r="J4852" s="1125">
        <v>1598.8815836971353</v>
      </c>
      <c r="K4852">
        <v>577.48563316435616</v>
      </c>
      <c r="L4852" s="591">
        <v>965095.89041095891</v>
      </c>
      <c r="M4852" s="596" t="e">
        <v>#VALUE!</v>
      </c>
    </row>
    <row r="4853" spans="1:13" ht="13">
      <c r="A4853" s="532">
        <v>45887</v>
      </c>
      <c r="B4853" s="615">
        <v>1000000</v>
      </c>
      <c r="C4853" s="615">
        <v>1064438.3561643835</v>
      </c>
      <c r="D4853" s="532">
        <v>45936</v>
      </c>
      <c r="E4853" s="534">
        <v>49</v>
      </c>
      <c r="F4853" s="601">
        <v>0.48</v>
      </c>
      <c r="G4853" s="1127" t="s">
        <v>258</v>
      </c>
      <c r="H4853" s="1021">
        <v>39452.054794520489</v>
      </c>
      <c r="I4853" s="1128">
        <v>1557.6495833057897</v>
      </c>
      <c r="J4853" s="1125">
        <v>1598.8815836971353</v>
      </c>
      <c r="K4853">
        <v>641.99291722449311</v>
      </c>
      <c r="L4853" s="591">
        <v>1064438.3561643835</v>
      </c>
      <c r="M4853" s="596">
        <v>0</v>
      </c>
    </row>
    <row r="4854" spans="1:13" ht="13">
      <c r="A4854" s="532">
        <v>45754</v>
      </c>
      <c r="B4854" s="615">
        <v>600000</v>
      </c>
      <c r="C4854" s="615">
        <v>686939.31091557746</v>
      </c>
      <c r="D4854" s="532">
        <v>45936</v>
      </c>
      <c r="E4854" s="534">
        <v>182</v>
      </c>
      <c r="F4854" s="601">
        <v>0.14489885152596238</v>
      </c>
      <c r="G4854" s="1127" t="s">
        <v>266</v>
      </c>
      <c r="H4854" s="1021">
        <v>14330.655645424855</v>
      </c>
      <c r="I4854" s="1128">
        <v>1403.49</v>
      </c>
      <c r="J4854" s="1125">
        <v>1598.8815836971353</v>
      </c>
      <c r="K4854">
        <v>427.50571788897679</v>
      </c>
      <c r="L4854" s="591">
        <v>686939.31091557757</v>
      </c>
      <c r="M4854" s="596">
        <v>0</v>
      </c>
    </row>
    <row r="4855" spans="1:13" ht="13">
      <c r="A4855" s="532">
        <v>45889</v>
      </c>
      <c r="B4855" s="615">
        <v>1150000</v>
      </c>
      <c r="C4855" s="615">
        <v>1227128.7671232875</v>
      </c>
      <c r="D4855" s="532">
        <v>45937</v>
      </c>
      <c r="E4855" s="534">
        <v>48</v>
      </c>
      <c r="F4855" s="601">
        <v>0.51</v>
      </c>
      <c r="G4855" s="1127" t="s">
        <v>258</v>
      </c>
      <c r="H4855" s="1021">
        <v>48205.479452054715</v>
      </c>
      <c r="I4855" s="1128">
        <v>1559.3115192594194</v>
      </c>
      <c r="J4855" s="1125">
        <v>1599.7343205417737</v>
      </c>
      <c r="K4855">
        <v>737.5049730577133</v>
      </c>
      <c r="L4855" s="591">
        <v>1227128.7671232875</v>
      </c>
      <c r="M4855" s="596">
        <v>0</v>
      </c>
    </row>
    <row r="4856" spans="1:13" ht="13">
      <c r="A4856" s="532">
        <v>45889</v>
      </c>
      <c r="B4856" s="615">
        <v>459000</v>
      </c>
      <c r="C4856" s="615">
        <v>672435</v>
      </c>
      <c r="D4856" s="532">
        <v>45937</v>
      </c>
      <c r="E4856" s="534">
        <v>48</v>
      </c>
      <c r="F4856" s="601">
        <v>0.46500000000000002</v>
      </c>
      <c r="G4856" s="1127" t="s">
        <v>260</v>
      </c>
      <c r="H4856" s="1021">
        <v>133396.875</v>
      </c>
      <c r="I4856" s="1128">
        <v>1559.3115192594194</v>
      </c>
      <c r="J4856" s="1125">
        <v>1599.7343205417737</v>
      </c>
      <c r="K4856">
        <v>294.36068055086122</v>
      </c>
      <c r="L4856" s="591">
        <v>672435</v>
      </c>
      <c r="M4856" s="596">
        <v>0</v>
      </c>
    </row>
    <row r="4857" spans="1:13" ht="13">
      <c r="A4857" s="532">
        <v>45889</v>
      </c>
      <c r="B4857" s="615">
        <v>530000</v>
      </c>
      <c r="C4857" s="615">
        <v>565546.30136986298</v>
      </c>
      <c r="D4857" s="532">
        <v>45937</v>
      </c>
      <c r="E4857" s="534">
        <v>48</v>
      </c>
      <c r="F4857" s="601">
        <v>0.51</v>
      </c>
      <c r="G4857" s="1127" t="s">
        <v>262</v>
      </c>
      <c r="H4857" s="1021">
        <v>22216.438356164363</v>
      </c>
      <c r="I4857" s="1128">
        <v>1559.3115192594194</v>
      </c>
      <c r="J4857" s="1125">
        <v>1599.7343205417737</v>
      </c>
      <c r="K4857">
        <v>339.89359627877218</v>
      </c>
      <c r="L4857" s="591">
        <v>565546.30136986298</v>
      </c>
      <c r="M4857" s="596">
        <v>0</v>
      </c>
    </row>
    <row r="4858" spans="1:13" ht="13">
      <c r="A4858" s="532">
        <v>45888</v>
      </c>
      <c r="B4858" s="615">
        <v>620000</v>
      </c>
      <c r="C4858" s="615">
        <v>665778.08219178079</v>
      </c>
      <c r="D4858" s="532">
        <v>45937</v>
      </c>
      <c r="E4858" s="534">
        <v>49</v>
      </c>
      <c r="F4858" s="601">
        <v>0.55000000000000004</v>
      </c>
      <c r="G4858" s="1127" t="s">
        <v>258</v>
      </c>
      <c r="H4858" s="1021">
        <v>3610.4383561643772</v>
      </c>
      <c r="I4858" s="1128">
        <v>1558.4803297502194</v>
      </c>
      <c r="J4858" s="1125">
        <v>1599.7343205417737</v>
      </c>
      <c r="K4858">
        <v>397.82343617988977</v>
      </c>
      <c r="L4858" s="591">
        <v>665778.08219178079</v>
      </c>
      <c r="M4858" s="596" t="e">
        <v>#VALUE!</v>
      </c>
    </row>
    <row r="4859" spans="1:13" ht="13">
      <c r="A4859" s="532">
        <v>45757</v>
      </c>
      <c r="B4859" s="615">
        <v>292000</v>
      </c>
      <c r="C4859" s="615">
        <v>334610.77</v>
      </c>
      <c r="D4859" s="532">
        <v>45937</v>
      </c>
      <c r="E4859" s="534">
        <v>180</v>
      </c>
      <c r="F4859" s="601">
        <v>0.13864566134439782</v>
      </c>
      <c r="G4859" s="1127" t="s">
        <v>264</v>
      </c>
      <c r="H4859" s="1021">
        <v>6747.4221854273637</v>
      </c>
      <c r="I4859" s="1128">
        <v>1408.87</v>
      </c>
      <c r="J4859" s="1125">
        <v>1596.331393696491</v>
      </c>
      <c r="K4859">
        <v>207.25829920432687</v>
      </c>
      <c r="L4859" s="591">
        <v>333193</v>
      </c>
      <c r="M4859" s="596">
        <f>+C4859-L4859</f>
        <v>1417.7700000000186</v>
      </c>
    </row>
    <row r="4860" spans="1:13" ht="13">
      <c r="A4860" s="532">
        <v>45897</v>
      </c>
      <c r="B4860" s="615">
        <v>400000</v>
      </c>
      <c r="C4860" s="615">
        <v>422915.0684931507</v>
      </c>
      <c r="D4860" s="532">
        <v>45938</v>
      </c>
      <c r="E4860" s="534">
        <v>41</v>
      </c>
      <c r="F4860" s="601">
        <v>0.51</v>
      </c>
      <c r="G4860" s="1127" t="s">
        <v>257</v>
      </c>
      <c r="H4860" s="1021">
        <v>16767.123287671246</v>
      </c>
      <c r="I4860" s="1128">
        <v>1565.9770140473809</v>
      </c>
      <c r="J4860" s="1125">
        <v>1600.5875121793958</v>
      </c>
      <c r="K4860">
        <v>255.43159089300491</v>
      </c>
      <c r="L4860" s="591">
        <v>422915.0684931507</v>
      </c>
      <c r="M4860" s="596">
        <v>0</v>
      </c>
    </row>
    <row r="4861" spans="1:13" ht="13">
      <c r="A4861" s="532">
        <v>45890</v>
      </c>
      <c r="B4861" s="615">
        <v>950000</v>
      </c>
      <c r="C4861" s="615">
        <v>1013715.0684931506</v>
      </c>
      <c r="D4861" s="532">
        <v>45938</v>
      </c>
      <c r="E4861" s="534">
        <v>48</v>
      </c>
      <c r="F4861" s="601">
        <v>0.51</v>
      </c>
      <c r="G4861" s="1127" t="s">
        <v>258</v>
      </c>
      <c r="H4861" s="1021">
        <v>39821.91780821915</v>
      </c>
      <c r="I4861" s="1128">
        <v>1560.143152069691</v>
      </c>
      <c r="J4861" s="1125">
        <v>1600.5875121793958</v>
      </c>
      <c r="K4861">
        <v>608.91848208911267</v>
      </c>
      <c r="L4861" s="591">
        <v>1013715.0684931506</v>
      </c>
      <c r="M4861" s="596">
        <v>0</v>
      </c>
    </row>
    <row r="4862" spans="1:13" ht="13">
      <c r="A4862" s="532">
        <v>45890</v>
      </c>
      <c r="B4862" s="615">
        <v>400000</v>
      </c>
      <c r="C4862" s="615">
        <v>426827.39726027398</v>
      </c>
      <c r="D4862" s="532">
        <v>45938</v>
      </c>
      <c r="E4862" s="534">
        <v>48</v>
      </c>
      <c r="F4862" s="601">
        <v>0.51</v>
      </c>
      <c r="G4862" s="1127" t="s">
        <v>262</v>
      </c>
      <c r="H4862" s="1021">
        <v>16767.123287671238</v>
      </c>
      <c r="I4862" s="1128">
        <v>1560.143152069691</v>
      </c>
      <c r="J4862" s="1125">
        <v>1600.5875121793958</v>
      </c>
      <c r="K4862">
        <v>256.38672930067901</v>
      </c>
      <c r="L4862" s="591">
        <v>426827.39726027398</v>
      </c>
      <c r="M4862" s="596">
        <v>0</v>
      </c>
    </row>
    <row r="4863" spans="1:13" ht="13">
      <c r="A4863" s="532">
        <v>45889</v>
      </c>
      <c r="B4863" s="615">
        <v>608000</v>
      </c>
      <c r="C4863" s="615">
        <v>649627.17808219173</v>
      </c>
      <c r="D4863" s="532">
        <v>45938</v>
      </c>
      <c r="E4863" s="534">
        <v>49</v>
      </c>
      <c r="F4863" s="601">
        <v>0.51</v>
      </c>
      <c r="G4863" s="1127" t="s">
        <v>258</v>
      </c>
      <c r="H4863" s="1021">
        <v>25486.027397260244</v>
      </c>
      <c r="I4863" s="1128">
        <v>1559.3115192594194</v>
      </c>
      <c r="J4863" s="1125">
        <v>1600.5875121793958</v>
      </c>
      <c r="K4863">
        <v>389.91567271225188</v>
      </c>
      <c r="L4863" s="591">
        <v>649627.17808219173</v>
      </c>
      <c r="M4863" s="596">
        <v>0</v>
      </c>
    </row>
    <row r="4864" spans="1:13" ht="13">
      <c r="A4864" s="532">
        <v>45889</v>
      </c>
      <c r="B4864" s="615">
        <v>518000</v>
      </c>
      <c r="C4864" s="615">
        <v>553465.26027397264</v>
      </c>
      <c r="D4864" s="532">
        <v>45938</v>
      </c>
      <c r="E4864" s="534">
        <v>49</v>
      </c>
      <c r="F4864" s="601">
        <v>0.51</v>
      </c>
      <c r="G4864" s="1127" t="s">
        <v>258</v>
      </c>
      <c r="H4864" s="1021">
        <v>21713.424657534269</v>
      </c>
      <c r="I4864" s="1128">
        <v>1559.3115192594194</v>
      </c>
      <c r="J4864" s="1125">
        <v>1600.5875121793958</v>
      </c>
      <c r="K4864">
        <v>332.19789221208299</v>
      </c>
      <c r="L4864" s="591">
        <v>553465.26027397264</v>
      </c>
      <c r="M4864" s="596">
        <v>0</v>
      </c>
    </row>
    <row r="4865" spans="1:13" ht="13">
      <c r="A4865" s="532">
        <v>45891</v>
      </c>
      <c r="B4865" s="615">
        <v>391000</v>
      </c>
      <c r="C4865" s="615">
        <v>413624.43835616438</v>
      </c>
      <c r="D4865" s="532">
        <v>45939</v>
      </c>
      <c r="E4865" s="534">
        <v>48</v>
      </c>
      <c r="F4865" s="601">
        <v>0.44</v>
      </c>
      <c r="G4865" s="1127" t="s">
        <v>264</v>
      </c>
      <c r="H4865" s="1021">
        <v>14140.273972602736</v>
      </c>
      <c r="I4865" s="1128">
        <v>1560.9752284174615</v>
      </c>
      <c r="J4865" s="1125">
        <v>1601.4411588525581</v>
      </c>
      <c r="K4865">
        <v>250.4844361921113</v>
      </c>
      <c r="L4865" s="591">
        <v>413624.43835616438</v>
      </c>
      <c r="M4865" s="596">
        <v>0</v>
      </c>
    </row>
    <row r="4866" spans="1:13" ht="13">
      <c r="A4866" s="532">
        <v>45890</v>
      </c>
      <c r="B4866" s="615">
        <v>800000</v>
      </c>
      <c r="C4866" s="615">
        <v>846180.82191780827</v>
      </c>
      <c r="D4866" s="532">
        <v>45939</v>
      </c>
      <c r="E4866" s="534">
        <v>49</v>
      </c>
      <c r="F4866" s="601">
        <v>0.43</v>
      </c>
      <c r="G4866" s="1127" t="s">
        <v>256</v>
      </c>
      <c r="H4866" s="1021">
        <v>28273.972602739756</v>
      </c>
      <c r="I4866" s="1128">
        <v>1560.143152069691</v>
      </c>
      <c r="J4866" s="1125">
        <v>1601.4411588525581</v>
      </c>
      <c r="K4866">
        <v>512.77345860135802</v>
      </c>
      <c r="L4866" s="591">
        <v>846180.82191780827</v>
      </c>
      <c r="M4866" s="596">
        <v>0</v>
      </c>
    </row>
    <row r="4867" spans="1:13" ht="13">
      <c r="A4867" s="532">
        <v>45890</v>
      </c>
      <c r="B4867" s="615">
        <v>950000</v>
      </c>
      <c r="C4867" s="615">
        <v>1015042.4657534247</v>
      </c>
      <c r="D4867" s="532">
        <v>45939</v>
      </c>
      <c r="E4867" s="534">
        <v>49</v>
      </c>
      <c r="F4867" s="601">
        <v>0.51</v>
      </c>
      <c r="G4867" s="1127" t="s">
        <v>258</v>
      </c>
      <c r="H4867" s="1021">
        <v>39821.917808219187</v>
      </c>
      <c r="I4867" s="1128">
        <v>1560.143152069691</v>
      </c>
      <c r="J4867" s="1125">
        <v>1601.4411588525581</v>
      </c>
      <c r="K4867">
        <v>608.91848208911267</v>
      </c>
      <c r="L4867" s="591">
        <v>1015042.4657534247</v>
      </c>
      <c r="M4867" s="596">
        <v>0</v>
      </c>
    </row>
    <row r="4868" spans="1:13" ht="13">
      <c r="A4868" s="532">
        <v>45890</v>
      </c>
      <c r="B4868" s="615">
        <v>300000</v>
      </c>
      <c r="C4868" s="615">
        <v>320539.72602739726</v>
      </c>
      <c r="D4868" s="532">
        <v>45939</v>
      </c>
      <c r="E4868" s="534">
        <v>49</v>
      </c>
      <c r="F4868" s="601">
        <v>0.51</v>
      </c>
      <c r="G4868" s="1127" t="s">
        <v>258</v>
      </c>
      <c r="H4868" s="1021">
        <v>12575.342465753427</v>
      </c>
      <c r="I4868" s="1128">
        <v>1560.143152069691</v>
      </c>
      <c r="J4868" s="1125">
        <v>1601.4411588525581</v>
      </c>
      <c r="K4868">
        <v>192.29004697550928</v>
      </c>
      <c r="L4868" s="591">
        <v>320539.72602739726</v>
      </c>
      <c r="M4868" s="596">
        <v>0</v>
      </c>
    </row>
    <row r="4869" spans="1:13" ht="13">
      <c r="A4869" s="532">
        <v>45890</v>
      </c>
      <c r="B4869" s="615">
        <v>400000</v>
      </c>
      <c r="C4869" s="615">
        <v>427386.30136986304</v>
      </c>
      <c r="D4869" s="532">
        <v>45939</v>
      </c>
      <c r="E4869" s="534">
        <v>49</v>
      </c>
      <c r="F4869" s="601">
        <v>0.51</v>
      </c>
      <c r="G4869" s="1127" t="s">
        <v>262</v>
      </c>
      <c r="H4869" s="1021">
        <v>16767.123287671246</v>
      </c>
      <c r="I4869" s="1128">
        <v>1560.143152069691</v>
      </c>
      <c r="J4869" s="1125">
        <v>1601.4411588525581</v>
      </c>
      <c r="K4869">
        <v>256.38672930067901</v>
      </c>
      <c r="L4869" s="591">
        <v>427386.30136986304</v>
      </c>
      <c r="M4869" s="596">
        <v>0</v>
      </c>
    </row>
    <row r="4870" spans="1:13" ht="13">
      <c r="A4870" s="532">
        <v>45894</v>
      </c>
      <c r="B4870" s="615">
        <v>583000</v>
      </c>
      <c r="C4870" s="615">
        <v>615328.54794520547</v>
      </c>
      <c r="D4870" s="532">
        <v>45940</v>
      </c>
      <c r="E4870" s="534">
        <v>46</v>
      </c>
      <c r="F4870" s="601">
        <v>0.44</v>
      </c>
      <c r="G4870" s="1127" t="s">
        <v>261</v>
      </c>
      <c r="H4870" s="1021">
        <v>21083.835616438351</v>
      </c>
      <c r="I4870" s="1128">
        <v>1563.4741210519301</v>
      </c>
      <c r="J4870" s="1125">
        <v>1602.2952608039461</v>
      </c>
      <c r="K4870">
        <v>372.88752794177901</v>
      </c>
      <c r="L4870" s="591">
        <v>615328.54794520547</v>
      </c>
      <c r="M4870" s="596">
        <v>0</v>
      </c>
    </row>
    <row r="4871" spans="1:13" ht="13">
      <c r="A4871" s="532">
        <v>45894</v>
      </c>
      <c r="B4871" s="615">
        <v>500000</v>
      </c>
      <c r="C4871" s="615">
        <v>531821.91780821921</v>
      </c>
      <c r="D4871" s="532">
        <v>45940</v>
      </c>
      <c r="E4871" s="534">
        <v>46</v>
      </c>
      <c r="F4871" s="601">
        <v>0.505</v>
      </c>
      <c r="G4871" s="1127" t="s">
        <v>260</v>
      </c>
      <c r="H4871" s="1021">
        <v>20753.424657534266</v>
      </c>
      <c r="I4871" s="1128">
        <v>1563.4741210519301</v>
      </c>
      <c r="J4871" s="1125">
        <v>1602.2952608039461</v>
      </c>
      <c r="K4871">
        <v>319.80062430684308</v>
      </c>
      <c r="L4871" s="591">
        <v>531821.91780821921</v>
      </c>
      <c r="M4871" s="596">
        <v>0</v>
      </c>
    </row>
    <row r="4872" spans="1:13" ht="13">
      <c r="A4872" s="532">
        <v>45891</v>
      </c>
      <c r="B4872" s="615">
        <v>1100000</v>
      </c>
      <c r="C4872" s="615">
        <v>1175312.3287671232</v>
      </c>
      <c r="D4872" s="532">
        <v>45940</v>
      </c>
      <c r="E4872" s="534">
        <v>49</v>
      </c>
      <c r="F4872" s="601">
        <v>0.51</v>
      </c>
      <c r="G4872" s="1127" t="s">
        <v>258</v>
      </c>
      <c r="H4872" s="1021">
        <v>46109.589041095816</v>
      </c>
      <c r="I4872" s="1128">
        <v>1560.9752284174615</v>
      </c>
      <c r="J4872" s="1125">
        <v>1602.2952608039461</v>
      </c>
      <c r="K4872">
        <v>704.68767215171977</v>
      </c>
      <c r="L4872" s="591">
        <v>1175312.3287671232</v>
      </c>
      <c r="M4872" s="596">
        <v>0</v>
      </c>
    </row>
    <row r="4873" spans="1:13" ht="13">
      <c r="A4873" s="532">
        <v>45891</v>
      </c>
      <c r="B4873" s="615">
        <v>600000</v>
      </c>
      <c r="C4873" s="615">
        <v>634635.61643835611</v>
      </c>
      <c r="D4873" s="532">
        <v>45940</v>
      </c>
      <c r="E4873" s="534">
        <v>49</v>
      </c>
      <c r="F4873" s="601">
        <v>0.43</v>
      </c>
      <c r="G4873" s="1127" t="s">
        <v>265</v>
      </c>
      <c r="H4873" s="1021">
        <v>21205.479452054762</v>
      </c>
      <c r="I4873" s="1128">
        <v>1560.9752284174615</v>
      </c>
      <c r="J4873" s="1125">
        <v>1602.2952608039461</v>
      </c>
      <c r="K4873">
        <v>384.37509390093805</v>
      </c>
      <c r="L4873" s="591">
        <v>634635.61643835611</v>
      </c>
      <c r="M4873" s="596">
        <v>0</v>
      </c>
    </row>
    <row r="4874" spans="1:13" ht="13">
      <c r="A4874" s="532">
        <v>45894</v>
      </c>
      <c r="B4874" s="615">
        <v>583000</v>
      </c>
      <c r="C4874" s="615">
        <v>617436.93150684936</v>
      </c>
      <c r="D4874" s="532">
        <v>45943</v>
      </c>
      <c r="E4874" s="534">
        <v>49</v>
      </c>
      <c r="F4874" s="601">
        <v>0.44</v>
      </c>
      <c r="G4874" s="1127" t="s">
        <v>261</v>
      </c>
      <c r="H4874" s="1021">
        <v>21083.835616438384</v>
      </c>
      <c r="I4874" s="1128">
        <v>1563.4741210519301</v>
      </c>
      <c r="J4874" s="1125">
        <v>1604.8603007562622</v>
      </c>
      <c r="K4874">
        <v>372.88752794177901</v>
      </c>
      <c r="L4874" s="591">
        <v>617436.93150684936</v>
      </c>
      <c r="M4874" s="596">
        <v>0</v>
      </c>
    </row>
    <row r="4875" spans="1:13" ht="13">
      <c r="A4875" s="532">
        <v>45894</v>
      </c>
      <c r="B4875" s="615">
        <v>1700000</v>
      </c>
      <c r="C4875" s="615">
        <v>1816391.7808219178</v>
      </c>
      <c r="D4875" s="532">
        <v>45943</v>
      </c>
      <c r="E4875" s="534">
        <v>49</v>
      </c>
      <c r="F4875" s="601">
        <v>0.51</v>
      </c>
      <c r="G4875" s="1127" t="s">
        <v>258</v>
      </c>
      <c r="H4875" s="1021">
        <v>71260.273972602736</v>
      </c>
      <c r="I4875" s="1128">
        <v>1563.4741210519301</v>
      </c>
      <c r="J4875" s="1125">
        <v>1604.8603007562622</v>
      </c>
      <c r="K4875">
        <v>1087.3221226432665</v>
      </c>
      <c r="L4875" s="591">
        <v>1816391.7808219178</v>
      </c>
      <c r="M4875" s="596">
        <v>0</v>
      </c>
    </row>
    <row r="4876" spans="1:13" ht="13">
      <c r="A4876" s="532">
        <v>45891</v>
      </c>
      <c r="B4876" s="615">
        <v>1100000</v>
      </c>
      <c r="C4876" s="615">
        <v>1179923.2876712328</v>
      </c>
      <c r="D4876" s="532">
        <v>45943</v>
      </c>
      <c r="E4876" s="534">
        <v>52</v>
      </c>
      <c r="F4876" s="601">
        <v>0.51</v>
      </c>
      <c r="G4876" s="1127" t="s">
        <v>258</v>
      </c>
      <c r="H4876" s="1021">
        <v>46109.58904109586</v>
      </c>
      <c r="I4876" s="1128">
        <v>1560.9752284174615</v>
      </c>
      <c r="J4876" s="1125">
        <v>1604.8603007562622</v>
      </c>
      <c r="K4876">
        <v>704.68767215171977</v>
      </c>
      <c r="L4876" s="591">
        <v>1179923.2876712328</v>
      </c>
      <c r="M4876" s="596">
        <v>0</v>
      </c>
    </row>
    <row r="4877" spans="1:13" ht="13">
      <c r="A4877" s="532">
        <v>45891</v>
      </c>
      <c r="B4877" s="615">
        <v>600000</v>
      </c>
      <c r="C4877" s="615">
        <v>636756.1643835617</v>
      </c>
      <c r="D4877" s="532">
        <v>45943</v>
      </c>
      <c r="E4877" s="534">
        <v>52</v>
      </c>
      <c r="F4877" s="601">
        <v>0.43</v>
      </c>
      <c r="G4877" s="1127" t="s">
        <v>265</v>
      </c>
      <c r="H4877" s="1021">
        <v>21205.479452054828</v>
      </c>
      <c r="I4877" s="1128">
        <v>1560.9752284174615</v>
      </c>
      <c r="J4877" s="1125">
        <v>1604.8603007562622</v>
      </c>
      <c r="K4877">
        <v>384.37509390093805</v>
      </c>
      <c r="L4877" s="591">
        <v>636756.1643835617</v>
      </c>
      <c r="M4877" s="596">
        <v>0</v>
      </c>
    </row>
    <row r="4878" spans="1:13" ht="13">
      <c r="A4878" s="532">
        <v>45909</v>
      </c>
      <c r="B4878" s="615">
        <v>250000</v>
      </c>
      <c r="C4878" s="615">
        <v>260479.45205479453</v>
      </c>
      <c r="D4878" s="532">
        <v>45943</v>
      </c>
      <c r="E4878" s="534">
        <v>34</v>
      </c>
      <c r="F4878" s="601">
        <v>0.45</v>
      </c>
      <c r="G4878" s="1127" t="s">
        <v>265</v>
      </c>
      <c r="H4878" s="1021">
        <v>9246.5753424657596</v>
      </c>
      <c r="I4878" s="1128">
        <v>1576.0287178727235</v>
      </c>
      <c r="J4878" s="1125">
        <v>1604.8603007562622</v>
      </c>
      <c r="K4878">
        <v>158.62655113127795</v>
      </c>
      <c r="L4878" s="591">
        <v>260479.45205479453</v>
      </c>
      <c r="M4878" s="596">
        <v>0</v>
      </c>
    </row>
    <row r="4879" spans="1:13" ht="13">
      <c r="A4879" s="532">
        <v>45894</v>
      </c>
      <c r="B4879" s="615">
        <v>942000</v>
      </c>
      <c r="C4879" s="615">
        <v>1005862.4383561644</v>
      </c>
      <c r="D4879" s="532">
        <v>45943</v>
      </c>
      <c r="E4879" s="534">
        <v>49</v>
      </c>
      <c r="F4879" s="601">
        <v>0.505</v>
      </c>
      <c r="G4879" s="1127" t="s">
        <v>260</v>
      </c>
      <c r="H4879" s="1021">
        <v>39099.452054794521</v>
      </c>
      <c r="I4879" s="1128">
        <v>1563.4741210519301</v>
      </c>
      <c r="J4879" s="1125">
        <v>1604.8603007562622</v>
      </c>
      <c r="K4879">
        <v>602.5043761940924</v>
      </c>
      <c r="L4879" s="591">
        <v>1005862.4383561644</v>
      </c>
      <c r="M4879" s="596">
        <v>0</v>
      </c>
    </row>
    <row r="4880" spans="1:13" ht="13">
      <c r="A4880" s="532">
        <v>45894</v>
      </c>
      <c r="B4880" s="615">
        <v>500000</v>
      </c>
      <c r="C4880" s="615">
        <v>533897.26027397264</v>
      </c>
      <c r="D4880" s="532">
        <v>45943</v>
      </c>
      <c r="E4880" s="534">
        <v>49</v>
      </c>
      <c r="F4880" s="601">
        <v>0.505</v>
      </c>
      <c r="G4880" s="1127" t="s">
        <v>260</v>
      </c>
      <c r="H4880" s="1021">
        <v>20753.424657534269</v>
      </c>
      <c r="I4880" s="1128">
        <v>1563.4741210519301</v>
      </c>
      <c r="J4880" s="1125">
        <v>1604.8603007562622</v>
      </c>
      <c r="K4880">
        <v>319.80062430684308</v>
      </c>
      <c r="L4880" s="591">
        <v>533897.26027397264</v>
      </c>
      <c r="M4880" s="596">
        <v>0</v>
      </c>
    </row>
    <row r="4881" spans="1:13" ht="13">
      <c r="A4881" s="532">
        <v>45909</v>
      </c>
      <c r="B4881" s="615">
        <v>250000</v>
      </c>
      <c r="C4881" s="615">
        <v>260787.67123287672</v>
      </c>
      <c r="D4881" s="532">
        <v>45944</v>
      </c>
      <c r="E4881" s="534">
        <v>35</v>
      </c>
      <c r="F4881" s="601">
        <v>0.45</v>
      </c>
      <c r="G4881" s="1127" t="s">
        <v>265</v>
      </c>
      <c r="H4881" s="1021">
        <v>9246.5753424657578</v>
      </c>
      <c r="I4881" s="1128">
        <v>1576.0287178727235</v>
      </c>
      <c r="J4881" s="1125">
        <v>1605.7162262499987</v>
      </c>
      <c r="K4881">
        <v>158.62655113127795</v>
      </c>
      <c r="L4881" s="591">
        <v>260787.67123287672</v>
      </c>
      <c r="M4881" s="596">
        <v>0</v>
      </c>
    </row>
    <row r="4882" spans="1:13" ht="13">
      <c r="A4882" s="532">
        <v>45896</v>
      </c>
      <c r="B4882" s="615">
        <v>900000</v>
      </c>
      <c r="C4882" s="615">
        <v>967463.01369863015</v>
      </c>
      <c r="D4882" s="532">
        <v>45944</v>
      </c>
      <c r="E4882" s="534">
        <v>48</v>
      </c>
      <c r="F4882" s="601">
        <v>0.56999999999999995</v>
      </c>
      <c r="G4882" s="1127" t="s">
        <v>260</v>
      </c>
      <c r="H4882" s="1021">
        <v>42164.383561643845</v>
      </c>
      <c r="I4882" s="1128">
        <v>1565.1422715025797</v>
      </c>
      <c r="J4882" s="1125">
        <v>1605.7162262499987</v>
      </c>
      <c r="K4882">
        <v>575.02759741833256</v>
      </c>
      <c r="L4882" s="591">
        <v>967463.01369863015</v>
      </c>
      <c r="M4882" s="596">
        <v>0</v>
      </c>
    </row>
    <row r="4883" spans="1:13" ht="13">
      <c r="A4883" s="532">
        <v>45895</v>
      </c>
      <c r="B4883" s="615">
        <v>519000</v>
      </c>
      <c r="C4883" s="615">
        <v>551746.76712328766</v>
      </c>
      <c r="D4883" s="532">
        <v>45944</v>
      </c>
      <c r="E4883" s="534">
        <v>49</v>
      </c>
      <c r="F4883" s="601">
        <v>0.47</v>
      </c>
      <c r="G4883" s="1127" t="s">
        <v>264</v>
      </c>
      <c r="H4883" s="1021">
        <v>20049.041095890407</v>
      </c>
      <c r="I4883" s="1128">
        <v>1564.3079739164909</v>
      </c>
      <c r="J4883" s="1125">
        <v>1605.7162262499987</v>
      </c>
      <c r="K4883">
        <v>331.77610077675558</v>
      </c>
      <c r="L4883" s="591">
        <v>551746.76712328766</v>
      </c>
      <c r="M4883" s="596">
        <v>0</v>
      </c>
    </row>
    <row r="4884" spans="1:13" ht="13">
      <c r="A4884" s="532">
        <v>45895</v>
      </c>
      <c r="B4884" s="615">
        <v>550000</v>
      </c>
      <c r="C4884" s="615">
        <v>592086.30136986298</v>
      </c>
      <c r="D4884" s="532">
        <v>45944</v>
      </c>
      <c r="E4884" s="534">
        <v>49</v>
      </c>
      <c r="F4884" s="601">
        <v>0.56999999999999995</v>
      </c>
      <c r="G4884" s="1127" t="s">
        <v>260</v>
      </c>
      <c r="H4884" s="1021">
        <v>25767.123287671213</v>
      </c>
      <c r="I4884" s="1128">
        <v>1564.3079739164909</v>
      </c>
      <c r="J4884" s="1125">
        <v>1605.7162262499987</v>
      </c>
      <c r="K4884">
        <v>351.59317037999142</v>
      </c>
      <c r="L4884" s="591">
        <v>592086.30136986298</v>
      </c>
      <c r="M4884" s="596">
        <v>0</v>
      </c>
    </row>
    <row r="4885" spans="1:13" ht="13">
      <c r="A4885" s="532">
        <v>45895</v>
      </c>
      <c r="B4885" s="615">
        <v>700000</v>
      </c>
      <c r="C4885" s="615">
        <v>747926.0273972603</v>
      </c>
      <c r="D4885" s="532">
        <v>45944</v>
      </c>
      <c r="E4885" s="534">
        <v>49</v>
      </c>
      <c r="F4885" s="601">
        <v>0.51</v>
      </c>
      <c r="G4885" s="1127" t="s">
        <v>258</v>
      </c>
      <c r="H4885" s="1021">
        <v>29342.465753424676</v>
      </c>
      <c r="I4885" s="1128">
        <v>1564.3079739164909</v>
      </c>
      <c r="J4885" s="1125">
        <v>1605.7162262499987</v>
      </c>
      <c r="K4885">
        <v>447.48221684726184</v>
      </c>
      <c r="L4885" s="591">
        <v>747926.0273972603</v>
      </c>
      <c r="M4885" s="596">
        <v>0</v>
      </c>
    </row>
    <row r="4886" spans="1:13" ht="13">
      <c r="A4886" s="532">
        <v>45895</v>
      </c>
      <c r="B4886" s="615">
        <v>200000</v>
      </c>
      <c r="C4886" s="615">
        <v>213693.15068493152</v>
      </c>
      <c r="D4886" s="532">
        <v>45944</v>
      </c>
      <c r="E4886" s="534">
        <v>49</v>
      </c>
      <c r="F4886" s="601">
        <v>0.51</v>
      </c>
      <c r="G4886" s="1127" t="s">
        <v>258</v>
      </c>
      <c r="H4886" s="1021">
        <v>8383.5616438356228</v>
      </c>
      <c r="I4886" s="1128">
        <v>1564.3079739164909</v>
      </c>
      <c r="J4886" s="1125">
        <v>1605.7162262499987</v>
      </c>
      <c r="K4886">
        <v>127.85206195636053</v>
      </c>
      <c r="L4886" s="591">
        <v>213693.15068493152</v>
      </c>
      <c r="M4886" s="596">
        <v>0</v>
      </c>
    </row>
    <row r="4887" spans="1:13" ht="13">
      <c r="A4887" s="532">
        <v>45897</v>
      </c>
      <c r="B4887" s="615">
        <v>900000</v>
      </c>
      <c r="C4887" s="615">
        <v>960361.64383561641</v>
      </c>
      <c r="D4887" s="532">
        <v>45945</v>
      </c>
      <c r="E4887" s="534">
        <v>48</v>
      </c>
      <c r="F4887" s="601">
        <v>0.51</v>
      </c>
      <c r="G4887" s="1127" t="s">
        <v>257</v>
      </c>
      <c r="H4887" s="1021">
        <v>37726.027397260259</v>
      </c>
      <c r="I4887" s="1128">
        <v>1565.9770140473809</v>
      </c>
      <c r="J4887" s="1125">
        <v>1606.5726082373319</v>
      </c>
      <c r="K4887">
        <v>574.72107950926102</v>
      </c>
      <c r="L4887" s="591">
        <v>960361.64383561641</v>
      </c>
      <c r="M4887" s="596">
        <v>0</v>
      </c>
    </row>
    <row r="4888" spans="1:13" ht="13">
      <c r="A4888" s="532">
        <v>45896</v>
      </c>
      <c r="B4888" s="615">
        <v>900000</v>
      </c>
      <c r="C4888" s="615">
        <v>961619.17808219173</v>
      </c>
      <c r="D4888" s="532">
        <v>45945</v>
      </c>
      <c r="E4888" s="534">
        <v>49</v>
      </c>
      <c r="F4888" s="601">
        <v>0.51</v>
      </c>
      <c r="G4888" s="1127" t="s">
        <v>258</v>
      </c>
      <c r="H4888" s="1021">
        <v>37726.027397260244</v>
      </c>
      <c r="I4888" s="1128">
        <v>1565.1422715025797</v>
      </c>
      <c r="J4888" s="1125">
        <v>1606.5726082373319</v>
      </c>
      <c r="K4888">
        <v>575.02759741833256</v>
      </c>
      <c r="L4888" s="591">
        <v>961619.17808219173</v>
      </c>
      <c r="M4888" s="596">
        <v>0</v>
      </c>
    </row>
    <row r="4889" spans="1:13" ht="13">
      <c r="A4889" s="532">
        <v>45895</v>
      </c>
      <c r="B4889" s="615">
        <v>500000</v>
      </c>
      <c r="C4889" s="615">
        <v>539041.09589041094</v>
      </c>
      <c r="D4889" s="532">
        <v>45945</v>
      </c>
      <c r="E4889" s="534">
        <v>50</v>
      </c>
      <c r="F4889" s="601">
        <v>0.56999999999999995</v>
      </c>
      <c r="G4889" s="1127" t="s">
        <v>260</v>
      </c>
      <c r="H4889" s="1021">
        <v>23424.657534246566</v>
      </c>
      <c r="I4889" s="1128">
        <v>1564.3079739164909</v>
      </c>
      <c r="J4889" s="1125">
        <v>1606.5726082373319</v>
      </c>
      <c r="K4889">
        <v>319.63015489090128</v>
      </c>
      <c r="L4889" s="591">
        <v>539041.09589041094</v>
      </c>
      <c r="M4889" s="596">
        <v>0</v>
      </c>
    </row>
    <row r="4890" spans="1:13" ht="13">
      <c r="A4890" s="532">
        <v>45895</v>
      </c>
      <c r="B4890" s="615">
        <v>507000</v>
      </c>
      <c r="C4890" s="615">
        <v>546587.67123287672</v>
      </c>
      <c r="D4890" s="532">
        <v>45945</v>
      </c>
      <c r="E4890" s="534">
        <v>50</v>
      </c>
      <c r="F4890" s="601">
        <v>0.56999999999999995</v>
      </c>
      <c r="G4890" s="1127" t="s">
        <v>260</v>
      </c>
      <c r="H4890" s="1021">
        <v>23752.60273972603</v>
      </c>
      <c r="I4890" s="1128">
        <v>1564.3079739164909</v>
      </c>
      <c r="J4890" s="1125">
        <v>1606.5726082373319</v>
      </c>
      <c r="K4890">
        <v>324.10497705937394</v>
      </c>
      <c r="L4890" s="591">
        <v>546587.67123287672</v>
      </c>
      <c r="M4890" s="596">
        <v>0</v>
      </c>
    </row>
    <row r="4891" spans="1:13" ht="13">
      <c r="A4891" s="532">
        <v>45897</v>
      </c>
      <c r="B4891" s="615">
        <v>730000</v>
      </c>
      <c r="C4891" s="615">
        <v>779980</v>
      </c>
      <c r="D4891" s="532">
        <v>45946</v>
      </c>
      <c r="E4891" s="534">
        <v>49</v>
      </c>
      <c r="F4891" s="601">
        <v>0.51</v>
      </c>
      <c r="G4891" s="1127" t="s">
        <v>258</v>
      </c>
      <c r="H4891" s="1021">
        <v>30600</v>
      </c>
      <c r="I4891" s="1128">
        <v>1565.9770140473809</v>
      </c>
      <c r="J4891" s="1125">
        <v>1607.429446961725</v>
      </c>
      <c r="K4891">
        <v>466.16265337973397</v>
      </c>
      <c r="L4891" s="591">
        <v>779980</v>
      </c>
      <c r="M4891" s="596">
        <v>0</v>
      </c>
    </row>
    <row r="4892" spans="1:13" ht="13">
      <c r="A4892" s="532">
        <v>45897</v>
      </c>
      <c r="B4892" s="615">
        <v>287000</v>
      </c>
      <c r="C4892" s="615">
        <v>306649.67123287672</v>
      </c>
      <c r="D4892" s="532">
        <v>45946</v>
      </c>
      <c r="E4892" s="534">
        <v>49</v>
      </c>
      <c r="F4892" s="601">
        <v>0.51</v>
      </c>
      <c r="G4892" s="1127" t="s">
        <v>257</v>
      </c>
      <c r="H4892" s="1021">
        <v>12030.410958904113</v>
      </c>
      <c r="I4892" s="1128">
        <v>1565.9770140473809</v>
      </c>
      <c r="J4892" s="1125">
        <v>1607.429446961725</v>
      </c>
      <c r="K4892">
        <v>183.27216646573103</v>
      </c>
      <c r="L4892" s="591">
        <v>306649.67123287672</v>
      </c>
      <c r="M4892" s="596">
        <v>0</v>
      </c>
    </row>
    <row r="4893" spans="1:13" ht="13">
      <c r="A4893" s="532">
        <v>45897</v>
      </c>
      <c r="B4893" s="615">
        <v>1100000</v>
      </c>
      <c r="C4893" s="615">
        <v>1173835.6164383562</v>
      </c>
      <c r="D4893" s="532">
        <v>45946</v>
      </c>
      <c r="E4893" s="534">
        <v>49</v>
      </c>
      <c r="F4893" s="601">
        <v>0.5</v>
      </c>
      <c r="G4893" s="1127" t="s">
        <v>262</v>
      </c>
      <c r="H4893" s="1021">
        <v>45205.479452054831</v>
      </c>
      <c r="I4893" s="1128">
        <v>1565.9770140473809</v>
      </c>
      <c r="J4893" s="1125">
        <v>1607.429446961725</v>
      </c>
      <c r="K4893">
        <v>702.43687495576353</v>
      </c>
      <c r="L4893" s="591">
        <v>1173835.6164383562</v>
      </c>
      <c r="M4893" s="596">
        <v>0</v>
      </c>
    </row>
    <row r="4894" spans="1:13" ht="13">
      <c r="A4894" s="532">
        <v>45896</v>
      </c>
      <c r="B4894" s="615">
        <v>320000</v>
      </c>
      <c r="C4894" s="615">
        <v>344986.30136986298</v>
      </c>
      <c r="D4894" s="532">
        <v>45946</v>
      </c>
      <c r="E4894" s="534">
        <v>50</v>
      </c>
      <c r="F4894" s="601">
        <v>0.56999999999999995</v>
      </c>
      <c r="G4894" s="1127" t="s">
        <v>260</v>
      </c>
      <c r="H4894" s="1021">
        <v>14991.780821917788</v>
      </c>
      <c r="I4894" s="1128">
        <v>1565.1422715025797</v>
      </c>
      <c r="J4894" s="1125">
        <v>1607.429446961725</v>
      </c>
      <c r="K4894">
        <v>204.4542568598516</v>
      </c>
      <c r="L4894" s="591">
        <v>344986.30136986298</v>
      </c>
      <c r="M4894" s="596">
        <v>0</v>
      </c>
    </row>
    <row r="4895" spans="1:13" ht="13">
      <c r="A4895" s="532">
        <v>45896</v>
      </c>
      <c r="B4895" s="615">
        <v>150000</v>
      </c>
      <c r="C4895" s="615">
        <v>160479.45205479453</v>
      </c>
      <c r="D4895" s="532">
        <v>45946</v>
      </c>
      <c r="E4895" s="534">
        <v>50</v>
      </c>
      <c r="F4895" s="601">
        <v>0.51</v>
      </c>
      <c r="G4895" s="1127" t="s">
        <v>258</v>
      </c>
      <c r="H4895" s="1021">
        <v>6287.6712328767171</v>
      </c>
      <c r="I4895" s="1128">
        <v>1565.1422715025797</v>
      </c>
      <c r="J4895" s="1125">
        <v>1607.429446961725</v>
      </c>
      <c r="K4895">
        <v>95.837932903055432</v>
      </c>
      <c r="L4895" s="591">
        <v>160479.45205479453</v>
      </c>
      <c r="M4895" s="596">
        <v>0</v>
      </c>
    </row>
    <row r="4896" spans="1:13" ht="13">
      <c r="A4896" s="532">
        <v>45898</v>
      </c>
      <c r="B4896" s="615">
        <v>409000</v>
      </c>
      <c r="C4896" s="615">
        <v>437002.49315068492</v>
      </c>
      <c r="D4896" s="532">
        <v>45947</v>
      </c>
      <c r="E4896" s="534">
        <v>49</v>
      </c>
      <c r="F4896" s="601">
        <v>0.51</v>
      </c>
      <c r="G4896" s="1127" t="s">
        <v>265</v>
      </c>
      <c r="H4896" s="1021">
        <v>17144.38356164383</v>
      </c>
      <c r="I4896" s="1128">
        <v>1566.812201788206</v>
      </c>
      <c r="J4896" s="1125">
        <v>1608.2867426667713</v>
      </c>
      <c r="K4896">
        <v>261.03958057845568</v>
      </c>
      <c r="L4896" s="591">
        <v>437002.49315068492</v>
      </c>
      <c r="M4896" s="596">
        <v>0</v>
      </c>
    </row>
    <row r="4897" spans="1:13" ht="13">
      <c r="A4897" s="532">
        <v>45898</v>
      </c>
      <c r="B4897" s="615">
        <v>944000</v>
      </c>
      <c r="C4897" s="615">
        <v>1003562.5205479452</v>
      </c>
      <c r="D4897" s="532">
        <v>45947</v>
      </c>
      <c r="E4897" s="534">
        <v>49</v>
      </c>
      <c r="F4897" s="601">
        <v>0.47</v>
      </c>
      <c r="G4897" s="1127" t="s">
        <v>261</v>
      </c>
      <c r="H4897" s="1021">
        <v>36466.849315068474</v>
      </c>
      <c r="I4897" s="1128">
        <v>1566.812201788206</v>
      </c>
      <c r="J4897" s="1125">
        <v>1608.2867426667713</v>
      </c>
      <c r="K4897">
        <v>602.49722265540879</v>
      </c>
      <c r="L4897" s="591">
        <v>1003562.5205479452</v>
      </c>
      <c r="M4897" s="596">
        <v>0</v>
      </c>
    </row>
    <row r="4898" spans="1:13" ht="13">
      <c r="A4898" s="532">
        <v>45898</v>
      </c>
      <c r="B4898" s="615">
        <v>600000</v>
      </c>
      <c r="C4898" s="615">
        <v>641884.93150684936</v>
      </c>
      <c r="D4898" s="532">
        <v>45947</v>
      </c>
      <c r="E4898" s="534">
        <v>49</v>
      </c>
      <c r="F4898" s="601">
        <v>0.52</v>
      </c>
      <c r="G4898" s="1127" t="s">
        <v>260</v>
      </c>
      <c r="H4898" s="1021">
        <v>25643.835616438384</v>
      </c>
      <c r="I4898" s="1128">
        <v>1566.812201788206</v>
      </c>
      <c r="J4898" s="1125">
        <v>1608.2867426667713</v>
      </c>
      <c r="K4898">
        <v>382.94314999284455</v>
      </c>
      <c r="L4898" s="591">
        <v>641884.93150684936</v>
      </c>
      <c r="M4898" s="596">
        <v>0</v>
      </c>
    </row>
    <row r="4899" spans="1:13" ht="13">
      <c r="A4899" s="532">
        <v>45898</v>
      </c>
      <c r="B4899" s="615">
        <v>400000</v>
      </c>
      <c r="C4899" s="615">
        <v>426849.31506849313</v>
      </c>
      <c r="D4899" s="532">
        <v>45947</v>
      </c>
      <c r="E4899" s="534">
        <v>49</v>
      </c>
      <c r="F4899" s="601">
        <v>0.5</v>
      </c>
      <c r="G4899" s="1127" t="s">
        <v>262</v>
      </c>
      <c r="H4899" s="1021">
        <v>16438.356164383553</v>
      </c>
      <c r="I4899" s="1128">
        <v>1566.812201788206</v>
      </c>
      <c r="J4899" s="1125">
        <v>1608.2867426667713</v>
      </c>
      <c r="K4899">
        <v>255.29543332856304</v>
      </c>
      <c r="L4899" s="591">
        <v>426849.31506849313</v>
      </c>
      <c r="M4899" s="596">
        <v>0</v>
      </c>
    </row>
    <row r="4900" spans="1:13" ht="13">
      <c r="A4900" s="532">
        <v>45896</v>
      </c>
      <c r="B4900" s="615">
        <v>500000</v>
      </c>
      <c r="C4900" s="615">
        <v>535630.1369863014</v>
      </c>
      <c r="D4900" s="532">
        <v>45947</v>
      </c>
      <c r="E4900" s="534">
        <v>51</v>
      </c>
      <c r="F4900" s="601">
        <v>0.51</v>
      </c>
      <c r="G4900" s="1127" t="s">
        <v>258</v>
      </c>
      <c r="H4900" s="1021">
        <v>20958.904109589057</v>
      </c>
      <c r="I4900" s="1128">
        <v>1565.1422715025797</v>
      </c>
      <c r="J4900" s="1125">
        <v>1608.2867426667713</v>
      </c>
      <c r="K4900">
        <v>319.45977634351812</v>
      </c>
      <c r="L4900" s="591">
        <v>535630.1369863014</v>
      </c>
      <c r="M4900" s="596">
        <v>0</v>
      </c>
    </row>
    <row r="4901" spans="1:13" ht="13">
      <c r="A4901" s="532">
        <v>45902</v>
      </c>
      <c r="B4901" s="615">
        <v>426000</v>
      </c>
      <c r="C4901" s="615">
        <v>452330.30136986304</v>
      </c>
      <c r="D4901" s="532">
        <v>45950</v>
      </c>
      <c r="E4901" s="534">
        <v>48</v>
      </c>
      <c r="F4901" s="601">
        <v>0.47</v>
      </c>
      <c r="G4901" s="1127" t="s">
        <v>264</v>
      </c>
      <c r="H4901" s="1021">
        <v>16456.438356164399</v>
      </c>
      <c r="I4901" s="1128">
        <v>1570.1574094624032</v>
      </c>
      <c r="J4901" s="1125">
        <v>1610.8613741037079</v>
      </c>
      <c r="K4901">
        <v>271.31037782119921</v>
      </c>
      <c r="L4901" s="591">
        <v>452330.30136986304</v>
      </c>
      <c r="M4901" s="596">
        <v>0</v>
      </c>
    </row>
    <row r="4902" spans="1:13" ht="13">
      <c r="A4902" s="532">
        <v>45901</v>
      </c>
      <c r="B4902" s="615">
        <v>605000</v>
      </c>
      <c r="C4902" s="615">
        <v>643173.01369863015</v>
      </c>
      <c r="D4902" s="532">
        <v>45950</v>
      </c>
      <c r="E4902" s="534">
        <v>49</v>
      </c>
      <c r="F4902" s="601">
        <v>0.47</v>
      </c>
      <c r="G4902" s="1127" t="s">
        <v>261</v>
      </c>
      <c r="H4902" s="1021">
        <v>23371.23287671234</v>
      </c>
      <c r="I4902" s="1128">
        <v>1569.3204385618369</v>
      </c>
      <c r="J4902" s="1125">
        <v>1610.8613741037079</v>
      </c>
      <c r="K4902">
        <v>385.5171863780966</v>
      </c>
      <c r="L4902" s="591">
        <v>643173.01369863015</v>
      </c>
      <c r="M4902" s="596">
        <v>0</v>
      </c>
    </row>
    <row r="4903" spans="1:13" ht="13">
      <c r="A4903" s="532">
        <v>45898</v>
      </c>
      <c r="B4903" s="615">
        <v>300000</v>
      </c>
      <c r="C4903" s="615">
        <v>321797.26027397258</v>
      </c>
      <c r="D4903" s="532">
        <v>45950</v>
      </c>
      <c r="E4903" s="534">
        <v>52</v>
      </c>
      <c r="F4903" s="601">
        <v>0.51</v>
      </c>
      <c r="G4903" s="1127" t="s">
        <v>265</v>
      </c>
      <c r="H4903" s="1021">
        <v>12575.342465753414</v>
      </c>
      <c r="I4903" s="1128">
        <v>1566.812201788206</v>
      </c>
      <c r="J4903" s="1125">
        <v>1610.8613741037079</v>
      </c>
      <c r="K4903">
        <v>191.47157499642228</v>
      </c>
      <c r="L4903" s="591">
        <v>321797.26027397258</v>
      </c>
      <c r="M4903" s="596">
        <v>0</v>
      </c>
    </row>
    <row r="4904" spans="1:13" ht="13">
      <c r="A4904" s="532">
        <v>45898</v>
      </c>
      <c r="B4904" s="615">
        <v>600000</v>
      </c>
      <c r="C4904" s="615">
        <v>644449.31506849313</v>
      </c>
      <c r="D4904" s="532">
        <v>45950</v>
      </c>
      <c r="E4904" s="534">
        <v>52</v>
      </c>
      <c r="F4904" s="601">
        <v>0.52</v>
      </c>
      <c r="G4904" s="1127" t="s">
        <v>260</v>
      </c>
      <c r="H4904" s="1021">
        <v>25643.835616438344</v>
      </c>
      <c r="I4904" s="1128">
        <v>1566.812201788206</v>
      </c>
      <c r="J4904" s="1125">
        <v>1610.8613741037079</v>
      </c>
      <c r="K4904">
        <v>382.94314999284455</v>
      </c>
      <c r="L4904" s="591">
        <v>644449.31506849313</v>
      </c>
      <c r="M4904" s="596">
        <v>0</v>
      </c>
    </row>
    <row r="4905" spans="1:13" ht="13">
      <c r="A4905" s="532">
        <v>45901</v>
      </c>
      <c r="B4905" s="615">
        <v>1000000</v>
      </c>
      <c r="C4905" s="615">
        <v>1069808.2191780822</v>
      </c>
      <c r="D4905" s="532">
        <v>45950</v>
      </c>
      <c r="E4905" s="534">
        <v>49</v>
      </c>
      <c r="F4905" s="601">
        <v>0.52</v>
      </c>
      <c r="G4905" s="1127" t="s">
        <v>260</v>
      </c>
      <c r="H4905" s="1021">
        <v>42739.726027397257</v>
      </c>
      <c r="I4905" s="1128">
        <v>1569.3204385618369</v>
      </c>
      <c r="J4905" s="1125">
        <v>1610.8613741037079</v>
      </c>
      <c r="K4905">
        <v>637.21848988115141</v>
      </c>
      <c r="L4905" s="591">
        <v>1069808.2191780822</v>
      </c>
      <c r="M4905" s="596">
        <v>0</v>
      </c>
    </row>
    <row r="4906" spans="1:13" ht="13">
      <c r="A4906" s="1126">
        <v>45904</v>
      </c>
      <c r="B4906" s="615">
        <v>300000</v>
      </c>
      <c r="C4906" s="615">
        <v>317383.56164383562</v>
      </c>
      <c r="D4906" s="532">
        <v>45951</v>
      </c>
      <c r="E4906" s="534">
        <v>47</v>
      </c>
      <c r="F4906" s="601">
        <v>0.45</v>
      </c>
      <c r="G4906" s="1127" t="s">
        <v>257</v>
      </c>
      <c r="H4906" s="1021">
        <v>11095.890410958908</v>
      </c>
      <c r="I4906" s="1128">
        <v>1571.8326906550483</v>
      </c>
      <c r="J4906" s="1125">
        <v>1611.7205001698965</v>
      </c>
      <c r="K4906">
        <v>190.86000805529594</v>
      </c>
      <c r="L4906" s="591">
        <v>317383.56164383562</v>
      </c>
      <c r="M4906" s="596">
        <v>0</v>
      </c>
    </row>
    <row r="4907" spans="1:13" ht="13">
      <c r="A4907" s="1126">
        <v>45902</v>
      </c>
      <c r="B4907" s="615">
        <v>500000</v>
      </c>
      <c r="C4907" s="615">
        <v>533561.64383561641</v>
      </c>
      <c r="D4907" s="532">
        <v>45951</v>
      </c>
      <c r="E4907" s="534">
        <v>49</v>
      </c>
      <c r="F4907" s="601">
        <v>0.5</v>
      </c>
      <c r="G4907" s="1127" t="s">
        <v>262</v>
      </c>
      <c r="H4907" s="1021">
        <v>20547.945205479438</v>
      </c>
      <c r="I4907" s="1128">
        <v>1570.1574094624032</v>
      </c>
      <c r="J4907" s="1125">
        <v>1611.7205001698965</v>
      </c>
      <c r="K4907">
        <v>318.43941058826198</v>
      </c>
      <c r="L4907" s="591">
        <v>533561.64383561641</v>
      </c>
      <c r="M4907" s="596">
        <v>0</v>
      </c>
    </row>
    <row r="4908" spans="1:13" ht="13">
      <c r="A4908" s="1126">
        <v>45902</v>
      </c>
      <c r="B4908" s="615">
        <v>690000</v>
      </c>
      <c r="C4908" s="615">
        <v>736315.06849315064</v>
      </c>
      <c r="D4908" s="532">
        <v>45951</v>
      </c>
      <c r="E4908" s="534">
        <v>49</v>
      </c>
      <c r="F4908" s="601">
        <v>0.5</v>
      </c>
      <c r="G4908" s="1127" t="s">
        <v>258</v>
      </c>
      <c r="H4908" s="1021">
        <v>28356.164383561616</v>
      </c>
      <c r="I4908" s="1128">
        <v>1570.1574094624032</v>
      </c>
      <c r="J4908" s="1125">
        <v>1611.7205001698965</v>
      </c>
      <c r="K4908">
        <v>439.44638661180153</v>
      </c>
      <c r="L4908" s="591">
        <v>736315.06849315064</v>
      </c>
      <c r="M4908" s="596">
        <v>0</v>
      </c>
    </row>
    <row r="4909" spans="1:13" ht="13">
      <c r="A4909" s="1126">
        <v>45901</v>
      </c>
      <c r="B4909" s="615">
        <v>936000</v>
      </c>
      <c r="C4909" s="615">
        <v>1002673.9726027397</v>
      </c>
      <c r="D4909" s="532">
        <v>45951</v>
      </c>
      <c r="E4909" s="534">
        <v>50</v>
      </c>
      <c r="F4909" s="601">
        <v>0.52</v>
      </c>
      <c r="G4909" s="1127" t="s">
        <v>260</v>
      </c>
      <c r="H4909" s="1021">
        <v>40004.383561643815</v>
      </c>
      <c r="I4909" s="1128">
        <v>1569.3204385618369</v>
      </c>
      <c r="J4909" s="1125">
        <v>1611.7205001698965</v>
      </c>
      <c r="K4909">
        <v>596.43650652875772</v>
      </c>
      <c r="L4909" s="591">
        <v>1002673.9726027397</v>
      </c>
      <c r="M4909" s="596">
        <v>0</v>
      </c>
    </row>
    <row r="4910" spans="1:13" ht="13">
      <c r="A4910" s="1126">
        <v>45901</v>
      </c>
      <c r="B4910" s="615">
        <v>400000</v>
      </c>
      <c r="C4910" s="615">
        <v>427397.26027397258</v>
      </c>
      <c r="D4910" s="532">
        <v>45951</v>
      </c>
      <c r="E4910" s="534">
        <v>50</v>
      </c>
      <c r="F4910" s="601">
        <v>0.5</v>
      </c>
      <c r="G4910" s="1127" t="s">
        <v>258</v>
      </c>
      <c r="H4910" s="1021">
        <v>16438.356164383553</v>
      </c>
      <c r="I4910" s="1128">
        <v>1569.3204385618369</v>
      </c>
      <c r="J4910" s="1125">
        <v>1611.7205001698965</v>
      </c>
      <c r="K4910">
        <v>254.88739595246057</v>
      </c>
      <c r="L4910" s="591">
        <v>427397.26027397258</v>
      </c>
      <c r="M4910" s="596">
        <v>0</v>
      </c>
    </row>
    <row r="4911" spans="1:13" ht="13">
      <c r="A4911" s="1126">
        <v>45904</v>
      </c>
      <c r="B4911" s="615">
        <v>600000</v>
      </c>
      <c r="C4911" s="615">
        <v>639452.05479452061</v>
      </c>
      <c r="D4911" s="532">
        <v>45952</v>
      </c>
      <c r="E4911" s="534">
        <v>48</v>
      </c>
      <c r="F4911" s="601">
        <v>0.5</v>
      </c>
      <c r="G4911" s="1127" t="s">
        <v>258</v>
      </c>
      <c r="H4911" s="1021">
        <v>24657.534246575378</v>
      </c>
      <c r="I4911" s="1128">
        <v>1571.8326906550483</v>
      </c>
      <c r="J4911" s="1125">
        <v>1612.5800844366536</v>
      </c>
      <c r="K4911">
        <v>381.72001611059187</v>
      </c>
      <c r="L4911" s="591">
        <v>639452.05479452061</v>
      </c>
      <c r="M4911" s="596">
        <v>0</v>
      </c>
    </row>
    <row r="4912" spans="1:13" ht="13">
      <c r="A4912" s="1126">
        <v>45903</v>
      </c>
      <c r="B4912" s="615">
        <v>1100000</v>
      </c>
      <c r="C4912" s="615">
        <v>1173835.6164383562</v>
      </c>
      <c r="D4912" s="532">
        <v>45952</v>
      </c>
      <c r="E4912" s="534">
        <v>49</v>
      </c>
      <c r="F4912" s="601">
        <v>0.5</v>
      </c>
      <c r="G4912" s="1127" t="s">
        <v>262</v>
      </c>
      <c r="H4912" s="1021">
        <v>45205.479452054831</v>
      </c>
      <c r="I4912" s="1128">
        <v>1570.9948267474497</v>
      </c>
      <c r="J4912" s="1125">
        <v>1612.5800844366536</v>
      </c>
      <c r="K4912">
        <v>700.19326688517094</v>
      </c>
      <c r="L4912" s="591">
        <v>1173835.6164383562</v>
      </c>
      <c r="M4912" s="596">
        <v>0</v>
      </c>
    </row>
    <row r="4913" spans="1:13" ht="13">
      <c r="A4913" s="1126">
        <v>45902</v>
      </c>
      <c r="B4913" s="615">
        <v>400000</v>
      </c>
      <c r="C4913" s="615">
        <v>427397.26027397258</v>
      </c>
      <c r="D4913" s="532">
        <v>45952</v>
      </c>
      <c r="E4913" s="534">
        <v>50</v>
      </c>
      <c r="F4913" s="601">
        <v>0.5</v>
      </c>
      <c r="G4913" s="1127" t="s">
        <v>262</v>
      </c>
      <c r="H4913" s="1021">
        <v>16438.356164383553</v>
      </c>
      <c r="I4913" s="1128">
        <v>1570.1574094624032</v>
      </c>
      <c r="J4913" s="1125">
        <v>1612.5800844366536</v>
      </c>
      <c r="K4913">
        <v>254.7515284706096</v>
      </c>
      <c r="L4913" s="591">
        <v>427397.26027397258</v>
      </c>
      <c r="M4913" s="596">
        <v>0</v>
      </c>
    </row>
    <row r="4914" spans="1:13" ht="13">
      <c r="A4914" s="1126">
        <v>45902</v>
      </c>
      <c r="B4914" s="615">
        <v>723000</v>
      </c>
      <c r="C4914" s="615">
        <v>775572.60273972608</v>
      </c>
      <c r="D4914" s="532">
        <v>45952</v>
      </c>
      <c r="E4914" s="534">
        <v>50</v>
      </c>
      <c r="F4914" s="601">
        <v>0.52</v>
      </c>
      <c r="G4914" s="1127" t="s">
        <v>260</v>
      </c>
      <c r="H4914" s="1021">
        <v>30943.561643835645</v>
      </c>
      <c r="I4914" s="1128">
        <v>1570.1574094624032</v>
      </c>
      <c r="J4914" s="1125">
        <v>1612.5800844366536</v>
      </c>
      <c r="K4914">
        <v>461.10026653180336</v>
      </c>
      <c r="L4914" s="591">
        <v>775572.60273972608</v>
      </c>
      <c r="M4914" s="596">
        <v>0</v>
      </c>
    </row>
    <row r="4915" spans="1:13" ht="13">
      <c r="A4915" s="1126">
        <v>45905</v>
      </c>
      <c r="B4915" s="615">
        <v>400000</v>
      </c>
      <c r="C4915" s="615">
        <v>423671.23287671234</v>
      </c>
      <c r="D4915" s="532">
        <v>45953</v>
      </c>
      <c r="E4915" s="534">
        <v>48</v>
      </c>
      <c r="F4915" s="601">
        <v>0.45</v>
      </c>
      <c r="G4915" s="1127" t="s">
        <v>256</v>
      </c>
      <c r="H4915" s="1021">
        <v>14794.520547945212</v>
      </c>
      <c r="I4915" s="1128">
        <v>1572.6710014233975</v>
      </c>
      <c r="J4915" s="1125">
        <v>1613.440127148353</v>
      </c>
      <c r="K4915">
        <v>254.34436041484003</v>
      </c>
      <c r="L4915" s="591">
        <v>423671.23287671234</v>
      </c>
      <c r="M4915" s="596">
        <v>0</v>
      </c>
    </row>
    <row r="4916" spans="1:13" ht="13">
      <c r="A4916" s="1126">
        <v>45904</v>
      </c>
      <c r="B4916" s="615">
        <v>212000</v>
      </c>
      <c r="C4916" s="615">
        <v>225660.9315068493</v>
      </c>
      <c r="D4916" s="532">
        <v>45953</v>
      </c>
      <c r="E4916" s="534">
        <v>49</v>
      </c>
      <c r="F4916" s="601">
        <v>0.48</v>
      </c>
      <c r="G4916" s="536" t="s">
        <v>260</v>
      </c>
      <c r="H4916" s="1021">
        <v>8363.8356164383495</v>
      </c>
      <c r="I4916" s="1128">
        <v>1571.8326906550483</v>
      </c>
      <c r="J4916" s="1125">
        <v>1613.440127148353</v>
      </c>
      <c r="K4916">
        <v>134.87440569240914</v>
      </c>
      <c r="L4916" s="591">
        <v>225660.9315068493</v>
      </c>
      <c r="M4916" s="596">
        <v>0</v>
      </c>
    </row>
    <row r="4917" spans="1:13" ht="13">
      <c r="A4917" s="1126">
        <v>45904</v>
      </c>
      <c r="B4917" s="615">
        <v>380000</v>
      </c>
      <c r="C4917" s="615">
        <v>404486.57534246577</v>
      </c>
      <c r="D4917" s="532">
        <v>45953</v>
      </c>
      <c r="E4917" s="534">
        <v>49</v>
      </c>
      <c r="F4917" s="601">
        <v>0.48</v>
      </c>
      <c r="G4917" s="536" t="s">
        <v>260</v>
      </c>
      <c r="H4917" s="1021">
        <v>14991.780821917821</v>
      </c>
      <c r="I4917" s="1128">
        <v>1571.8326906550483</v>
      </c>
      <c r="J4917" s="1125">
        <v>1613.440127148353</v>
      </c>
      <c r="K4917">
        <v>241.75601020337484</v>
      </c>
      <c r="L4917" s="591">
        <v>404486.57534246577</v>
      </c>
      <c r="M4917" s="596">
        <v>0</v>
      </c>
    </row>
    <row r="4918" spans="1:13" ht="13">
      <c r="A4918" s="532">
        <v>45903</v>
      </c>
      <c r="B4918" s="615">
        <v>954000</v>
      </c>
      <c r="C4918" s="615">
        <v>1016728.7671232877</v>
      </c>
      <c r="D4918" s="532">
        <v>45953</v>
      </c>
      <c r="E4918" s="534">
        <v>50</v>
      </c>
      <c r="F4918" s="601">
        <v>0.48</v>
      </c>
      <c r="G4918" s="1127" t="s">
        <v>260</v>
      </c>
      <c r="H4918" s="1021">
        <v>37637.260273972599</v>
      </c>
      <c r="I4918" s="1128">
        <v>1570.9948267474497</v>
      </c>
      <c r="J4918" s="1125">
        <v>1613.440127148353</v>
      </c>
      <c r="K4918">
        <v>607.25852418950285</v>
      </c>
      <c r="L4918" s="591">
        <v>1016728.7671232877</v>
      </c>
      <c r="M4918" s="596">
        <v>0</v>
      </c>
    </row>
    <row r="4919" spans="1:13" ht="13">
      <c r="A4919" s="1126">
        <v>45903</v>
      </c>
      <c r="B4919" s="615">
        <v>1000000</v>
      </c>
      <c r="C4919" s="615">
        <v>1068493.1506849315</v>
      </c>
      <c r="D4919" s="532">
        <v>45953</v>
      </c>
      <c r="E4919" s="534">
        <v>50</v>
      </c>
      <c r="F4919" s="601">
        <v>0.5</v>
      </c>
      <c r="G4919" s="1127" t="s">
        <v>258</v>
      </c>
      <c r="H4919" s="1021">
        <v>41095.890410958928</v>
      </c>
      <c r="I4919" s="1128">
        <v>1570.9948267474497</v>
      </c>
      <c r="J4919" s="1125">
        <v>1613.440127148353</v>
      </c>
      <c r="K4919">
        <v>636.53933353197363</v>
      </c>
      <c r="L4919" s="591">
        <v>1068493.1506849315</v>
      </c>
      <c r="M4919" s="596">
        <v>0</v>
      </c>
    </row>
    <row r="4920" spans="1:13" ht="13">
      <c r="A4920" s="1126">
        <v>45904</v>
      </c>
      <c r="B4920" s="615">
        <v>500000</v>
      </c>
      <c r="C4920" s="615">
        <v>530821.91780821921</v>
      </c>
      <c r="D4920" s="532">
        <v>45954</v>
      </c>
      <c r="E4920" s="534">
        <v>50</v>
      </c>
      <c r="F4920" s="601">
        <v>0.45</v>
      </c>
      <c r="G4920" s="1127" t="s">
        <v>257</v>
      </c>
      <c r="H4920" s="1021">
        <v>18493.150684931523</v>
      </c>
      <c r="I4920" s="1128">
        <v>1571.8326906550483</v>
      </c>
      <c r="J4920" s="1125">
        <v>1614.3006285494987</v>
      </c>
      <c r="K4920">
        <v>318.10001342549322</v>
      </c>
      <c r="L4920" s="591">
        <v>530821.91780821921</v>
      </c>
      <c r="M4920" s="596">
        <v>0</v>
      </c>
    </row>
    <row r="4921" spans="1:13" ht="13">
      <c r="A4921" s="532">
        <v>45904</v>
      </c>
      <c r="B4921" s="615">
        <v>990000</v>
      </c>
      <c r="C4921" s="615">
        <v>1051027.397260274</v>
      </c>
      <c r="D4921" s="532">
        <v>45954</v>
      </c>
      <c r="E4921" s="534">
        <v>50</v>
      </c>
      <c r="F4921" s="601">
        <v>0.45</v>
      </c>
      <c r="G4921" s="1127" t="s">
        <v>256</v>
      </c>
      <c r="H4921" s="1021">
        <v>36616.438356164421</v>
      </c>
      <c r="I4921" s="1128">
        <v>1571.8326906550483</v>
      </c>
      <c r="J4921" s="1125">
        <v>1614.3006285494987</v>
      </c>
      <c r="K4921">
        <v>629.83802658247657</v>
      </c>
      <c r="L4921" s="591">
        <v>1051027.397260274</v>
      </c>
      <c r="M4921" s="596">
        <v>0</v>
      </c>
    </row>
    <row r="4922" spans="1:13" ht="13">
      <c r="A4922" s="1126">
        <v>45904</v>
      </c>
      <c r="B4922" s="615">
        <v>1380000</v>
      </c>
      <c r="C4922" s="615">
        <v>1474520.5479452056</v>
      </c>
      <c r="D4922" s="532">
        <v>45954</v>
      </c>
      <c r="E4922" s="534">
        <v>50</v>
      </c>
      <c r="F4922" s="601">
        <v>0.5</v>
      </c>
      <c r="G4922" s="1127" t="s">
        <v>258</v>
      </c>
      <c r="H4922" s="1021" t="e">
        <v>#REF!</v>
      </c>
      <c r="I4922" s="1128">
        <v>1571.8326906550483</v>
      </c>
      <c r="J4922" s="1125">
        <v>1614.3006285494987</v>
      </c>
      <c r="K4922">
        <v>877.95603705436133</v>
      </c>
      <c r="L4922" s="591">
        <v>1474520.5479452056</v>
      </c>
      <c r="M4922" s="596">
        <v>0</v>
      </c>
    </row>
    <row r="4923" spans="1:13" ht="13">
      <c r="A4923" s="1126">
        <v>45908</v>
      </c>
      <c r="B4923" s="615">
        <v>1479000</v>
      </c>
      <c r="C4923" s="615">
        <v>1572318.8219178081</v>
      </c>
      <c r="D4923" s="1126">
        <v>45957</v>
      </c>
      <c r="E4923" s="534">
        <v>49</v>
      </c>
      <c r="F4923" s="601">
        <v>0.47</v>
      </c>
      <c r="G4923" s="1127" t="s">
        <v>264</v>
      </c>
      <c r="H4923" s="1021">
        <v>57133.972602739683</v>
      </c>
      <c r="I4923" s="1128">
        <v>1575.1886172768427</v>
      </c>
      <c r="J4923" s="1125">
        <v>1616.8848873366094</v>
      </c>
      <c r="K4923">
        <v>938.93517498676965</v>
      </c>
      <c r="L4923" s="591">
        <v>1572318.8219178081</v>
      </c>
      <c r="M4923" s="596">
        <v>0</v>
      </c>
    </row>
    <row r="4924" spans="1:13" ht="13">
      <c r="A4924" s="1126">
        <v>45905</v>
      </c>
      <c r="B4924" s="615">
        <v>150000</v>
      </c>
      <c r="C4924" s="615">
        <v>160684.9315068493</v>
      </c>
      <c r="D4924" s="532">
        <v>45957</v>
      </c>
      <c r="E4924" s="534">
        <v>52</v>
      </c>
      <c r="F4924" s="601">
        <v>0.5</v>
      </c>
      <c r="G4924" s="1127" t="s">
        <v>258</v>
      </c>
      <c r="H4924" s="1021">
        <v>6164.3835616438273</v>
      </c>
      <c r="I4924" s="1128">
        <v>1572.6710014233975</v>
      </c>
      <c r="J4924" s="1125">
        <v>1616.8848873366094</v>
      </c>
      <c r="K4924">
        <v>95.37913515556501</v>
      </c>
      <c r="L4924" s="591">
        <v>160684.9315068493</v>
      </c>
      <c r="M4924" s="596">
        <v>0</v>
      </c>
    </row>
    <row r="4925" spans="1:13" ht="13">
      <c r="A4925" s="1126">
        <v>45905</v>
      </c>
      <c r="B4925" s="615">
        <v>810000</v>
      </c>
      <c r="C4925" s="615">
        <v>865390.68493150687</v>
      </c>
      <c r="D4925" s="532">
        <v>45957</v>
      </c>
      <c r="E4925" s="534">
        <v>52</v>
      </c>
      <c r="F4925" s="601">
        <v>0.48</v>
      </c>
      <c r="G4925" s="1127" t="s">
        <v>260</v>
      </c>
      <c r="H4925" s="1021">
        <v>31956.164383561656</v>
      </c>
      <c r="I4925" s="1128">
        <v>1572.6710014233975</v>
      </c>
      <c r="J4925" s="1125">
        <v>1616.8848873366094</v>
      </c>
      <c r="K4925">
        <v>515.04732984005102</v>
      </c>
      <c r="L4925" s="591">
        <v>865390.68493150687</v>
      </c>
      <c r="M4925" s="596">
        <v>0</v>
      </c>
    </row>
    <row r="4926" spans="1:13" ht="12.5" customHeight="1">
      <c r="A4926" s="1126">
        <v>45905</v>
      </c>
      <c r="B4926" s="615">
        <v>670000</v>
      </c>
      <c r="C4926" s="615">
        <v>717726.0273972603</v>
      </c>
      <c r="D4926" s="532">
        <v>45957</v>
      </c>
      <c r="E4926" s="534">
        <v>52</v>
      </c>
      <c r="F4926" s="601">
        <v>0.5</v>
      </c>
      <c r="G4926" s="1127" t="s">
        <v>258</v>
      </c>
      <c r="H4926" s="1021">
        <v>27534.24657534248</v>
      </c>
      <c r="I4926" s="1128">
        <v>1572.6710014233975</v>
      </c>
      <c r="J4926" s="1125">
        <v>1616.8848873366094</v>
      </c>
      <c r="K4926">
        <v>426.02680369485705</v>
      </c>
      <c r="L4926" s="591">
        <v>717726.0273972603</v>
      </c>
      <c r="M4926" s="596">
        <v>0</v>
      </c>
    </row>
    <row r="4927" spans="1:13" ht="12.5" customHeight="1">
      <c r="A4927" s="1126">
        <v>45909</v>
      </c>
      <c r="B4927" s="615">
        <v>171000</v>
      </c>
      <c r="C4927" s="615">
        <f t="shared" ref="A4927:C4929" si="646">B4927+(B4927*F4927/365*E4927)*1</f>
        <v>178001.63013698629</v>
      </c>
      <c r="D4927" s="532">
        <f t="shared" ref="A4927:D4929" si="647">+A4927+E4927</f>
        <v>45958</v>
      </c>
      <c r="E4927" s="534">
        <v>49</v>
      </c>
      <c r="F4927" s="601">
        <v>0.30499999999999999</v>
      </c>
      <c r="G4927" s="1127" t="s">
        <v>257</v>
      </c>
      <c r="H4927" s="1021">
        <f>(C4927-B4927)/E4927*30</f>
        <v>4286.7123287671175</v>
      </c>
      <c r="I4927" s="1128" t="e">
        <f>VLOOKUP(Tabla1[[#This Row],[FECHA]],TablaUVA[#All],2)</f>
        <v>#VALUE!</v>
      </c>
      <c r="J4927" s="1125" t="e">
        <f>VLOOKUP(Tabla1[[#This Row],[VTO.]],TablaUVA[#All],2)</f>
        <v>#VALUE!</v>
      </c>
      <c r="K4927" t="e">
        <f>+Tabla1[[#This Row],[DEPOSITADO]]/I4927</f>
        <v>#VALUE!</v>
      </c>
      <c r="L4927" s="591" t="e">
        <f>IF(Tabla1[[#This Row],[DIAS]]&gt;89,+K4927*J4927*(1+1%/365*Tabla1[[#This Row],[DIAS]]),Tabla1[[#This Row],[ACOBRAR]])</f>
        <v>#VALUE!</v>
      </c>
      <c r="M4927" s="596" t="e">
        <f>+L4927-Tabla1[[#This Row],[ACOBRAR]]</f>
        <v>#VALUE!</v>
      </c>
    </row>
    <row r="4928" spans="1:13" ht="12.5" customHeight="1">
      <c r="A4928" s="1126">
        <v>45909</v>
      </c>
      <c r="B4928" s="615">
        <v>1296000</v>
      </c>
      <c r="C4928" s="615">
        <f t="shared" si="646"/>
        <v>1382991.7808219178</v>
      </c>
      <c r="D4928" s="532">
        <f t="shared" si="647"/>
        <v>45958</v>
      </c>
      <c r="E4928" s="534">
        <v>49</v>
      </c>
      <c r="F4928" s="601">
        <v>0.5</v>
      </c>
      <c r="G4928" s="1127" t="s">
        <v>260</v>
      </c>
      <c r="H4928" s="1021">
        <f>(C4928-B4928)/E4928*30</f>
        <v>53260.273972602743</v>
      </c>
      <c r="I4928" s="1128" t="e">
        <f>VLOOKUP(Tabla1[[#This Row],[FECHA]],TablaUVA[#All],2)</f>
        <v>#VALUE!</v>
      </c>
      <c r="J4928" s="1125" t="e">
        <f>VLOOKUP(Tabla1[[#This Row],[VTO.]],TablaUVA[#All],2)</f>
        <v>#VALUE!</v>
      </c>
      <c r="K4928" t="e">
        <f>+Tabla1[[#This Row],[DEPOSITADO]]/I4928</f>
        <v>#VALUE!</v>
      </c>
      <c r="L4928" s="591" t="e">
        <f>IF(Tabla1[[#This Row],[DIAS]]&gt;89,+K4928*J4928*(1+1%/365*Tabla1[[#This Row],[DIAS]]),Tabla1[[#This Row],[ACOBRAR]])</f>
        <v>#VALUE!</v>
      </c>
      <c r="M4928" s="596" t="e">
        <f>+L4928-Tabla1[[#This Row],[ACOBRAR]]</f>
        <v>#VALUE!</v>
      </c>
    </row>
    <row r="4929" spans="1:13" ht="12.5" customHeight="1">
      <c r="A4929" s="1126">
        <v>45908</v>
      </c>
      <c r="B4929" s="615">
        <v>1450000</v>
      </c>
      <c r="C4929" s="615">
        <f t="shared" si="646"/>
        <v>1549315.0684931506</v>
      </c>
      <c r="D4929" s="532">
        <f t="shared" si="647"/>
        <v>45958</v>
      </c>
      <c r="E4929" s="534">
        <v>50</v>
      </c>
      <c r="F4929" s="601">
        <v>0.5</v>
      </c>
      <c r="G4929" s="1127" t="s">
        <v>258</v>
      </c>
      <c r="H4929" s="1021">
        <f>(C4929-B4929)/E4929*30</f>
        <v>59589.041095890381</v>
      </c>
      <c r="I4929" s="1128" t="e">
        <f>VLOOKUP(Tabla1[[#This Row],[FECHA]],TablaUVA[#All],2)</f>
        <v>#VALUE!</v>
      </c>
      <c r="J4929" s="1125" t="e">
        <f>VLOOKUP(Tabla1[[#This Row],[VTO.]],TablaUVA[#All],2)</f>
        <v>#VALUE!</v>
      </c>
      <c r="K4929" t="e">
        <f>+Tabla1[[#This Row],[DEPOSITADO]]/I4929</f>
        <v>#VALUE!</v>
      </c>
      <c r="L4929" s="591" t="e">
        <f>IF(Tabla1[[#This Row],[DIAS]]&gt;89,+K4929*J4929*(1+1%/365*Tabla1[[#This Row],[DIAS]]),Tabla1[[#This Row],[ACOBRAR]])</f>
        <v>#VALUE!</v>
      </c>
      <c r="M4929" s="596" t="e">
        <f>+L4929-Tabla1[[#This Row],[ACOBRAR]]</f>
        <v>#VALUE!</v>
      </c>
    </row>
    <row r="4930" spans="1:13" ht="12.5" customHeight="1">
      <c r="A4930" s="1126">
        <v>45910</v>
      </c>
      <c r="B4930" s="615">
        <v>536000</v>
      </c>
      <c r="C4930" s="615">
        <v>571978.08219178079</v>
      </c>
      <c r="D4930" s="532">
        <v>45959</v>
      </c>
      <c r="E4930" s="534">
        <v>49</v>
      </c>
      <c r="F4930" s="601">
        <v>0.5</v>
      </c>
      <c r="G4930" s="1127" t="s">
        <v>260</v>
      </c>
      <c r="H4930" s="1021">
        <v>22027.397260273952</v>
      </c>
      <c r="I4930" s="1128">
        <v>1576.8692665222557</v>
      </c>
      <c r="J4930" s="1125">
        <v>1618.6100244636918</v>
      </c>
      <c r="K4930">
        <v>339.91403813845272</v>
      </c>
      <c r="L4930" s="591">
        <v>571978.08219178079</v>
      </c>
      <c r="M4930" s="596">
        <v>0</v>
      </c>
    </row>
    <row r="4931" spans="1:13" ht="12.5" customHeight="1">
      <c r="A4931" s="1126">
        <v>45910</v>
      </c>
      <c r="B4931" s="615">
        <v>150000</v>
      </c>
      <c r="C4931" s="615">
        <v>160068.49315068492</v>
      </c>
      <c r="D4931" s="532">
        <v>45959</v>
      </c>
      <c r="E4931" s="534">
        <v>49</v>
      </c>
      <c r="F4931" s="601">
        <v>0.5</v>
      </c>
      <c r="G4931" s="1127" t="s">
        <v>258</v>
      </c>
      <c r="H4931" s="1021">
        <v>6164.3835616438309</v>
      </c>
      <c r="I4931" s="1128">
        <v>1576.8692665222557</v>
      </c>
      <c r="J4931" s="1125">
        <v>1618.6100244636918</v>
      </c>
      <c r="K4931">
        <v>95.125197240238634</v>
      </c>
      <c r="L4931" s="591">
        <v>160068.49315068492</v>
      </c>
      <c r="M4931" s="596">
        <v>0</v>
      </c>
    </row>
    <row r="4932" spans="1:13" ht="12.5" customHeight="1">
      <c r="A4932" s="1126">
        <v>45909</v>
      </c>
      <c r="B4932" s="615">
        <v>250000</v>
      </c>
      <c r="C4932" s="615">
        <v>266095.89041095891</v>
      </c>
      <c r="D4932" s="532">
        <v>45959</v>
      </c>
      <c r="E4932" s="534">
        <v>50</v>
      </c>
      <c r="F4932" s="601">
        <v>0.47</v>
      </c>
      <c r="G4932" s="1127" t="s">
        <v>264</v>
      </c>
      <c r="H4932" s="1021">
        <v>9657.5342465753438</v>
      </c>
      <c r="I4932" s="1128">
        <v>1576.0287178727235</v>
      </c>
      <c r="J4932" s="1125">
        <v>1618.6100244636918</v>
      </c>
      <c r="K4932">
        <v>158.62655113127795</v>
      </c>
      <c r="L4932" s="591">
        <v>266095.89041095891</v>
      </c>
      <c r="M4932" s="596">
        <v>0</v>
      </c>
    </row>
    <row r="4933" spans="1:13" ht="12.5" customHeight="1">
      <c r="A4933" s="1126">
        <v>45910</v>
      </c>
      <c r="B4933" s="615">
        <v>700000</v>
      </c>
      <c r="C4933" s="615">
        <v>744167.12328767125</v>
      </c>
      <c r="D4933" s="532">
        <v>45959</v>
      </c>
      <c r="E4933" s="534">
        <v>49</v>
      </c>
      <c r="F4933" s="601">
        <v>0.47</v>
      </c>
      <c r="G4933" s="1127" t="s">
        <v>264</v>
      </c>
      <c r="H4933" s="1021">
        <v>27041.095890410968</v>
      </c>
      <c r="I4933" s="1128">
        <v>1576.8692665222557</v>
      </c>
      <c r="J4933" s="1125">
        <v>1618.6100244636918</v>
      </c>
      <c r="K4933">
        <v>443.91758712111363</v>
      </c>
      <c r="L4933" s="591">
        <v>744167.12328767125</v>
      </c>
      <c r="M4933" s="596">
        <v>0</v>
      </c>
    </row>
    <row r="4934" spans="1:13" ht="12.5" customHeight="1">
      <c r="A4934" s="1126">
        <v>45909</v>
      </c>
      <c r="B4934" s="615">
        <v>1155000</v>
      </c>
      <c r="C4934" s="615">
        <v>1229363.01369863</v>
      </c>
      <c r="D4934" s="532">
        <v>45959</v>
      </c>
      <c r="E4934" s="534">
        <v>50</v>
      </c>
      <c r="F4934" s="601">
        <v>0.47</v>
      </c>
      <c r="G4934" s="1127" t="s">
        <v>261</v>
      </c>
      <c r="H4934" s="1021">
        <v>44617.808219178027</v>
      </c>
      <c r="I4934" s="1128">
        <v>1576.0287178727235</v>
      </c>
      <c r="J4934" s="1125">
        <v>1618.6100244636918</v>
      </c>
      <c r="K4934">
        <v>732.85466622650415</v>
      </c>
      <c r="L4934" s="591">
        <v>1229363.01369863</v>
      </c>
      <c r="M4934" s="596">
        <v>0</v>
      </c>
    </row>
    <row r="4935" spans="1:13" ht="12.5" customHeight="1">
      <c r="A4935" s="1126">
        <v>45911</v>
      </c>
      <c r="B4935" s="615">
        <v>600000</v>
      </c>
      <c r="C4935" s="615">
        <f t="shared" ref="A4935:C4940" si="648">B4935+(B4935*F4935/365*E4935)*1</f>
        <v>636246.57534246577</v>
      </c>
      <c r="D4935" s="532">
        <f t="shared" ref="A4935:D4940" si="649">+A4935+E4935</f>
        <v>45960</v>
      </c>
      <c r="E4935" s="534">
        <v>49</v>
      </c>
      <c r="F4935" s="601">
        <v>0.45</v>
      </c>
      <c r="G4935" s="1127" t="s">
        <v>257</v>
      </c>
      <c r="H4935" s="1021">
        <f t="shared" ref="A4935:H4940" si="650">(C4935-B4935)/E4935*30</f>
        <v>22191.780821917822</v>
      </c>
      <c r="I4935" s="1128" t="e">
        <f>VLOOKUP(Tabla1[[#This Row],[FECHA]],TablaUVA[#All],2)</f>
        <v>#VALUE!</v>
      </c>
      <c r="J4935" s="1125" t="e">
        <f>VLOOKUP(Tabla1[[#This Row],[VTO.]],TablaUVA[#All],2)</f>
        <v>#VALUE!</v>
      </c>
      <c r="K4935" t="e">
        <f>+Tabla1[[#This Row],[DEPOSITADO]]/I4935</f>
        <v>#VALUE!</v>
      </c>
      <c r="L4935" s="591" t="e">
        <f>IF(Tabla1[[#This Row],[DIAS]]&gt;89,+K4935*J4935*(1+1%/365*Tabla1[[#This Row],[DIAS]]),Tabla1[[#This Row],[ACOBRAR]])</f>
        <v>#VALUE!</v>
      </c>
      <c r="M4935" s="596" t="e">
        <f>+L4935-Tabla1[[#This Row],[ACOBRAR]]</f>
        <v>#VALUE!</v>
      </c>
    </row>
    <row r="4936" spans="1:13" ht="12.5" customHeight="1">
      <c r="A4936" s="1126">
        <v>45911</v>
      </c>
      <c r="B4936" s="615">
        <v>911000</v>
      </c>
      <c r="C4936" s="615">
        <f t="shared" si="648"/>
        <v>973372.30136986298</v>
      </c>
      <c r="D4936" s="532">
        <f t="shared" si="649"/>
        <v>45960</v>
      </c>
      <c r="E4936" s="534">
        <v>49</v>
      </c>
      <c r="F4936" s="601">
        <v>0.51</v>
      </c>
      <c r="G4936" s="1127" t="s">
        <v>260</v>
      </c>
      <c r="H4936" s="1021">
        <f t="shared" si="650"/>
        <v>38187.123287671217</v>
      </c>
      <c r="I4936" s="1128" t="e">
        <f>VLOOKUP(Tabla1[[#This Row],[FECHA]],TablaUVA[#All],2)</f>
        <v>#VALUE!</v>
      </c>
      <c r="J4936" s="1125" t="e">
        <f>VLOOKUP(Tabla1[[#This Row],[VTO.]],TablaUVA[#All],2)</f>
        <v>#VALUE!</v>
      </c>
      <c r="K4936" t="e">
        <f>+Tabla1[[#This Row],[DEPOSITADO]]/I4936</f>
        <v>#VALUE!</v>
      </c>
      <c r="L4936" s="591" t="e">
        <f>IF(Tabla1[[#This Row],[DIAS]]&gt;89,+K4936*J4936*(1+1%/365*Tabla1[[#This Row],[DIAS]]),Tabla1[[#This Row],[ACOBRAR]])</f>
        <v>#VALUE!</v>
      </c>
      <c r="M4936" s="596" t="e">
        <f>+L4936-Tabla1[[#This Row],[ACOBRAR]]</f>
        <v>#VALUE!</v>
      </c>
    </row>
    <row r="4937" spans="1:13" ht="12.5" customHeight="1">
      <c r="A4937" s="1126">
        <v>45910</v>
      </c>
      <c r="B4937" s="615">
        <v>495000</v>
      </c>
      <c r="C4937" s="615">
        <f t="shared" si="648"/>
        <v>525513.69863013702</v>
      </c>
      <c r="D4937" s="532">
        <f t="shared" si="649"/>
        <v>45960</v>
      </c>
      <c r="E4937" s="534">
        <v>50</v>
      </c>
      <c r="F4937" s="601">
        <v>0.45</v>
      </c>
      <c r="G4937" s="1127" t="s">
        <v>265</v>
      </c>
      <c r="H4937" s="1021">
        <f t="shared" si="650"/>
        <v>18308.21917808221</v>
      </c>
      <c r="I4937" s="1128" t="e">
        <f>VLOOKUP(Tabla1[[#This Row],[FECHA]],TablaUVA[#All],2)</f>
        <v>#VALUE!</v>
      </c>
      <c r="J4937" s="1125" t="e">
        <f>VLOOKUP(Tabla1[[#This Row],[VTO.]],TablaUVA[#All],2)</f>
        <v>#VALUE!</v>
      </c>
      <c r="K4937" t="e">
        <f>+Tabla1[[#This Row],[DEPOSITADO]]/I4937</f>
        <v>#VALUE!</v>
      </c>
      <c r="L4937" s="591" t="e">
        <f>IF(Tabla1[[#This Row],[DIAS]]&gt;89,+K4937*J4937*(1+1%/365*Tabla1[[#This Row],[DIAS]]),Tabla1[[#This Row],[ACOBRAR]])</f>
        <v>#VALUE!</v>
      </c>
      <c r="M4937" s="596" t="e">
        <f>+L4937-Tabla1[[#This Row],[ACOBRAR]]</f>
        <v>#VALUE!</v>
      </c>
    </row>
    <row r="4938" spans="1:13" ht="12.5" customHeight="1">
      <c r="A4938" s="1126">
        <v>45910</v>
      </c>
      <c r="B4938" s="615">
        <v>400000</v>
      </c>
      <c r="C4938" s="615">
        <f t="shared" si="648"/>
        <v>424657.53424657532</v>
      </c>
      <c r="D4938" s="532">
        <f t="shared" si="649"/>
        <v>45960</v>
      </c>
      <c r="E4938" s="534">
        <v>50</v>
      </c>
      <c r="F4938" s="601">
        <v>0.45</v>
      </c>
      <c r="G4938" s="1127" t="s">
        <v>256</v>
      </c>
      <c r="H4938" s="1021">
        <f t="shared" si="650"/>
        <v>14794.520547945192</v>
      </c>
      <c r="I4938" s="1128" t="e">
        <f>VLOOKUP(Tabla1[[#This Row],[FECHA]],TablaUVA[#All],2)</f>
        <v>#VALUE!</v>
      </c>
      <c r="J4938" s="1125" t="e">
        <f>VLOOKUP(Tabla1[[#This Row],[VTO.]],TablaUVA[#All],2)</f>
        <v>#VALUE!</v>
      </c>
      <c r="K4938" t="e">
        <f>+Tabla1[[#This Row],[DEPOSITADO]]/I4938</f>
        <v>#VALUE!</v>
      </c>
      <c r="L4938" s="591" t="e">
        <f>IF(Tabla1[[#This Row],[DIAS]]&gt;89,+K4938*J4938*(1+1%/365*Tabla1[[#This Row],[DIAS]]),Tabla1[[#This Row],[ACOBRAR]])</f>
        <v>#VALUE!</v>
      </c>
      <c r="M4938" s="596" t="e">
        <f>+L4938-Tabla1[[#This Row],[ACOBRAR]]</f>
        <v>#VALUE!</v>
      </c>
    </row>
    <row r="4939" spans="1:13" ht="12.5" customHeight="1">
      <c r="A4939" s="1126">
        <v>45910</v>
      </c>
      <c r="B4939" s="615">
        <v>190000</v>
      </c>
      <c r="C4939" s="615">
        <f t="shared" si="648"/>
        <v>203013.69863013699</v>
      </c>
      <c r="D4939" s="532">
        <f t="shared" si="649"/>
        <v>45960</v>
      </c>
      <c r="E4939" s="534">
        <v>50</v>
      </c>
      <c r="F4939" s="601">
        <v>0.5</v>
      </c>
      <c r="G4939" s="1127" t="s">
        <v>258</v>
      </c>
      <c r="H4939" s="1021">
        <f t="shared" si="650"/>
        <v>7808.219178082195</v>
      </c>
      <c r="I4939" s="1128" t="e">
        <f>VLOOKUP(Tabla1[[#This Row],[FECHA]],TablaUVA[#All],2)</f>
        <v>#VALUE!</v>
      </c>
      <c r="J4939" s="1125" t="e">
        <f>VLOOKUP(Tabla1[[#This Row],[VTO.]],TablaUVA[#All],2)</f>
        <v>#VALUE!</v>
      </c>
      <c r="K4939" t="e">
        <f>+Tabla1[[#This Row],[DEPOSITADO]]/I4939</f>
        <v>#VALUE!</v>
      </c>
      <c r="L4939" s="591" t="e">
        <f>IF(Tabla1[[#This Row],[DIAS]]&gt;89,+K4939*J4939*(1+1%/365*Tabla1[[#This Row],[DIAS]]),Tabla1[[#This Row],[ACOBRAR]])</f>
        <v>#VALUE!</v>
      </c>
      <c r="M4939" s="596" t="e">
        <f>+L4939-Tabla1[[#This Row],[ACOBRAR]]</f>
        <v>#VALUE!</v>
      </c>
    </row>
    <row r="4940" spans="1:13" ht="12.5" customHeight="1">
      <c r="A4940" s="1126">
        <v>45910</v>
      </c>
      <c r="B4940" s="615">
        <v>684000</v>
      </c>
      <c r="C4940" s="615">
        <f t="shared" si="648"/>
        <v>728038.35616438359</v>
      </c>
      <c r="D4940" s="532">
        <f t="shared" si="649"/>
        <v>45960</v>
      </c>
      <c r="E4940" s="534">
        <v>50</v>
      </c>
      <c r="F4940" s="601">
        <v>0.47</v>
      </c>
      <c r="G4940" s="1127" t="s">
        <v>264</v>
      </c>
      <c r="H4940" s="1021">
        <f t="shared" si="650"/>
        <v>26423.013698630151</v>
      </c>
      <c r="I4940" s="1128" t="e">
        <f>VLOOKUP(Tabla1[[#This Row],[FECHA]],TablaUVA[#All],2)</f>
        <v>#VALUE!</v>
      </c>
      <c r="J4940" s="1125" t="e">
        <f>VLOOKUP(Tabla1[[#This Row],[VTO.]],TablaUVA[#All],2)</f>
        <v>#VALUE!</v>
      </c>
      <c r="K4940" t="e">
        <f>+Tabla1[[#This Row],[DEPOSITADO]]/I4940</f>
        <v>#VALUE!</v>
      </c>
      <c r="L4940" s="591" t="e">
        <f>IF(Tabla1[[#This Row],[DIAS]]&gt;89,+K4940*J4940*(1+1%/365*Tabla1[[#This Row],[DIAS]]),Tabla1[[#This Row],[ACOBRAR]])</f>
        <v>#VALUE!</v>
      </c>
      <c r="M4940" s="596" t="e">
        <f>+L4940-Tabla1[[#This Row],[ACOBRAR]]</f>
        <v>#VALUE!</v>
      </c>
    </row>
    <row r="4942" spans="1:13" ht="13">
      <c r="A4942" s="1126">
        <v>45912</v>
      </c>
      <c r="B4942" s="615">
        <v>1580000</v>
      </c>
      <c r="C4942" s="615">
        <v>1673328.2191780822</v>
      </c>
      <c r="D4942" s="532">
        <v>45961</v>
      </c>
      <c r="E4942" s="534">
        <v>49</v>
      </c>
      <c r="F4942" s="601">
        <v>0.44</v>
      </c>
      <c r="G4942" s="1127" t="s">
        <v>262</v>
      </c>
      <c r="H4942" s="1021">
        <v>57139.726027397257</v>
      </c>
      <c r="I4942" s="1128">
        <v>1578.5517089382483</v>
      </c>
      <c r="J4942" s="1125">
        <v>1620.3370022277488</v>
      </c>
      <c r="K4942">
        <v>1000.917480912124</v>
      </c>
      <c r="L4942" s="591">
        <v>1673328.2191780822</v>
      </c>
      <c r="M4942" s="596">
        <v>0</v>
      </c>
    </row>
    <row r="4943" spans="1:13" ht="13">
      <c r="A4943" s="1126">
        <v>45912</v>
      </c>
      <c r="B4943" s="615">
        <v>500000</v>
      </c>
      <c r="C4943" s="615">
        <v>529534.24657534249</v>
      </c>
      <c r="D4943" s="532">
        <v>45961</v>
      </c>
      <c r="E4943" s="534">
        <v>49</v>
      </c>
      <c r="F4943" s="601">
        <v>0.44</v>
      </c>
      <c r="G4943" s="1127" t="s">
        <v>258</v>
      </c>
      <c r="H4943" s="1021">
        <v>18082.191780821933</v>
      </c>
      <c r="I4943" s="1128">
        <v>1578.5517089382483</v>
      </c>
      <c r="J4943" s="1125">
        <v>1620.3370022277488</v>
      </c>
      <c r="K4943">
        <v>316.74603826333038</v>
      </c>
      <c r="L4943" s="591">
        <v>529534.24657534249</v>
      </c>
      <c r="M4943" s="596">
        <v>0</v>
      </c>
    </row>
    <row r="4944" spans="1:13" ht="13">
      <c r="A4944" s="1126">
        <v>45911</v>
      </c>
      <c r="B4944" s="615">
        <v>380000</v>
      </c>
      <c r="C4944" s="615">
        <v>403424.65753424657</v>
      </c>
      <c r="D4944" s="532">
        <v>45961</v>
      </c>
      <c r="E4944" s="534">
        <v>50</v>
      </c>
      <c r="F4944" s="601">
        <v>0.45</v>
      </c>
      <c r="G4944" s="1127" t="s">
        <v>256</v>
      </c>
      <c r="H4944" s="1021">
        <v>14054.794520547939</v>
      </c>
      <c r="I4944" s="1128">
        <v>1577.7102634644007</v>
      </c>
      <c r="J4944" s="1125">
        <v>1620.3370022277488</v>
      </c>
      <c r="K4944">
        <v>240.85537680764051</v>
      </c>
      <c r="L4944" s="591">
        <v>403424.65753424657</v>
      </c>
      <c r="M4944" s="596">
        <v>0</v>
      </c>
    </row>
    <row r="4945" spans="1:13" customFormat="1" ht="13">
      <c r="A4945" s="1126">
        <v>45911</v>
      </c>
      <c r="B4945" s="615">
        <v>1000000</v>
      </c>
      <c r="C4945" s="615">
        <v>1060273.9726027397</v>
      </c>
      <c r="D4945" s="532">
        <v>45961</v>
      </c>
      <c r="E4945" s="534">
        <v>50</v>
      </c>
      <c r="F4945" s="601">
        <v>0.44</v>
      </c>
      <c r="G4945" s="1127" t="s">
        <v>262</v>
      </c>
      <c r="H4945" s="1021">
        <v>36164.383561643815</v>
      </c>
      <c r="I4945" s="1128">
        <v>1577.7102634644007</v>
      </c>
      <c r="J4945" s="1125">
        <v>1620.3370022277488</v>
      </c>
      <c r="K4945">
        <v>633.82993896747496</v>
      </c>
      <c r="L4945" s="591">
        <v>1060273.9726027397</v>
      </c>
      <c r="M4945" s="596">
        <v>0</v>
      </c>
    </row>
    <row r="4946" spans="1:13" customFormat="1" ht="13">
      <c r="A4946" s="532">
        <v>45911</v>
      </c>
      <c r="B4946" s="615">
        <v>434000</v>
      </c>
      <c r="C4946" s="615">
        <v>460753.42465753423</v>
      </c>
      <c r="D4946" s="532">
        <v>45961</v>
      </c>
      <c r="E4946" s="534">
        <v>50</v>
      </c>
      <c r="F4946" s="601">
        <v>0.45</v>
      </c>
      <c r="G4946" s="1127" t="s">
        <v>257</v>
      </c>
      <c r="H4946" s="1021">
        <v>16052.054794520534</v>
      </c>
      <c r="I4946" s="1128">
        <v>1577.7102634644007</v>
      </c>
      <c r="J4946" s="1125">
        <v>1620.3370022277488</v>
      </c>
      <c r="K4946">
        <v>275.08219351188416</v>
      </c>
      <c r="L4946" s="591">
        <v>460753.42465753423</v>
      </c>
      <c r="M4946" s="596">
        <v>0</v>
      </c>
    </row>
    <row r="4947" spans="1:13" customFormat="1" ht="13">
      <c r="A4947" s="1126">
        <v>45911</v>
      </c>
      <c r="B4947" s="615">
        <v>525000</v>
      </c>
      <c r="C4947" s="615">
        <v>558801.36986301374</v>
      </c>
      <c r="D4947" s="532">
        <v>45961</v>
      </c>
      <c r="E4947" s="534">
        <v>50</v>
      </c>
      <c r="F4947" s="601">
        <v>0.47</v>
      </c>
      <c r="G4947" s="1127" t="s">
        <v>258</v>
      </c>
      <c r="H4947" s="1021">
        <v>20280.82191780824</v>
      </c>
      <c r="I4947" s="1128">
        <v>1577.7102634644007</v>
      </c>
      <c r="J4947" s="1125">
        <v>1620.3370022277488</v>
      </c>
      <c r="K4947">
        <v>332.76071795792438</v>
      </c>
      <c r="L4947" s="591">
        <v>558801.36986301374</v>
      </c>
      <c r="M4947" s="596">
        <v>0</v>
      </c>
    </row>
    <row r="4948" spans="1:13" customFormat="1" ht="13">
      <c r="A4948" s="532"/>
      <c r="B4948" s="615"/>
      <c r="C4948" s="615"/>
      <c r="D4948" s="532"/>
      <c r="E4948" s="534"/>
      <c r="F4948" s="601"/>
      <c r="G4948" s="1127"/>
      <c r="H4948" s="1021"/>
      <c r="I4948" s="1128"/>
      <c r="J4948" s="1125"/>
      <c r="L4948" s="591"/>
      <c r="M4948" s="596"/>
    </row>
    <row r="4949" spans="1:13" customFormat="1" ht="13">
      <c r="A4949" s="532"/>
      <c r="B4949" s="615"/>
      <c r="C4949" s="615"/>
      <c r="D4949" s="532"/>
      <c r="E4949" s="534"/>
      <c r="F4949" s="601"/>
      <c r="G4949" s="1127"/>
      <c r="H4949" s="1021"/>
      <c r="I4949" s="1128"/>
      <c r="J4949" s="1125"/>
      <c r="L4949" s="591"/>
      <c r="M4949" s="596"/>
    </row>
    <row r="4950" spans="1:13" customFormat="1"/>
    <row r="4951" spans="1:13" customFormat="1" ht="15.5">
      <c r="A4951" s="695">
        <v>45296</v>
      </c>
      <c r="B4951" s="824">
        <f>SUM(B4942:B4950)</f>
        <v>4419000</v>
      </c>
      <c r="C4951" s="824">
        <f>SUM(C4942:C4950)</f>
        <v>4686115.8904109597</v>
      </c>
      <c r="D4951" s="824"/>
      <c r="E4951" s="824"/>
      <c r="F4951" s="698">
        <f>+C4951/B4951-1</f>
        <v>6.0447135191436852E-2</v>
      </c>
      <c r="G4951" s="510"/>
      <c r="H4951" s="718">
        <f>SUM(C4195:C4197)</f>
        <v>3045165.6367916586</v>
      </c>
      <c r="I4951" s="596">
        <f>SUM(C4185:C4186)</f>
        <v>7672161.5321491286</v>
      </c>
      <c r="J4951" s="611"/>
      <c r="K4951" s="611"/>
      <c r="L4951" s="611"/>
      <c r="M4951" s="1040" t="s">
        <v>15</v>
      </c>
    </row>
    <row r="4952" spans="1:13" customFormat="1" ht="15.5">
      <c r="A4952" s="695"/>
      <c r="B4952" s="1058">
        <f>+C4951-B4951</f>
        <v>267115.89041095972</v>
      </c>
      <c r="C4952" s="1100" t="s">
        <v>223</v>
      </c>
      <c r="D4952" s="696"/>
      <c r="E4952" s="697"/>
      <c r="F4952" s="698"/>
      <c r="G4952" s="510"/>
      <c r="H4952" s="718">
        <f>+H4117+H4116-H4951</f>
        <v>-1740521.9667916587</v>
      </c>
      <c r="J4952" s="611"/>
      <c r="K4952" s="611"/>
      <c r="L4952" s="1099" t="s">
        <v>816</v>
      </c>
      <c r="M4952" s="611"/>
    </row>
    <row r="4953" spans="1:13" customFormat="1">
      <c r="B4953" s="591">
        <v>3607000</v>
      </c>
    </row>
    <row r="4954" spans="1:13" customFormat="1">
      <c r="B4954" s="591">
        <f>+B4951-B4953</f>
        <v>812000</v>
      </c>
      <c r="C4954" s="591">
        <f>SUM(C4916:C4918)</f>
        <v>1646876.2739726026</v>
      </c>
    </row>
    <row r="4955" spans="1:13" customFormat="1">
      <c r="B4955" s="591"/>
      <c r="C4955" s="591"/>
    </row>
    <row r="4956" spans="1:13" customFormat="1">
      <c r="C4956" s="596">
        <f>SUM(C4177:C4179)</f>
        <v>678192.45990399283</v>
      </c>
    </row>
    <row r="4957" spans="1:13" customFormat="1">
      <c r="B4957" s="577" t="s">
        <v>360</v>
      </c>
      <c r="C4957">
        <v>683512</v>
      </c>
    </row>
    <row r="4958" spans="1:13" customFormat="1" ht="14">
      <c r="A4958" s="712">
        <v>45530</v>
      </c>
      <c r="B4958" s="713">
        <v>3800000</v>
      </c>
      <c r="C4958" s="713" t="e">
        <f>+Tabla1[[#This Row],[DEPOSITADO]]*(1+Tabla1[[#This Row],[TASA]])</f>
        <v>#VALUE!</v>
      </c>
      <c r="D4958" s="714">
        <v>45621</v>
      </c>
      <c r="E4958" s="715">
        <v>91</v>
      </c>
      <c r="F4958" s="777" t="e">
        <f>+(Tabla1[[#This Row],[Columna10]]*(1+0.01/365*E4958))/Tabla1[[#This Row],[Columna9]]-1</f>
        <v>#VALUE!</v>
      </c>
      <c r="G4958" s="716" t="s">
        <v>258</v>
      </c>
      <c r="H4958" s="717" t="e">
        <f t="shared" ref="A4956:H4958" si="651">(C4958-B4958)/E4958*30</f>
        <v>#VALUE!</v>
      </c>
      <c r="I4958" s="718" t="e">
        <f>VLOOKUP(Tabla1[[#This Row],[FECHA]],TablaUVA[#All],2)</f>
        <v>#VALUE!</v>
      </c>
      <c r="J4958" s="718" t="e">
        <f>VLOOKUP(Tabla1[[#This Row],[VTO.]],TablaUVA[#All],2)</f>
        <v>#VALUE!</v>
      </c>
      <c r="K4958" s="716" t="e">
        <f>+Tabla1[[#This Row],[DEPOSITADO]]/I4958</f>
        <v>#VALUE!</v>
      </c>
      <c r="L4958" s="719" t="e">
        <f>IF(Tabla1[[#This Row],[DIAS]]&gt;89,+K4958*J4958*(1+1%/365*Tabla1[[#This Row],[DIAS]]),Tabla1[[#This Row],[ACOBRAR]])</f>
        <v>#VALUE!</v>
      </c>
      <c r="M4958" s="720" t="e">
        <f>+L4958-Tabla1[[#This Row],[ACOBRAR]]</f>
        <v>#VALUE!</v>
      </c>
    </row>
    <row r="4959" spans="1:13" customFormat="1"/>
    <row r="4960" spans="1:13" customFormat="1"/>
    <row r="4961" spans="1:9" customFormat="1"/>
    <row r="4962" spans="1:9" customFormat="1" ht="18">
      <c r="A4962" s="655" t="s">
        <v>732</v>
      </c>
      <c r="B4962" s="655"/>
    </row>
    <row r="4963" spans="1:9" customFormat="1">
      <c r="A4963" s="660">
        <f>+A3786</f>
        <v>45265</v>
      </c>
      <c r="B4963" s="661">
        <f>+B3831</f>
        <v>320000</v>
      </c>
      <c r="C4963" s="661">
        <f t="shared" ref="A4956:C4963" si="652">B4963+(B4963*F4963/365*E4963)*1</f>
        <v>377336.98630136985</v>
      </c>
      <c r="D4963" s="662">
        <f>+A4963+E4963</f>
        <v>45295</v>
      </c>
      <c r="E4963" s="663">
        <v>30</v>
      </c>
      <c r="F4963" s="664">
        <v>2.1800000000000002</v>
      </c>
      <c r="G4963" s="730">
        <f>+F4963/12</f>
        <v>0.18166666666666667</v>
      </c>
      <c r="H4963" s="665"/>
      <c r="I4963" s="665"/>
    </row>
    <row r="4964" spans="1:9" customFormat="1">
      <c r="A4964" s="660">
        <f>+D4963</f>
        <v>45295</v>
      </c>
      <c r="B4964" s="661">
        <f>+C4963</f>
        <v>377336.98630136985</v>
      </c>
      <c r="C4964" s="661">
        <f t="shared" ref="A4956:C4964" si="653">B4964+(B4964*F4964/365*E4964)*1</f>
        <v>444947.50384687557</v>
      </c>
      <c r="D4964" s="662">
        <f>+A4964+E4964</f>
        <v>45325</v>
      </c>
      <c r="E4964" s="663">
        <v>30</v>
      </c>
      <c r="F4964" s="664">
        <f>+F4963</f>
        <v>2.1800000000000002</v>
      </c>
      <c r="G4964" s="730">
        <f t="shared" ref="A4956:G4967" si="654">+F4964/12</f>
        <v>0.18166666666666667</v>
      </c>
      <c r="H4964" s="665"/>
      <c r="I4964" s="665"/>
    </row>
    <row r="4965" spans="1:9" customFormat="1">
      <c r="A4965" s="660">
        <f>+D4964</f>
        <v>45325</v>
      </c>
      <c r="B4965" s="661">
        <f>+C4964</f>
        <v>444947.50384687557</v>
      </c>
      <c r="C4965" s="661">
        <f t="shared" ref="A4956:C4965" si="655">B4965+(B4965*F4965/365*E4965)*1</f>
        <v>524672.34426217875</v>
      </c>
      <c r="D4965" s="662">
        <f>+A4965+E4965</f>
        <v>45355</v>
      </c>
      <c r="E4965" s="663">
        <v>30</v>
      </c>
      <c r="F4965" s="664">
        <f>+F4964</f>
        <v>2.1800000000000002</v>
      </c>
      <c r="G4965" s="730">
        <f t="shared" si="654"/>
        <v>0.18166666666666667</v>
      </c>
      <c r="H4965" s="665"/>
      <c r="I4965" s="665"/>
    </row>
    <row r="4966" spans="1:9" customFormat="1">
      <c r="A4966" s="665"/>
      <c r="B4966" s="665"/>
      <c r="C4966" s="665"/>
      <c r="D4966" s="665"/>
      <c r="E4966" s="666">
        <f>SUM(E4963:E4965)</f>
        <v>90</v>
      </c>
      <c r="F4966" s="665"/>
      <c r="G4966" s="730">
        <f t="shared" si="654"/>
        <v>0</v>
      </c>
      <c r="H4966" s="665"/>
      <c r="I4966" s="665"/>
    </row>
    <row r="4967" spans="1:9" customFormat="1">
      <c r="A4967" s="660">
        <f>+A4963</f>
        <v>45265</v>
      </c>
      <c r="B4967" s="661">
        <f>+B4963</f>
        <v>320000</v>
      </c>
      <c r="C4967" s="661">
        <f t="shared" ref="A4956:C4967" si="656">B4967+(B4967*F4967/365*E4967)*1</f>
        <v>525150.68493150687</v>
      </c>
      <c r="D4967" s="662">
        <f t="shared" ref="A4956:D4967" si="657">+A4967+E4967</f>
        <v>45355</v>
      </c>
      <c r="E4967" s="663">
        <v>90</v>
      </c>
      <c r="F4967" s="664">
        <v>2.6</v>
      </c>
      <c r="G4967" s="730">
        <f t="shared" si="654"/>
        <v>0.21666666666666667</v>
      </c>
      <c r="H4967" s="667">
        <v>0.16399999999999998</v>
      </c>
      <c r="I4967" s="667">
        <f>+H4967*4</f>
        <v>0.65599999999999992</v>
      </c>
    </row>
    <row r="4968" spans="1:9" customFormat="1" ht="13">
      <c r="A4968" s="668"/>
      <c r="B4968" s="669"/>
      <c r="C4968" s="669"/>
      <c r="D4968" s="668"/>
      <c r="E4968" s="670"/>
      <c r="F4968" s="667">
        <v>1.65</v>
      </c>
      <c r="G4968" s="671"/>
      <c r="H4968" s="667"/>
      <c r="I4968" s="667"/>
    </row>
    <row r="4969" spans="1:9" customFormat="1" ht="13">
      <c r="A4969" s="668"/>
      <c r="B4969" s="669"/>
      <c r="C4969" s="669"/>
      <c r="D4969" s="668"/>
      <c r="E4969" s="670"/>
      <c r="F4969" s="667"/>
      <c r="G4969" s="671"/>
      <c r="H4969" s="667"/>
      <c r="I4969" s="667"/>
    </row>
    <row r="4970" spans="1:9" customFormat="1">
      <c r="B4970" s="596">
        <f>SUM(B3440:B3445)</f>
        <v>1088100</v>
      </c>
      <c r="C4970" s="596">
        <f>SUM(C3440:C3445)</f>
        <v>1193630.7945205478</v>
      </c>
    </row>
    <row r="4971" spans="1:9" customFormat="1"/>
    <row r="4972" spans="1:9" customFormat="1">
      <c r="B4972">
        <v>160000</v>
      </c>
      <c r="C4972">
        <v>223058.48636807487</v>
      </c>
    </row>
    <row r="4973" spans="1:9" customFormat="1"/>
    <row r="4974" spans="1:9" customFormat="1"/>
    <row r="4975" spans="1:9" customFormat="1"/>
    <row r="4976" spans="1:9" customFormat="1"/>
    <row r="4977" spans="2:3" customFormat="1"/>
    <row r="4978" spans="2:3" customFormat="1">
      <c r="B4978" s="596">
        <f>SUM(B3543:B3547)</f>
        <v>392400</v>
      </c>
      <c r="C4978" s="596">
        <f>SUM(C3543:C3547)</f>
        <v>435295.23287671234</v>
      </c>
    </row>
    <row r="4979" spans="2:3" customFormat="1"/>
    <row r="4980" spans="2:3" customFormat="1"/>
    <row r="4981" spans="2:3" customFormat="1"/>
    <row r="4982" spans="2:3" customFormat="1"/>
    <row r="4983" spans="2:3" customFormat="1"/>
    <row r="4984" spans="2:3" customFormat="1"/>
    <row r="4985" spans="2:3" customFormat="1"/>
    <row r="4986" spans="2:3" customFormat="1"/>
    <row r="4987" spans="2:3" customFormat="1"/>
    <row r="4988" spans="2:3" customFormat="1"/>
    <row r="4989" spans="2:3" customFormat="1"/>
    <row r="4990" spans="2:3" customFormat="1"/>
    <row r="4991" spans="2:3" customFormat="1"/>
    <row r="4992" spans="2:3" customFormat="1"/>
    <row r="4993" customFormat="1"/>
    <row r="4994" customFormat="1"/>
    <row r="4995" customFormat="1"/>
    <row r="4996" customFormat="1"/>
    <row r="4997" customFormat="1"/>
    <row r="4998" customFormat="1"/>
    <row r="4999" customFormat="1"/>
    <row r="5000" customFormat="1"/>
    <row r="5001" customFormat="1"/>
    <row r="5002" customFormat="1"/>
    <row r="5003" customFormat="1"/>
    <row r="5004" customFormat="1"/>
    <row r="5005" customFormat="1"/>
    <row r="5006" customFormat="1"/>
    <row r="5007" customFormat="1"/>
    <row r="5008" customFormat="1"/>
    <row r="5009" customFormat="1"/>
    <row r="5010" customFormat="1"/>
    <row r="5011" customFormat="1"/>
    <row r="5012" customFormat="1"/>
    <row r="5013" customFormat="1"/>
    <row r="5014" customFormat="1"/>
    <row r="5015" customFormat="1"/>
    <row r="5016" customFormat="1"/>
    <row r="5017" customFormat="1"/>
    <row r="5018" customFormat="1"/>
    <row r="5019" customFormat="1"/>
    <row r="5020" customFormat="1"/>
    <row r="5021" customFormat="1"/>
    <row r="5022" customFormat="1"/>
    <row r="5023" customFormat="1"/>
    <row r="5024" customFormat="1"/>
    <row r="5025" customFormat="1"/>
    <row r="5026" customFormat="1"/>
    <row r="5027" customFormat="1"/>
    <row r="5028" customFormat="1"/>
    <row r="5029" customFormat="1"/>
    <row r="5030" customFormat="1"/>
    <row r="5031" customFormat="1"/>
    <row r="5032" customFormat="1"/>
    <row r="5033" customFormat="1"/>
    <row r="5034" customFormat="1"/>
    <row r="5035" customFormat="1"/>
    <row r="5036" customFormat="1"/>
    <row r="5037" customFormat="1"/>
    <row r="5038" customFormat="1"/>
    <row r="5039" customFormat="1"/>
    <row r="5040" customFormat="1"/>
    <row r="5041" customFormat="1"/>
    <row r="5042" customFormat="1"/>
    <row r="5043" customFormat="1"/>
    <row r="5044" customFormat="1"/>
    <row r="5045" customFormat="1"/>
    <row r="5046" customFormat="1"/>
    <row r="5047" customFormat="1"/>
    <row r="5048" customFormat="1"/>
  </sheetData>
  <autoFilter ref="A3678:G4041" xr:uid="{00000000-0001-0000-0500-000000000000}"/>
  <sortState xmlns:xlrd2="http://schemas.microsoft.com/office/spreadsheetml/2017/richdata2" ref="A3844:G3856">
    <sortCondition ref="A3844:A3856"/>
  </sortState>
  <mergeCells count="39">
    <mergeCell ref="M1459:S1459"/>
    <mergeCell ref="M1443:S1443"/>
    <mergeCell ref="M1444:S1444"/>
    <mergeCell ref="M1445:S1445"/>
    <mergeCell ref="M1446:S1446"/>
    <mergeCell ref="M1447:S1447"/>
    <mergeCell ref="M1448:S1448"/>
    <mergeCell ref="M1449:S1449"/>
    <mergeCell ref="M1452:S1452"/>
    <mergeCell ref="M1453:S1453"/>
    <mergeCell ref="M1450:S1450"/>
    <mergeCell ref="M1451:S1451"/>
    <mergeCell ref="M1454:S1454"/>
    <mergeCell ref="M1455:S1455"/>
    <mergeCell ref="M1456:S1456"/>
    <mergeCell ref="M1457:S1457"/>
    <mergeCell ref="M1464:S1464"/>
    <mergeCell ref="M1465:S1465"/>
    <mergeCell ref="M1467:S1467"/>
    <mergeCell ref="M1458:S1458"/>
    <mergeCell ref="M1483:S1483"/>
    <mergeCell ref="M1478:S1478"/>
    <mergeCell ref="M1479:S1479"/>
    <mergeCell ref="M1480:S1480"/>
    <mergeCell ref="M1481:S1481"/>
    <mergeCell ref="M1482:S1482"/>
    <mergeCell ref="M1460:S1460"/>
    <mergeCell ref="M1461:S1461"/>
    <mergeCell ref="M1462:S1462"/>
    <mergeCell ref="M1463:S1463"/>
    <mergeCell ref="M1469:S1469"/>
    <mergeCell ref="M1473:S1473"/>
    <mergeCell ref="M1476:S1476"/>
    <mergeCell ref="M1477:S1477"/>
    <mergeCell ref="M1468:S1468"/>
    <mergeCell ref="M1466:S1466"/>
    <mergeCell ref="M1484:S1484"/>
    <mergeCell ref="M1474:S1474"/>
    <mergeCell ref="M1475:S1475"/>
  </mergeCells>
  <pageMargins left="0.7" right="0.7" top="0.75" bottom="0.75" header="0.3" footer="0.3"/>
  <pageSetup orientation="portrait" horizontalDpi="300" verticalDpi="30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D602-FA5F-4FBF-9624-1B27B763C045}">
  <sheetPr codeName="Hoja8"/>
  <dimension ref="A3:B13"/>
  <sheetViews>
    <sheetView workbookViewId="0">
      <selection activeCell="A6" sqref="A6:B9"/>
    </sheetView>
  </sheetViews>
  <sheetFormatPr baseColWidth="10" defaultColWidth="10.81640625" defaultRowHeight="12.5"/>
  <cols>
    <col min="1" max="1" width="21.54296875" bestFit="1" customWidth="1"/>
    <col min="2" max="2" width="17.81640625" bestFit="1" customWidth="1"/>
  </cols>
  <sheetData>
    <row r="3" spans="1:2">
      <c r="A3" s="1060" t="s">
        <v>818</v>
      </c>
      <c r="B3" t="s">
        <v>819</v>
      </c>
    </row>
    <row r="4" spans="1:2">
      <c r="A4" s="1101" t="s">
        <v>256</v>
      </c>
      <c r="B4" s="596">
        <v>6678632.6027397253</v>
      </c>
    </row>
    <row r="5" spans="1:2">
      <c r="A5" s="1101" t="s">
        <v>265</v>
      </c>
      <c r="B5" s="596">
        <v>4252055.5890410962</v>
      </c>
    </row>
    <row r="6" spans="1:2">
      <c r="A6" s="1101" t="s">
        <v>257</v>
      </c>
      <c r="B6" s="596">
        <v>4103689.8767123283</v>
      </c>
    </row>
    <row r="7" spans="1:2">
      <c r="A7" s="1101" t="s">
        <v>261</v>
      </c>
      <c r="B7" s="596">
        <v>4815310.958904109</v>
      </c>
    </row>
    <row r="8" spans="1:2">
      <c r="A8" s="1101" t="s">
        <v>264</v>
      </c>
      <c r="B8" s="596">
        <v>5248067.3287671227</v>
      </c>
    </row>
    <row r="9" spans="1:2">
      <c r="A9" s="1101" t="s">
        <v>266</v>
      </c>
      <c r="B9" s="596">
        <v>2615432.3287671232</v>
      </c>
    </row>
    <row r="10" spans="1:2">
      <c r="A10" s="1101" t="s">
        <v>258</v>
      </c>
      <c r="B10" s="596">
        <v>31867806.917808205</v>
      </c>
    </row>
    <row r="11" spans="1:2">
      <c r="A11" s="1101" t="s">
        <v>262</v>
      </c>
      <c r="B11" s="596">
        <v>7885593.01369863</v>
      </c>
    </row>
    <row r="12" spans="1:2">
      <c r="A12" s="1101" t="s">
        <v>260</v>
      </c>
      <c r="B12" s="596">
        <v>24822087.589041099</v>
      </c>
    </row>
    <row r="13" spans="1:2">
      <c r="A13" s="1101" t="s">
        <v>807</v>
      </c>
      <c r="B13" s="596">
        <v>92288676.205479428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U787"/>
  <sheetViews>
    <sheetView topLeftCell="A536" workbookViewId="0">
      <selection activeCell="B548" sqref="B548"/>
    </sheetView>
  </sheetViews>
  <sheetFormatPr baseColWidth="10" defaultColWidth="10.54296875" defaultRowHeight="12.5"/>
  <cols>
    <col min="2" max="2" width="20" customWidth="1"/>
    <col min="3" max="3" width="19.1796875" customWidth="1"/>
    <col min="6" max="6" width="14" customWidth="1"/>
    <col min="7" max="7" width="29.81640625" customWidth="1"/>
    <col min="8" max="8" width="80.26953125" customWidth="1"/>
    <col min="9" max="9" width="17.08984375" customWidth="1"/>
    <col min="10" max="10" width="14.54296875" bestFit="1" customWidth="1"/>
    <col min="11" max="11" width="13.453125" bestFit="1" customWidth="1"/>
  </cols>
  <sheetData>
    <row r="1" spans="1:15" ht="14" thickTop="1" thickBot="1">
      <c r="A1" s="2" t="s">
        <v>521</v>
      </c>
      <c r="B1" s="3" t="s">
        <v>522</v>
      </c>
      <c r="C1" s="3" t="s">
        <v>523</v>
      </c>
      <c r="D1" s="4" t="s">
        <v>524</v>
      </c>
      <c r="E1" s="5" t="s">
        <v>525</v>
      </c>
      <c r="F1" s="4" t="s">
        <v>526</v>
      </c>
      <c r="G1" s="6"/>
    </row>
    <row r="2" spans="1:15" ht="13" thickTop="1"/>
    <row r="3" spans="1:15" s="47" customFormat="1" ht="13">
      <c r="A3" s="176">
        <v>39701</v>
      </c>
      <c r="B3" s="932">
        <v>62768</v>
      </c>
      <c r="C3" s="932">
        <f t="shared" ref="C3:C8" si="0">B3+(B3*F3/365*D3)*1</f>
        <v>62957.593753424655</v>
      </c>
      <c r="D3" s="51">
        <v>35</v>
      </c>
      <c r="E3" s="49">
        <f t="shared" ref="E3:E8" si="1">A3+D3</f>
        <v>39736</v>
      </c>
      <c r="F3" s="52">
        <v>3.15E-2</v>
      </c>
      <c r="G3" s="177" t="s">
        <v>120</v>
      </c>
      <c r="H3" s="933">
        <f t="shared" ref="H3:I4" si="2">+A657</f>
        <v>37239</v>
      </c>
      <c r="I3" s="934">
        <f t="shared" si="2"/>
        <v>15000</v>
      </c>
      <c r="J3" s="903">
        <f>+C658</f>
        <v>714.28571428571513</v>
      </c>
      <c r="K3" s="935">
        <f>+E657</f>
        <v>13865.714285714284</v>
      </c>
      <c r="L3" s="920">
        <f>+D657</f>
        <v>420</v>
      </c>
      <c r="M3" s="936">
        <f>+G657</f>
        <v>0</v>
      </c>
      <c r="N3" s="937">
        <f>+F657</f>
        <v>0</v>
      </c>
      <c r="O3" s="898">
        <f t="shared" ref="O3:O4" si="3">+J3-I3</f>
        <v>-14285.714285714284</v>
      </c>
    </row>
    <row r="4" spans="1:15" s="47" customFormat="1" ht="13">
      <c r="A4" s="176">
        <v>39800</v>
      </c>
      <c r="B4" s="932">
        <v>180000</v>
      </c>
      <c r="C4" s="932">
        <f t="shared" si="0"/>
        <v>180536.54794520547</v>
      </c>
      <c r="D4" s="51">
        <v>34</v>
      </c>
      <c r="E4" s="49">
        <f t="shared" si="1"/>
        <v>39834</v>
      </c>
      <c r="F4" s="179">
        <v>3.2000000000000001E-2</v>
      </c>
      <c r="G4" s="177" t="s">
        <v>120</v>
      </c>
      <c r="H4" s="933">
        <f t="shared" si="2"/>
        <v>37242</v>
      </c>
      <c r="I4" s="934">
        <f t="shared" si="2"/>
        <v>20000</v>
      </c>
      <c r="J4" s="903">
        <f>+C659</f>
        <v>952.38095238095343</v>
      </c>
      <c r="K4" s="935">
        <f>+E658</f>
        <v>18627.619047619046</v>
      </c>
      <c r="L4" s="920">
        <f>+D658</f>
        <v>420</v>
      </c>
      <c r="M4" s="936">
        <f>+G658</f>
        <v>0</v>
      </c>
      <c r="N4" s="937">
        <f>+F658</f>
        <v>0</v>
      </c>
      <c r="O4" s="898">
        <f t="shared" si="3"/>
        <v>-19047.619047619046</v>
      </c>
    </row>
    <row r="5" spans="1:15" s="47" customFormat="1" ht="13">
      <c r="A5" s="176">
        <v>39800</v>
      </c>
      <c r="B5" s="932">
        <v>80000</v>
      </c>
      <c r="C5" s="932">
        <f t="shared" si="0"/>
        <v>80238.465753424651</v>
      </c>
      <c r="D5" s="51">
        <v>34</v>
      </c>
      <c r="E5" s="49">
        <f t="shared" si="1"/>
        <v>39834</v>
      </c>
      <c r="F5" s="179">
        <v>3.2000000000000001E-2</v>
      </c>
      <c r="G5" s="177" t="s">
        <v>120</v>
      </c>
      <c r="H5" s="933">
        <f t="shared" ref="H5:I6" si="4">+A658</f>
        <v>37242</v>
      </c>
      <c r="I5" s="934">
        <f t="shared" si="4"/>
        <v>20000</v>
      </c>
      <c r="J5" s="903">
        <f>+C659</f>
        <v>952.38095238095343</v>
      </c>
      <c r="K5" s="935">
        <f>+E658</f>
        <v>18627.619047619046</v>
      </c>
      <c r="L5" s="920">
        <f>+D658</f>
        <v>420</v>
      </c>
      <c r="M5" s="936">
        <f>+G658</f>
        <v>0</v>
      </c>
      <c r="N5" s="937">
        <f>+F658</f>
        <v>0</v>
      </c>
      <c r="O5" s="898">
        <f t="shared" ref="O5:O10" si="5">+J5-I5</f>
        <v>-19047.619047619046</v>
      </c>
    </row>
    <row r="6" spans="1:15" s="47" customFormat="1" ht="13">
      <c r="A6" s="176">
        <v>39834</v>
      </c>
      <c r="B6" s="932">
        <v>180537</v>
      </c>
      <c r="C6" s="932">
        <f t="shared" si="0"/>
        <v>181056.35301369862</v>
      </c>
      <c r="D6" s="51">
        <v>35</v>
      </c>
      <c r="E6" s="49">
        <f t="shared" si="1"/>
        <v>39869</v>
      </c>
      <c r="F6" s="179">
        <v>0.03</v>
      </c>
      <c r="G6" s="177" t="s">
        <v>120</v>
      </c>
      <c r="H6" s="933">
        <f t="shared" si="4"/>
        <v>37252</v>
      </c>
      <c r="I6" s="934">
        <f t="shared" si="4"/>
        <v>20000</v>
      </c>
      <c r="J6" s="903">
        <f>+C660</f>
        <v>952.38095238095343</v>
      </c>
      <c r="K6" s="935">
        <f>+E659</f>
        <v>19047.619047619046</v>
      </c>
      <c r="L6" s="920">
        <f>+D659</f>
        <v>0</v>
      </c>
      <c r="M6" s="936">
        <f>+G659</f>
        <v>0</v>
      </c>
      <c r="N6" s="937">
        <f>+F659</f>
        <v>0</v>
      </c>
      <c r="O6" s="898">
        <f t="shared" si="5"/>
        <v>-19047.619047619046</v>
      </c>
    </row>
    <row r="7" spans="1:15" s="47" customFormat="1" ht="13">
      <c r="A7" s="176">
        <v>39834</v>
      </c>
      <c r="B7" s="932">
        <v>80238</v>
      </c>
      <c r="C7" s="932">
        <f t="shared" si="0"/>
        <v>80468.821643835618</v>
      </c>
      <c r="D7" s="51">
        <v>35</v>
      </c>
      <c r="E7" s="49">
        <f t="shared" si="1"/>
        <v>39869</v>
      </c>
      <c r="F7" s="179">
        <v>0.03</v>
      </c>
      <c r="G7" s="177" t="s">
        <v>120</v>
      </c>
      <c r="H7" s="933">
        <f>+A659</f>
        <v>37252</v>
      </c>
      <c r="I7" s="934">
        <f>+B659</f>
        <v>20000</v>
      </c>
      <c r="J7" s="903">
        <f>+C660</f>
        <v>952.38095238095343</v>
      </c>
      <c r="K7" s="935">
        <f>+E659</f>
        <v>19047.619047619046</v>
      </c>
      <c r="L7" s="920">
        <f>+D659</f>
        <v>0</v>
      </c>
      <c r="M7" s="936">
        <f>+G659</f>
        <v>0</v>
      </c>
      <c r="N7" s="937">
        <f>+F659</f>
        <v>0</v>
      </c>
      <c r="O7" s="898">
        <f t="shared" si="5"/>
        <v>-19047.619047619046</v>
      </c>
    </row>
    <row r="8" spans="1:15" s="47" customFormat="1" ht="13">
      <c r="A8" s="176">
        <v>39864</v>
      </c>
      <c r="B8" s="932">
        <v>135000</v>
      </c>
      <c r="C8" s="932">
        <f t="shared" si="0"/>
        <v>135274.62328767125</v>
      </c>
      <c r="D8" s="51">
        <v>33</v>
      </c>
      <c r="E8" s="49">
        <f t="shared" si="1"/>
        <v>39897</v>
      </c>
      <c r="F8" s="179">
        <v>2.2499999999999999E-2</v>
      </c>
      <c r="G8" s="177" t="s">
        <v>120</v>
      </c>
      <c r="H8" s="933" t="e">
        <f>+#REF!</f>
        <v>#REF!</v>
      </c>
      <c r="I8" s="934" t="e">
        <f>+#REF!</f>
        <v>#REF!</v>
      </c>
      <c r="J8" s="903" t="e">
        <f>+#REF!</f>
        <v>#REF!</v>
      </c>
      <c r="K8" s="935" t="e">
        <f>+#REF!</f>
        <v>#REF!</v>
      </c>
      <c r="L8" s="920" t="e">
        <f>+#REF!</f>
        <v>#REF!</v>
      </c>
      <c r="M8" s="936" t="e">
        <f>+#REF!</f>
        <v>#REF!</v>
      </c>
      <c r="N8" s="937" t="e">
        <f>+#REF!</f>
        <v>#REF!</v>
      </c>
      <c r="O8" s="898" t="e">
        <f t="shared" si="5"/>
        <v>#REF!</v>
      </c>
    </row>
    <row r="9" spans="1:15" s="47" customFormat="1" ht="13">
      <c r="A9" s="176">
        <v>39869</v>
      </c>
      <c r="B9" s="932">
        <v>181056</v>
      </c>
      <c r="C9" s="932">
        <f t="shared" ref="C9:C19" si="6">B9+(B9*F9/365*D9)*1</f>
        <v>181472.67682191782</v>
      </c>
      <c r="D9" s="51">
        <v>35</v>
      </c>
      <c r="E9" s="49">
        <f t="shared" ref="E9:E19" si="7">A9+D9</f>
        <v>39904</v>
      </c>
      <c r="F9" s="179">
        <v>2.4E-2</v>
      </c>
      <c r="G9" s="177" t="s">
        <v>120</v>
      </c>
      <c r="H9" s="933" t="e">
        <f>+#REF!</f>
        <v>#REF!</v>
      </c>
      <c r="I9" s="934" t="e">
        <f>+#REF!</f>
        <v>#REF!</v>
      </c>
      <c r="J9" s="903" t="e">
        <f>+#REF!</f>
        <v>#REF!</v>
      </c>
      <c r="K9" s="935" t="e">
        <f>+#REF!</f>
        <v>#REF!</v>
      </c>
      <c r="L9" s="920" t="e">
        <f>+#REF!</f>
        <v>#REF!</v>
      </c>
      <c r="M9" s="936" t="e">
        <f>+#REF!</f>
        <v>#REF!</v>
      </c>
      <c r="N9" s="937" t="e">
        <f>+#REF!</f>
        <v>#REF!</v>
      </c>
      <c r="O9" s="898" t="e">
        <f t="shared" si="5"/>
        <v>#REF!</v>
      </c>
    </row>
    <row r="10" spans="1:15" s="47" customFormat="1" ht="13">
      <c r="A10" s="176">
        <v>39869</v>
      </c>
      <c r="B10" s="932">
        <v>80469</v>
      </c>
      <c r="C10" s="932">
        <f t="shared" si="6"/>
        <v>80654.188931506855</v>
      </c>
      <c r="D10" s="51">
        <v>35</v>
      </c>
      <c r="E10" s="49">
        <f t="shared" si="7"/>
        <v>39904</v>
      </c>
      <c r="F10" s="179">
        <v>2.4E-2</v>
      </c>
      <c r="G10" s="177" t="s">
        <v>120</v>
      </c>
      <c r="H10" s="933">
        <f>+A659</f>
        <v>37252</v>
      </c>
      <c r="I10" s="934">
        <f>+B659</f>
        <v>20000</v>
      </c>
      <c r="J10" s="903">
        <f>+C660</f>
        <v>952.38095238095343</v>
      </c>
      <c r="K10" s="935">
        <f>+E659</f>
        <v>19047.619047619046</v>
      </c>
      <c r="L10" s="920">
        <f>+D659</f>
        <v>0</v>
      </c>
      <c r="M10" s="936">
        <f>+G659</f>
        <v>0</v>
      </c>
      <c r="N10" s="937">
        <f>+F659</f>
        <v>0</v>
      </c>
      <c r="O10" s="898">
        <f t="shared" si="5"/>
        <v>-19047.619047619046</v>
      </c>
    </row>
    <row r="11" spans="1:15" s="47" customFormat="1" ht="13">
      <c r="A11" s="176">
        <v>39871</v>
      </c>
      <c r="B11" s="932">
        <v>89300</v>
      </c>
      <c r="C11" s="932">
        <f t="shared" si="6"/>
        <v>89380.736986301374</v>
      </c>
      <c r="D11" s="51">
        <v>33</v>
      </c>
      <c r="E11" s="49">
        <f t="shared" si="7"/>
        <v>39904</v>
      </c>
      <c r="F11" s="179">
        <v>0.01</v>
      </c>
      <c r="G11" s="177" t="s">
        <v>276</v>
      </c>
      <c r="H11" s="933">
        <f>+A659</f>
        <v>37252</v>
      </c>
      <c r="I11" s="934">
        <f>+B659</f>
        <v>20000</v>
      </c>
      <c r="J11" s="903">
        <f>+C660</f>
        <v>952.38095238095343</v>
      </c>
      <c r="K11" s="935">
        <f>+E659</f>
        <v>19047.619047619046</v>
      </c>
      <c r="L11" s="920">
        <f>+D659</f>
        <v>0</v>
      </c>
      <c r="M11" s="936">
        <f>+G659</f>
        <v>0</v>
      </c>
      <c r="N11" s="937">
        <f>+F659</f>
        <v>0</v>
      </c>
      <c r="O11" s="898">
        <f t="shared" ref="O11:O18" si="8">+J11-I11</f>
        <v>-19047.619047619046</v>
      </c>
    </row>
    <row r="12" spans="1:15" s="47" customFormat="1" ht="13">
      <c r="A12" s="176">
        <v>39876</v>
      </c>
      <c r="B12" s="932">
        <v>45000</v>
      </c>
      <c r="C12" s="932">
        <f t="shared" si="6"/>
        <v>45043.150684931505</v>
      </c>
      <c r="D12" s="51">
        <v>35</v>
      </c>
      <c r="E12" s="49">
        <f t="shared" si="7"/>
        <v>39911</v>
      </c>
      <c r="F12" s="179">
        <v>0.01</v>
      </c>
      <c r="G12" s="177" t="s">
        <v>276</v>
      </c>
      <c r="H12" s="933">
        <f>+A659</f>
        <v>37252</v>
      </c>
      <c r="I12" s="934">
        <f>+B659</f>
        <v>20000</v>
      </c>
      <c r="J12" s="903">
        <f>+C660</f>
        <v>952.38095238095343</v>
      </c>
      <c r="K12" s="935">
        <f>+E659</f>
        <v>19047.619047619046</v>
      </c>
      <c r="L12" s="920">
        <f>+D659</f>
        <v>0</v>
      </c>
      <c r="M12" s="936">
        <f>+G659</f>
        <v>0</v>
      </c>
      <c r="N12" s="937">
        <f>+F659</f>
        <v>0</v>
      </c>
      <c r="O12" s="898">
        <f t="shared" si="8"/>
        <v>-19047.619047619046</v>
      </c>
    </row>
    <row r="13" spans="1:15" s="47" customFormat="1" ht="13">
      <c r="A13" s="176">
        <v>39897</v>
      </c>
      <c r="B13" s="932">
        <v>135275</v>
      </c>
      <c r="C13" s="932">
        <f t="shared" si="6"/>
        <v>135508.48835616439</v>
      </c>
      <c r="D13" s="51">
        <v>30</v>
      </c>
      <c r="E13" s="49">
        <f t="shared" si="7"/>
        <v>39927</v>
      </c>
      <c r="F13" s="179">
        <v>2.1000000000000001E-2</v>
      </c>
      <c r="G13" s="177" t="s">
        <v>120</v>
      </c>
      <c r="H13" s="933" t="e">
        <f>+#REF!</f>
        <v>#REF!</v>
      </c>
      <c r="I13" s="934" t="e">
        <f>+#REF!</f>
        <v>#REF!</v>
      </c>
      <c r="J13" s="903" t="e">
        <f>+#REF!</f>
        <v>#REF!</v>
      </c>
      <c r="K13" s="935" t="e">
        <f>+#REF!</f>
        <v>#REF!</v>
      </c>
      <c r="L13" s="920" t="e">
        <f>+#REF!</f>
        <v>#REF!</v>
      </c>
      <c r="M13" s="936" t="e">
        <f>+#REF!</f>
        <v>#REF!</v>
      </c>
      <c r="N13" s="937" t="e">
        <f>+#REF!</f>
        <v>#REF!</v>
      </c>
      <c r="O13" s="898" t="e">
        <f t="shared" si="8"/>
        <v>#REF!</v>
      </c>
    </row>
    <row r="14" spans="1:15" s="47" customFormat="1" ht="13">
      <c r="A14" s="176">
        <v>39904</v>
      </c>
      <c r="B14" s="932">
        <v>181473</v>
      </c>
      <c r="C14" s="932">
        <f t="shared" si="6"/>
        <v>181838.43193150684</v>
      </c>
      <c r="D14" s="51">
        <v>35</v>
      </c>
      <c r="E14" s="49">
        <f t="shared" si="7"/>
        <v>39939</v>
      </c>
      <c r="F14" s="179">
        <v>2.1000000000000001E-2</v>
      </c>
      <c r="G14" s="177" t="s">
        <v>120</v>
      </c>
      <c r="H14" s="933" t="e">
        <f>+#REF!</f>
        <v>#REF!</v>
      </c>
      <c r="I14" s="934" t="e">
        <f>+#REF!</f>
        <v>#REF!</v>
      </c>
      <c r="J14" s="903" t="e">
        <f>+#REF!</f>
        <v>#REF!</v>
      </c>
      <c r="K14" s="935" t="e">
        <f>+#REF!</f>
        <v>#REF!</v>
      </c>
      <c r="L14" s="920" t="e">
        <f>+#REF!</f>
        <v>#REF!</v>
      </c>
      <c r="M14" s="936" t="e">
        <f>+#REF!</f>
        <v>#REF!</v>
      </c>
      <c r="N14" s="937" t="e">
        <f>+#REF!</f>
        <v>#REF!</v>
      </c>
      <c r="O14" s="898" t="e">
        <f t="shared" si="8"/>
        <v>#REF!</v>
      </c>
    </row>
    <row r="15" spans="1:15" s="47" customFormat="1" ht="13">
      <c r="A15" s="176">
        <v>39904</v>
      </c>
      <c r="B15" s="932">
        <v>80654</v>
      </c>
      <c r="C15" s="932">
        <f t="shared" si="6"/>
        <v>80816.412849315064</v>
      </c>
      <c r="D15" s="51">
        <v>35</v>
      </c>
      <c r="E15" s="49">
        <f t="shared" si="7"/>
        <v>39939</v>
      </c>
      <c r="F15" s="179">
        <v>2.1000000000000001E-2</v>
      </c>
      <c r="G15" s="177" t="s">
        <v>120</v>
      </c>
      <c r="H15" s="933">
        <f t="shared" ref="H15:I16" si="9">+A659</f>
        <v>37252</v>
      </c>
      <c r="I15" s="934">
        <f t="shared" si="9"/>
        <v>20000</v>
      </c>
      <c r="J15" s="903">
        <f>+C660</f>
        <v>952.38095238095343</v>
      </c>
      <c r="K15" s="935">
        <f>+E659</f>
        <v>19047.619047619046</v>
      </c>
      <c r="L15" s="920">
        <f>+D659</f>
        <v>0</v>
      </c>
      <c r="M15" s="936">
        <f>+G659</f>
        <v>0</v>
      </c>
      <c r="N15" s="937">
        <f>+F659</f>
        <v>0</v>
      </c>
      <c r="O15" s="898">
        <f t="shared" si="8"/>
        <v>-19047.619047619046</v>
      </c>
    </row>
    <row r="16" spans="1:15" s="47" customFormat="1" ht="13">
      <c r="A16" s="176">
        <v>39904</v>
      </c>
      <c r="B16" s="932">
        <v>89381</v>
      </c>
      <c r="C16" s="932">
        <f t="shared" si="6"/>
        <v>89560.986397260276</v>
      </c>
      <c r="D16" s="51">
        <v>35</v>
      </c>
      <c r="E16" s="49">
        <f t="shared" si="7"/>
        <v>39939</v>
      </c>
      <c r="F16" s="179">
        <v>2.1000000000000001E-2</v>
      </c>
      <c r="G16" s="177" t="s">
        <v>120</v>
      </c>
      <c r="H16" s="933">
        <f t="shared" si="9"/>
        <v>37253</v>
      </c>
      <c r="I16" s="934">
        <f t="shared" si="9"/>
        <v>20000</v>
      </c>
      <c r="J16" s="903">
        <f>+C661</f>
        <v>952.38095238095343</v>
      </c>
      <c r="K16" s="935">
        <f>+E660</f>
        <v>19047.619047619046</v>
      </c>
      <c r="L16" s="920">
        <f>+D660</f>
        <v>0</v>
      </c>
      <c r="M16" s="936">
        <f>+G660</f>
        <v>0</v>
      </c>
      <c r="N16" s="937">
        <f>+F660</f>
        <v>0</v>
      </c>
      <c r="O16" s="898">
        <f t="shared" si="8"/>
        <v>-19047.619047619046</v>
      </c>
    </row>
    <row r="17" spans="1:15" s="47" customFormat="1" ht="13">
      <c r="A17" s="176">
        <v>39911</v>
      </c>
      <c r="B17" s="932">
        <v>45950</v>
      </c>
      <c r="C17" s="932">
        <f t="shared" si="6"/>
        <v>46038.123287671231</v>
      </c>
      <c r="D17" s="51">
        <v>35</v>
      </c>
      <c r="E17" s="49">
        <f t="shared" si="7"/>
        <v>39946</v>
      </c>
      <c r="F17" s="179">
        <v>0.02</v>
      </c>
      <c r="G17" s="177" t="s">
        <v>120</v>
      </c>
      <c r="H17" s="933" t="e">
        <f>+CARTERA!#REF!</f>
        <v>#REF!</v>
      </c>
      <c r="I17" s="934" t="e">
        <f>+CARTERA!#REF!</f>
        <v>#REF!</v>
      </c>
      <c r="J17" s="903" t="e">
        <f>+CARTERA!#REF!</f>
        <v>#REF!</v>
      </c>
      <c r="K17" s="935" t="e">
        <f>+CARTERA!#REF!</f>
        <v>#REF!</v>
      </c>
      <c r="L17" s="920" t="e">
        <f>+CARTERA!#REF!</f>
        <v>#REF!</v>
      </c>
      <c r="M17" s="936" t="e">
        <f>+CARTERA!#REF!</f>
        <v>#REF!</v>
      </c>
      <c r="N17" s="937" t="e">
        <f>+CARTERA!#REF!</f>
        <v>#REF!</v>
      </c>
      <c r="O17" s="898" t="e">
        <f>+J17-I17</f>
        <v>#REF!</v>
      </c>
    </row>
    <row r="18" spans="1:15" s="47" customFormat="1" ht="13">
      <c r="A18" s="176">
        <v>39947</v>
      </c>
      <c r="B18" s="932">
        <v>46038</v>
      </c>
      <c r="C18" s="932">
        <f>B18+(B18*F18/365*D18)*1</f>
        <v>46093.7501260274</v>
      </c>
      <c r="D18" s="51">
        <v>34</v>
      </c>
      <c r="E18" s="49">
        <f>A18+D18</f>
        <v>39981</v>
      </c>
      <c r="F18" s="179">
        <v>1.2999999999999999E-2</v>
      </c>
      <c r="G18" s="177" t="s">
        <v>120</v>
      </c>
      <c r="H18" s="933">
        <f>+A660</f>
        <v>37253</v>
      </c>
      <c r="I18" s="934">
        <f>+B660</f>
        <v>20000</v>
      </c>
      <c r="J18" s="903">
        <f>+C661</f>
        <v>952.38095238095343</v>
      </c>
      <c r="K18" s="935">
        <f>+E660</f>
        <v>19047.619047619046</v>
      </c>
      <c r="L18" s="920">
        <f>+D660</f>
        <v>0</v>
      </c>
      <c r="M18" s="936">
        <f>+G660</f>
        <v>0</v>
      </c>
      <c r="N18" s="937">
        <f>+F660</f>
        <v>0</v>
      </c>
      <c r="O18" s="898">
        <f t="shared" si="8"/>
        <v>-19047.619047619046</v>
      </c>
    </row>
    <row r="19" spans="1:15" s="47" customFormat="1" ht="13">
      <c r="A19" s="176">
        <v>39927</v>
      </c>
      <c r="B19" s="932">
        <v>135508</v>
      </c>
      <c r="C19" s="932">
        <f t="shared" si="6"/>
        <v>135908.95517808219</v>
      </c>
      <c r="D19" s="51">
        <v>60</v>
      </c>
      <c r="E19" s="49">
        <f t="shared" si="7"/>
        <v>39987</v>
      </c>
      <c r="F19" s="179">
        <v>1.7999999999999999E-2</v>
      </c>
      <c r="G19" s="177" t="s">
        <v>120</v>
      </c>
      <c r="H19" s="933" t="e">
        <f>+#REF!</f>
        <v>#REF!</v>
      </c>
      <c r="I19" s="934" t="e">
        <f>+#REF!</f>
        <v>#REF!</v>
      </c>
      <c r="J19" s="903" t="e">
        <f>+#REF!</f>
        <v>#REF!</v>
      </c>
      <c r="K19" s="935" t="e">
        <f>+#REF!</f>
        <v>#REF!</v>
      </c>
      <c r="L19" s="920" t="e">
        <f>+#REF!</f>
        <v>#REF!</v>
      </c>
      <c r="M19" s="936" t="e">
        <f>+#REF!</f>
        <v>#REF!</v>
      </c>
      <c r="N19" s="937" t="e">
        <f>+#REF!</f>
        <v>#REF!</v>
      </c>
      <c r="O19" s="898" t="e">
        <f t="shared" ref="O19:O24" si="10">+J19-I19</f>
        <v>#REF!</v>
      </c>
    </row>
    <row r="20" spans="1:15" s="47" customFormat="1" ht="13">
      <c r="A20" s="176">
        <v>39940</v>
      </c>
      <c r="B20" s="932">
        <v>181838</v>
      </c>
      <c r="C20" s="932">
        <f t="shared" ref="C20:C51" si="11">B20+(B20*F20/365*D20)*1</f>
        <v>182363.08836164384</v>
      </c>
      <c r="D20" s="51">
        <v>62</v>
      </c>
      <c r="E20" s="49">
        <f t="shared" ref="E20:E51" si="12">A20+D20</f>
        <v>40002</v>
      </c>
      <c r="F20" s="179">
        <v>1.7000000000000001E-2</v>
      </c>
      <c r="G20" s="177" t="s">
        <v>120</v>
      </c>
      <c r="H20" s="933" t="e">
        <f>+#REF!</f>
        <v>#REF!</v>
      </c>
      <c r="I20" s="934" t="e">
        <f>+#REF!</f>
        <v>#REF!</v>
      </c>
      <c r="J20" s="903" t="e">
        <f>+#REF!</f>
        <v>#REF!</v>
      </c>
      <c r="K20" s="935" t="e">
        <f>+#REF!</f>
        <v>#REF!</v>
      </c>
      <c r="L20" s="920" t="e">
        <f>+#REF!</f>
        <v>#REF!</v>
      </c>
      <c r="M20" s="936" t="e">
        <f>+#REF!</f>
        <v>#REF!</v>
      </c>
      <c r="N20" s="937" t="e">
        <f>+#REF!</f>
        <v>#REF!</v>
      </c>
      <c r="O20" s="898" t="e">
        <f t="shared" si="10"/>
        <v>#REF!</v>
      </c>
    </row>
    <row r="21" spans="1:15" s="47" customFormat="1" ht="13">
      <c r="A21" s="176">
        <v>39940</v>
      </c>
      <c r="B21" s="932">
        <v>80816</v>
      </c>
      <c r="C21" s="932">
        <f t="shared" si="11"/>
        <v>81049.370038356166</v>
      </c>
      <c r="D21" s="51">
        <v>62</v>
      </c>
      <c r="E21" s="49">
        <f t="shared" si="12"/>
        <v>40002</v>
      </c>
      <c r="F21" s="179">
        <v>1.7000000000000001E-2</v>
      </c>
      <c r="G21" s="177" t="s">
        <v>120</v>
      </c>
      <c r="H21" s="933">
        <f t="shared" ref="H21:I22" si="13">+A659</f>
        <v>37252</v>
      </c>
      <c r="I21" s="934">
        <f t="shared" si="13"/>
        <v>20000</v>
      </c>
      <c r="J21" s="903">
        <f>+C660</f>
        <v>952.38095238095343</v>
      </c>
      <c r="K21" s="935">
        <f>+E659</f>
        <v>19047.619047619046</v>
      </c>
      <c r="L21" s="920">
        <f>+D659</f>
        <v>0</v>
      </c>
      <c r="M21" s="936">
        <f>+G659</f>
        <v>0</v>
      </c>
      <c r="N21" s="937">
        <f>+F659</f>
        <v>0</v>
      </c>
      <c r="O21" s="898">
        <f t="shared" si="10"/>
        <v>-19047.619047619046</v>
      </c>
    </row>
    <row r="22" spans="1:15" s="47" customFormat="1" ht="13">
      <c r="A22" s="176">
        <v>39940</v>
      </c>
      <c r="B22" s="932">
        <v>89561</v>
      </c>
      <c r="C22" s="932">
        <f t="shared" si="11"/>
        <v>89819.62272328767</v>
      </c>
      <c r="D22" s="51">
        <v>62</v>
      </c>
      <c r="E22" s="49">
        <f t="shared" si="12"/>
        <v>40002</v>
      </c>
      <c r="F22" s="179">
        <v>1.7000000000000001E-2</v>
      </c>
      <c r="G22" s="177" t="s">
        <v>120</v>
      </c>
      <c r="H22" s="933">
        <f t="shared" si="13"/>
        <v>37253</v>
      </c>
      <c r="I22" s="934">
        <f t="shared" si="13"/>
        <v>20000</v>
      </c>
      <c r="J22" s="903">
        <f>+C661</f>
        <v>952.38095238095343</v>
      </c>
      <c r="K22" s="935">
        <f>+E660</f>
        <v>19047.619047619046</v>
      </c>
      <c r="L22" s="920">
        <f>+D660</f>
        <v>0</v>
      </c>
      <c r="M22" s="936">
        <f>+G660</f>
        <v>0</v>
      </c>
      <c r="N22" s="937">
        <f>+F660</f>
        <v>0</v>
      </c>
      <c r="O22" s="898">
        <f t="shared" si="10"/>
        <v>-19047.619047619046</v>
      </c>
    </row>
    <row r="23" spans="1:15" s="47" customFormat="1" ht="13">
      <c r="A23" s="176">
        <v>39940</v>
      </c>
      <c r="B23" s="932">
        <v>27571</v>
      </c>
      <c r="C23" s="932">
        <f t="shared" si="11"/>
        <v>27650.615983561645</v>
      </c>
      <c r="D23" s="51">
        <v>62</v>
      </c>
      <c r="E23" s="49">
        <f t="shared" si="12"/>
        <v>40002</v>
      </c>
      <c r="F23" s="179">
        <v>1.7000000000000001E-2</v>
      </c>
      <c r="G23" s="177" t="s">
        <v>527</v>
      </c>
      <c r="H23" s="933">
        <f>+A660</f>
        <v>37253</v>
      </c>
      <c r="I23" s="934">
        <f>+B660</f>
        <v>20000</v>
      </c>
      <c r="J23" s="903">
        <f>+C661</f>
        <v>952.38095238095343</v>
      </c>
      <c r="K23" s="935">
        <f>+E660</f>
        <v>19047.619047619046</v>
      </c>
      <c r="L23" s="920">
        <f>+D660</f>
        <v>0</v>
      </c>
      <c r="M23" s="936">
        <f>+G660</f>
        <v>0</v>
      </c>
      <c r="N23" s="937">
        <f>+F660</f>
        <v>0</v>
      </c>
      <c r="O23" s="898">
        <f t="shared" si="10"/>
        <v>-19047.619047619046</v>
      </c>
    </row>
    <row r="24" spans="1:15" s="47" customFormat="1" ht="13">
      <c r="A24" s="176">
        <v>40002</v>
      </c>
      <c r="B24" s="932">
        <v>81049</v>
      </c>
      <c r="C24" s="932">
        <f t="shared" si="11"/>
        <v>81128.938739726029</v>
      </c>
      <c r="D24" s="51">
        <v>30</v>
      </c>
      <c r="E24" s="49">
        <f t="shared" si="12"/>
        <v>40032</v>
      </c>
      <c r="F24" s="179">
        <v>1.2E-2</v>
      </c>
      <c r="G24" s="177" t="s">
        <v>120</v>
      </c>
      <c r="H24" s="933" t="e">
        <f>+#REF!</f>
        <v>#REF!</v>
      </c>
      <c r="I24" s="934" t="e">
        <f>+#REF!</f>
        <v>#REF!</v>
      </c>
      <c r="J24" s="903" t="e">
        <f>+#REF!</f>
        <v>#REF!</v>
      </c>
      <c r="K24" s="935" t="e">
        <f>+#REF!</f>
        <v>#REF!</v>
      </c>
      <c r="L24" s="920" t="e">
        <f>+#REF!</f>
        <v>#REF!</v>
      </c>
      <c r="M24" s="936" t="e">
        <f>+#REF!</f>
        <v>#REF!</v>
      </c>
      <c r="N24" s="937" t="e">
        <f>+#REF!</f>
        <v>#REF!</v>
      </c>
      <c r="O24" s="898" t="e">
        <f t="shared" si="10"/>
        <v>#REF!</v>
      </c>
    </row>
    <row r="25" spans="1:15" s="47" customFormat="1" ht="13">
      <c r="A25" s="176">
        <v>40002</v>
      </c>
      <c r="B25" s="932">
        <v>89820</v>
      </c>
      <c r="C25" s="932">
        <f t="shared" si="11"/>
        <v>89908.58958904109</v>
      </c>
      <c r="D25" s="51">
        <v>30</v>
      </c>
      <c r="E25" s="49">
        <f t="shared" si="12"/>
        <v>40032</v>
      </c>
      <c r="F25" s="179">
        <v>1.2E-2</v>
      </c>
      <c r="G25" s="177" t="s">
        <v>120</v>
      </c>
      <c r="H25" s="933"/>
      <c r="I25" s="934"/>
      <c r="J25" s="903"/>
      <c r="K25" s="935"/>
      <c r="L25" s="920"/>
      <c r="M25" s="936"/>
      <c r="N25" s="937"/>
      <c r="O25" s="898"/>
    </row>
    <row r="26" spans="1:15" s="47" customFormat="1" ht="13">
      <c r="A26" s="176">
        <v>40002</v>
      </c>
      <c r="B26" s="932">
        <v>182363</v>
      </c>
      <c r="C26" s="932">
        <f t="shared" si="11"/>
        <v>182789.67945753425</v>
      </c>
      <c r="D26" s="51">
        <v>61</v>
      </c>
      <c r="E26" s="49">
        <f t="shared" si="12"/>
        <v>40063</v>
      </c>
      <c r="F26" s="179">
        <v>1.4E-2</v>
      </c>
      <c r="G26" s="177" t="s">
        <v>120</v>
      </c>
      <c r="H26" s="933"/>
      <c r="I26" s="934"/>
      <c r="J26" s="903"/>
      <c r="K26" s="935"/>
      <c r="L26" s="920"/>
      <c r="M26" s="936"/>
      <c r="N26" s="937"/>
      <c r="O26" s="898"/>
    </row>
    <row r="27" spans="1:15" s="47" customFormat="1" ht="13">
      <c r="A27" s="176">
        <v>40002</v>
      </c>
      <c r="B27" s="932">
        <v>27651</v>
      </c>
      <c r="C27" s="932">
        <f t="shared" si="11"/>
        <v>27715.695764383563</v>
      </c>
      <c r="D27" s="51">
        <v>61</v>
      </c>
      <c r="E27" s="49">
        <f t="shared" si="12"/>
        <v>40063</v>
      </c>
      <c r="F27" s="179">
        <v>1.4E-2</v>
      </c>
      <c r="G27" s="177" t="s">
        <v>527</v>
      </c>
      <c r="H27" s="938"/>
      <c r="I27" s="908"/>
      <c r="J27" s="917"/>
      <c r="K27" s="939"/>
      <c r="L27" s="870"/>
      <c r="M27" s="940"/>
      <c r="N27" s="941"/>
      <c r="O27" s="872"/>
    </row>
    <row r="28" spans="1:15" s="47" customFormat="1">
      <c r="A28" s="942">
        <v>39994</v>
      </c>
      <c r="B28" s="932">
        <v>135909</v>
      </c>
      <c r="C28" s="932">
        <f t="shared" si="11"/>
        <v>136422.84772602739</v>
      </c>
      <c r="D28" s="609">
        <v>92</v>
      </c>
      <c r="E28" s="610">
        <f t="shared" si="12"/>
        <v>40086</v>
      </c>
      <c r="F28" s="943">
        <v>1.4999999999999999E-2</v>
      </c>
      <c r="G28" s="873" t="s">
        <v>120</v>
      </c>
      <c r="H28" s="938"/>
      <c r="I28" s="908"/>
      <c r="J28" s="917"/>
      <c r="K28" s="939"/>
      <c r="L28" s="870"/>
      <c r="M28" s="940"/>
      <c r="N28" s="941"/>
      <c r="O28" s="872"/>
    </row>
    <row r="29" spans="1:15" s="47" customFormat="1">
      <c r="A29" s="942">
        <v>40030</v>
      </c>
      <c r="B29" s="932">
        <v>47571</v>
      </c>
      <c r="C29" s="932">
        <f t="shared" si="11"/>
        <v>47694.22843972603</v>
      </c>
      <c r="D29" s="609">
        <v>61</v>
      </c>
      <c r="E29" s="610">
        <f t="shared" si="12"/>
        <v>40091</v>
      </c>
      <c r="F29" s="943">
        <v>1.55E-2</v>
      </c>
      <c r="G29" s="873" t="s">
        <v>120</v>
      </c>
      <c r="H29" s="938"/>
      <c r="I29" s="908"/>
      <c r="J29" s="917"/>
      <c r="K29" s="939"/>
      <c r="L29" s="870"/>
      <c r="M29" s="940"/>
      <c r="N29" s="941"/>
      <c r="O29" s="872"/>
    </row>
    <row r="30" spans="1:15" s="47" customFormat="1">
      <c r="A30" s="942">
        <v>40030</v>
      </c>
      <c r="B30" s="932">
        <v>12493</v>
      </c>
      <c r="C30" s="932">
        <f t="shared" si="11"/>
        <v>12525.362004109589</v>
      </c>
      <c r="D30" s="609">
        <v>61</v>
      </c>
      <c r="E30" s="610">
        <f t="shared" si="12"/>
        <v>40091</v>
      </c>
      <c r="F30" s="943">
        <v>1.55E-2</v>
      </c>
      <c r="G30" s="873" t="s">
        <v>120</v>
      </c>
      <c r="H30" s="938"/>
      <c r="I30" s="908"/>
      <c r="J30" s="917"/>
      <c r="K30" s="939"/>
      <c r="L30" s="870"/>
      <c r="M30" s="940"/>
      <c r="N30" s="941"/>
      <c r="O30" s="872"/>
    </row>
    <row r="31" spans="1:15" s="47" customFormat="1">
      <c r="A31" s="942">
        <v>40032</v>
      </c>
      <c r="B31" s="932">
        <v>81129</v>
      </c>
      <c r="C31" s="932">
        <f t="shared" si="11"/>
        <v>81298.481815068488</v>
      </c>
      <c r="D31" s="609">
        <v>61</v>
      </c>
      <c r="E31" s="610">
        <f t="shared" si="12"/>
        <v>40093</v>
      </c>
      <c r="F31" s="943">
        <v>1.2500000000000001E-2</v>
      </c>
      <c r="G31" s="873" t="s">
        <v>120</v>
      </c>
      <c r="H31" s="938"/>
      <c r="I31" s="908"/>
      <c r="J31" s="917"/>
      <c r="K31" s="939"/>
      <c r="L31" s="870"/>
      <c r="M31" s="940"/>
      <c r="N31" s="941"/>
      <c r="O31" s="872"/>
    </row>
    <row r="32" spans="1:15" s="47" customFormat="1">
      <c r="A32" s="942">
        <v>40032</v>
      </c>
      <c r="B32" s="932">
        <v>89909</v>
      </c>
      <c r="C32" s="932">
        <f t="shared" si="11"/>
        <v>90096.823595890412</v>
      </c>
      <c r="D32" s="609">
        <v>61</v>
      </c>
      <c r="E32" s="610">
        <f t="shared" si="12"/>
        <v>40093</v>
      </c>
      <c r="F32" s="943">
        <v>1.2500000000000001E-2</v>
      </c>
      <c r="G32" s="873" t="s">
        <v>120</v>
      </c>
      <c r="H32" s="938"/>
      <c r="I32" s="908"/>
      <c r="J32" s="917"/>
      <c r="K32" s="939"/>
      <c r="L32" s="870"/>
      <c r="M32" s="940"/>
      <c r="N32" s="941"/>
      <c r="O32" s="872"/>
    </row>
    <row r="33" spans="1:15" s="47" customFormat="1">
      <c r="A33" s="942">
        <v>40087</v>
      </c>
      <c r="B33" s="932">
        <v>136423</v>
      </c>
      <c r="C33" s="932">
        <f t="shared" si="11"/>
        <v>136527.65326027398</v>
      </c>
      <c r="D33" s="609">
        <v>35</v>
      </c>
      <c r="E33" s="610">
        <f t="shared" si="12"/>
        <v>40122</v>
      </c>
      <c r="F33" s="943">
        <v>8.0000000000000002E-3</v>
      </c>
      <c r="G33" s="873" t="s">
        <v>120</v>
      </c>
      <c r="H33" s="938"/>
      <c r="I33" s="908"/>
      <c r="J33" s="917"/>
      <c r="K33" s="939"/>
      <c r="L33" s="870"/>
      <c r="M33" s="940"/>
      <c r="N33" s="941"/>
      <c r="O33" s="872"/>
    </row>
    <row r="34" spans="1:15" s="47" customFormat="1">
      <c r="A34" s="942">
        <v>40063</v>
      </c>
      <c r="B34" s="932">
        <v>182790</v>
      </c>
      <c r="C34" s="932">
        <f t="shared" si="11"/>
        <v>183442.03446575342</v>
      </c>
      <c r="D34" s="609">
        <v>93</v>
      </c>
      <c r="E34" s="610">
        <f t="shared" si="12"/>
        <v>40156</v>
      </c>
      <c r="F34" s="943">
        <v>1.4E-2</v>
      </c>
      <c r="G34" s="873" t="s">
        <v>120</v>
      </c>
      <c r="H34" s="938"/>
      <c r="I34" s="908"/>
      <c r="J34" s="917"/>
      <c r="K34" s="939"/>
      <c r="L34" s="870"/>
      <c r="M34" s="940"/>
      <c r="N34" s="941"/>
      <c r="O34" s="872"/>
    </row>
    <row r="35" spans="1:15" s="47" customFormat="1">
      <c r="A35" s="942">
        <v>40063</v>
      </c>
      <c r="B35" s="932">
        <v>27716</v>
      </c>
      <c r="C35" s="932">
        <f t="shared" si="11"/>
        <v>27814.866389041097</v>
      </c>
      <c r="D35" s="609">
        <v>93</v>
      </c>
      <c r="E35" s="610">
        <f t="shared" si="12"/>
        <v>40156</v>
      </c>
      <c r="F35" s="943">
        <v>1.4E-2</v>
      </c>
      <c r="G35" s="873" t="s">
        <v>527</v>
      </c>
      <c r="H35" s="938"/>
      <c r="I35" s="908"/>
      <c r="J35" s="917"/>
      <c r="K35" s="939"/>
      <c r="L35" s="870"/>
      <c r="M35" s="940"/>
      <c r="N35" s="941"/>
      <c r="O35" s="872"/>
    </row>
    <row r="36" spans="1:15" s="47" customFormat="1">
      <c r="A36" s="942">
        <v>40122</v>
      </c>
      <c r="B36" s="932">
        <v>136528</v>
      </c>
      <c r="C36" s="932">
        <f t="shared" si="11"/>
        <v>136604.30606027399</v>
      </c>
      <c r="D36" s="609">
        <v>34</v>
      </c>
      <c r="E36" s="610">
        <f t="shared" si="12"/>
        <v>40156</v>
      </c>
      <c r="F36" s="943">
        <v>6.0000000000000001E-3</v>
      </c>
      <c r="G36" s="873" t="s">
        <v>120</v>
      </c>
      <c r="H36" s="932">
        <f>+C37-B37</f>
        <v>7726.9176082191989</v>
      </c>
      <c r="I36" s="908"/>
      <c r="J36" s="917"/>
      <c r="K36" s="939"/>
      <c r="L36" s="870"/>
      <c r="M36" s="940"/>
      <c r="N36" s="941"/>
      <c r="O36" s="872"/>
    </row>
    <row r="37" spans="1:15" s="47" customFormat="1">
      <c r="A37" s="942"/>
      <c r="B37" s="932">
        <f>SUM(B4:B36)</f>
        <v>3377016</v>
      </c>
      <c r="C37" s="932">
        <f>SUM(C4:C36)</f>
        <v>3384742.9176082192</v>
      </c>
      <c r="D37" s="609"/>
      <c r="E37" s="610"/>
      <c r="F37" s="944"/>
      <c r="G37" s="873"/>
      <c r="H37" s="862"/>
      <c r="I37" s="908"/>
      <c r="J37" s="917"/>
      <c r="K37" s="939"/>
      <c r="L37" s="870"/>
      <c r="M37" s="940"/>
      <c r="N37" s="941"/>
      <c r="O37" s="872"/>
    </row>
    <row r="38" spans="1:15" s="47" customFormat="1">
      <c r="A38" s="945">
        <v>40093</v>
      </c>
      <c r="B38" s="946">
        <v>47694</v>
      </c>
      <c r="C38" s="946">
        <f t="shared" si="11"/>
        <v>47836.689994520551</v>
      </c>
      <c r="D38" s="947">
        <v>91</v>
      </c>
      <c r="E38" s="948">
        <f t="shared" si="12"/>
        <v>40184</v>
      </c>
      <c r="F38" s="949">
        <v>1.2E-2</v>
      </c>
      <c r="G38" s="950" t="s">
        <v>120</v>
      </c>
      <c r="H38" s="862"/>
      <c r="I38" s="908"/>
      <c r="J38" s="917"/>
      <c r="K38" s="939"/>
      <c r="L38" s="870"/>
      <c r="M38" s="940"/>
      <c r="N38" s="941"/>
      <c r="O38" s="872"/>
    </row>
    <row r="39" spans="1:15" s="47" customFormat="1">
      <c r="A39" s="951">
        <v>40093</v>
      </c>
      <c r="B39" s="932">
        <v>12525</v>
      </c>
      <c r="C39" s="932">
        <f t="shared" si="11"/>
        <v>12562.47205479452</v>
      </c>
      <c r="D39" s="609">
        <v>91</v>
      </c>
      <c r="E39" s="610">
        <f t="shared" si="12"/>
        <v>40184</v>
      </c>
      <c r="F39" s="943">
        <f>+F38</f>
        <v>1.2E-2</v>
      </c>
      <c r="G39" s="952" t="s">
        <v>120</v>
      </c>
      <c r="H39" s="862"/>
      <c r="I39" s="908"/>
      <c r="J39" s="917"/>
      <c r="K39" s="939"/>
      <c r="L39" s="870"/>
      <c r="M39" s="940"/>
      <c r="N39" s="941"/>
      <c r="O39" s="872"/>
    </row>
    <row r="40" spans="1:15" s="47" customFormat="1">
      <c r="A40" s="951">
        <v>40156</v>
      </c>
      <c r="B40" s="932">
        <v>27815</v>
      </c>
      <c r="C40" s="932">
        <f t="shared" si="11"/>
        <v>27848.606616438356</v>
      </c>
      <c r="D40" s="609">
        <v>63</v>
      </c>
      <c r="E40" s="610">
        <f t="shared" si="12"/>
        <v>40219</v>
      </c>
      <c r="F40" s="943">
        <v>7.0000000000000001E-3</v>
      </c>
      <c r="G40" s="952" t="s">
        <v>527</v>
      </c>
      <c r="H40" s="862"/>
      <c r="I40" s="908"/>
      <c r="J40" s="917"/>
      <c r="K40" s="939"/>
      <c r="L40" s="870"/>
      <c r="M40" s="940"/>
      <c r="N40" s="941"/>
      <c r="O40" s="872"/>
    </row>
    <row r="41" spans="1:15" s="47" customFormat="1">
      <c r="A41" s="951">
        <v>40156</v>
      </c>
      <c r="B41" s="932">
        <v>136604</v>
      </c>
      <c r="C41" s="932">
        <f t="shared" si="11"/>
        <v>136769.04757260275</v>
      </c>
      <c r="D41" s="609">
        <v>63</v>
      </c>
      <c r="E41" s="610">
        <f t="shared" si="12"/>
        <v>40219</v>
      </c>
      <c r="F41" s="943">
        <v>7.0000000000000001E-3</v>
      </c>
      <c r="G41" s="952" t="s">
        <v>120</v>
      </c>
      <c r="H41" s="862"/>
      <c r="I41" s="908"/>
      <c r="J41" s="917"/>
      <c r="K41" s="939"/>
      <c r="L41" s="870"/>
      <c r="M41" s="940"/>
      <c r="N41" s="941"/>
      <c r="O41" s="872"/>
    </row>
    <row r="42" spans="1:15" s="47" customFormat="1">
      <c r="A42" s="951">
        <v>40093</v>
      </c>
      <c r="B42" s="932">
        <v>81298</v>
      </c>
      <c r="C42" s="932">
        <f t="shared" si="11"/>
        <v>81718.967726027404</v>
      </c>
      <c r="D42" s="609">
        <v>126</v>
      </c>
      <c r="E42" s="610">
        <f t="shared" si="12"/>
        <v>40219</v>
      </c>
      <c r="F42" s="943">
        <v>1.4999999999999999E-2</v>
      </c>
      <c r="G42" s="952" t="s">
        <v>120</v>
      </c>
      <c r="H42" s="862"/>
      <c r="I42" s="908"/>
      <c r="J42" s="917"/>
      <c r="K42" s="939"/>
      <c r="L42" s="870"/>
      <c r="M42" s="940"/>
      <c r="N42" s="941"/>
      <c r="O42" s="872"/>
    </row>
    <row r="43" spans="1:15" s="47" customFormat="1">
      <c r="A43" s="951">
        <v>40156</v>
      </c>
      <c r="B43" s="932">
        <v>183442</v>
      </c>
      <c r="C43" s="932">
        <f t="shared" si="11"/>
        <v>183807.87883835618</v>
      </c>
      <c r="D43" s="609">
        <v>91</v>
      </c>
      <c r="E43" s="610">
        <f t="shared" si="12"/>
        <v>40247</v>
      </c>
      <c r="F43" s="943">
        <v>8.0000000000000002E-3</v>
      </c>
      <c r="G43" s="952" t="s">
        <v>120</v>
      </c>
      <c r="H43" s="862">
        <f>SUM(C38:C44)</f>
        <v>581286.89279178088</v>
      </c>
      <c r="I43" s="908"/>
      <c r="J43" s="917"/>
      <c r="K43" s="939"/>
      <c r="L43" s="870"/>
      <c r="M43" s="940"/>
      <c r="N43" s="941"/>
      <c r="O43" s="872"/>
    </row>
    <row r="44" spans="1:15" s="47" customFormat="1">
      <c r="A44" s="953">
        <v>40093</v>
      </c>
      <c r="B44" s="954">
        <v>90097</v>
      </c>
      <c r="C44" s="954">
        <f t="shared" si="11"/>
        <v>90743.229989041094</v>
      </c>
      <c r="D44" s="955">
        <v>154</v>
      </c>
      <c r="E44" s="956">
        <f t="shared" si="12"/>
        <v>40247</v>
      </c>
      <c r="F44" s="957">
        <v>1.7000000000000001E-2</v>
      </c>
      <c r="G44" s="958" t="s">
        <v>120</v>
      </c>
      <c r="H44" s="862"/>
      <c r="I44" s="908"/>
      <c r="J44" s="917"/>
      <c r="K44" s="939"/>
      <c r="L44" s="870"/>
      <c r="M44" s="940"/>
      <c r="N44" s="941"/>
      <c r="O44" s="872"/>
    </row>
    <row r="45" spans="1:15" s="47" customFormat="1">
      <c r="A45" s="945">
        <v>40219</v>
      </c>
      <c r="B45" s="946">
        <v>47837</v>
      </c>
      <c r="C45" s="946">
        <f t="shared" si="11"/>
        <v>47859.935547945206</v>
      </c>
      <c r="D45" s="947">
        <v>35</v>
      </c>
      <c r="E45" s="948">
        <f t="shared" si="12"/>
        <v>40254</v>
      </c>
      <c r="F45" s="949">
        <v>5.0000000000000001E-3</v>
      </c>
      <c r="G45" s="950" t="s">
        <v>120</v>
      </c>
      <c r="H45" s="862"/>
      <c r="I45" s="908"/>
      <c r="J45" s="917"/>
      <c r="K45" s="939"/>
      <c r="L45" s="870"/>
      <c r="M45" s="940"/>
      <c r="N45" s="941"/>
      <c r="O45" s="872"/>
    </row>
    <row r="46" spans="1:15" s="47" customFormat="1">
      <c r="A46" s="951">
        <v>40219</v>
      </c>
      <c r="B46" s="932">
        <v>12562</v>
      </c>
      <c r="C46" s="932">
        <f t="shared" si="11"/>
        <v>12568.022876712328</v>
      </c>
      <c r="D46" s="609">
        <v>35</v>
      </c>
      <c r="E46" s="610">
        <f t="shared" si="12"/>
        <v>40254</v>
      </c>
      <c r="F46" s="943">
        <v>5.0000000000000001E-3</v>
      </c>
      <c r="G46" s="952" t="s">
        <v>120</v>
      </c>
      <c r="H46" s="862"/>
      <c r="I46" s="908"/>
      <c r="J46" s="917"/>
      <c r="K46" s="939"/>
      <c r="L46" s="870"/>
      <c r="M46" s="940"/>
      <c r="N46" s="941"/>
      <c r="O46" s="872"/>
    </row>
    <row r="47" spans="1:15" s="47" customFormat="1">
      <c r="A47" s="951">
        <v>40219</v>
      </c>
      <c r="B47" s="932">
        <v>27849</v>
      </c>
      <c r="C47" s="932">
        <f t="shared" si="11"/>
        <v>27862.352260273972</v>
      </c>
      <c r="D47" s="609">
        <v>35</v>
      </c>
      <c r="E47" s="610">
        <f t="shared" si="12"/>
        <v>40254</v>
      </c>
      <c r="F47" s="943">
        <v>5.0000000000000001E-3</v>
      </c>
      <c r="G47" s="952" t="s">
        <v>527</v>
      </c>
      <c r="H47" s="862"/>
      <c r="I47" s="908"/>
      <c r="J47" s="917"/>
      <c r="K47" s="939"/>
      <c r="L47" s="870"/>
      <c r="M47" s="940"/>
      <c r="N47" s="941"/>
      <c r="O47" s="872"/>
    </row>
    <row r="48" spans="1:15" s="47" customFormat="1">
      <c r="A48" s="951">
        <v>40219</v>
      </c>
      <c r="B48" s="932">
        <v>136769</v>
      </c>
      <c r="C48" s="932">
        <f t="shared" si="11"/>
        <v>136834.5741780822</v>
      </c>
      <c r="D48" s="609">
        <v>35</v>
      </c>
      <c r="E48" s="610">
        <f t="shared" si="12"/>
        <v>40254</v>
      </c>
      <c r="F48" s="943">
        <v>5.0000000000000001E-3</v>
      </c>
      <c r="G48" s="952" t="s">
        <v>120</v>
      </c>
      <c r="H48" s="862"/>
      <c r="I48" s="908"/>
      <c r="J48" s="917"/>
      <c r="K48" s="939"/>
      <c r="L48" s="870"/>
      <c r="M48" s="940"/>
      <c r="N48" s="941"/>
      <c r="O48" s="872"/>
    </row>
    <row r="49" spans="1:15" s="47" customFormat="1">
      <c r="A49" s="951">
        <v>40219</v>
      </c>
      <c r="B49" s="932">
        <v>81719</v>
      </c>
      <c r="C49" s="932">
        <f t="shared" si="11"/>
        <v>81758.180342465756</v>
      </c>
      <c r="D49" s="609">
        <v>35</v>
      </c>
      <c r="E49" s="610">
        <f t="shared" si="12"/>
        <v>40254</v>
      </c>
      <c r="F49" s="943">
        <v>5.0000000000000001E-3</v>
      </c>
      <c r="G49" s="952" t="s">
        <v>120</v>
      </c>
      <c r="H49" s="862"/>
      <c r="I49" s="908"/>
      <c r="J49" s="917"/>
      <c r="K49" s="939"/>
      <c r="L49" s="870"/>
      <c r="M49" s="940"/>
      <c r="N49" s="941"/>
      <c r="O49" s="872"/>
    </row>
    <row r="50" spans="1:15" s="47" customFormat="1">
      <c r="A50" s="951">
        <v>40247</v>
      </c>
      <c r="B50" s="932">
        <v>183807.87883835618</v>
      </c>
      <c r="C50" s="932">
        <f t="shared" si="11"/>
        <v>183896.00590355264</v>
      </c>
      <c r="D50" s="609">
        <v>35</v>
      </c>
      <c r="E50" s="610">
        <f t="shared" si="12"/>
        <v>40282</v>
      </c>
      <c r="F50" s="943">
        <v>5.0000000000000001E-3</v>
      </c>
      <c r="G50" s="952" t="s">
        <v>120</v>
      </c>
      <c r="H50" s="862"/>
      <c r="I50" s="908"/>
      <c r="J50" s="917"/>
      <c r="K50" s="939"/>
      <c r="L50" s="870"/>
      <c r="M50" s="940"/>
      <c r="N50" s="941"/>
      <c r="O50" s="872"/>
    </row>
    <row r="51" spans="1:15" s="47" customFormat="1">
      <c r="A51" s="951">
        <v>40247</v>
      </c>
      <c r="B51" s="932">
        <v>90743.229989041094</v>
      </c>
      <c r="C51" s="932">
        <f t="shared" si="11"/>
        <v>90786.737017118037</v>
      </c>
      <c r="D51" s="609">
        <v>35</v>
      </c>
      <c r="E51" s="610">
        <f t="shared" si="12"/>
        <v>40282</v>
      </c>
      <c r="F51" s="944">
        <v>5.0000000000000001E-3</v>
      </c>
      <c r="G51" s="952" t="s">
        <v>120</v>
      </c>
      <c r="H51" s="862"/>
      <c r="I51" s="908"/>
      <c r="J51" s="917"/>
      <c r="K51" s="939"/>
      <c r="L51" s="870"/>
      <c r="M51" s="940"/>
      <c r="N51" s="941"/>
      <c r="O51" s="872"/>
    </row>
    <row r="52" spans="1:15" s="47" customFormat="1">
      <c r="A52" s="945">
        <v>40256</v>
      </c>
      <c r="B52" s="946">
        <v>47860</v>
      </c>
      <c r="C52" s="946">
        <f t="shared" ref="C52:C72" si="14">B52+(B52*F52/365*D52)*1</f>
        <v>47881.63534246575</v>
      </c>
      <c r="D52" s="947">
        <v>33</v>
      </c>
      <c r="E52" s="948">
        <f t="shared" ref="E52:E72" si="15">A52+D52</f>
        <v>40289</v>
      </c>
      <c r="F52" s="959">
        <v>5.0000000000000001E-3</v>
      </c>
      <c r="G52" s="950" t="s">
        <v>120</v>
      </c>
      <c r="H52" s="862"/>
      <c r="I52" s="908"/>
      <c r="J52" s="917"/>
      <c r="K52" s="939"/>
      <c r="L52" s="870"/>
      <c r="M52" s="940"/>
      <c r="N52" s="941"/>
      <c r="O52" s="872"/>
    </row>
    <row r="53" spans="1:15" s="47" customFormat="1">
      <c r="A53" s="951">
        <v>40256</v>
      </c>
      <c r="B53" s="932">
        <v>12568</v>
      </c>
      <c r="C53" s="932">
        <f t="shared" si="14"/>
        <v>12573.681424657534</v>
      </c>
      <c r="D53" s="609">
        <v>33</v>
      </c>
      <c r="E53" s="610">
        <f t="shared" si="15"/>
        <v>40289</v>
      </c>
      <c r="F53" s="944">
        <v>5.0000000000000001E-3</v>
      </c>
      <c r="G53" s="952" t="s">
        <v>120</v>
      </c>
      <c r="H53" s="862"/>
      <c r="I53" s="908"/>
      <c r="J53" s="917"/>
      <c r="K53" s="939"/>
      <c r="L53" s="870"/>
      <c r="M53" s="940"/>
      <c r="N53" s="941"/>
      <c r="O53" s="872"/>
    </row>
    <row r="54" spans="1:15" s="47" customFormat="1">
      <c r="A54" s="951">
        <v>40256</v>
      </c>
      <c r="B54" s="932">
        <v>27862</v>
      </c>
      <c r="C54" s="932">
        <f t="shared" si="14"/>
        <v>27874.595150684931</v>
      </c>
      <c r="D54" s="609">
        <v>33</v>
      </c>
      <c r="E54" s="610">
        <f t="shared" si="15"/>
        <v>40289</v>
      </c>
      <c r="F54" s="944">
        <v>5.0000000000000001E-3</v>
      </c>
      <c r="G54" s="952" t="s">
        <v>527</v>
      </c>
      <c r="H54" s="862"/>
      <c r="I54" s="908"/>
      <c r="J54" s="917"/>
      <c r="K54" s="939"/>
      <c r="L54" s="870"/>
      <c r="M54" s="940"/>
      <c r="N54" s="941"/>
      <c r="O54" s="872"/>
    </row>
    <row r="55" spans="1:15" s="47" customFormat="1">
      <c r="A55" s="951">
        <v>40256</v>
      </c>
      <c r="B55" s="932">
        <v>136835</v>
      </c>
      <c r="C55" s="932">
        <f t="shared" si="14"/>
        <v>136896.85691780821</v>
      </c>
      <c r="D55" s="609">
        <v>33</v>
      </c>
      <c r="E55" s="610">
        <f t="shared" si="15"/>
        <v>40289</v>
      </c>
      <c r="F55" s="944">
        <v>5.0000000000000001E-3</v>
      </c>
      <c r="G55" s="952" t="s">
        <v>120</v>
      </c>
      <c r="H55" s="862"/>
      <c r="I55" s="908"/>
      <c r="J55" s="917"/>
      <c r="K55" s="939"/>
      <c r="L55" s="870"/>
      <c r="M55" s="940"/>
      <c r="N55" s="941"/>
      <c r="O55" s="872"/>
    </row>
    <row r="56" spans="1:15" s="47" customFormat="1">
      <c r="A56" s="951">
        <v>40256</v>
      </c>
      <c r="B56" s="932">
        <v>81758</v>
      </c>
      <c r="C56" s="932">
        <f t="shared" si="14"/>
        <v>81794.959095890415</v>
      </c>
      <c r="D56" s="609">
        <v>33</v>
      </c>
      <c r="E56" s="610">
        <f t="shared" si="15"/>
        <v>40289</v>
      </c>
      <c r="F56" s="944">
        <v>5.0000000000000001E-3</v>
      </c>
      <c r="G56" s="952" t="s">
        <v>120</v>
      </c>
      <c r="H56" s="862"/>
      <c r="I56" s="908"/>
      <c r="J56" s="917"/>
      <c r="K56" s="939"/>
      <c r="L56" s="870"/>
      <c r="M56" s="940"/>
      <c r="N56" s="941"/>
      <c r="O56" s="872"/>
    </row>
    <row r="57" spans="1:15" s="47" customFormat="1">
      <c r="A57" s="960">
        <v>40274</v>
      </c>
      <c r="B57" s="889">
        <v>20000</v>
      </c>
      <c r="C57" s="889">
        <f t="shared" si="14"/>
        <v>20007.890410958906</v>
      </c>
      <c r="D57" s="961">
        <v>36</v>
      </c>
      <c r="E57" s="962">
        <f t="shared" si="15"/>
        <v>40310</v>
      </c>
      <c r="F57" s="963">
        <v>4.0000000000000001E-3</v>
      </c>
      <c r="G57" s="964" t="s">
        <v>120</v>
      </c>
      <c r="H57" s="862"/>
      <c r="I57" s="908"/>
      <c r="J57" s="917"/>
      <c r="K57" s="939"/>
      <c r="L57" s="870"/>
      <c r="M57" s="940"/>
      <c r="N57" s="941"/>
      <c r="O57" s="872"/>
    </row>
    <row r="58" spans="1:15" s="47" customFormat="1">
      <c r="A58" s="951">
        <v>40283</v>
      </c>
      <c r="B58" s="932">
        <v>183896</v>
      </c>
      <c r="C58" s="932">
        <f t="shared" si="14"/>
        <v>183973.08517260273</v>
      </c>
      <c r="D58" s="609">
        <v>34</v>
      </c>
      <c r="E58" s="610">
        <f t="shared" si="15"/>
        <v>40317</v>
      </c>
      <c r="F58" s="944">
        <v>4.4999999999999997E-3</v>
      </c>
      <c r="G58" s="952" t="s">
        <v>120</v>
      </c>
      <c r="H58" s="862">
        <f>SUM(C52:C59)</f>
        <v>601827.75943561643</v>
      </c>
      <c r="I58" s="908"/>
      <c r="J58" s="917"/>
      <c r="K58" s="939"/>
      <c r="L58" s="870"/>
      <c r="M58" s="940"/>
      <c r="N58" s="941"/>
      <c r="O58" s="872"/>
    </row>
    <row r="59" spans="1:15" s="47" customFormat="1">
      <c r="A59" s="953">
        <v>40283</v>
      </c>
      <c r="B59" s="954">
        <v>90787</v>
      </c>
      <c r="C59" s="954">
        <f t="shared" si="14"/>
        <v>90825.055920547951</v>
      </c>
      <c r="D59" s="955">
        <v>34</v>
      </c>
      <c r="E59" s="956">
        <f t="shared" si="15"/>
        <v>40317</v>
      </c>
      <c r="F59" s="957">
        <v>4.4999999999999997E-3</v>
      </c>
      <c r="G59" s="958" t="s">
        <v>120</v>
      </c>
      <c r="H59" s="862"/>
      <c r="I59" s="908"/>
      <c r="J59" s="917"/>
      <c r="K59" s="939"/>
      <c r="L59" s="870"/>
      <c r="M59" s="940"/>
      <c r="N59" s="941"/>
      <c r="O59" s="872"/>
    </row>
    <row r="60" spans="1:15" s="47" customFormat="1">
      <c r="A60" s="945">
        <v>40289</v>
      </c>
      <c r="B60" s="946">
        <v>47882</v>
      </c>
      <c r="C60" s="946">
        <f t="shared" si="14"/>
        <v>47904.95712328767</v>
      </c>
      <c r="D60" s="947">
        <v>35</v>
      </c>
      <c r="E60" s="948">
        <f t="shared" si="15"/>
        <v>40324</v>
      </c>
      <c r="F60" s="949">
        <v>5.0000000000000001E-3</v>
      </c>
      <c r="G60" s="950" t="s">
        <v>120</v>
      </c>
      <c r="H60" s="862"/>
      <c r="I60" s="908"/>
      <c r="J60" s="917"/>
      <c r="K60" s="939"/>
      <c r="L60" s="870"/>
      <c r="M60" s="940"/>
      <c r="N60" s="941"/>
      <c r="O60" s="872"/>
    </row>
    <row r="61" spans="1:15" s="47" customFormat="1">
      <c r="A61" s="951">
        <v>40289</v>
      </c>
      <c r="B61" s="932">
        <v>12574</v>
      </c>
      <c r="C61" s="932">
        <f t="shared" si="14"/>
        <v>12580.028630136987</v>
      </c>
      <c r="D61" s="609">
        <v>35</v>
      </c>
      <c r="E61" s="610">
        <f t="shared" si="15"/>
        <v>40324</v>
      </c>
      <c r="F61" s="943">
        <v>5.0000000000000001E-3</v>
      </c>
      <c r="G61" s="952" t="s">
        <v>120</v>
      </c>
      <c r="H61" s="862"/>
      <c r="I61" s="908"/>
      <c r="J61" s="917"/>
      <c r="K61" s="939"/>
      <c r="L61" s="870"/>
      <c r="M61" s="940"/>
      <c r="N61" s="941"/>
      <c r="O61" s="872"/>
    </row>
    <row r="62" spans="1:15" s="47" customFormat="1">
      <c r="A62" s="951">
        <v>40289</v>
      </c>
      <c r="B62" s="932">
        <v>27875</v>
      </c>
      <c r="C62" s="932">
        <f t="shared" si="14"/>
        <v>27888.364726027397</v>
      </c>
      <c r="D62" s="609">
        <v>35</v>
      </c>
      <c r="E62" s="610">
        <f t="shared" si="15"/>
        <v>40324</v>
      </c>
      <c r="F62" s="943">
        <v>5.0000000000000001E-3</v>
      </c>
      <c r="G62" s="952" t="s">
        <v>527</v>
      </c>
      <c r="H62" s="862"/>
      <c r="I62" s="908"/>
      <c r="J62" s="917"/>
      <c r="K62" s="939"/>
      <c r="L62" s="870"/>
      <c r="M62" s="940"/>
      <c r="N62" s="941"/>
      <c r="O62" s="872"/>
    </row>
    <row r="63" spans="1:15" s="47" customFormat="1">
      <c r="A63" s="951">
        <v>40289</v>
      </c>
      <c r="B63" s="932">
        <v>81795</v>
      </c>
      <c r="C63" s="932">
        <f t="shared" si="14"/>
        <v>81842.0601369863</v>
      </c>
      <c r="D63" s="609">
        <v>42</v>
      </c>
      <c r="E63" s="610">
        <f t="shared" si="15"/>
        <v>40331</v>
      </c>
      <c r="F63" s="943">
        <v>5.0000000000000001E-3</v>
      </c>
      <c r="G63" s="952" t="s">
        <v>120</v>
      </c>
      <c r="H63" s="862"/>
      <c r="I63" s="908"/>
      <c r="J63" s="917"/>
      <c r="K63" s="939"/>
      <c r="L63" s="870"/>
      <c r="M63" s="940"/>
      <c r="N63" s="941"/>
      <c r="O63" s="872"/>
    </row>
    <row r="64" spans="1:15" s="47" customFormat="1">
      <c r="A64" s="951">
        <v>40289</v>
      </c>
      <c r="B64" s="932">
        <v>136897</v>
      </c>
      <c r="C64" s="932">
        <f t="shared" si="14"/>
        <v>136988.8897671233</v>
      </c>
      <c r="D64" s="609">
        <v>49</v>
      </c>
      <c r="E64" s="610">
        <f t="shared" si="15"/>
        <v>40338</v>
      </c>
      <c r="F64" s="943">
        <v>5.0000000000000001E-3</v>
      </c>
      <c r="G64" s="952" t="s">
        <v>120</v>
      </c>
      <c r="H64" s="862"/>
      <c r="I64" s="908"/>
      <c r="J64" s="917"/>
      <c r="K64" s="939"/>
      <c r="L64" s="870"/>
      <c r="M64" s="940"/>
      <c r="N64" s="941"/>
      <c r="O64" s="872"/>
    </row>
    <row r="65" spans="1:15" s="47" customFormat="1">
      <c r="A65" s="951">
        <v>40310</v>
      </c>
      <c r="B65" s="932">
        <v>20008</v>
      </c>
      <c r="C65" s="932">
        <f t="shared" si="14"/>
        <v>20015.674301369861</v>
      </c>
      <c r="D65" s="609">
        <v>35</v>
      </c>
      <c r="E65" s="610">
        <f t="shared" si="15"/>
        <v>40345</v>
      </c>
      <c r="F65" s="943">
        <v>4.0000000000000001E-3</v>
      </c>
      <c r="G65" s="952" t="s">
        <v>120</v>
      </c>
      <c r="H65" s="862"/>
      <c r="I65" s="908"/>
      <c r="J65" s="917"/>
      <c r="K65" s="939"/>
      <c r="L65" s="870"/>
      <c r="M65" s="940"/>
      <c r="N65" s="941"/>
      <c r="O65" s="872"/>
    </row>
    <row r="66" spans="1:15" s="47" customFormat="1">
      <c r="A66" s="951">
        <v>40317</v>
      </c>
      <c r="B66" s="932">
        <v>183973</v>
      </c>
      <c r="C66" s="932">
        <f t="shared" si="14"/>
        <v>184052.38560958905</v>
      </c>
      <c r="D66" s="609">
        <v>35</v>
      </c>
      <c r="E66" s="610">
        <f t="shared" si="15"/>
        <v>40352</v>
      </c>
      <c r="F66" s="943">
        <v>4.4999999999999997E-3</v>
      </c>
      <c r="G66" s="952" t="s">
        <v>120</v>
      </c>
      <c r="H66" s="862">
        <f>SUM(C60:C67)</f>
        <v>602136.55190410966</v>
      </c>
      <c r="I66" s="908"/>
      <c r="J66" s="917"/>
      <c r="K66" s="939"/>
      <c r="L66" s="870"/>
      <c r="M66" s="940"/>
      <c r="N66" s="941"/>
      <c r="O66" s="872"/>
    </row>
    <row r="67" spans="1:15" s="47" customFormat="1">
      <c r="A67" s="953">
        <v>40317</v>
      </c>
      <c r="B67" s="954">
        <v>90825</v>
      </c>
      <c r="C67" s="954">
        <f t="shared" si="14"/>
        <v>90864.191609589048</v>
      </c>
      <c r="D67" s="955">
        <v>35</v>
      </c>
      <c r="E67" s="956">
        <f t="shared" si="15"/>
        <v>40352</v>
      </c>
      <c r="F67" s="957">
        <v>4.4999999999999997E-3</v>
      </c>
      <c r="G67" s="958" t="s">
        <v>120</v>
      </c>
      <c r="H67" s="862"/>
      <c r="I67" s="908"/>
      <c r="J67" s="917"/>
      <c r="K67" s="939"/>
      <c r="L67" s="870"/>
      <c r="M67" s="940"/>
      <c r="N67" s="941"/>
      <c r="O67" s="872"/>
    </row>
    <row r="68" spans="1:15" s="47" customFormat="1">
      <c r="A68" s="945">
        <v>40326</v>
      </c>
      <c r="B68" s="946">
        <v>47905</v>
      </c>
      <c r="C68" s="946">
        <f t="shared" si="14"/>
        <v>47928.821253424656</v>
      </c>
      <c r="D68" s="947">
        <v>33</v>
      </c>
      <c r="E68" s="948">
        <f t="shared" si="15"/>
        <v>40359</v>
      </c>
      <c r="F68" s="949">
        <v>5.4999999999999997E-3</v>
      </c>
      <c r="G68" s="950" t="s">
        <v>120</v>
      </c>
      <c r="H68" s="862"/>
      <c r="I68" s="908"/>
      <c r="J68" s="917"/>
      <c r="K68" s="939"/>
      <c r="L68" s="870"/>
      <c r="M68" s="940"/>
      <c r="N68" s="941"/>
      <c r="O68" s="872"/>
    </row>
    <row r="69" spans="1:15" s="47" customFormat="1">
      <c r="A69" s="951">
        <v>40326</v>
      </c>
      <c r="B69" s="932">
        <v>12580</v>
      </c>
      <c r="C69" s="932">
        <f t="shared" si="14"/>
        <v>12586.255534246575</v>
      </c>
      <c r="D69" s="609">
        <v>33</v>
      </c>
      <c r="E69" s="610">
        <f t="shared" si="15"/>
        <v>40359</v>
      </c>
      <c r="F69" s="943">
        <v>5.4999999999999997E-3</v>
      </c>
      <c r="G69" s="952" t="s">
        <v>120</v>
      </c>
      <c r="H69" s="862"/>
      <c r="I69" s="908"/>
      <c r="J69" s="917"/>
      <c r="K69" s="939"/>
      <c r="L69" s="870"/>
      <c r="M69" s="940"/>
      <c r="N69" s="941"/>
      <c r="O69" s="872"/>
    </row>
    <row r="70" spans="1:15" s="47" customFormat="1">
      <c r="A70" s="951">
        <v>40326</v>
      </c>
      <c r="B70" s="932">
        <v>27888</v>
      </c>
      <c r="C70" s="932">
        <f t="shared" si="14"/>
        <v>27901.867594520547</v>
      </c>
      <c r="D70" s="609">
        <v>33</v>
      </c>
      <c r="E70" s="610">
        <f t="shared" si="15"/>
        <v>40359</v>
      </c>
      <c r="F70" s="943">
        <v>5.4999999999999997E-3</v>
      </c>
      <c r="G70" s="952" t="s">
        <v>527</v>
      </c>
      <c r="H70" s="862"/>
      <c r="I70" s="908"/>
      <c r="J70" s="917"/>
      <c r="K70" s="939"/>
      <c r="L70" s="870"/>
      <c r="M70" s="940"/>
      <c r="N70" s="941"/>
      <c r="O70" s="872"/>
    </row>
    <row r="71" spans="1:15" s="47" customFormat="1">
      <c r="A71" s="951">
        <v>40331</v>
      </c>
      <c r="B71" s="932">
        <v>81842</v>
      </c>
      <c r="C71" s="932">
        <f t="shared" si="14"/>
        <v>81881.239315068495</v>
      </c>
      <c r="D71" s="609">
        <v>35</v>
      </c>
      <c r="E71" s="610">
        <f t="shared" si="15"/>
        <v>40366</v>
      </c>
      <c r="F71" s="943">
        <v>5.0000000000000001E-3</v>
      </c>
      <c r="G71" s="952" t="s">
        <v>120</v>
      </c>
      <c r="H71" s="862"/>
      <c r="I71" s="908"/>
      <c r="J71" s="917"/>
      <c r="K71" s="939"/>
      <c r="L71" s="870"/>
      <c r="M71" s="940"/>
      <c r="N71" s="941"/>
      <c r="O71" s="872"/>
    </row>
    <row r="72" spans="1:15" s="47" customFormat="1">
      <c r="A72" s="960">
        <v>40331</v>
      </c>
      <c r="B72" s="889">
        <v>14400</v>
      </c>
      <c r="C72" s="889">
        <f t="shared" si="14"/>
        <v>14406.904109589041</v>
      </c>
      <c r="D72" s="961">
        <v>35</v>
      </c>
      <c r="E72" s="962">
        <f t="shared" si="15"/>
        <v>40366</v>
      </c>
      <c r="F72" s="965">
        <v>5.0000000000000001E-3</v>
      </c>
      <c r="G72" s="964" t="s">
        <v>527</v>
      </c>
      <c r="H72" s="862"/>
      <c r="I72" s="908"/>
      <c r="J72" s="917"/>
      <c r="K72" s="939"/>
      <c r="L72" s="870"/>
      <c r="M72" s="940"/>
      <c r="N72" s="941"/>
      <c r="O72" s="872"/>
    </row>
    <row r="73" spans="1:15" s="47" customFormat="1">
      <c r="A73" s="960">
        <v>40333</v>
      </c>
      <c r="B73" s="889">
        <v>24134</v>
      </c>
      <c r="C73" s="889">
        <f t="shared" ref="C73:C107" si="16">B73+(B73*F73/365*D73)*1</f>
        <v>24146.000879452055</v>
      </c>
      <c r="D73" s="961">
        <v>33</v>
      </c>
      <c r="E73" s="962">
        <f t="shared" ref="E73:E107" si="17">A73+D73</f>
        <v>40366</v>
      </c>
      <c r="F73" s="965">
        <v>5.4999999999999997E-3</v>
      </c>
      <c r="G73" s="964" t="s">
        <v>527</v>
      </c>
      <c r="H73" s="862"/>
      <c r="I73" s="908"/>
      <c r="J73" s="917"/>
      <c r="K73" s="939"/>
      <c r="L73" s="870"/>
      <c r="M73" s="940"/>
      <c r="N73" s="941"/>
      <c r="O73" s="872"/>
    </row>
    <row r="74" spans="1:15" s="47" customFormat="1">
      <c r="A74" s="951">
        <v>40338</v>
      </c>
      <c r="B74" s="932">
        <v>136989</v>
      </c>
      <c r="C74" s="932">
        <f t="shared" si="16"/>
        <v>137061.24762328767</v>
      </c>
      <c r="D74" s="609">
        <v>35</v>
      </c>
      <c r="E74" s="610">
        <f t="shared" si="17"/>
        <v>40373</v>
      </c>
      <c r="F74" s="943">
        <v>5.4999999999999997E-3</v>
      </c>
      <c r="G74" s="952" t="s">
        <v>120</v>
      </c>
      <c r="H74" s="862"/>
      <c r="I74" s="908"/>
      <c r="J74" s="917"/>
      <c r="K74" s="939"/>
      <c r="L74" s="870"/>
      <c r="M74" s="940"/>
      <c r="N74" s="941"/>
      <c r="O74" s="872"/>
    </row>
    <row r="75" spans="1:15" s="47" customFormat="1">
      <c r="A75" s="960">
        <v>40338</v>
      </c>
      <c r="B75" s="889">
        <v>13000</v>
      </c>
      <c r="C75" s="889">
        <f t="shared" si="16"/>
        <v>13006.856164383562</v>
      </c>
      <c r="D75" s="961">
        <v>35</v>
      </c>
      <c r="E75" s="962">
        <f t="shared" si="17"/>
        <v>40373</v>
      </c>
      <c r="F75" s="965">
        <v>5.4999999999999997E-3</v>
      </c>
      <c r="G75" s="964" t="s">
        <v>527</v>
      </c>
      <c r="H75" s="862"/>
      <c r="I75" s="908"/>
      <c r="J75" s="917"/>
      <c r="K75" s="939"/>
      <c r="L75" s="870"/>
      <c r="M75" s="940"/>
      <c r="N75" s="941"/>
      <c r="O75" s="872"/>
    </row>
    <row r="76" spans="1:15" s="47" customFormat="1">
      <c r="A76" s="951">
        <v>40347</v>
      </c>
      <c r="B76" s="932">
        <v>20016</v>
      </c>
      <c r="C76" s="932">
        <f t="shared" si="16"/>
        <v>20025.953161643836</v>
      </c>
      <c r="D76" s="609">
        <v>33</v>
      </c>
      <c r="E76" s="610">
        <f t="shared" si="17"/>
        <v>40380</v>
      </c>
      <c r="F76" s="943">
        <v>5.4999999999999997E-3</v>
      </c>
      <c r="G76" s="952" t="s">
        <v>120</v>
      </c>
      <c r="H76" s="862"/>
      <c r="I76" s="908"/>
      <c r="J76" s="917"/>
      <c r="K76" s="939"/>
      <c r="L76" s="870"/>
      <c r="M76" s="940"/>
      <c r="N76" s="941"/>
      <c r="O76" s="872"/>
    </row>
    <row r="77" spans="1:15" s="47" customFormat="1">
      <c r="A77" s="966">
        <v>40347</v>
      </c>
      <c r="B77" s="889">
        <f>60489.4/3.95</f>
        <v>15313.772151898735</v>
      </c>
      <c r="C77" s="889">
        <f t="shared" si="16"/>
        <v>15351.532138026703</v>
      </c>
      <c r="D77" s="961">
        <v>90</v>
      </c>
      <c r="E77" s="962">
        <f t="shared" si="17"/>
        <v>40437</v>
      </c>
      <c r="F77" s="965">
        <v>0.01</v>
      </c>
      <c r="G77" s="967" t="s">
        <v>528</v>
      </c>
      <c r="H77" s="862"/>
      <c r="I77" s="908"/>
      <c r="J77" s="917"/>
      <c r="K77" s="939"/>
      <c r="L77" s="870"/>
      <c r="M77" s="940"/>
      <c r="N77" s="941"/>
      <c r="O77" s="872"/>
    </row>
    <row r="78" spans="1:15" s="47" customFormat="1">
      <c r="A78" s="951">
        <v>40352</v>
      </c>
      <c r="B78" s="932">
        <v>184052</v>
      </c>
      <c r="C78" s="932">
        <f t="shared" si="16"/>
        <v>184140.24410958905</v>
      </c>
      <c r="D78" s="609">
        <v>35</v>
      </c>
      <c r="E78" s="610">
        <f t="shared" si="17"/>
        <v>40387</v>
      </c>
      <c r="F78" s="943">
        <v>5.0000000000000001E-3</v>
      </c>
      <c r="G78" s="952" t="s">
        <v>120</v>
      </c>
      <c r="H78" s="862">
        <f>SUM(C68:C79)</f>
        <v>669344.48681473907</v>
      </c>
      <c r="I78" s="908"/>
      <c r="J78" s="917"/>
      <c r="K78" s="939"/>
      <c r="L78" s="870"/>
      <c r="M78" s="940"/>
      <c r="N78" s="941"/>
      <c r="O78" s="872"/>
    </row>
    <row r="79" spans="1:15" s="47" customFormat="1">
      <c r="A79" s="951">
        <v>40352</v>
      </c>
      <c r="B79" s="932">
        <v>90864</v>
      </c>
      <c r="C79" s="932">
        <f t="shared" si="16"/>
        <v>90907.564931506844</v>
      </c>
      <c r="D79" s="609">
        <v>35</v>
      </c>
      <c r="E79" s="610">
        <f t="shared" si="17"/>
        <v>40387</v>
      </c>
      <c r="F79" s="944">
        <v>5.0000000000000001E-3</v>
      </c>
      <c r="G79" s="952" t="s">
        <v>120</v>
      </c>
      <c r="H79" s="862"/>
      <c r="I79" s="908"/>
      <c r="J79" s="917"/>
      <c r="K79" s="939"/>
      <c r="L79" s="870"/>
      <c r="M79" s="940"/>
      <c r="N79" s="941"/>
      <c r="O79" s="872"/>
    </row>
    <row r="80" spans="1:15" s="47" customFormat="1">
      <c r="A80" s="945">
        <v>40359</v>
      </c>
      <c r="B80" s="946">
        <v>47929</v>
      </c>
      <c r="C80" s="946">
        <f t="shared" si="16"/>
        <v>47951.979657534248</v>
      </c>
      <c r="D80" s="947">
        <v>35</v>
      </c>
      <c r="E80" s="948">
        <f t="shared" si="17"/>
        <v>40394</v>
      </c>
      <c r="F80" s="959">
        <v>5.0000000000000001E-3</v>
      </c>
      <c r="G80" s="950" t="s">
        <v>120</v>
      </c>
      <c r="H80" s="862"/>
      <c r="I80" s="908"/>
      <c r="J80" s="917"/>
      <c r="K80" s="939"/>
      <c r="L80" s="870"/>
      <c r="M80" s="940"/>
      <c r="N80" s="941"/>
      <c r="O80" s="872"/>
    </row>
    <row r="81" spans="1:15" s="47" customFormat="1">
      <c r="A81" s="951">
        <v>40359</v>
      </c>
      <c r="B81" s="932">
        <v>12586</v>
      </c>
      <c r="C81" s="932">
        <f t="shared" si="16"/>
        <v>12592.034383561644</v>
      </c>
      <c r="D81" s="609">
        <v>35</v>
      </c>
      <c r="E81" s="610">
        <f t="shared" si="17"/>
        <v>40394</v>
      </c>
      <c r="F81" s="944">
        <v>5.0000000000000001E-3</v>
      </c>
      <c r="G81" s="952" t="s">
        <v>120</v>
      </c>
      <c r="H81" s="862"/>
      <c r="I81" s="908"/>
      <c r="J81" s="917"/>
      <c r="K81" s="939"/>
      <c r="L81" s="870"/>
      <c r="M81" s="940"/>
      <c r="N81" s="941"/>
      <c r="O81" s="872"/>
    </row>
    <row r="82" spans="1:15" s="47" customFormat="1">
      <c r="A82" s="951">
        <v>40359</v>
      </c>
      <c r="B82" s="932">
        <v>27902</v>
      </c>
      <c r="C82" s="932">
        <f t="shared" si="16"/>
        <v>27915.377671232876</v>
      </c>
      <c r="D82" s="609">
        <v>35</v>
      </c>
      <c r="E82" s="610">
        <f t="shared" si="17"/>
        <v>40394</v>
      </c>
      <c r="F82" s="944">
        <v>5.0000000000000001E-3</v>
      </c>
      <c r="G82" s="952" t="s">
        <v>527</v>
      </c>
      <c r="H82" s="862"/>
      <c r="I82" s="908"/>
      <c r="J82" s="917"/>
      <c r="K82" s="939"/>
      <c r="L82" s="870"/>
      <c r="M82" s="940"/>
      <c r="N82" s="941"/>
      <c r="O82" s="872"/>
    </row>
    <row r="83" spans="1:15" s="47" customFormat="1">
      <c r="A83" s="951">
        <v>40366</v>
      </c>
      <c r="B83" s="932">
        <v>81881</v>
      </c>
      <c r="C83" s="932">
        <f t="shared" si="16"/>
        <v>81912.406410958909</v>
      </c>
      <c r="D83" s="609">
        <v>35</v>
      </c>
      <c r="E83" s="610">
        <f t="shared" si="17"/>
        <v>40401</v>
      </c>
      <c r="F83" s="944">
        <v>4.0000000000000001E-3</v>
      </c>
      <c r="G83" s="952" t="s">
        <v>120</v>
      </c>
      <c r="H83" s="862"/>
      <c r="I83" s="908"/>
      <c r="J83" s="917"/>
      <c r="K83" s="939"/>
      <c r="L83" s="870"/>
      <c r="M83" s="940"/>
      <c r="N83" s="941"/>
      <c r="O83" s="872"/>
    </row>
    <row r="84" spans="1:15" s="47" customFormat="1">
      <c r="A84" s="951">
        <v>40366</v>
      </c>
      <c r="B84" s="932">
        <v>14407</v>
      </c>
      <c r="C84" s="932">
        <f t="shared" si="16"/>
        <v>14412.52597260274</v>
      </c>
      <c r="D84" s="609">
        <v>35</v>
      </c>
      <c r="E84" s="610">
        <f t="shared" si="17"/>
        <v>40401</v>
      </c>
      <c r="F84" s="944">
        <v>4.0000000000000001E-3</v>
      </c>
      <c r="G84" s="952" t="s">
        <v>527</v>
      </c>
      <c r="H84" s="862"/>
      <c r="I84" s="908"/>
      <c r="J84" s="917"/>
      <c r="K84" s="939"/>
      <c r="L84" s="870"/>
      <c r="M84" s="940"/>
      <c r="N84" s="941"/>
      <c r="O84" s="872"/>
    </row>
    <row r="85" spans="1:15" s="47" customFormat="1">
      <c r="A85" s="951">
        <v>40366</v>
      </c>
      <c r="B85" s="932">
        <v>24146</v>
      </c>
      <c r="C85" s="932">
        <f t="shared" si="16"/>
        <v>24155.261479452056</v>
      </c>
      <c r="D85" s="609">
        <v>35</v>
      </c>
      <c r="E85" s="610">
        <f t="shared" si="17"/>
        <v>40401</v>
      </c>
      <c r="F85" s="944">
        <v>4.0000000000000001E-3</v>
      </c>
      <c r="G85" s="952" t="s">
        <v>527</v>
      </c>
      <c r="H85" s="862"/>
      <c r="I85" s="908"/>
      <c r="J85" s="917"/>
      <c r="K85" s="939"/>
      <c r="L85" s="870"/>
      <c r="M85" s="940"/>
      <c r="N85" s="941"/>
      <c r="O85" s="872"/>
    </row>
    <row r="86" spans="1:15" s="47" customFormat="1">
      <c r="A86" s="951">
        <v>40374</v>
      </c>
      <c r="B86" s="932">
        <v>13007</v>
      </c>
      <c r="C86" s="932">
        <f t="shared" si="16"/>
        <v>13011.846443835617</v>
      </c>
      <c r="D86" s="609">
        <v>34</v>
      </c>
      <c r="E86" s="610">
        <f t="shared" si="17"/>
        <v>40408</v>
      </c>
      <c r="F86" s="944">
        <v>4.0000000000000001E-3</v>
      </c>
      <c r="G86" s="952" t="s">
        <v>527</v>
      </c>
      <c r="H86" s="862"/>
      <c r="I86" s="908"/>
      <c r="J86" s="917"/>
      <c r="K86" s="939"/>
      <c r="L86" s="870"/>
      <c r="M86" s="940"/>
      <c r="N86" s="941"/>
      <c r="O86" s="872"/>
    </row>
    <row r="87" spans="1:15" s="47" customFormat="1">
      <c r="A87" s="951">
        <v>40374</v>
      </c>
      <c r="B87" s="932">
        <v>137061</v>
      </c>
      <c r="C87" s="932">
        <f t="shared" si="16"/>
        <v>137112.06930410958</v>
      </c>
      <c r="D87" s="609">
        <v>34</v>
      </c>
      <c r="E87" s="610">
        <f t="shared" si="17"/>
        <v>40408</v>
      </c>
      <c r="F87" s="944">
        <v>4.0000000000000001E-3</v>
      </c>
      <c r="G87" s="952" t="s">
        <v>120</v>
      </c>
      <c r="H87" s="862"/>
      <c r="I87" s="908"/>
      <c r="J87" s="917"/>
      <c r="K87" s="939"/>
      <c r="L87" s="870"/>
      <c r="M87" s="940"/>
      <c r="N87" s="941"/>
      <c r="O87" s="872"/>
    </row>
    <row r="88" spans="1:15" s="47" customFormat="1">
      <c r="A88" s="951">
        <v>40386</v>
      </c>
      <c r="B88" s="932">
        <v>20026</v>
      </c>
      <c r="C88" s="932">
        <f t="shared" si="16"/>
        <v>20061.717605479451</v>
      </c>
      <c r="D88" s="609">
        <v>93</v>
      </c>
      <c r="E88" s="610">
        <f t="shared" si="17"/>
        <v>40479</v>
      </c>
      <c r="F88" s="944">
        <v>7.0000000000000001E-3</v>
      </c>
      <c r="G88" s="952" t="s">
        <v>120</v>
      </c>
      <c r="H88" s="862"/>
      <c r="I88" s="908"/>
      <c r="J88" s="917"/>
      <c r="K88" s="939"/>
      <c r="L88" s="870"/>
      <c r="M88" s="940"/>
      <c r="N88" s="941"/>
      <c r="O88" s="872"/>
    </row>
    <row r="89" spans="1:15" s="47" customFormat="1">
      <c r="A89" s="951">
        <v>40386</v>
      </c>
      <c r="B89" s="932">
        <v>14447</v>
      </c>
      <c r="C89" s="932">
        <f t="shared" si="16"/>
        <v>14472.767115068493</v>
      </c>
      <c r="D89" s="609">
        <v>93</v>
      </c>
      <c r="E89" s="610">
        <f t="shared" si="17"/>
        <v>40479</v>
      </c>
      <c r="F89" s="944">
        <v>7.0000000000000001E-3</v>
      </c>
      <c r="G89" s="952" t="s">
        <v>120</v>
      </c>
      <c r="H89" s="862"/>
      <c r="I89" s="908"/>
      <c r="J89" s="917"/>
      <c r="K89" s="939"/>
      <c r="L89" s="870"/>
      <c r="M89" s="940"/>
      <c r="N89" s="941"/>
      <c r="O89" s="872"/>
    </row>
    <row r="90" spans="1:15" s="47" customFormat="1">
      <c r="A90" s="951">
        <v>40387</v>
      </c>
      <c r="B90" s="932">
        <v>90908</v>
      </c>
      <c r="C90" s="932">
        <f t="shared" si="16"/>
        <v>90951.586027397265</v>
      </c>
      <c r="D90" s="609">
        <v>35</v>
      </c>
      <c r="E90" s="610">
        <f t="shared" si="17"/>
        <v>40422</v>
      </c>
      <c r="F90" s="944">
        <v>5.0000000000000001E-3</v>
      </c>
      <c r="G90" s="952" t="s">
        <v>120</v>
      </c>
      <c r="H90" s="862">
        <f>SUM(C80:C91)</f>
        <v>668880.27048219182</v>
      </c>
      <c r="I90" s="908"/>
      <c r="J90" s="917"/>
      <c r="K90" s="939"/>
      <c r="L90" s="870"/>
      <c r="M90" s="940"/>
      <c r="N90" s="941"/>
      <c r="O90" s="872"/>
    </row>
    <row r="91" spans="1:15" s="47" customFormat="1">
      <c r="A91" s="953">
        <v>40387</v>
      </c>
      <c r="B91" s="954">
        <v>184140</v>
      </c>
      <c r="C91" s="954">
        <f t="shared" si="16"/>
        <v>184330.6984109589</v>
      </c>
      <c r="D91" s="955">
        <v>63</v>
      </c>
      <c r="E91" s="956">
        <f t="shared" si="17"/>
        <v>40450</v>
      </c>
      <c r="F91" s="957">
        <v>6.0000000000000001E-3</v>
      </c>
      <c r="G91" s="958" t="s">
        <v>120</v>
      </c>
      <c r="H91" s="862"/>
      <c r="I91" s="908"/>
      <c r="J91" s="917"/>
      <c r="K91" s="939"/>
      <c r="L91" s="870"/>
      <c r="M91" s="940"/>
      <c r="N91" s="941"/>
      <c r="O91" s="872"/>
    </row>
    <row r="92" spans="1:15" s="47" customFormat="1">
      <c r="A92" s="945">
        <v>40394</v>
      </c>
      <c r="B92" s="946">
        <v>47952</v>
      </c>
      <c r="C92" s="946">
        <f t="shared" si="16"/>
        <v>47974.990684931508</v>
      </c>
      <c r="D92" s="947">
        <v>35</v>
      </c>
      <c r="E92" s="948">
        <f t="shared" si="17"/>
        <v>40429</v>
      </c>
      <c r="F92" s="949">
        <v>5.0000000000000001E-3</v>
      </c>
      <c r="G92" s="950" t="s">
        <v>120</v>
      </c>
      <c r="H92" s="862"/>
      <c r="I92" s="908"/>
      <c r="J92" s="917"/>
      <c r="K92" s="939"/>
      <c r="L92" s="870"/>
      <c r="M92" s="940"/>
      <c r="N92" s="941"/>
      <c r="O92" s="872"/>
    </row>
    <row r="93" spans="1:15" s="47" customFormat="1">
      <c r="A93" s="951">
        <v>40394</v>
      </c>
      <c r="B93" s="932">
        <v>12592</v>
      </c>
      <c r="C93" s="932">
        <f t="shared" si="16"/>
        <v>12598.037260273972</v>
      </c>
      <c r="D93" s="609">
        <v>35</v>
      </c>
      <c r="E93" s="610">
        <f t="shared" si="17"/>
        <v>40429</v>
      </c>
      <c r="F93" s="943">
        <v>5.0000000000000001E-3</v>
      </c>
      <c r="G93" s="952" t="s">
        <v>120</v>
      </c>
      <c r="H93" s="862"/>
      <c r="I93" s="908"/>
      <c r="J93" s="917"/>
      <c r="K93" s="939"/>
      <c r="L93" s="870"/>
      <c r="M93" s="940"/>
      <c r="N93" s="941"/>
      <c r="O93" s="872"/>
    </row>
    <row r="94" spans="1:15" s="47" customFormat="1">
      <c r="A94" s="951">
        <v>40394</v>
      </c>
      <c r="B94" s="932">
        <v>27915</v>
      </c>
      <c r="C94" s="932">
        <f t="shared" si="16"/>
        <v>27928.383904109589</v>
      </c>
      <c r="D94" s="609">
        <v>35</v>
      </c>
      <c r="E94" s="610">
        <f t="shared" si="17"/>
        <v>40429</v>
      </c>
      <c r="F94" s="943">
        <v>5.0000000000000001E-3</v>
      </c>
      <c r="G94" s="952" t="s">
        <v>527</v>
      </c>
      <c r="H94" s="862"/>
      <c r="I94" s="908"/>
      <c r="J94" s="917"/>
      <c r="K94" s="939"/>
      <c r="L94" s="870"/>
      <c r="M94" s="940"/>
      <c r="N94" s="941"/>
      <c r="O94" s="872"/>
    </row>
    <row r="95" spans="1:15" s="47" customFormat="1">
      <c r="A95" s="968">
        <v>40394</v>
      </c>
      <c r="B95" s="969">
        <v>46282</v>
      </c>
      <c r="C95" s="969">
        <f t="shared" si="16"/>
        <v>46329.930399999997</v>
      </c>
      <c r="D95" s="970">
        <v>63</v>
      </c>
      <c r="E95" s="971">
        <f t="shared" si="17"/>
        <v>40457</v>
      </c>
      <c r="F95" s="972">
        <v>6.0000000000000001E-3</v>
      </c>
      <c r="G95" s="973" t="s">
        <v>527</v>
      </c>
      <c r="H95" s="862"/>
      <c r="I95" s="908"/>
      <c r="J95" s="917"/>
      <c r="K95" s="939"/>
      <c r="L95" s="870"/>
      <c r="M95" s="940"/>
      <c r="N95" s="941"/>
      <c r="O95" s="872"/>
    </row>
    <row r="96" spans="1:15">
      <c r="A96" s="974">
        <v>40394</v>
      </c>
      <c r="B96" s="975">
        <v>12155</v>
      </c>
      <c r="C96" s="975">
        <f t="shared" si="16"/>
        <v>12167.58791780822</v>
      </c>
      <c r="D96" s="976">
        <v>63</v>
      </c>
      <c r="E96" s="977">
        <f t="shared" si="17"/>
        <v>40457</v>
      </c>
      <c r="F96" s="978">
        <v>6.0000000000000001E-3</v>
      </c>
      <c r="G96" s="979" t="s">
        <v>527</v>
      </c>
    </row>
    <row r="97" spans="1:15">
      <c r="A97" s="951">
        <v>40403</v>
      </c>
      <c r="B97" s="932">
        <v>81912</v>
      </c>
      <c r="C97" s="932">
        <f t="shared" si="16"/>
        <v>81941.62296986302</v>
      </c>
      <c r="D97" s="609">
        <v>33</v>
      </c>
      <c r="E97" s="610">
        <f t="shared" si="17"/>
        <v>40436</v>
      </c>
      <c r="F97" s="943">
        <v>4.0000000000000001E-3</v>
      </c>
      <c r="G97" s="952" t="s">
        <v>120</v>
      </c>
    </row>
    <row r="98" spans="1:15">
      <c r="A98" s="951">
        <v>40403</v>
      </c>
      <c r="B98" s="932">
        <v>14413</v>
      </c>
      <c r="C98" s="932">
        <f t="shared" si="16"/>
        <v>14418.21237260274</v>
      </c>
      <c r="D98" s="609">
        <v>33</v>
      </c>
      <c r="E98" s="610">
        <f t="shared" si="17"/>
        <v>40436</v>
      </c>
      <c r="F98" s="943">
        <v>4.0000000000000001E-3</v>
      </c>
      <c r="G98" s="952" t="s">
        <v>527</v>
      </c>
    </row>
    <row r="99" spans="1:15" s="47" customFormat="1">
      <c r="A99" s="951">
        <v>40403</v>
      </c>
      <c r="B99" s="932">
        <v>24155</v>
      </c>
      <c r="C99" s="932">
        <f t="shared" si="16"/>
        <v>24163.735506849316</v>
      </c>
      <c r="D99" s="609">
        <v>33</v>
      </c>
      <c r="E99" s="610">
        <f t="shared" si="17"/>
        <v>40436</v>
      </c>
      <c r="F99" s="943">
        <v>4.0000000000000001E-3</v>
      </c>
      <c r="G99" s="952" t="s">
        <v>527</v>
      </c>
      <c r="H99" s="862"/>
      <c r="I99" s="908"/>
      <c r="J99" s="917"/>
      <c r="K99" s="939"/>
      <c r="L99" s="870"/>
      <c r="M99" s="940"/>
      <c r="N99" s="941"/>
      <c r="O99" s="872"/>
    </row>
    <row r="100" spans="1:15" s="47" customFormat="1">
      <c r="A100" s="951">
        <v>40408</v>
      </c>
      <c r="B100" s="932">
        <v>13012</v>
      </c>
      <c r="C100" s="932">
        <f t="shared" si="16"/>
        <v>13016.367041095891</v>
      </c>
      <c r="D100" s="609">
        <v>35</v>
      </c>
      <c r="E100" s="610">
        <f t="shared" si="17"/>
        <v>40443</v>
      </c>
      <c r="F100" s="943">
        <v>3.5000000000000001E-3</v>
      </c>
      <c r="G100" s="952" t="s">
        <v>527</v>
      </c>
      <c r="H100" s="862"/>
      <c r="I100" s="647"/>
      <c r="J100" s="917"/>
      <c r="K100" s="939"/>
      <c r="L100" s="870"/>
      <c r="M100" s="940"/>
      <c r="N100" s="941"/>
      <c r="O100" s="872"/>
    </row>
    <row r="101" spans="1:15" s="47" customFormat="1">
      <c r="A101" s="951">
        <v>40408</v>
      </c>
      <c r="B101" s="932">
        <v>137112</v>
      </c>
      <c r="C101" s="932">
        <f t="shared" si="16"/>
        <v>137218.49658082193</v>
      </c>
      <c r="D101" s="609">
        <v>63</v>
      </c>
      <c r="E101" s="610">
        <f t="shared" si="17"/>
        <v>40471</v>
      </c>
      <c r="F101" s="943">
        <v>4.4999999999999997E-3</v>
      </c>
      <c r="G101" s="952" t="s">
        <v>120</v>
      </c>
      <c r="H101" s="862"/>
      <c r="I101" s="647"/>
      <c r="J101" s="917"/>
      <c r="K101" s="939"/>
      <c r="L101" s="870"/>
      <c r="M101" s="940"/>
      <c r="N101" s="941"/>
      <c r="O101" s="872"/>
    </row>
    <row r="102" spans="1:15" s="47" customFormat="1">
      <c r="A102" s="980">
        <v>40422</v>
      </c>
      <c r="B102" s="981">
        <v>90952</v>
      </c>
      <c r="C102" s="981">
        <f t="shared" si="16"/>
        <v>90986.88569863014</v>
      </c>
      <c r="D102" s="982">
        <v>35</v>
      </c>
      <c r="E102" s="983">
        <f t="shared" si="17"/>
        <v>40457</v>
      </c>
      <c r="F102" s="984">
        <v>4.0000000000000001E-3</v>
      </c>
      <c r="G102" s="985" t="s">
        <v>120</v>
      </c>
      <c r="H102" s="862"/>
      <c r="I102" s="647"/>
      <c r="J102" s="917"/>
      <c r="K102" s="939"/>
      <c r="L102" s="870"/>
      <c r="M102" s="940"/>
      <c r="N102" s="941"/>
      <c r="O102" s="872"/>
    </row>
    <row r="103" spans="1:15" s="47" customFormat="1">
      <c r="A103" s="942">
        <v>40429</v>
      </c>
      <c r="B103" s="932">
        <v>47974.990684931508</v>
      </c>
      <c r="C103" s="932">
        <f t="shared" si="16"/>
        <v>48032.954988745354</v>
      </c>
      <c r="D103" s="609">
        <v>63</v>
      </c>
      <c r="E103" s="610">
        <f t="shared" si="17"/>
        <v>40492</v>
      </c>
      <c r="F103" s="943">
        <v>7.0000000000000001E-3</v>
      </c>
      <c r="G103" s="873" t="s">
        <v>120</v>
      </c>
      <c r="H103" s="862"/>
      <c r="I103" s="647"/>
      <c r="J103" s="862"/>
      <c r="K103" s="986"/>
      <c r="L103" s="870"/>
      <c r="M103" s="940"/>
      <c r="N103" s="941"/>
      <c r="O103" s="872"/>
    </row>
    <row r="104" spans="1:15" s="47" customFormat="1">
      <c r="A104" s="942">
        <v>40429</v>
      </c>
      <c r="B104" s="932">
        <v>12598.037260273972</v>
      </c>
      <c r="C104" s="932">
        <f t="shared" si="16"/>
        <v>12613.25845049803</v>
      </c>
      <c r="D104" s="609">
        <v>63</v>
      </c>
      <c r="E104" s="610">
        <f t="shared" si="17"/>
        <v>40492</v>
      </c>
      <c r="F104" s="943">
        <v>7.0000000000000001E-3</v>
      </c>
      <c r="G104" s="873" t="s">
        <v>120</v>
      </c>
      <c r="H104" s="862"/>
      <c r="I104" s="647"/>
      <c r="J104" s="862"/>
      <c r="K104" s="986"/>
      <c r="L104" s="870"/>
      <c r="M104" s="940"/>
      <c r="N104" s="941"/>
      <c r="O104" s="872"/>
    </row>
    <row r="105" spans="1:15" s="47" customFormat="1">
      <c r="A105" s="942">
        <v>40429</v>
      </c>
      <c r="B105" s="932">
        <v>27928.383904109589</v>
      </c>
      <c r="C105" s="932">
        <f t="shared" si="16"/>
        <v>27962.127513155378</v>
      </c>
      <c r="D105" s="609">
        <v>63</v>
      </c>
      <c r="E105" s="610">
        <f t="shared" si="17"/>
        <v>40492</v>
      </c>
      <c r="F105" s="943">
        <v>7.0000000000000001E-3</v>
      </c>
      <c r="G105" s="873" t="s">
        <v>527</v>
      </c>
      <c r="H105" s="862"/>
      <c r="I105" s="647"/>
      <c r="J105" s="862"/>
      <c r="K105" s="986"/>
      <c r="L105" s="870"/>
      <c r="M105" s="940"/>
      <c r="N105" s="941"/>
      <c r="O105" s="872"/>
    </row>
    <row r="106" spans="1:15" s="47" customFormat="1">
      <c r="A106" s="942">
        <v>40443</v>
      </c>
      <c r="B106" s="932">
        <v>13016</v>
      </c>
      <c r="C106" s="932">
        <f t="shared" si="16"/>
        <v>13022.418849315069</v>
      </c>
      <c r="D106" s="609">
        <v>36</v>
      </c>
      <c r="E106" s="610">
        <f t="shared" si="17"/>
        <v>40479</v>
      </c>
      <c r="F106" s="943">
        <v>5.0000000000000001E-3</v>
      </c>
      <c r="G106" s="873" t="s">
        <v>527</v>
      </c>
      <c r="H106" s="862"/>
      <c r="I106" s="647"/>
      <c r="J106" s="862"/>
      <c r="K106" s="986"/>
      <c r="L106" s="870"/>
      <c r="M106" s="940"/>
      <c r="N106" s="941"/>
      <c r="O106" s="872"/>
    </row>
    <row r="107" spans="1:15" s="47" customFormat="1">
      <c r="A107" s="942">
        <v>40450</v>
      </c>
      <c r="B107" s="932">
        <v>184331</v>
      </c>
      <c r="C107" s="932">
        <f t="shared" si="16"/>
        <v>184419.37787671233</v>
      </c>
      <c r="D107" s="609">
        <v>35</v>
      </c>
      <c r="E107" s="610">
        <f t="shared" si="17"/>
        <v>40485</v>
      </c>
      <c r="F107" s="943">
        <v>5.0000000000000001E-3</v>
      </c>
      <c r="G107" s="873" t="s">
        <v>120</v>
      </c>
      <c r="H107" s="987">
        <v>93935.7932</v>
      </c>
      <c r="I107" s="988">
        <v>1.4584429999999999</v>
      </c>
      <c r="J107" s="314">
        <f>+C108-B108</f>
        <v>4927.2141607195954</v>
      </c>
      <c r="K107" s="300"/>
      <c r="L107" s="870"/>
      <c r="M107" s="940"/>
      <c r="N107" s="941"/>
      <c r="O107" s="872"/>
    </row>
    <row r="108" spans="1:15" s="47" customFormat="1">
      <c r="A108" s="942">
        <v>40471</v>
      </c>
      <c r="B108" s="932">
        <f>+H107*I107</f>
        <v>137000.0000419876</v>
      </c>
      <c r="C108" s="932">
        <f>+H107*F108</f>
        <v>141927.2142027072</v>
      </c>
      <c r="D108" s="609">
        <f>+E108-A108</f>
        <v>23</v>
      </c>
      <c r="E108" s="610">
        <v>40494</v>
      </c>
      <c r="F108" s="306">
        <v>1.510896</v>
      </c>
      <c r="G108" s="873" t="s">
        <v>529</v>
      </c>
      <c r="H108" s="987">
        <v>458520.10399999999</v>
      </c>
      <c r="I108" s="988">
        <v>0.104183</v>
      </c>
      <c r="J108" s="314">
        <f>+C109-B109</f>
        <v>66.943935184004658</v>
      </c>
      <c r="K108" s="300"/>
      <c r="L108" s="870"/>
      <c r="M108" s="940"/>
      <c r="N108" s="941"/>
      <c r="O108" s="872"/>
    </row>
    <row r="109" spans="1:15" s="47" customFormat="1">
      <c r="A109" s="942">
        <v>40479</v>
      </c>
      <c r="B109" s="932">
        <f>+H108*I108</f>
        <v>47769.999995031998</v>
      </c>
      <c r="C109" s="932">
        <f>+H108*F109</f>
        <v>47836.943930216003</v>
      </c>
      <c r="D109" s="609">
        <f>+E109-A109</f>
        <v>15</v>
      </c>
      <c r="E109" s="610">
        <v>40494</v>
      </c>
      <c r="F109" s="306">
        <v>0.10432900000000001</v>
      </c>
      <c r="G109" s="873" t="s">
        <v>530</v>
      </c>
      <c r="H109">
        <v>56100.555699999997</v>
      </c>
      <c r="I109" s="988">
        <v>1.4584429999999999</v>
      </c>
      <c r="J109" s="314">
        <f>+C110-B110</f>
        <v>337.10520490720228</v>
      </c>
      <c r="K109" s="300"/>
      <c r="L109" s="870"/>
      <c r="M109" s="940"/>
      <c r="N109" s="941"/>
      <c r="O109" s="872"/>
    </row>
    <row r="110" spans="1:15" s="47" customFormat="1">
      <c r="A110" s="942">
        <v>40485</v>
      </c>
      <c r="B110" s="932">
        <v>84425</v>
      </c>
      <c r="C110" s="932">
        <f>+H109*F110</f>
        <v>84762.105204907202</v>
      </c>
      <c r="D110" s="609">
        <f>+E110-A110</f>
        <v>9</v>
      </c>
      <c r="E110" s="610">
        <v>40494</v>
      </c>
      <c r="F110" s="306">
        <v>1.510896</v>
      </c>
      <c r="G110" s="873" t="s">
        <v>529</v>
      </c>
      <c r="H110" s="862"/>
      <c r="I110" s="647"/>
      <c r="J110" s="314">
        <f>SUM(J107:J109)</f>
        <v>5331.2633008108023</v>
      </c>
      <c r="K110" s="986"/>
      <c r="L110" s="870"/>
      <c r="M110" s="940"/>
      <c r="N110" s="941"/>
      <c r="O110" s="872"/>
    </row>
    <row r="111" spans="1:15" s="47" customFormat="1">
      <c r="A111" s="942">
        <v>40437</v>
      </c>
      <c r="B111" s="932">
        <v>81941.62296986302</v>
      </c>
      <c r="C111" s="932">
        <f t="shared" ref="C111:C121" si="18">B111+(B111*F111/365*D111)*1</f>
        <v>82025.136076013121</v>
      </c>
      <c r="D111" s="609">
        <v>62</v>
      </c>
      <c r="E111" s="610">
        <f t="shared" ref="E111:E174" si="19">A111+D111</f>
        <v>40499</v>
      </c>
      <c r="F111" s="943">
        <v>6.0000000000000001E-3</v>
      </c>
      <c r="G111" s="873" t="s">
        <v>120</v>
      </c>
      <c r="H111" s="862"/>
      <c r="I111" s="647"/>
      <c r="J111" s="862"/>
      <c r="K111" s="986"/>
      <c r="L111" s="870"/>
      <c r="M111" s="940"/>
      <c r="N111" s="941"/>
      <c r="O111" s="872"/>
    </row>
    <row r="112" spans="1:15" s="47" customFormat="1">
      <c r="A112" s="942">
        <v>40437</v>
      </c>
      <c r="B112" s="932">
        <v>14418.21237260274</v>
      </c>
      <c r="C112" s="932">
        <f t="shared" si="18"/>
        <v>14432.907098637283</v>
      </c>
      <c r="D112" s="609">
        <v>62</v>
      </c>
      <c r="E112" s="610">
        <f t="shared" si="19"/>
        <v>40499</v>
      </c>
      <c r="F112" s="943">
        <v>6.0000000000000001E-3</v>
      </c>
      <c r="G112" s="873" t="s">
        <v>527</v>
      </c>
      <c r="H112" s="862"/>
      <c r="I112" s="647"/>
      <c r="J112" s="862"/>
      <c r="K112" s="986"/>
      <c r="L112" s="870"/>
      <c r="M112" s="940"/>
      <c r="N112" s="941"/>
      <c r="O112" s="872"/>
    </row>
    <row r="113" spans="1:15" s="47" customFormat="1">
      <c r="A113" s="942">
        <v>40437</v>
      </c>
      <c r="B113" s="932">
        <v>24163.735506849316</v>
      </c>
      <c r="C113" s="932">
        <f t="shared" si="18"/>
        <v>24188.362656461777</v>
      </c>
      <c r="D113" s="609">
        <v>62</v>
      </c>
      <c r="E113" s="610">
        <f t="shared" si="19"/>
        <v>40499</v>
      </c>
      <c r="F113" s="943">
        <v>6.0000000000000001E-3</v>
      </c>
      <c r="G113" s="873" t="s">
        <v>527</v>
      </c>
      <c r="H113" s="862"/>
      <c r="I113" s="235"/>
      <c r="J113" s="298"/>
      <c r="K113" s="298"/>
      <c r="L113" s="870"/>
      <c r="M113" s="940"/>
      <c r="N113" s="941"/>
      <c r="O113" s="872"/>
    </row>
    <row r="114" spans="1:15" s="47" customFormat="1">
      <c r="A114" s="942">
        <v>40463</v>
      </c>
      <c r="B114" s="932">
        <v>20625</v>
      </c>
      <c r="C114" s="932">
        <f t="shared" si="18"/>
        <v>20633.136986301372</v>
      </c>
      <c r="D114" s="609">
        <v>36</v>
      </c>
      <c r="E114" s="610">
        <f t="shared" si="19"/>
        <v>40499</v>
      </c>
      <c r="F114" s="943">
        <v>4.0000000000000001E-3</v>
      </c>
      <c r="G114" s="873" t="s">
        <v>528</v>
      </c>
      <c r="H114" s="862"/>
      <c r="I114" s="647"/>
      <c r="J114" s="862"/>
      <c r="K114" s="986"/>
      <c r="L114" s="870"/>
      <c r="M114" s="940"/>
      <c r="N114" s="941"/>
      <c r="O114" s="872"/>
    </row>
    <row r="115" spans="1:15" s="47" customFormat="1">
      <c r="A115" s="942">
        <v>40457</v>
      </c>
      <c r="B115" s="932">
        <v>90987</v>
      </c>
      <c r="C115" s="932">
        <f t="shared" si="18"/>
        <v>91035.858772602733</v>
      </c>
      <c r="D115" s="609">
        <v>49</v>
      </c>
      <c r="E115" s="610">
        <f t="shared" si="19"/>
        <v>40506</v>
      </c>
      <c r="F115" s="943">
        <v>4.0000000000000001E-3</v>
      </c>
      <c r="G115" s="873" t="s">
        <v>120</v>
      </c>
      <c r="H115" s="862"/>
      <c r="I115" s="647"/>
      <c r="J115" s="862"/>
      <c r="K115" s="986"/>
      <c r="L115" s="870"/>
      <c r="M115" s="940"/>
      <c r="N115" s="941"/>
      <c r="O115" s="872"/>
    </row>
    <row r="116" spans="1:15" s="47" customFormat="1">
      <c r="A116" s="942">
        <v>40457</v>
      </c>
      <c r="B116" s="932">
        <v>46330</v>
      </c>
      <c r="C116" s="932">
        <f t="shared" si="18"/>
        <v>46354.878575342467</v>
      </c>
      <c r="D116" s="609">
        <v>49</v>
      </c>
      <c r="E116" s="610">
        <f t="shared" si="19"/>
        <v>40506</v>
      </c>
      <c r="F116" s="943">
        <v>4.0000000000000001E-3</v>
      </c>
      <c r="G116" s="873" t="s">
        <v>527</v>
      </c>
      <c r="H116" s="235"/>
      <c r="I116" s="647"/>
      <c r="J116" s="862"/>
      <c r="K116" s="986"/>
      <c r="L116" s="870"/>
      <c r="M116" s="940"/>
      <c r="N116" s="941"/>
      <c r="O116" s="872"/>
    </row>
    <row r="117" spans="1:15" s="47" customFormat="1">
      <c r="A117" s="942">
        <v>40457</v>
      </c>
      <c r="B117" s="932">
        <v>12168</v>
      </c>
      <c r="C117" s="932">
        <f t="shared" si="18"/>
        <v>12174.534049315069</v>
      </c>
      <c r="D117" s="609">
        <v>49</v>
      </c>
      <c r="E117" s="610">
        <f t="shared" si="19"/>
        <v>40506</v>
      </c>
      <c r="F117" s="943">
        <v>4.0000000000000001E-3</v>
      </c>
      <c r="G117" s="873" t="s">
        <v>527</v>
      </c>
      <c r="H117" s="862"/>
      <c r="I117" s="647"/>
      <c r="J117" s="862"/>
      <c r="K117" s="986"/>
      <c r="L117" s="870"/>
      <c r="M117" s="940"/>
      <c r="N117" s="941"/>
      <c r="O117" s="872"/>
    </row>
    <row r="118" spans="1:15" s="47" customFormat="1">
      <c r="A118" s="942">
        <v>40485</v>
      </c>
      <c r="B118" s="932">
        <v>100000</v>
      </c>
      <c r="C118" s="932">
        <f t="shared" si="18"/>
        <v>100041.91780821918</v>
      </c>
      <c r="D118" s="609">
        <v>34</v>
      </c>
      <c r="E118" s="610">
        <f t="shared" si="19"/>
        <v>40519</v>
      </c>
      <c r="F118" s="943">
        <v>4.4999999999999997E-3</v>
      </c>
      <c r="G118" s="873" t="s">
        <v>120</v>
      </c>
      <c r="H118" s="862"/>
      <c r="I118" s="647"/>
      <c r="J118" s="862"/>
      <c r="K118" s="986"/>
      <c r="L118" s="870"/>
      <c r="M118" s="940"/>
      <c r="N118" s="941"/>
      <c r="O118" s="872"/>
    </row>
    <row r="119" spans="1:15" s="47" customFormat="1">
      <c r="A119" s="942">
        <v>40492</v>
      </c>
      <c r="B119" s="932">
        <v>48033</v>
      </c>
      <c r="C119" s="932">
        <f t="shared" si="18"/>
        <v>48053.726568493148</v>
      </c>
      <c r="D119" s="609">
        <v>35</v>
      </c>
      <c r="E119" s="610">
        <f t="shared" si="19"/>
        <v>40527</v>
      </c>
      <c r="F119" s="943">
        <v>4.4999999999999997E-3</v>
      </c>
      <c r="G119" s="873" t="s">
        <v>120</v>
      </c>
      <c r="H119" s="862"/>
      <c r="I119" s="647"/>
      <c r="J119" s="862"/>
      <c r="K119" s="986"/>
      <c r="L119" s="870"/>
      <c r="M119" s="940"/>
      <c r="N119" s="941"/>
      <c r="O119" s="872"/>
    </row>
    <row r="120" spans="1:15" s="47" customFormat="1">
      <c r="A120" s="942">
        <v>40492</v>
      </c>
      <c r="B120" s="932">
        <v>12613</v>
      </c>
      <c r="C120" s="932">
        <f t="shared" si="18"/>
        <v>12618.44259589041</v>
      </c>
      <c r="D120" s="609">
        <v>35</v>
      </c>
      <c r="E120" s="610">
        <f t="shared" si="19"/>
        <v>40527</v>
      </c>
      <c r="F120" s="943">
        <v>4.4999999999999997E-3</v>
      </c>
      <c r="G120" s="873" t="s">
        <v>120</v>
      </c>
      <c r="H120" s="862"/>
      <c r="I120" s="647"/>
      <c r="J120" s="862"/>
      <c r="K120" s="986"/>
      <c r="L120" s="870"/>
      <c r="M120" s="940"/>
      <c r="N120" s="941"/>
      <c r="O120" s="872"/>
    </row>
    <row r="121" spans="1:15" s="47" customFormat="1">
      <c r="A121" s="942">
        <v>40492</v>
      </c>
      <c r="B121" s="932">
        <v>27962</v>
      </c>
      <c r="C121" s="932">
        <f t="shared" si="18"/>
        <v>27974.065794520549</v>
      </c>
      <c r="D121" s="609">
        <v>35</v>
      </c>
      <c r="E121" s="610">
        <f t="shared" si="19"/>
        <v>40527</v>
      </c>
      <c r="F121" s="943">
        <v>4.4999999999999997E-3</v>
      </c>
      <c r="G121" s="873" t="s">
        <v>527</v>
      </c>
      <c r="H121" s="987"/>
      <c r="I121" s="987">
        <v>99305.589099999997</v>
      </c>
      <c r="J121" s="314">
        <f>+C122-B122</f>
        <v>2986.7148718414828</v>
      </c>
      <c r="K121" s="300"/>
      <c r="L121" s="870"/>
      <c r="M121" s="940"/>
      <c r="N121" s="941"/>
      <c r="O121" s="872"/>
    </row>
    <row r="122" spans="1:15" s="47" customFormat="1">
      <c r="A122" s="942">
        <v>40506</v>
      </c>
      <c r="B122" s="932">
        <v>150000</v>
      </c>
      <c r="C122" s="932">
        <f>+F122*I121</f>
        <v>152986.71487184148</v>
      </c>
      <c r="D122" s="609">
        <v>27</v>
      </c>
      <c r="E122" s="610">
        <f t="shared" si="19"/>
        <v>40533</v>
      </c>
      <c r="F122" s="306">
        <v>1.540565</v>
      </c>
      <c r="G122" s="873" t="s">
        <v>529</v>
      </c>
      <c r="H122" s="862"/>
      <c r="I122" s="647"/>
      <c r="J122" s="862"/>
      <c r="K122" s="986"/>
      <c r="L122" s="870"/>
      <c r="M122" s="940"/>
      <c r="N122" s="941"/>
      <c r="O122" s="872"/>
    </row>
    <row r="123" spans="1:15" s="47" customFormat="1">
      <c r="A123" s="942">
        <v>40499</v>
      </c>
      <c r="B123" s="932">
        <v>82026</v>
      </c>
      <c r="C123" s="932">
        <f t="shared" ref="C123:C186" si="20">B123+(B123*F123/365*D123)*1</f>
        <v>82057.462027397254</v>
      </c>
      <c r="D123" s="609">
        <v>35</v>
      </c>
      <c r="E123" s="610">
        <f t="shared" si="19"/>
        <v>40534</v>
      </c>
      <c r="F123" s="943">
        <v>4.0000000000000001E-3</v>
      </c>
      <c r="G123" s="873" t="s">
        <v>120</v>
      </c>
      <c r="H123" s="862"/>
      <c r="I123" s="647"/>
      <c r="J123" s="862"/>
      <c r="K123" s="986"/>
      <c r="L123" s="870"/>
      <c r="M123" s="940"/>
      <c r="N123" s="941"/>
      <c r="O123" s="872"/>
    </row>
    <row r="124" spans="1:15" s="47" customFormat="1">
      <c r="A124" s="942">
        <v>40499</v>
      </c>
      <c r="B124" s="932">
        <v>14433</v>
      </c>
      <c r="C124" s="932">
        <f t="shared" si="20"/>
        <v>14438.53594520548</v>
      </c>
      <c r="D124" s="609">
        <v>35</v>
      </c>
      <c r="E124" s="610">
        <f t="shared" si="19"/>
        <v>40534</v>
      </c>
      <c r="F124" s="943">
        <v>4.0000000000000001E-3</v>
      </c>
      <c r="G124" s="873" t="s">
        <v>527</v>
      </c>
      <c r="H124" s="862"/>
      <c r="I124" s="647"/>
      <c r="J124" s="862"/>
      <c r="K124" s="986"/>
      <c r="L124" s="870"/>
      <c r="M124" s="940"/>
      <c r="N124" s="941"/>
      <c r="O124" s="872"/>
    </row>
    <row r="125" spans="1:15" s="47" customFormat="1">
      <c r="A125" s="942">
        <v>40499</v>
      </c>
      <c r="B125" s="932">
        <v>24188</v>
      </c>
      <c r="C125" s="932">
        <f t="shared" si="20"/>
        <v>24197.277589041096</v>
      </c>
      <c r="D125" s="609">
        <v>35</v>
      </c>
      <c r="E125" s="610">
        <f t="shared" si="19"/>
        <v>40534</v>
      </c>
      <c r="F125" s="943">
        <v>4.0000000000000001E-3</v>
      </c>
      <c r="G125" s="873" t="s">
        <v>527</v>
      </c>
      <c r="H125" s="862"/>
      <c r="I125" s="235"/>
      <c r="J125" s="298"/>
      <c r="K125" s="298"/>
      <c r="L125" s="870"/>
      <c r="M125" s="940"/>
      <c r="N125" s="941"/>
      <c r="O125" s="872"/>
    </row>
    <row r="126" spans="1:15" s="47" customFormat="1">
      <c r="A126" s="942">
        <v>40499</v>
      </c>
      <c r="B126" s="932">
        <v>20633</v>
      </c>
      <c r="C126" s="932">
        <f t="shared" si="20"/>
        <v>20640.914027397259</v>
      </c>
      <c r="D126" s="609">
        <v>35</v>
      </c>
      <c r="E126" s="610">
        <f t="shared" si="19"/>
        <v>40534</v>
      </c>
      <c r="F126" s="943">
        <v>4.0000000000000001E-3</v>
      </c>
      <c r="G126" s="873" t="s">
        <v>120</v>
      </c>
      <c r="H126" s="862"/>
      <c r="I126" s="235"/>
      <c r="J126" s="298"/>
      <c r="K126" s="298"/>
      <c r="L126" s="870"/>
      <c r="M126" s="940"/>
      <c r="N126" s="941"/>
      <c r="O126" s="872"/>
    </row>
    <row r="127" spans="1:15" s="47" customFormat="1">
      <c r="A127" s="942">
        <v>40438</v>
      </c>
      <c r="B127" s="932">
        <v>15351.53</v>
      </c>
      <c r="C127" s="932">
        <f t="shared" si="20"/>
        <v>15391.906626849315</v>
      </c>
      <c r="D127" s="609">
        <v>96</v>
      </c>
      <c r="E127" s="610">
        <f t="shared" si="19"/>
        <v>40534</v>
      </c>
      <c r="F127" s="943">
        <v>0.01</v>
      </c>
      <c r="G127" s="873" t="s">
        <v>528</v>
      </c>
      <c r="H127" s="862"/>
      <c r="I127" s="647"/>
      <c r="J127" s="862"/>
      <c r="K127" s="986"/>
      <c r="L127" s="870"/>
      <c r="M127" s="940"/>
      <c r="N127" s="941"/>
      <c r="O127" s="872"/>
    </row>
    <row r="128" spans="1:15" s="47" customFormat="1">
      <c r="A128" s="942">
        <v>40506</v>
      </c>
      <c r="B128" s="932">
        <v>91036</v>
      </c>
      <c r="C128" s="932">
        <f t="shared" si="20"/>
        <v>91070.917917808212</v>
      </c>
      <c r="D128" s="609">
        <v>35</v>
      </c>
      <c r="E128" s="610">
        <f t="shared" si="19"/>
        <v>40541</v>
      </c>
      <c r="F128" s="943">
        <v>4.0000000000000001E-3</v>
      </c>
      <c r="G128" s="873" t="s">
        <v>120</v>
      </c>
      <c r="H128" s="862"/>
      <c r="I128" s="647"/>
      <c r="J128" s="862"/>
      <c r="K128" s="986"/>
      <c r="L128" s="870"/>
      <c r="M128" s="940"/>
      <c r="N128" s="941"/>
      <c r="O128" s="872"/>
    </row>
    <row r="129" spans="1:15" s="47" customFormat="1">
      <c r="A129" s="942">
        <v>40506</v>
      </c>
      <c r="B129" s="932">
        <v>46355</v>
      </c>
      <c r="C129" s="932">
        <f t="shared" si="20"/>
        <v>46372.78</v>
      </c>
      <c r="D129" s="609">
        <v>35</v>
      </c>
      <c r="E129" s="610">
        <f t="shared" si="19"/>
        <v>40541</v>
      </c>
      <c r="F129" s="943">
        <v>4.0000000000000001E-3</v>
      </c>
      <c r="G129" s="873" t="s">
        <v>527</v>
      </c>
      <c r="H129" s="235"/>
      <c r="I129" s="647"/>
      <c r="J129" s="862"/>
      <c r="K129" s="986"/>
      <c r="L129" s="870"/>
      <c r="M129" s="940"/>
      <c r="N129" s="941"/>
      <c r="O129" s="872"/>
    </row>
    <row r="130" spans="1:15" s="47" customFormat="1">
      <c r="A130" s="942">
        <v>40506</v>
      </c>
      <c r="B130" s="932">
        <v>12175</v>
      </c>
      <c r="C130" s="932">
        <f t="shared" si="20"/>
        <v>12179.669863013698</v>
      </c>
      <c r="D130" s="609">
        <v>35</v>
      </c>
      <c r="E130" s="610">
        <f t="shared" si="19"/>
        <v>40541</v>
      </c>
      <c r="F130" s="943">
        <v>4.0000000000000001E-3</v>
      </c>
      <c r="G130" s="873" t="s">
        <v>527</v>
      </c>
      <c r="H130" s="862"/>
      <c r="I130" s="647"/>
      <c r="J130" s="862"/>
      <c r="K130" s="986"/>
      <c r="L130" s="870"/>
      <c r="M130" s="940"/>
      <c r="N130" s="941"/>
      <c r="O130" s="872"/>
    </row>
    <row r="131" spans="1:15" s="47" customFormat="1">
      <c r="A131" s="942">
        <v>40519</v>
      </c>
      <c r="B131" s="932">
        <v>100042</v>
      </c>
      <c r="C131" s="932">
        <f t="shared" si="20"/>
        <v>100086.40220273973</v>
      </c>
      <c r="D131" s="609">
        <v>36</v>
      </c>
      <c r="E131" s="610">
        <f t="shared" si="19"/>
        <v>40555</v>
      </c>
      <c r="F131" s="943">
        <v>4.4999999999999997E-3</v>
      </c>
      <c r="G131" s="873" t="s">
        <v>527</v>
      </c>
      <c r="H131" s="862"/>
      <c r="I131" s="647"/>
      <c r="J131" s="862"/>
      <c r="K131" s="986"/>
      <c r="L131" s="870"/>
      <c r="M131" s="940"/>
      <c r="N131" s="941"/>
      <c r="O131" s="872"/>
    </row>
    <row r="132" spans="1:15" s="47" customFormat="1">
      <c r="A132" s="942">
        <v>40528</v>
      </c>
      <c r="B132" s="932">
        <v>48054</v>
      </c>
      <c r="C132" s="932">
        <f t="shared" si="20"/>
        <v>48074.143183561646</v>
      </c>
      <c r="D132" s="609">
        <v>34</v>
      </c>
      <c r="E132" s="610">
        <f t="shared" si="19"/>
        <v>40562</v>
      </c>
      <c r="F132" s="943">
        <v>4.4999999999999997E-3</v>
      </c>
      <c r="G132" s="873" t="s">
        <v>527</v>
      </c>
      <c r="H132" s="862"/>
      <c r="I132" s="647"/>
      <c r="J132" s="862"/>
      <c r="K132" s="986"/>
      <c r="L132" s="870"/>
      <c r="M132" s="940"/>
      <c r="N132" s="941"/>
      <c r="O132" s="872"/>
    </row>
    <row r="133" spans="1:15" s="227" customFormat="1">
      <c r="A133" s="942">
        <v>40528</v>
      </c>
      <c r="B133" s="932">
        <v>12618</v>
      </c>
      <c r="C133" s="932">
        <f t="shared" si="20"/>
        <v>12623.289189041096</v>
      </c>
      <c r="D133" s="609">
        <v>34</v>
      </c>
      <c r="E133" s="610">
        <f t="shared" si="19"/>
        <v>40562</v>
      </c>
      <c r="F133" s="943">
        <v>4.4999999999999997E-3</v>
      </c>
      <c r="G133" s="873" t="s">
        <v>527</v>
      </c>
      <c r="H133" s="862"/>
      <c r="I133" s="647"/>
      <c r="J133" s="862"/>
      <c r="K133" s="986"/>
      <c r="L133" s="308"/>
      <c r="M133" s="309"/>
      <c r="N133" s="310"/>
      <c r="O133" s="311"/>
    </row>
    <row r="134" spans="1:15">
      <c r="A134" s="942">
        <v>40528</v>
      </c>
      <c r="B134" s="932">
        <v>27974</v>
      </c>
      <c r="C134" s="932">
        <f t="shared" si="20"/>
        <v>27985.726087671232</v>
      </c>
      <c r="D134" s="609">
        <v>34</v>
      </c>
      <c r="E134" s="610">
        <f t="shared" si="19"/>
        <v>40562</v>
      </c>
      <c r="F134" s="943">
        <v>4.4999999999999997E-3</v>
      </c>
      <c r="G134" s="873" t="s">
        <v>527</v>
      </c>
    </row>
    <row r="135" spans="1:15">
      <c r="A135" s="989">
        <v>40534</v>
      </c>
      <c r="B135" s="969">
        <v>82057</v>
      </c>
      <c r="C135" s="969">
        <f t="shared" si="20"/>
        <v>82088.473917808224</v>
      </c>
      <c r="D135" s="970">
        <v>35</v>
      </c>
      <c r="E135" s="971">
        <f t="shared" si="19"/>
        <v>40569</v>
      </c>
      <c r="F135" s="972">
        <v>4.0000000000000001E-3</v>
      </c>
      <c r="G135" s="990" t="s">
        <v>120</v>
      </c>
    </row>
    <row r="136" spans="1:15" s="47" customFormat="1">
      <c r="A136" s="989">
        <v>40534</v>
      </c>
      <c r="B136" s="969">
        <v>14439</v>
      </c>
      <c r="C136" s="969">
        <f t="shared" si="20"/>
        <v>14444.538246575343</v>
      </c>
      <c r="D136" s="970">
        <v>35</v>
      </c>
      <c r="E136" s="971">
        <f t="shared" si="19"/>
        <v>40569</v>
      </c>
      <c r="F136" s="972">
        <v>4.0000000000000001E-3</v>
      </c>
      <c r="G136" s="990" t="s">
        <v>527</v>
      </c>
      <c r="H136" s="862"/>
      <c r="I136" s="647"/>
      <c r="J136" s="862"/>
      <c r="K136" s="986"/>
      <c r="L136" s="870"/>
      <c r="M136" s="940"/>
      <c r="N136" s="941"/>
      <c r="O136" s="872"/>
    </row>
    <row r="137" spans="1:15">
      <c r="A137" s="942">
        <v>40534</v>
      </c>
      <c r="B137" s="932">
        <v>24198</v>
      </c>
      <c r="C137" s="932">
        <f t="shared" si="20"/>
        <v>24207.281424657533</v>
      </c>
      <c r="D137" s="609">
        <v>35</v>
      </c>
      <c r="E137" s="610">
        <f t="shared" si="19"/>
        <v>40569</v>
      </c>
      <c r="F137" s="943">
        <v>4.0000000000000001E-3</v>
      </c>
      <c r="G137" s="873" t="s">
        <v>527</v>
      </c>
    </row>
    <row r="138" spans="1:15">
      <c r="A138" s="989">
        <v>40534</v>
      </c>
      <c r="B138" s="969">
        <v>20641</v>
      </c>
      <c r="C138" s="969">
        <f t="shared" si="20"/>
        <v>20648.917095890411</v>
      </c>
      <c r="D138" s="970">
        <v>35</v>
      </c>
      <c r="E138" s="971">
        <f t="shared" si="19"/>
        <v>40569</v>
      </c>
      <c r="F138" s="972">
        <v>4.0000000000000001E-3</v>
      </c>
      <c r="G138" s="990" t="s">
        <v>120</v>
      </c>
      <c r="H138" s="862"/>
      <c r="I138" s="647"/>
      <c r="J138" s="862"/>
      <c r="K138" s="986"/>
    </row>
    <row r="139" spans="1:15">
      <c r="A139" s="942">
        <v>40541</v>
      </c>
      <c r="B139" s="932">
        <v>91071</v>
      </c>
      <c r="C139" s="932">
        <f t="shared" si="20"/>
        <v>91105.931342465759</v>
      </c>
      <c r="D139" s="609">
        <v>35</v>
      </c>
      <c r="E139" s="610">
        <f t="shared" si="19"/>
        <v>40576</v>
      </c>
      <c r="F139" s="943">
        <v>4.0000000000000001E-3</v>
      </c>
      <c r="G139" s="873" t="s">
        <v>120</v>
      </c>
      <c r="H139" s="862"/>
      <c r="I139" s="647"/>
      <c r="J139" s="862"/>
      <c r="K139" s="986"/>
    </row>
    <row r="140" spans="1:15" s="47" customFormat="1">
      <c r="A140" s="942">
        <v>40541</v>
      </c>
      <c r="B140" s="932">
        <v>46373</v>
      </c>
      <c r="C140" s="932">
        <f t="shared" si="20"/>
        <v>46390.786904109591</v>
      </c>
      <c r="D140" s="609">
        <v>35</v>
      </c>
      <c r="E140" s="610">
        <f t="shared" si="19"/>
        <v>40576</v>
      </c>
      <c r="F140" s="943">
        <v>4.0000000000000001E-3</v>
      </c>
      <c r="G140" s="873" t="s">
        <v>527</v>
      </c>
      <c r="H140" s="235"/>
      <c r="I140" s="647"/>
      <c r="J140" s="862"/>
      <c r="K140" s="986"/>
      <c r="L140" s="870"/>
      <c r="M140" s="940"/>
      <c r="N140" s="941"/>
      <c r="O140" s="872"/>
    </row>
    <row r="141" spans="1:15" s="47" customFormat="1">
      <c r="A141" s="942">
        <v>40541</v>
      </c>
      <c r="B141" s="932">
        <v>12180</v>
      </c>
      <c r="C141" s="932">
        <f t="shared" si="20"/>
        <v>12184.671780821918</v>
      </c>
      <c r="D141" s="609">
        <v>35</v>
      </c>
      <c r="E141" s="610">
        <f t="shared" si="19"/>
        <v>40576</v>
      </c>
      <c r="F141" s="943">
        <v>4.0000000000000001E-3</v>
      </c>
      <c r="G141" s="873" t="s">
        <v>527</v>
      </c>
      <c r="H141" s="235">
        <f>SUM(C131:C142)</f>
        <v>559869.96959452052</v>
      </c>
      <c r="I141" s="647"/>
      <c r="J141" s="862"/>
      <c r="K141" s="986"/>
      <c r="L141" s="870"/>
      <c r="M141" s="940"/>
      <c r="N141" s="941"/>
      <c r="O141" s="872"/>
    </row>
    <row r="142" spans="1:15" s="47" customFormat="1">
      <c r="A142" s="942">
        <v>40542</v>
      </c>
      <c r="B142" s="932">
        <v>80000</v>
      </c>
      <c r="C142" s="932">
        <f t="shared" si="20"/>
        <v>80029.808219178085</v>
      </c>
      <c r="D142" s="609">
        <v>34</v>
      </c>
      <c r="E142" s="610">
        <f t="shared" si="19"/>
        <v>40576</v>
      </c>
      <c r="F142" s="943">
        <v>4.0000000000000001E-3</v>
      </c>
      <c r="G142" s="873" t="s">
        <v>527</v>
      </c>
      <c r="H142" s="235"/>
      <c r="I142" s="647"/>
      <c r="J142" s="862"/>
      <c r="K142" s="986"/>
      <c r="L142" s="870"/>
      <c r="M142" s="940"/>
      <c r="N142" s="941"/>
      <c r="O142" s="872"/>
    </row>
    <row r="143" spans="1:15" s="47" customFormat="1" ht="14">
      <c r="A143" s="942"/>
      <c r="B143" s="932"/>
      <c r="C143" s="932"/>
      <c r="D143" s="609"/>
      <c r="E143" s="610"/>
      <c r="F143" s="943"/>
      <c r="G143" s="873"/>
      <c r="H143" s="316">
        <f>+C144-B144</f>
        <v>12939.142637757584</v>
      </c>
      <c r="I143" s="647"/>
      <c r="J143" s="862"/>
      <c r="K143" s="986"/>
      <c r="L143" s="870"/>
      <c r="M143" s="940"/>
      <c r="N143" s="941"/>
      <c r="O143" s="872"/>
    </row>
    <row r="144" spans="1:15" s="47" customFormat="1" ht="14">
      <c r="A144" s="315">
        <v>40543</v>
      </c>
      <c r="B144" s="316">
        <f>SUM(B38:B142)</f>
        <v>6260162.3937149467</v>
      </c>
      <c r="C144" s="316">
        <f>SUM(C38:C142)</f>
        <v>6273101.5363527043</v>
      </c>
      <c r="D144" s="317"/>
      <c r="E144" s="318"/>
      <c r="F144" s="319"/>
      <c r="G144" s="320"/>
      <c r="H144" s="932"/>
      <c r="I144" s="647"/>
      <c r="J144" s="862"/>
      <c r="K144" s="986"/>
      <c r="L144" s="870"/>
      <c r="M144" s="940"/>
      <c r="N144" s="941"/>
      <c r="O144" s="872"/>
    </row>
    <row r="146" spans="1:9" s="47" customFormat="1">
      <c r="A146" s="942">
        <v>40555</v>
      </c>
      <c r="B146" s="932">
        <v>100086</v>
      </c>
      <c r="C146" s="932">
        <f t="shared" si="20"/>
        <v>100124.38915068493</v>
      </c>
      <c r="D146" s="609">
        <v>35</v>
      </c>
      <c r="E146" s="610">
        <f t="shared" si="19"/>
        <v>40590</v>
      </c>
      <c r="F146" s="943">
        <v>4.0000000000000001E-3</v>
      </c>
      <c r="G146" s="873" t="s">
        <v>527</v>
      </c>
      <c r="H146" s="862"/>
      <c r="I146" s="647"/>
    </row>
    <row r="147" spans="1:9" s="47" customFormat="1">
      <c r="A147" s="942">
        <v>40562</v>
      </c>
      <c r="B147" s="932">
        <v>48074</v>
      </c>
      <c r="C147" s="932">
        <f t="shared" si="20"/>
        <v>48092.439342465754</v>
      </c>
      <c r="D147" s="609">
        <v>35</v>
      </c>
      <c r="E147" s="610">
        <f t="shared" si="19"/>
        <v>40597</v>
      </c>
      <c r="F147" s="943">
        <v>4.0000000000000001E-3</v>
      </c>
      <c r="G147" s="873" t="s">
        <v>527</v>
      </c>
      <c r="H147" s="862"/>
      <c r="I147" s="647"/>
    </row>
    <row r="148" spans="1:9" s="47" customFormat="1">
      <c r="A148" s="942">
        <v>40562</v>
      </c>
      <c r="B148" s="932">
        <v>12623</v>
      </c>
      <c r="C148" s="932">
        <f t="shared" si="20"/>
        <v>12627.841698630136</v>
      </c>
      <c r="D148" s="609">
        <v>35</v>
      </c>
      <c r="E148" s="610">
        <f t="shared" si="19"/>
        <v>40597</v>
      </c>
      <c r="F148" s="943">
        <v>4.0000000000000001E-3</v>
      </c>
      <c r="G148" s="873" t="s">
        <v>527</v>
      </c>
      <c r="H148" s="862"/>
      <c r="I148" s="647"/>
    </row>
    <row r="149" spans="1:9" s="47" customFormat="1">
      <c r="A149" s="942">
        <v>40562</v>
      </c>
      <c r="B149" s="932">
        <v>27986</v>
      </c>
      <c r="C149" s="932">
        <f t="shared" si="20"/>
        <v>27996.734356164383</v>
      </c>
      <c r="D149" s="609">
        <v>35</v>
      </c>
      <c r="E149" s="610">
        <f t="shared" si="19"/>
        <v>40597</v>
      </c>
      <c r="F149" s="943">
        <v>4.0000000000000001E-3</v>
      </c>
      <c r="G149" s="873" t="s">
        <v>527</v>
      </c>
      <c r="H149" s="862"/>
      <c r="I149" s="647"/>
    </row>
    <row r="150" spans="1:9" s="47" customFormat="1">
      <c r="A150" s="942">
        <v>40569</v>
      </c>
      <c r="B150" s="932">
        <v>14445</v>
      </c>
      <c r="C150" s="932">
        <f t="shared" si="20"/>
        <v>14450.540547945206</v>
      </c>
      <c r="D150" s="609">
        <v>35</v>
      </c>
      <c r="E150" s="610">
        <f t="shared" si="19"/>
        <v>40604</v>
      </c>
      <c r="F150" s="943">
        <v>4.0000000000000001E-3</v>
      </c>
      <c r="G150" s="873" t="s">
        <v>527</v>
      </c>
      <c r="H150" s="862"/>
      <c r="I150" s="647"/>
    </row>
    <row r="151" spans="1:9" s="47" customFormat="1">
      <c r="A151" s="942">
        <v>40569</v>
      </c>
      <c r="B151" s="932">
        <v>24207</v>
      </c>
      <c r="C151" s="932">
        <f t="shared" si="20"/>
        <v>24216.284876712329</v>
      </c>
      <c r="D151" s="609">
        <v>35</v>
      </c>
      <c r="E151" s="610">
        <f t="shared" si="19"/>
        <v>40604</v>
      </c>
      <c r="F151" s="943">
        <v>4.0000000000000001E-3</v>
      </c>
      <c r="G151" s="873" t="s">
        <v>527</v>
      </c>
      <c r="H151" s="862"/>
      <c r="I151" s="647"/>
    </row>
    <row r="152" spans="1:9" s="47" customFormat="1">
      <c r="A152" s="942">
        <v>40569</v>
      </c>
      <c r="B152" s="932">
        <v>20649</v>
      </c>
      <c r="C152" s="932">
        <f t="shared" si="20"/>
        <v>20656.920164383562</v>
      </c>
      <c r="D152" s="609">
        <v>35</v>
      </c>
      <c r="E152" s="610">
        <f t="shared" si="19"/>
        <v>40604</v>
      </c>
      <c r="F152" s="943">
        <v>4.0000000000000001E-3</v>
      </c>
      <c r="G152" s="873" t="s">
        <v>120</v>
      </c>
      <c r="H152" s="862"/>
      <c r="I152" s="647"/>
    </row>
    <row r="153" spans="1:9" s="227" customFormat="1">
      <c r="A153" s="942">
        <v>40569</v>
      </c>
      <c r="B153" s="932">
        <v>82088</v>
      </c>
      <c r="C153" s="932">
        <f t="shared" si="20"/>
        <v>82125.782969863008</v>
      </c>
      <c r="D153" s="609">
        <v>42</v>
      </c>
      <c r="E153" s="610">
        <f t="shared" si="19"/>
        <v>40611</v>
      </c>
      <c r="F153" s="943">
        <v>4.0000000000000001E-3</v>
      </c>
      <c r="G153" s="873" t="s">
        <v>120</v>
      </c>
      <c r="H153" s="862"/>
      <c r="I153" s="647"/>
    </row>
    <row r="154" spans="1:9" s="227" customFormat="1">
      <c r="A154" s="942">
        <v>40577</v>
      </c>
      <c r="B154" s="932">
        <v>91071</v>
      </c>
      <c r="C154" s="932">
        <f t="shared" si="20"/>
        <v>91104.933304109596</v>
      </c>
      <c r="D154" s="609">
        <v>34</v>
      </c>
      <c r="E154" s="610">
        <f t="shared" si="19"/>
        <v>40611</v>
      </c>
      <c r="F154" s="943">
        <v>4.0000000000000001E-3</v>
      </c>
      <c r="G154" s="873" t="s">
        <v>120</v>
      </c>
      <c r="H154" s="235"/>
      <c r="I154" s="647"/>
    </row>
    <row r="155" spans="1:9" s="47" customFormat="1">
      <c r="A155" s="942">
        <v>40577</v>
      </c>
      <c r="B155" s="932">
        <v>12185</v>
      </c>
      <c r="C155" s="932">
        <f t="shared" si="20"/>
        <v>12189.540164383561</v>
      </c>
      <c r="D155" s="609">
        <v>34</v>
      </c>
      <c r="E155" s="610">
        <f t="shared" si="19"/>
        <v>40611</v>
      </c>
      <c r="F155" s="943">
        <v>4.0000000000000001E-3</v>
      </c>
      <c r="G155" s="873" t="s">
        <v>527</v>
      </c>
      <c r="H155" s="235"/>
      <c r="I155" s="647"/>
    </row>
    <row r="156" spans="1:9" s="47" customFormat="1">
      <c r="A156" s="942">
        <v>40577</v>
      </c>
      <c r="B156" s="932">
        <v>80030</v>
      </c>
      <c r="C156" s="932">
        <f t="shared" si="20"/>
        <v>80065.958684931509</v>
      </c>
      <c r="D156" s="609">
        <v>41</v>
      </c>
      <c r="E156" s="610">
        <f t="shared" si="19"/>
        <v>40618</v>
      </c>
      <c r="F156" s="943">
        <v>4.0000000000000001E-3</v>
      </c>
      <c r="G156" s="873" t="s">
        <v>527</v>
      </c>
      <c r="H156" s="862"/>
      <c r="I156" s="647"/>
    </row>
    <row r="157" spans="1:9" s="47" customFormat="1">
      <c r="A157" s="942">
        <v>40577</v>
      </c>
      <c r="B157" s="932">
        <v>46391</v>
      </c>
      <c r="C157" s="932">
        <f t="shared" si="20"/>
        <v>46411.844175342463</v>
      </c>
      <c r="D157" s="609">
        <v>41</v>
      </c>
      <c r="E157" s="610">
        <f t="shared" si="19"/>
        <v>40618</v>
      </c>
      <c r="F157" s="943">
        <v>4.0000000000000001E-3</v>
      </c>
      <c r="G157" s="873" t="s">
        <v>527</v>
      </c>
      <c r="H157" s="862"/>
      <c r="I157" s="647"/>
    </row>
    <row r="158" spans="1:9" s="47" customFormat="1">
      <c r="A158" s="942">
        <v>40591</v>
      </c>
      <c r="B158" s="932">
        <v>100124</v>
      </c>
      <c r="C158" s="932">
        <f t="shared" si="20"/>
        <v>100161.30647671233</v>
      </c>
      <c r="D158" s="609">
        <v>34</v>
      </c>
      <c r="E158" s="610">
        <f t="shared" si="19"/>
        <v>40625</v>
      </c>
      <c r="F158" s="943">
        <v>4.0000000000000001E-3</v>
      </c>
      <c r="G158" s="873" t="s">
        <v>527</v>
      </c>
      <c r="H158" s="862"/>
      <c r="I158" s="647"/>
    </row>
    <row r="159" spans="1:9" s="47" customFormat="1">
      <c r="A159" s="942">
        <v>40535</v>
      </c>
      <c r="B159" s="932">
        <v>15391.91</v>
      </c>
      <c r="C159" s="932">
        <f t="shared" si="20"/>
        <v>15429.86265479452</v>
      </c>
      <c r="D159" s="609">
        <v>90</v>
      </c>
      <c r="E159" s="610">
        <f t="shared" si="19"/>
        <v>40625</v>
      </c>
      <c r="F159" s="943">
        <v>0.01</v>
      </c>
      <c r="G159" s="873" t="s">
        <v>528</v>
      </c>
      <c r="H159" s="862"/>
      <c r="I159" s="647"/>
    </row>
    <row r="160" spans="1:9" s="47" customFormat="1">
      <c r="A160" s="942">
        <v>40597</v>
      </c>
      <c r="B160" s="932">
        <v>48092</v>
      </c>
      <c r="C160" s="932">
        <f t="shared" si="20"/>
        <v>48110.446246575346</v>
      </c>
      <c r="D160" s="609">
        <v>35</v>
      </c>
      <c r="E160" s="610">
        <f t="shared" si="19"/>
        <v>40632</v>
      </c>
      <c r="F160" s="943">
        <v>4.0000000000000001E-3</v>
      </c>
      <c r="G160" s="873" t="s">
        <v>527</v>
      </c>
      <c r="H160" s="862"/>
      <c r="I160" s="647"/>
    </row>
    <row r="161" spans="1:9" s="47" customFormat="1">
      <c r="A161" s="942">
        <v>40597</v>
      </c>
      <c r="B161" s="932">
        <v>12628</v>
      </c>
      <c r="C161" s="932">
        <f t="shared" si="20"/>
        <v>12632.843616438357</v>
      </c>
      <c r="D161" s="609">
        <v>35</v>
      </c>
      <c r="E161" s="610">
        <f t="shared" si="19"/>
        <v>40632</v>
      </c>
      <c r="F161" s="943">
        <v>4.0000000000000001E-3</v>
      </c>
      <c r="G161" s="873" t="s">
        <v>527</v>
      </c>
      <c r="H161" s="862"/>
      <c r="I161" s="647"/>
    </row>
    <row r="162" spans="1:9" s="47" customFormat="1">
      <c r="A162" s="942">
        <v>40597</v>
      </c>
      <c r="B162" s="932">
        <v>27997</v>
      </c>
      <c r="C162" s="932">
        <f t="shared" si="20"/>
        <v>28007.738575342464</v>
      </c>
      <c r="D162" s="609">
        <v>35</v>
      </c>
      <c r="E162" s="610">
        <f t="shared" si="19"/>
        <v>40632</v>
      </c>
      <c r="F162" s="943">
        <v>4.0000000000000001E-3</v>
      </c>
      <c r="G162" s="873" t="s">
        <v>527</v>
      </c>
      <c r="H162" s="862"/>
      <c r="I162" s="647"/>
    </row>
    <row r="163" spans="1:9" s="227" customFormat="1">
      <c r="A163" s="942">
        <v>40604</v>
      </c>
      <c r="B163" s="932">
        <v>14451</v>
      </c>
      <c r="C163" s="932">
        <f t="shared" si="20"/>
        <v>14456.542849315068</v>
      </c>
      <c r="D163" s="609">
        <v>35</v>
      </c>
      <c r="E163" s="610">
        <f t="shared" si="19"/>
        <v>40639</v>
      </c>
      <c r="F163" s="943">
        <v>4.0000000000000001E-3</v>
      </c>
      <c r="G163" s="873" t="s">
        <v>527</v>
      </c>
      <c r="H163" s="862"/>
      <c r="I163" s="647"/>
    </row>
    <row r="164" spans="1:9" s="227" customFormat="1">
      <c r="A164" s="942">
        <v>40604</v>
      </c>
      <c r="B164" s="932">
        <v>24216</v>
      </c>
      <c r="C164" s="932">
        <f t="shared" si="20"/>
        <v>24225.288328767125</v>
      </c>
      <c r="D164" s="609">
        <v>35</v>
      </c>
      <c r="E164" s="610">
        <f t="shared" si="19"/>
        <v>40639</v>
      </c>
      <c r="F164" s="943">
        <v>4.0000000000000001E-3</v>
      </c>
      <c r="G164" s="873" t="s">
        <v>527</v>
      </c>
      <c r="H164" s="862"/>
      <c r="I164" s="647"/>
    </row>
    <row r="165" spans="1:9" s="47" customFormat="1">
      <c r="A165" s="942">
        <v>40604</v>
      </c>
      <c r="B165" s="932">
        <v>20657</v>
      </c>
      <c r="C165" s="932">
        <f t="shared" si="20"/>
        <v>20664.923232876714</v>
      </c>
      <c r="D165" s="609">
        <v>35</v>
      </c>
      <c r="E165" s="610">
        <f t="shared" si="19"/>
        <v>40639</v>
      </c>
      <c r="F165" s="943">
        <v>4.0000000000000001E-3</v>
      </c>
      <c r="G165" s="873" t="s">
        <v>120</v>
      </c>
      <c r="H165" s="862"/>
      <c r="I165" s="647"/>
    </row>
    <row r="166" spans="1:9" s="227" customFormat="1">
      <c r="A166" s="942">
        <v>40611</v>
      </c>
      <c r="B166" s="932">
        <v>82126</v>
      </c>
      <c r="C166" s="932">
        <f t="shared" si="20"/>
        <v>82157.500383561637</v>
      </c>
      <c r="D166" s="609">
        <v>35</v>
      </c>
      <c r="E166" s="610">
        <f t="shared" si="19"/>
        <v>40646</v>
      </c>
      <c r="F166" s="943">
        <v>4.0000000000000001E-3</v>
      </c>
      <c r="G166" s="873" t="s">
        <v>120</v>
      </c>
      <c r="H166" s="862"/>
      <c r="I166" s="647"/>
    </row>
    <row r="167" spans="1:9" s="227" customFormat="1">
      <c r="A167" s="942">
        <v>40611</v>
      </c>
      <c r="B167" s="932">
        <v>91140</v>
      </c>
      <c r="C167" s="932">
        <f t="shared" si="20"/>
        <v>91174.957808219173</v>
      </c>
      <c r="D167" s="609">
        <v>35</v>
      </c>
      <c r="E167" s="610">
        <f t="shared" si="19"/>
        <v>40646</v>
      </c>
      <c r="F167" s="943">
        <v>4.0000000000000001E-3</v>
      </c>
      <c r="G167" s="873" t="s">
        <v>120</v>
      </c>
      <c r="H167" s="235"/>
      <c r="I167" s="647"/>
    </row>
    <row r="168" spans="1:9" s="47" customFormat="1">
      <c r="A168" s="942">
        <v>40611</v>
      </c>
      <c r="B168" s="932">
        <v>12190</v>
      </c>
      <c r="C168" s="932">
        <f t="shared" si="20"/>
        <v>12194.675616438357</v>
      </c>
      <c r="D168" s="609">
        <v>35</v>
      </c>
      <c r="E168" s="610">
        <f t="shared" si="19"/>
        <v>40646</v>
      </c>
      <c r="F168" s="943">
        <v>4.0000000000000001E-3</v>
      </c>
      <c r="G168" s="873" t="s">
        <v>527</v>
      </c>
      <c r="H168" s="235"/>
      <c r="I168" s="647"/>
    </row>
    <row r="169" spans="1:9" s="227" customFormat="1">
      <c r="A169" s="942">
        <v>40618</v>
      </c>
      <c r="B169" s="932">
        <v>80066</v>
      </c>
      <c r="C169" s="932">
        <f t="shared" si="20"/>
        <v>80096.710246575341</v>
      </c>
      <c r="D169" s="609">
        <v>35</v>
      </c>
      <c r="E169" s="610">
        <f t="shared" si="19"/>
        <v>40653</v>
      </c>
      <c r="F169" s="943">
        <v>4.0000000000000001E-3</v>
      </c>
      <c r="G169" s="873" t="s">
        <v>527</v>
      </c>
      <c r="H169" s="862"/>
      <c r="I169" s="647"/>
    </row>
    <row r="170" spans="1:9" s="47" customFormat="1">
      <c r="A170" s="942">
        <v>40618</v>
      </c>
      <c r="B170" s="932">
        <v>46412</v>
      </c>
      <c r="C170" s="932">
        <f t="shared" si="20"/>
        <v>46429.801863013701</v>
      </c>
      <c r="D170" s="609">
        <v>35</v>
      </c>
      <c r="E170" s="610">
        <f t="shared" si="19"/>
        <v>40653</v>
      </c>
      <c r="F170" s="943">
        <v>4.0000000000000001E-3</v>
      </c>
      <c r="G170" s="873" t="s">
        <v>527</v>
      </c>
      <c r="H170" s="862"/>
      <c r="I170" s="647"/>
    </row>
    <row r="171" spans="1:9" s="47" customFormat="1">
      <c r="A171" s="942">
        <v>40625</v>
      </c>
      <c r="B171" s="932">
        <v>100161</v>
      </c>
      <c r="C171" s="932">
        <f t="shared" si="20"/>
        <v>100199.41791780821</v>
      </c>
      <c r="D171" s="609">
        <v>35</v>
      </c>
      <c r="E171" s="610">
        <f t="shared" si="19"/>
        <v>40660</v>
      </c>
      <c r="F171" s="943">
        <v>4.0000000000000001E-3</v>
      </c>
      <c r="G171" s="873" t="s">
        <v>527</v>
      </c>
      <c r="H171" s="862"/>
      <c r="I171" s="647"/>
    </row>
    <row r="172" spans="1:9" s="227" customFormat="1">
      <c r="A172" s="942">
        <v>40646</v>
      </c>
      <c r="B172" s="932">
        <v>82158</v>
      </c>
      <c r="C172" s="932">
        <f t="shared" si="20"/>
        <v>82193.451739726021</v>
      </c>
      <c r="D172" s="609">
        <v>35</v>
      </c>
      <c r="E172" s="610">
        <f t="shared" si="19"/>
        <v>40681</v>
      </c>
      <c r="F172" s="943">
        <v>4.4999999999999997E-3</v>
      </c>
      <c r="G172" s="873" t="s">
        <v>120</v>
      </c>
      <c r="H172" s="235"/>
      <c r="I172" s="647"/>
    </row>
    <row r="173" spans="1:9" s="47" customFormat="1">
      <c r="A173" s="942">
        <v>40646</v>
      </c>
      <c r="B173" s="932">
        <v>12195</v>
      </c>
      <c r="C173" s="932">
        <f t="shared" si="20"/>
        <v>12200.262226027397</v>
      </c>
      <c r="D173" s="609">
        <v>35</v>
      </c>
      <c r="E173" s="610">
        <f t="shared" si="19"/>
        <v>40681</v>
      </c>
      <c r="F173" s="943">
        <v>4.4999999999999997E-3</v>
      </c>
      <c r="G173" s="873" t="s">
        <v>527</v>
      </c>
      <c r="H173" s="376"/>
      <c r="I173" s="647"/>
    </row>
    <row r="174" spans="1:9" s="227" customFormat="1">
      <c r="A174" s="942">
        <v>40646</v>
      </c>
      <c r="B174" s="932">
        <v>91175</v>
      </c>
      <c r="C174" s="932">
        <f t="shared" si="20"/>
        <v>91221.087089041102</v>
      </c>
      <c r="D174" s="609">
        <v>41</v>
      </c>
      <c r="E174" s="610">
        <f t="shared" si="19"/>
        <v>40687</v>
      </c>
      <c r="F174" s="943">
        <v>4.4999999999999997E-3</v>
      </c>
      <c r="G174" s="873" t="s">
        <v>120</v>
      </c>
      <c r="H174" s="862"/>
      <c r="I174" s="647"/>
    </row>
    <row r="175" spans="1:9" s="227" customFormat="1">
      <c r="A175" s="942">
        <v>40660</v>
      </c>
      <c r="B175" s="932">
        <v>100199</v>
      </c>
      <c r="C175" s="932">
        <f t="shared" si="20"/>
        <v>100237.43249315069</v>
      </c>
      <c r="D175" s="609">
        <v>35</v>
      </c>
      <c r="E175" s="610">
        <f t="shared" ref="E175:E197" si="21">A175+D175</f>
        <v>40695</v>
      </c>
      <c r="F175" s="943">
        <v>4.0000000000000001E-3</v>
      </c>
      <c r="G175" s="873" t="s">
        <v>527</v>
      </c>
      <c r="H175" s="235"/>
      <c r="I175" s="647"/>
    </row>
    <row r="176" spans="1:9" s="227" customFormat="1">
      <c r="A176" s="942">
        <v>40653</v>
      </c>
      <c r="B176" s="932">
        <v>80097</v>
      </c>
      <c r="C176" s="932">
        <f t="shared" si="20"/>
        <v>80133.866564383556</v>
      </c>
      <c r="D176" s="609">
        <v>42</v>
      </c>
      <c r="E176" s="610">
        <f t="shared" si="21"/>
        <v>40695</v>
      </c>
      <c r="F176" s="943">
        <v>4.0000000000000001E-3</v>
      </c>
      <c r="G176" s="873" t="s">
        <v>527</v>
      </c>
      <c r="H176" s="862"/>
      <c r="I176" s="647"/>
    </row>
    <row r="177" spans="1:9" s="47" customFormat="1" ht="13">
      <c r="A177" s="942">
        <v>40653</v>
      </c>
      <c r="B177" s="932">
        <v>46430</v>
      </c>
      <c r="C177" s="932">
        <f t="shared" si="20"/>
        <v>46451.370520547942</v>
      </c>
      <c r="D177" s="609">
        <v>42</v>
      </c>
      <c r="E177" s="610">
        <f t="shared" si="21"/>
        <v>40695</v>
      </c>
      <c r="F177" s="943">
        <v>4.0000000000000001E-3</v>
      </c>
      <c r="G177" s="873" t="s">
        <v>527</v>
      </c>
      <c r="H177" s="375"/>
      <c r="I177" s="647"/>
    </row>
    <row r="178" spans="1:9" s="227" customFormat="1" ht="13">
      <c r="A178" s="942">
        <v>40681</v>
      </c>
      <c r="B178" s="932">
        <v>82193</v>
      </c>
      <c r="C178" s="932">
        <f t="shared" si="20"/>
        <v>82228.466842465758</v>
      </c>
      <c r="D178" s="609">
        <v>35</v>
      </c>
      <c r="E178" s="610">
        <f t="shared" si="21"/>
        <v>40716</v>
      </c>
      <c r="F178" s="943">
        <v>4.4999999999999997E-3</v>
      </c>
      <c r="G178" s="873" t="s">
        <v>120</v>
      </c>
      <c r="H178" s="375"/>
      <c r="I178" s="647"/>
    </row>
    <row r="179" spans="1:9" s="227" customFormat="1">
      <c r="A179" s="942">
        <v>40681</v>
      </c>
      <c r="B179" s="932">
        <v>12200</v>
      </c>
      <c r="C179" s="932">
        <f t="shared" si="20"/>
        <v>12205.264383561644</v>
      </c>
      <c r="D179" s="609">
        <v>35</v>
      </c>
      <c r="E179" s="610">
        <f t="shared" si="21"/>
        <v>40716</v>
      </c>
      <c r="F179" s="943">
        <v>4.4999999999999997E-3</v>
      </c>
      <c r="G179" s="873" t="s">
        <v>527</v>
      </c>
      <c r="H179" s="862"/>
      <c r="I179" s="647"/>
    </row>
    <row r="180" spans="1:9" s="227" customFormat="1">
      <c r="A180" s="942">
        <v>40625</v>
      </c>
      <c r="B180" s="932">
        <v>15429</v>
      </c>
      <c r="C180" s="932">
        <f t="shared" si="20"/>
        <v>15467.466821917807</v>
      </c>
      <c r="D180" s="609">
        <v>91</v>
      </c>
      <c r="E180" s="610">
        <f t="shared" si="21"/>
        <v>40716</v>
      </c>
      <c r="F180" s="943">
        <v>0.01</v>
      </c>
      <c r="G180" s="873" t="s">
        <v>528</v>
      </c>
      <c r="H180" s="376"/>
      <c r="I180" s="647"/>
    </row>
    <row r="181" spans="1:9" s="227" customFormat="1">
      <c r="A181" s="942">
        <v>40687</v>
      </c>
      <c r="B181" s="932">
        <v>91221</v>
      </c>
      <c r="C181" s="932">
        <f t="shared" si="20"/>
        <v>91256.988558904108</v>
      </c>
      <c r="D181" s="609">
        <v>36</v>
      </c>
      <c r="E181" s="610">
        <f t="shared" si="21"/>
        <v>40723</v>
      </c>
      <c r="F181" s="943">
        <v>4.0000000000000001E-3</v>
      </c>
      <c r="G181" s="873" t="s">
        <v>120</v>
      </c>
      <c r="H181" s="862"/>
      <c r="I181" s="647"/>
    </row>
    <row r="182" spans="1:9">
      <c r="A182" s="942">
        <v>40695</v>
      </c>
      <c r="B182" s="932">
        <v>100237</v>
      </c>
      <c r="C182" s="932">
        <f t="shared" si="20"/>
        <v>100275.44706849314</v>
      </c>
      <c r="D182" s="609">
        <v>35</v>
      </c>
      <c r="E182" s="610">
        <f t="shared" si="21"/>
        <v>40730</v>
      </c>
      <c r="F182" s="943">
        <v>4.0000000000000001E-3</v>
      </c>
      <c r="G182" s="873" t="s">
        <v>527</v>
      </c>
      <c r="H182" s="235"/>
      <c r="I182" s="647"/>
    </row>
    <row r="183" spans="1:9">
      <c r="A183" s="942">
        <v>40695</v>
      </c>
      <c r="B183" s="932">
        <v>80134</v>
      </c>
      <c r="C183" s="932">
        <f t="shared" si="20"/>
        <v>80164.736328767118</v>
      </c>
      <c r="D183" s="609">
        <v>35</v>
      </c>
      <c r="E183" s="610">
        <f t="shared" si="21"/>
        <v>40730</v>
      </c>
      <c r="F183" s="943">
        <v>4.0000000000000001E-3</v>
      </c>
      <c r="G183" s="873" t="s">
        <v>527</v>
      </c>
      <c r="H183" s="862"/>
      <c r="I183" s="647"/>
    </row>
    <row r="184" spans="1:9" s="47" customFormat="1">
      <c r="A184" s="942">
        <v>40695</v>
      </c>
      <c r="B184" s="932">
        <v>46451</v>
      </c>
      <c r="C184" s="932">
        <f t="shared" si="20"/>
        <v>46468.816821917811</v>
      </c>
      <c r="D184" s="609">
        <v>35</v>
      </c>
      <c r="E184" s="610">
        <f t="shared" si="21"/>
        <v>40730</v>
      </c>
      <c r="F184" s="943">
        <v>4.0000000000000001E-3</v>
      </c>
      <c r="G184" s="873" t="s">
        <v>527</v>
      </c>
      <c r="H184" s="862"/>
      <c r="I184" s="647"/>
    </row>
    <row r="185" spans="1:9" s="47" customFormat="1">
      <c r="A185" s="942">
        <v>40639</v>
      </c>
      <c r="B185" s="932">
        <v>14457</v>
      </c>
      <c r="C185" s="932">
        <f t="shared" si="20"/>
        <v>14493.043479452055</v>
      </c>
      <c r="D185" s="609">
        <v>91</v>
      </c>
      <c r="E185" s="610">
        <f t="shared" si="21"/>
        <v>40730</v>
      </c>
      <c r="F185" s="943">
        <v>0.01</v>
      </c>
      <c r="G185" s="873" t="s">
        <v>528</v>
      </c>
      <c r="H185" s="862"/>
      <c r="I185" s="647"/>
    </row>
    <row r="186" spans="1:9" s="47" customFormat="1">
      <c r="A186" s="942">
        <v>40639</v>
      </c>
      <c r="B186" s="932">
        <v>24225</v>
      </c>
      <c r="C186" s="932">
        <f t="shared" si="20"/>
        <v>24285.396575342467</v>
      </c>
      <c r="D186" s="609">
        <v>91</v>
      </c>
      <c r="E186" s="610">
        <f t="shared" si="21"/>
        <v>40730</v>
      </c>
      <c r="F186" s="943">
        <v>0.01</v>
      </c>
      <c r="G186" s="873" t="s">
        <v>528</v>
      </c>
      <c r="H186" s="862"/>
      <c r="I186" s="647"/>
    </row>
    <row r="187" spans="1:9" s="47" customFormat="1">
      <c r="A187" s="942">
        <v>40639</v>
      </c>
      <c r="B187" s="932">
        <v>20665</v>
      </c>
      <c r="C187" s="932">
        <f t="shared" ref="C187:C197" si="22">B187+(B187*F187/365*D187)*1</f>
        <v>20716.520958904108</v>
      </c>
      <c r="D187" s="609">
        <v>91</v>
      </c>
      <c r="E187" s="610">
        <f t="shared" si="21"/>
        <v>40730</v>
      </c>
      <c r="F187" s="943">
        <v>0.01</v>
      </c>
      <c r="G187" s="873" t="s">
        <v>528</v>
      </c>
      <c r="H187" s="862"/>
      <c r="I187" s="647"/>
    </row>
    <row r="188" spans="1:9" s="227" customFormat="1">
      <c r="A188" s="942">
        <v>40640</v>
      </c>
      <c r="B188" s="932">
        <v>20625</v>
      </c>
      <c r="C188" s="932">
        <f t="shared" si="22"/>
        <v>20675.85616438356</v>
      </c>
      <c r="D188" s="609">
        <v>90</v>
      </c>
      <c r="E188" s="610">
        <f t="shared" si="21"/>
        <v>40730</v>
      </c>
      <c r="F188" s="943">
        <v>0.01</v>
      </c>
      <c r="G188" s="873" t="s">
        <v>528</v>
      </c>
      <c r="H188" s="376"/>
      <c r="I188" s="647">
        <f>+C189-B189</f>
        <v>35.002684931503609</v>
      </c>
    </row>
    <row r="189" spans="1:9" s="227" customFormat="1">
      <c r="A189" s="942">
        <v>40723</v>
      </c>
      <c r="B189" s="932">
        <v>91257</v>
      </c>
      <c r="C189" s="932">
        <f t="shared" si="22"/>
        <v>91292.002684931504</v>
      </c>
      <c r="D189" s="609">
        <v>35</v>
      </c>
      <c r="E189" s="610">
        <f t="shared" si="21"/>
        <v>40758</v>
      </c>
      <c r="F189" s="943">
        <v>4.0000000000000001E-3</v>
      </c>
      <c r="G189" s="873" t="s">
        <v>531</v>
      </c>
      <c r="H189" s="862"/>
      <c r="I189" s="647"/>
    </row>
    <row r="190" spans="1:9" s="227" customFormat="1">
      <c r="A190" s="942">
        <v>40730</v>
      </c>
      <c r="B190" s="932">
        <v>100275</v>
      </c>
      <c r="C190" s="932">
        <f t="shared" si="22"/>
        <v>100307.96712328767</v>
      </c>
      <c r="D190" s="609">
        <v>30</v>
      </c>
      <c r="E190" s="610">
        <f t="shared" si="21"/>
        <v>40760</v>
      </c>
      <c r="F190" s="943">
        <v>4.0000000000000001E-3</v>
      </c>
      <c r="G190" s="873" t="s">
        <v>531</v>
      </c>
      <c r="H190" s="235"/>
      <c r="I190" s="647"/>
    </row>
    <row r="191" spans="1:9">
      <c r="A191" s="942">
        <v>40730</v>
      </c>
      <c r="B191" s="932">
        <v>80165</v>
      </c>
      <c r="C191" s="932">
        <f t="shared" si="22"/>
        <v>80191.355616438363</v>
      </c>
      <c r="D191" s="609">
        <v>30</v>
      </c>
      <c r="E191" s="610">
        <f t="shared" si="21"/>
        <v>40760</v>
      </c>
      <c r="F191" s="943">
        <v>4.0000000000000001E-3</v>
      </c>
      <c r="G191" s="873" t="s">
        <v>531</v>
      </c>
      <c r="H191" s="862"/>
      <c r="I191" s="647"/>
    </row>
    <row r="192" spans="1:9" ht="13">
      <c r="A192" s="942">
        <v>40730</v>
      </c>
      <c r="B192" s="932">
        <v>46469</v>
      </c>
      <c r="C192" s="932">
        <f t="shared" si="22"/>
        <v>46484.277479452052</v>
      </c>
      <c r="D192" s="609">
        <v>30</v>
      </c>
      <c r="E192" s="610">
        <f t="shared" si="21"/>
        <v>40760</v>
      </c>
      <c r="F192" s="943">
        <v>4.0000000000000001E-3</v>
      </c>
      <c r="G192" s="873" t="s">
        <v>531</v>
      </c>
      <c r="H192" s="396" t="s">
        <v>532</v>
      </c>
      <c r="I192" s="647"/>
    </row>
    <row r="193" spans="1:9" s="47" customFormat="1">
      <c r="A193" s="942">
        <v>40716</v>
      </c>
      <c r="B193" s="932">
        <v>15468.33</v>
      </c>
      <c r="C193" s="932">
        <f t="shared" si="22"/>
        <v>15507.31866739726</v>
      </c>
      <c r="D193" s="609">
        <v>92</v>
      </c>
      <c r="E193" s="610">
        <f t="shared" si="21"/>
        <v>40808</v>
      </c>
      <c r="F193" s="943">
        <v>0.01</v>
      </c>
      <c r="G193" s="873" t="s">
        <v>528</v>
      </c>
      <c r="H193" s="862"/>
      <c r="I193" s="647"/>
    </row>
    <row r="194" spans="1:9" s="47" customFormat="1">
      <c r="A194" s="942">
        <v>40730</v>
      </c>
      <c r="B194" s="932">
        <v>14493.043479452055</v>
      </c>
      <c r="C194" s="932">
        <f t="shared" si="22"/>
        <v>14529.176820729594</v>
      </c>
      <c r="D194" s="609">
        <v>91</v>
      </c>
      <c r="E194" s="610">
        <f t="shared" si="21"/>
        <v>40821</v>
      </c>
      <c r="F194" s="943">
        <v>0.01</v>
      </c>
      <c r="G194" s="873" t="s">
        <v>528</v>
      </c>
      <c r="H194" s="862"/>
      <c r="I194" s="647"/>
    </row>
    <row r="195" spans="1:9" s="47" customFormat="1">
      <c r="A195" s="942">
        <v>40730</v>
      </c>
      <c r="B195" s="932">
        <v>24285.396575342467</v>
      </c>
      <c r="C195" s="932">
        <f t="shared" si="22"/>
        <v>24345.943728448117</v>
      </c>
      <c r="D195" s="609">
        <v>91</v>
      </c>
      <c r="E195" s="610">
        <f t="shared" si="21"/>
        <v>40821</v>
      </c>
      <c r="F195" s="943">
        <v>0.01</v>
      </c>
      <c r="G195" s="873" t="s">
        <v>528</v>
      </c>
      <c r="H195" s="862"/>
      <c r="I195" s="647"/>
    </row>
    <row r="196" spans="1:9" s="47" customFormat="1">
      <c r="A196" s="942">
        <v>40730</v>
      </c>
      <c r="B196" s="932">
        <v>20716.520958904108</v>
      </c>
      <c r="C196" s="932">
        <f t="shared" si="22"/>
        <v>20768.170367322196</v>
      </c>
      <c r="D196" s="609">
        <v>91</v>
      </c>
      <c r="E196" s="610">
        <f t="shared" si="21"/>
        <v>40821</v>
      </c>
      <c r="F196" s="943">
        <v>0.01</v>
      </c>
      <c r="G196" s="873" t="s">
        <v>528</v>
      </c>
      <c r="H196" s="862"/>
      <c r="I196" s="647"/>
    </row>
    <row r="197" spans="1:9" s="47" customFormat="1">
      <c r="A197" s="942">
        <v>40730</v>
      </c>
      <c r="B197" s="932">
        <v>20675.85616438356</v>
      </c>
      <c r="C197" s="932">
        <f t="shared" si="22"/>
        <v>20727.404189341338</v>
      </c>
      <c r="D197" s="609">
        <v>91</v>
      </c>
      <c r="E197" s="610">
        <f t="shared" si="21"/>
        <v>40821</v>
      </c>
      <c r="F197" s="943">
        <v>0.01</v>
      </c>
      <c r="G197" s="873" t="s">
        <v>528</v>
      </c>
      <c r="H197" s="862"/>
      <c r="I197" s="647"/>
    </row>
    <row r="198" spans="1:9" s="47" customFormat="1">
      <c r="A198" s="942">
        <v>40809</v>
      </c>
      <c r="B198" s="932">
        <v>317000</v>
      </c>
      <c r="C198" s="932">
        <f t="shared" ref="C198:C203" si="23">B198+(B198*F198/365*D198)*1</f>
        <v>317229.2821917808</v>
      </c>
      <c r="D198" s="609">
        <v>33</v>
      </c>
      <c r="E198" s="610">
        <f t="shared" ref="E198:E203" si="24">A198+D198</f>
        <v>40842</v>
      </c>
      <c r="F198" s="943">
        <v>8.0000000000000002E-3</v>
      </c>
      <c r="G198" s="873" t="s">
        <v>120</v>
      </c>
      <c r="H198" s="862"/>
      <c r="I198" s="647"/>
    </row>
    <row r="199" spans="1:9" s="47" customFormat="1">
      <c r="A199" s="942">
        <v>40821</v>
      </c>
      <c r="B199" s="932">
        <v>95878</v>
      </c>
      <c r="C199" s="932">
        <f t="shared" si="23"/>
        <v>95969.937808219183</v>
      </c>
      <c r="D199" s="609">
        <v>35</v>
      </c>
      <c r="E199" s="610">
        <f t="shared" si="24"/>
        <v>40856</v>
      </c>
      <c r="F199" s="943">
        <v>0.01</v>
      </c>
      <c r="G199" s="873" t="s">
        <v>120</v>
      </c>
      <c r="H199" s="862"/>
      <c r="I199" s="647"/>
    </row>
    <row r="200" spans="1:9" s="47" customFormat="1">
      <c r="A200" s="942">
        <v>40822</v>
      </c>
      <c r="B200" s="932">
        <v>15375</v>
      </c>
      <c r="C200" s="932">
        <f t="shared" si="23"/>
        <v>15389.32191780822</v>
      </c>
      <c r="D200" s="609">
        <v>34</v>
      </c>
      <c r="E200" s="610">
        <f t="shared" si="24"/>
        <v>40856</v>
      </c>
      <c r="F200" s="943">
        <v>0.01</v>
      </c>
      <c r="G200" s="873" t="s">
        <v>120</v>
      </c>
      <c r="H200" s="862"/>
      <c r="I200" s="647"/>
    </row>
    <row r="201" spans="1:9" s="47" customFormat="1">
      <c r="A201" s="942">
        <v>40842</v>
      </c>
      <c r="B201" s="932">
        <v>317229</v>
      </c>
      <c r="C201" s="932">
        <f t="shared" si="23"/>
        <v>317411.51531506848</v>
      </c>
      <c r="D201" s="609">
        <v>35</v>
      </c>
      <c r="E201" s="610">
        <f t="shared" si="24"/>
        <v>40877</v>
      </c>
      <c r="F201" s="943">
        <v>6.0000000000000001E-3</v>
      </c>
      <c r="G201" s="873" t="s">
        <v>120</v>
      </c>
      <c r="H201" s="862"/>
      <c r="I201" s="647"/>
    </row>
    <row r="202" spans="1:9" s="47" customFormat="1">
      <c r="A202" s="942">
        <v>40891</v>
      </c>
      <c r="B202" s="932">
        <f>317412+113700</f>
        <v>431112</v>
      </c>
      <c r="C202" s="932">
        <f t="shared" si="23"/>
        <v>431339.36728767125</v>
      </c>
      <c r="D202" s="609">
        <v>35</v>
      </c>
      <c r="E202" s="610">
        <f t="shared" si="24"/>
        <v>40926</v>
      </c>
      <c r="F202" s="943">
        <v>5.4999999999999997E-3</v>
      </c>
      <c r="G202" s="873" t="s">
        <v>120</v>
      </c>
      <c r="H202" s="862"/>
      <c r="I202" s="647"/>
    </row>
    <row r="203" spans="1:9" s="47" customFormat="1">
      <c r="A203" s="942">
        <v>40896</v>
      </c>
      <c r="B203" s="932">
        <v>21913</v>
      </c>
      <c r="C203" s="932">
        <f t="shared" si="23"/>
        <v>21922.905876712328</v>
      </c>
      <c r="D203" s="609">
        <v>30</v>
      </c>
      <c r="E203" s="610">
        <f t="shared" si="24"/>
        <v>40926</v>
      </c>
      <c r="F203" s="943">
        <v>5.4999999999999997E-3</v>
      </c>
      <c r="G203" s="873" t="s">
        <v>120</v>
      </c>
      <c r="H203" s="235"/>
      <c r="I203" s="647"/>
    </row>
    <row r="204" spans="1:9" s="47" customFormat="1" ht="14">
      <c r="A204" s="942"/>
      <c r="B204" s="932"/>
      <c r="C204" s="932"/>
      <c r="D204" s="609"/>
      <c r="E204" s="610"/>
      <c r="F204" s="943"/>
      <c r="G204" s="873"/>
      <c r="H204" s="316">
        <f>+C205-B205</f>
        <v>2206.5897855670191</v>
      </c>
      <c r="I204" s="647"/>
    </row>
    <row r="205" spans="1:9" s="47" customFormat="1" ht="14">
      <c r="A205" s="315">
        <v>40908</v>
      </c>
      <c r="B205" s="316">
        <f>SUM(B146:B204)</f>
        <v>3767890.0571780824</v>
      </c>
      <c r="C205" s="316">
        <f>SUM(C146:C204)</f>
        <v>3770096.6469636494</v>
      </c>
      <c r="D205" s="317"/>
      <c r="E205" s="318"/>
      <c r="F205" s="319"/>
      <c r="G205" s="320"/>
      <c r="H205" s="932"/>
      <c r="I205" s="647"/>
    </row>
    <row r="206" spans="1:9" s="47" customFormat="1">
      <c r="A206" s="942"/>
      <c r="B206" s="932"/>
      <c r="C206" s="932"/>
      <c r="D206" s="609"/>
      <c r="E206" s="610"/>
      <c r="F206" s="943"/>
      <c r="G206" s="873"/>
      <c r="H206" s="862"/>
      <c r="I206" s="647"/>
    </row>
    <row r="207" spans="1:9" s="47" customFormat="1">
      <c r="A207" s="942"/>
      <c r="B207" s="932"/>
      <c r="C207" s="932"/>
      <c r="D207" s="609"/>
      <c r="E207" s="610"/>
      <c r="F207" s="943"/>
      <c r="G207" s="873"/>
      <c r="H207" s="862"/>
      <c r="I207" s="647"/>
    </row>
    <row r="208" spans="1:9" s="47" customFormat="1">
      <c r="A208" s="942">
        <v>40926</v>
      </c>
      <c r="B208" s="932">
        <v>431339</v>
      </c>
      <c r="C208" s="932">
        <f t="shared" ref="C208:C213" si="25">B208+(B208*F208/365*D208)*1</f>
        <v>431566.48700684932</v>
      </c>
      <c r="D208" s="609">
        <v>35</v>
      </c>
      <c r="E208" s="610">
        <f t="shared" ref="E208:E213" si="26">A208+D208</f>
        <v>40961</v>
      </c>
      <c r="F208" s="943">
        <v>5.4999999999999997E-3</v>
      </c>
      <c r="G208" s="873" t="s">
        <v>120</v>
      </c>
      <c r="H208" s="862"/>
      <c r="I208" s="647"/>
    </row>
    <row r="209" spans="1:7" s="47" customFormat="1">
      <c r="A209" s="942">
        <v>40926</v>
      </c>
      <c r="B209" s="932">
        <v>21923</v>
      </c>
      <c r="C209" s="932">
        <f t="shared" si="25"/>
        <v>21934.562130136987</v>
      </c>
      <c r="D209" s="609">
        <v>35</v>
      </c>
      <c r="E209" s="610">
        <f t="shared" si="26"/>
        <v>40961</v>
      </c>
      <c r="F209" s="943">
        <v>5.4999999999999997E-3</v>
      </c>
      <c r="G209" s="873" t="s">
        <v>120</v>
      </c>
    </row>
    <row r="210" spans="1:7" s="47" customFormat="1">
      <c r="A210" s="942">
        <v>40926</v>
      </c>
      <c r="B210" s="932">
        <v>6087</v>
      </c>
      <c r="C210" s="932">
        <f t="shared" si="25"/>
        <v>6090.2102671232878</v>
      </c>
      <c r="D210" s="609">
        <v>35</v>
      </c>
      <c r="E210" s="610">
        <f t="shared" si="26"/>
        <v>40961</v>
      </c>
      <c r="F210" s="943">
        <v>5.4999999999999997E-3</v>
      </c>
      <c r="G210" s="873" t="s">
        <v>120</v>
      </c>
    </row>
    <row r="211" spans="1:7" s="47" customFormat="1">
      <c r="A211" s="942">
        <v>40961</v>
      </c>
      <c r="B211" s="932">
        <v>431566</v>
      </c>
      <c r="C211" s="932">
        <f t="shared" si="25"/>
        <v>431793.60672602738</v>
      </c>
      <c r="D211" s="609">
        <v>35</v>
      </c>
      <c r="E211" s="610">
        <f t="shared" si="26"/>
        <v>40996</v>
      </c>
      <c r="F211" s="943">
        <v>5.4999999999999997E-3</v>
      </c>
      <c r="G211" s="873" t="s">
        <v>120</v>
      </c>
    </row>
    <row r="212" spans="1:7" s="47" customFormat="1">
      <c r="A212" s="942">
        <v>40961</v>
      </c>
      <c r="B212" s="932">
        <v>21935</v>
      </c>
      <c r="C212" s="932">
        <f t="shared" si="25"/>
        <v>21946.568458904108</v>
      </c>
      <c r="D212" s="609">
        <v>35</v>
      </c>
      <c r="E212" s="610">
        <f t="shared" si="26"/>
        <v>40996</v>
      </c>
      <c r="F212" s="943">
        <v>5.4999999999999997E-3</v>
      </c>
      <c r="G212" s="873" t="s">
        <v>120</v>
      </c>
    </row>
    <row r="213" spans="1:7" s="47" customFormat="1">
      <c r="A213" s="942">
        <v>40961</v>
      </c>
      <c r="B213" s="932">
        <v>6090</v>
      </c>
      <c r="C213" s="932">
        <f t="shared" si="25"/>
        <v>6093.2118493150683</v>
      </c>
      <c r="D213" s="609">
        <v>35</v>
      </c>
      <c r="E213" s="610">
        <f t="shared" si="26"/>
        <v>40996</v>
      </c>
      <c r="F213" s="943">
        <v>5.4999999999999997E-3</v>
      </c>
      <c r="G213" s="873" t="s">
        <v>120</v>
      </c>
    </row>
    <row r="214" spans="1:7" s="47" customFormat="1">
      <c r="A214" s="942">
        <v>40996</v>
      </c>
      <c r="B214" s="932">
        <v>21947</v>
      </c>
      <c r="C214" s="932">
        <f t="shared" ref="C214:C219" si="27">B214+(B214*F214/365*D214)*1</f>
        <v>21958.574787671234</v>
      </c>
      <c r="D214" s="609">
        <v>35</v>
      </c>
      <c r="E214" s="610">
        <f t="shared" ref="E214:E219" si="28">A214+D214</f>
        <v>41031</v>
      </c>
      <c r="F214" s="943">
        <v>5.4999999999999997E-3</v>
      </c>
      <c r="G214" s="873" t="s">
        <v>120</v>
      </c>
    </row>
    <row r="215" spans="1:7" s="47" customFormat="1">
      <c r="A215" s="942">
        <v>40996</v>
      </c>
      <c r="B215" s="932">
        <v>6093</v>
      </c>
      <c r="C215" s="932">
        <f t="shared" si="27"/>
        <v>6096.2134315068497</v>
      </c>
      <c r="D215" s="609">
        <v>35</v>
      </c>
      <c r="E215" s="610">
        <f t="shared" si="28"/>
        <v>41031</v>
      </c>
      <c r="F215" s="943">
        <v>5.4999999999999997E-3</v>
      </c>
      <c r="G215" s="873" t="s">
        <v>120</v>
      </c>
    </row>
    <row r="216" spans="1:7" s="47" customFormat="1">
      <c r="A216" s="942">
        <v>41018</v>
      </c>
      <c r="B216" s="932">
        <v>18805</v>
      </c>
      <c r="C216" s="932">
        <f t="shared" si="27"/>
        <v>18811.130945205481</v>
      </c>
      <c r="D216" s="609">
        <v>34</v>
      </c>
      <c r="E216" s="610">
        <f t="shared" si="28"/>
        <v>41052</v>
      </c>
      <c r="F216" s="943">
        <v>3.5000000000000001E-3</v>
      </c>
      <c r="G216" s="873" t="s">
        <v>120</v>
      </c>
    </row>
    <row r="217" spans="1:7" s="47" customFormat="1">
      <c r="A217" s="942">
        <v>40996</v>
      </c>
      <c r="B217" s="932">
        <v>431794</v>
      </c>
      <c r="C217" s="932">
        <f t="shared" si="27"/>
        <v>432278.43737808219</v>
      </c>
      <c r="D217" s="609">
        <v>63</v>
      </c>
      <c r="E217" s="610">
        <f t="shared" si="28"/>
        <v>41059</v>
      </c>
      <c r="F217" s="943">
        <v>6.4999999999999997E-3</v>
      </c>
      <c r="G217" s="873" t="s">
        <v>120</v>
      </c>
    </row>
    <row r="218" spans="1:7" s="47" customFormat="1">
      <c r="A218" s="942">
        <v>41032</v>
      </c>
      <c r="B218" s="932">
        <v>21959</v>
      </c>
      <c r="C218" s="932">
        <f t="shared" si="27"/>
        <v>21968.204731506848</v>
      </c>
      <c r="D218" s="609">
        <v>34</v>
      </c>
      <c r="E218" s="610">
        <f t="shared" si="28"/>
        <v>41066</v>
      </c>
      <c r="F218" s="943">
        <v>4.4999999999999997E-3</v>
      </c>
      <c r="G218" s="873" t="s">
        <v>120</v>
      </c>
    </row>
    <row r="219" spans="1:7" s="47" customFormat="1">
      <c r="A219" s="942">
        <v>41032</v>
      </c>
      <c r="B219" s="932">
        <v>6096</v>
      </c>
      <c r="C219" s="932">
        <f t="shared" si="27"/>
        <v>6098.5553095890409</v>
      </c>
      <c r="D219" s="609">
        <v>34</v>
      </c>
      <c r="E219" s="610">
        <f t="shared" si="28"/>
        <v>41066</v>
      </c>
      <c r="F219" s="943">
        <v>4.4999999999999997E-3</v>
      </c>
      <c r="G219" s="873" t="s">
        <v>120</v>
      </c>
    </row>
    <row r="220" spans="1:7" s="47" customFormat="1">
      <c r="A220" s="942">
        <v>41059</v>
      </c>
      <c r="B220" s="932">
        <v>432278</v>
      </c>
      <c r="C220" s="932">
        <f t="shared" ref="C220:C225" si="29">B220+(B220*F220/365*D220)*1</f>
        <v>432526.70789041097</v>
      </c>
      <c r="D220" s="609">
        <v>35</v>
      </c>
      <c r="E220" s="610">
        <f t="shared" ref="E220:E225" si="30">A220+D220</f>
        <v>41094</v>
      </c>
      <c r="F220" s="943">
        <v>6.0000000000000001E-3</v>
      </c>
      <c r="G220" s="873" t="s">
        <v>120</v>
      </c>
    </row>
    <row r="221" spans="1:7" s="47" customFormat="1">
      <c r="A221" s="942">
        <v>41094</v>
      </c>
      <c r="B221" s="932">
        <v>432527</v>
      </c>
      <c r="C221" s="932">
        <f t="shared" si="29"/>
        <v>432858.8015342466</v>
      </c>
      <c r="D221" s="609">
        <v>35</v>
      </c>
      <c r="E221" s="610">
        <f t="shared" si="30"/>
        <v>41129</v>
      </c>
      <c r="F221" s="943">
        <v>8.0000000000000002E-3</v>
      </c>
      <c r="G221" s="873" t="s">
        <v>120</v>
      </c>
    </row>
    <row r="222" spans="1:7" s="47" customFormat="1">
      <c r="A222" s="942">
        <v>41094</v>
      </c>
      <c r="B222" s="932">
        <v>36889</v>
      </c>
      <c r="C222" s="932">
        <f t="shared" si="29"/>
        <v>36917.298410958902</v>
      </c>
      <c r="D222" s="609">
        <v>35</v>
      </c>
      <c r="E222" s="610">
        <f t="shared" si="30"/>
        <v>41129</v>
      </c>
      <c r="F222" s="943">
        <v>8.0000000000000002E-3</v>
      </c>
      <c r="G222" s="873" t="s">
        <v>120</v>
      </c>
    </row>
    <row r="223" spans="1:7" s="47" customFormat="1">
      <c r="A223" s="942">
        <v>41115</v>
      </c>
      <c r="B223" s="932">
        <v>10000</v>
      </c>
      <c r="C223" s="932">
        <f t="shared" si="29"/>
        <v>10007.671232876712</v>
      </c>
      <c r="D223" s="609">
        <v>35</v>
      </c>
      <c r="E223" s="610">
        <f t="shared" si="30"/>
        <v>41150</v>
      </c>
      <c r="F223" s="943">
        <v>8.0000000000000002E-3</v>
      </c>
      <c r="G223" s="873" t="s">
        <v>120</v>
      </c>
    </row>
    <row r="224" spans="1:7" s="47" customFormat="1">
      <c r="A224" s="942">
        <v>41129</v>
      </c>
      <c r="B224" s="932">
        <v>432859</v>
      </c>
      <c r="C224" s="932">
        <f t="shared" si="29"/>
        <v>433191.05621917808</v>
      </c>
      <c r="D224" s="609">
        <v>35</v>
      </c>
      <c r="E224" s="610">
        <f t="shared" si="30"/>
        <v>41164</v>
      </c>
      <c r="F224" s="943">
        <v>8.0000000000000002E-3</v>
      </c>
      <c r="G224" s="873" t="s">
        <v>120</v>
      </c>
    </row>
    <row r="225" spans="1:7" s="47" customFormat="1">
      <c r="A225" s="942">
        <v>41129</v>
      </c>
      <c r="B225" s="932">
        <v>36917</v>
      </c>
      <c r="C225" s="932">
        <f t="shared" si="29"/>
        <v>36945.319890410959</v>
      </c>
      <c r="D225" s="609">
        <v>35</v>
      </c>
      <c r="E225" s="610">
        <f t="shared" si="30"/>
        <v>41164</v>
      </c>
      <c r="F225" s="943">
        <v>8.0000000000000002E-3</v>
      </c>
      <c r="G225" s="873" t="s">
        <v>120</v>
      </c>
    </row>
    <row r="226" spans="1:7" s="47" customFormat="1">
      <c r="A226" s="942">
        <v>41159</v>
      </c>
      <c r="B226" s="932">
        <v>10008</v>
      </c>
      <c r="C226" s="932">
        <f t="shared" ref="C226:C231" si="31">B226+(B226*F226/365*D226)*1</f>
        <v>10015.238663013699</v>
      </c>
      <c r="D226" s="609">
        <v>33</v>
      </c>
      <c r="E226" s="610">
        <f t="shared" ref="E226:E231" si="32">A226+D226</f>
        <v>41192</v>
      </c>
      <c r="F226" s="943">
        <v>8.0000000000000002E-3</v>
      </c>
      <c r="G226" s="873" t="s">
        <v>120</v>
      </c>
    </row>
    <row r="227" spans="1:7" s="47" customFormat="1">
      <c r="A227" s="942">
        <v>41164</v>
      </c>
      <c r="B227" s="932">
        <v>433191</v>
      </c>
      <c r="C227" s="932">
        <f t="shared" si="31"/>
        <v>433523.31090410962</v>
      </c>
      <c r="D227" s="609">
        <v>35</v>
      </c>
      <c r="E227" s="610">
        <f t="shared" si="32"/>
        <v>41199</v>
      </c>
      <c r="F227" s="943">
        <v>8.0000000000000002E-3</v>
      </c>
      <c r="G227" s="873" t="s">
        <v>120</v>
      </c>
    </row>
    <row r="228" spans="1:7" s="47" customFormat="1">
      <c r="A228" s="942">
        <v>41164</v>
      </c>
      <c r="B228" s="932">
        <v>36945</v>
      </c>
      <c r="C228" s="932">
        <f t="shared" si="31"/>
        <v>36973.34136986301</v>
      </c>
      <c r="D228" s="609">
        <v>35</v>
      </c>
      <c r="E228" s="610">
        <f t="shared" si="32"/>
        <v>41199</v>
      </c>
      <c r="F228" s="943">
        <v>8.0000000000000002E-3</v>
      </c>
      <c r="G228" s="873" t="s">
        <v>120</v>
      </c>
    </row>
    <row r="229" spans="1:7" s="47" customFormat="1">
      <c r="A229" s="942">
        <v>41228</v>
      </c>
      <c r="B229" s="932">
        <v>10023</v>
      </c>
      <c r="C229" s="932">
        <f t="shared" si="31"/>
        <v>10030.469194520549</v>
      </c>
      <c r="D229" s="609">
        <v>34</v>
      </c>
      <c r="E229" s="610">
        <f t="shared" si="32"/>
        <v>41262</v>
      </c>
      <c r="F229" s="943">
        <v>8.0000000000000002E-3</v>
      </c>
      <c r="G229" s="873" t="s">
        <v>120</v>
      </c>
    </row>
    <row r="230" spans="1:7" s="47" customFormat="1">
      <c r="A230" s="942">
        <v>41199</v>
      </c>
      <c r="B230" s="932">
        <v>433523</v>
      </c>
      <c r="C230" s="932">
        <f t="shared" si="31"/>
        <v>433855.5655890411</v>
      </c>
      <c r="D230" s="609">
        <v>35</v>
      </c>
      <c r="E230" s="610">
        <f t="shared" si="32"/>
        <v>41234</v>
      </c>
      <c r="F230" s="943">
        <v>8.0000000000000002E-3</v>
      </c>
      <c r="G230" s="873" t="s">
        <v>120</v>
      </c>
    </row>
    <row r="231" spans="1:7" s="47" customFormat="1">
      <c r="A231" s="942">
        <v>41199</v>
      </c>
      <c r="B231" s="932">
        <v>36973</v>
      </c>
      <c r="C231" s="932">
        <f t="shared" si="31"/>
        <v>37001.362849315068</v>
      </c>
      <c r="D231" s="609">
        <v>35</v>
      </c>
      <c r="E231" s="610">
        <f t="shared" si="32"/>
        <v>41234</v>
      </c>
      <c r="F231" s="943">
        <v>8.0000000000000002E-3</v>
      </c>
      <c r="G231" s="873" t="s">
        <v>120</v>
      </c>
    </row>
    <row r="232" spans="1:7" s="47" customFormat="1">
      <c r="A232" s="942">
        <v>41228</v>
      </c>
      <c r="B232" s="932">
        <v>10023</v>
      </c>
      <c r="C232" s="932">
        <f t="shared" ref="C232:C237" si="33">B232+(B232*F232/365*D232)*1</f>
        <v>10030.469194520549</v>
      </c>
      <c r="D232" s="609">
        <v>34</v>
      </c>
      <c r="E232" s="610">
        <f t="shared" ref="E232:E237" si="34">A232+D232</f>
        <v>41262</v>
      </c>
      <c r="F232" s="943">
        <v>8.0000000000000002E-3</v>
      </c>
      <c r="G232" s="873" t="s">
        <v>120</v>
      </c>
    </row>
    <row r="233" spans="1:7" s="47" customFormat="1">
      <c r="A233" s="942">
        <v>41234</v>
      </c>
      <c r="B233" s="932">
        <v>433856</v>
      </c>
      <c r="C233" s="932">
        <f t="shared" si="33"/>
        <v>434230.42367123289</v>
      </c>
      <c r="D233" s="609">
        <v>35</v>
      </c>
      <c r="E233" s="610">
        <f t="shared" si="34"/>
        <v>41269</v>
      </c>
      <c r="F233" s="943">
        <v>8.9999999999999993E-3</v>
      </c>
      <c r="G233" s="873" t="s">
        <v>120</v>
      </c>
    </row>
    <row r="234" spans="1:7" s="47" customFormat="1">
      <c r="A234" s="942">
        <v>41234</v>
      </c>
      <c r="B234" s="932">
        <v>37001</v>
      </c>
      <c r="C234" s="932">
        <f t="shared" si="33"/>
        <v>37032.932369863011</v>
      </c>
      <c r="D234" s="609">
        <v>35</v>
      </c>
      <c r="E234" s="610">
        <f t="shared" si="34"/>
        <v>41269</v>
      </c>
      <c r="F234" s="943">
        <v>8.9999999999999993E-3</v>
      </c>
      <c r="G234" s="873" t="s">
        <v>120</v>
      </c>
    </row>
    <row r="235" spans="1:7" s="47" customFormat="1">
      <c r="A235" s="942">
        <v>41262</v>
      </c>
      <c r="B235" s="932">
        <v>10030</v>
      </c>
      <c r="C235" s="932">
        <f t="shared" si="33"/>
        <v>10037.694246575342</v>
      </c>
      <c r="D235" s="609">
        <v>35</v>
      </c>
      <c r="E235" s="610">
        <f t="shared" si="34"/>
        <v>41297</v>
      </c>
      <c r="F235" s="943">
        <v>8.0000000000000002E-3</v>
      </c>
      <c r="G235" s="873" t="s">
        <v>120</v>
      </c>
    </row>
    <row r="236" spans="1:7" s="47" customFormat="1">
      <c r="A236" s="942">
        <v>41269</v>
      </c>
      <c r="B236" s="932">
        <v>434230</v>
      </c>
      <c r="C236" s="932">
        <f t="shared" si="33"/>
        <v>435420.86090410961</v>
      </c>
      <c r="D236" s="609">
        <v>91</v>
      </c>
      <c r="E236" s="610">
        <f t="shared" si="34"/>
        <v>41360</v>
      </c>
      <c r="F236" s="943">
        <v>1.0999999999999999E-2</v>
      </c>
      <c r="G236" s="873" t="s">
        <v>120</v>
      </c>
    </row>
    <row r="237" spans="1:7" s="47" customFormat="1">
      <c r="A237" s="942">
        <v>41269</v>
      </c>
      <c r="B237" s="932">
        <v>37033</v>
      </c>
      <c r="C237" s="932">
        <f t="shared" si="33"/>
        <v>37134.561734246578</v>
      </c>
      <c r="D237" s="609">
        <v>91</v>
      </c>
      <c r="E237" s="610">
        <f t="shared" si="34"/>
        <v>41360</v>
      </c>
      <c r="F237" s="943">
        <v>1.0999999999999999E-2</v>
      </c>
      <c r="G237" s="873" t="s">
        <v>120</v>
      </c>
    </row>
    <row r="238" spans="1:7" s="47" customFormat="1">
      <c r="A238" s="942">
        <v>41332</v>
      </c>
      <c r="B238" s="932">
        <v>12484</v>
      </c>
      <c r="C238" s="932">
        <f>B238+(B238*F238/365*D238)*1</f>
        <v>12492.379671232877</v>
      </c>
      <c r="D238" s="609">
        <v>35</v>
      </c>
      <c r="E238" s="610">
        <f>A238+D238</f>
        <v>41367</v>
      </c>
      <c r="F238" s="943">
        <v>7.0000000000000001E-3</v>
      </c>
      <c r="G238" s="873" t="s">
        <v>527</v>
      </c>
    </row>
    <row r="241" spans="1:7" ht="14">
      <c r="A241" s="315">
        <v>41274</v>
      </c>
      <c r="B241" s="316">
        <f>SUM(B208:B217)</f>
        <v>1397579</v>
      </c>
      <c r="C241" s="316">
        <f>SUM(C208:C217)</f>
        <v>1398569.002980822</v>
      </c>
      <c r="D241" s="317">
        <f>+C241-B241</f>
        <v>990.00298082199879</v>
      </c>
      <c r="E241" s="318"/>
      <c r="F241" s="319"/>
      <c r="G241" s="320"/>
    </row>
    <row r="242" spans="1:7" s="47" customFormat="1">
      <c r="A242" s="8"/>
      <c r="B242" s="8"/>
      <c r="C242" s="8"/>
      <c r="D242" s="9"/>
      <c r="E242" s="7"/>
      <c r="F242" s="10"/>
      <c r="G242" s="11"/>
    </row>
    <row r="243" spans="1:7" s="47" customFormat="1">
      <c r="A243" s="942">
        <v>41297</v>
      </c>
      <c r="B243" s="932">
        <f>10038+2438</f>
        <v>12476</v>
      </c>
      <c r="C243" s="932">
        <f t="shared" ref="C243:C249" si="35">B243+(B243*F243/365*D243)*1</f>
        <v>12484.374301369862</v>
      </c>
      <c r="D243" s="609">
        <v>35</v>
      </c>
      <c r="E243" s="610">
        <f t="shared" ref="E243:E249" si="36">A243+D243</f>
        <v>41332</v>
      </c>
      <c r="F243" s="943">
        <v>7.0000000000000001E-3</v>
      </c>
      <c r="G243" s="873" t="s">
        <v>533</v>
      </c>
    </row>
    <row r="244" spans="1:7" s="47" customFormat="1">
      <c r="A244" s="942">
        <v>41360</v>
      </c>
      <c r="B244" s="932">
        <v>435421</v>
      </c>
      <c r="C244" s="932">
        <f t="shared" si="35"/>
        <v>436777.96270547947</v>
      </c>
      <c r="D244" s="609">
        <v>91</v>
      </c>
      <c r="E244" s="610">
        <f t="shared" si="36"/>
        <v>41451</v>
      </c>
      <c r="F244" s="943">
        <v>1.2500000000000001E-2</v>
      </c>
      <c r="G244" s="873" t="s">
        <v>120</v>
      </c>
    </row>
    <row r="245" spans="1:7" s="47" customFormat="1">
      <c r="A245" s="942">
        <v>41360</v>
      </c>
      <c r="B245" s="932">
        <v>37135</v>
      </c>
      <c r="C245" s="932">
        <f t="shared" si="35"/>
        <v>37250.728938356166</v>
      </c>
      <c r="D245" s="609">
        <v>91</v>
      </c>
      <c r="E245" s="610">
        <f t="shared" si="36"/>
        <v>41451</v>
      </c>
      <c r="F245" s="943">
        <v>1.2500000000000001E-2</v>
      </c>
      <c r="G245" s="873" t="s">
        <v>120</v>
      </c>
    </row>
    <row r="246" spans="1:7" s="47" customFormat="1">
      <c r="A246" s="942">
        <v>41367</v>
      </c>
      <c r="B246" s="932">
        <v>12492.379671232877</v>
      </c>
      <c r="C246" s="932">
        <f t="shared" si="35"/>
        <v>12528.316653848751</v>
      </c>
      <c r="D246" s="609">
        <v>84</v>
      </c>
      <c r="E246" s="610">
        <f t="shared" si="36"/>
        <v>41451</v>
      </c>
      <c r="F246" s="943">
        <v>1.2500000000000001E-2</v>
      </c>
      <c r="G246" s="873" t="s">
        <v>527</v>
      </c>
    </row>
    <row r="247" spans="1:7" s="47" customFormat="1">
      <c r="A247" s="942">
        <v>41451</v>
      </c>
      <c r="B247" s="932">
        <v>436778</v>
      </c>
      <c r="C247" s="932">
        <f t="shared" si="35"/>
        <v>438248.08704931504</v>
      </c>
      <c r="D247" s="609">
        <v>91</v>
      </c>
      <c r="E247" s="610">
        <f t="shared" si="36"/>
        <v>41542</v>
      </c>
      <c r="F247" s="943">
        <v>1.35E-2</v>
      </c>
      <c r="G247" s="873" t="s">
        <v>120</v>
      </c>
    </row>
    <row r="248" spans="1:7" s="47" customFormat="1">
      <c r="A248" s="942">
        <v>41451</v>
      </c>
      <c r="B248" s="932">
        <v>37251</v>
      </c>
      <c r="C248" s="932">
        <f t="shared" si="35"/>
        <v>37376.377680821919</v>
      </c>
      <c r="D248" s="609">
        <v>91</v>
      </c>
      <c r="E248" s="610">
        <f t="shared" si="36"/>
        <v>41542</v>
      </c>
      <c r="F248" s="943">
        <v>1.35E-2</v>
      </c>
      <c r="G248" s="873" t="s">
        <v>120</v>
      </c>
    </row>
    <row r="249" spans="1:7" s="47" customFormat="1">
      <c r="A249" s="942">
        <v>41451</v>
      </c>
      <c r="B249" s="932">
        <v>12528</v>
      </c>
      <c r="C249" s="932">
        <f t="shared" si="35"/>
        <v>12570.16615890411</v>
      </c>
      <c r="D249" s="609">
        <v>91</v>
      </c>
      <c r="E249" s="610">
        <f t="shared" si="36"/>
        <v>41542</v>
      </c>
      <c r="F249" s="943">
        <v>1.35E-2</v>
      </c>
      <c r="G249" s="873" t="s">
        <v>527</v>
      </c>
    </row>
    <row r="250" spans="1:7" s="47" customFormat="1">
      <c r="A250" s="942">
        <v>41542</v>
      </c>
      <c r="B250" s="932">
        <v>438248</v>
      </c>
      <c r="C250" s="932">
        <f>B250+(B250*F250/365*D250)*1</f>
        <v>439739.24387945206</v>
      </c>
      <c r="D250" s="609">
        <v>92</v>
      </c>
      <c r="E250" s="610">
        <f>A250+D250</f>
        <v>41634</v>
      </c>
      <c r="F250" s="943">
        <v>1.35E-2</v>
      </c>
      <c r="G250" s="873" t="s">
        <v>120</v>
      </c>
    </row>
    <row r="251" spans="1:7" s="47" customFormat="1">
      <c r="A251" s="942">
        <v>41542</v>
      </c>
      <c r="B251" s="932">
        <v>37376</v>
      </c>
      <c r="C251" s="932">
        <f>B251+(B251*F251/365*D251)*1</f>
        <v>37503.180800000002</v>
      </c>
      <c r="D251" s="609">
        <v>92</v>
      </c>
      <c r="E251" s="610">
        <f>A251+D251</f>
        <v>41634</v>
      </c>
      <c r="F251" s="943">
        <v>1.35E-2</v>
      </c>
      <c r="G251" s="873" t="s">
        <v>534</v>
      </c>
    </row>
    <row r="252" spans="1:7" s="47" customFormat="1">
      <c r="A252" s="942">
        <v>41542</v>
      </c>
      <c r="B252" s="932">
        <v>12570</v>
      </c>
      <c r="C252" s="932">
        <f>B252+(B252*F252/365*D252)*1</f>
        <v>12612.772438356164</v>
      </c>
      <c r="D252" s="609">
        <v>92</v>
      </c>
      <c r="E252" s="610">
        <f>A252+D252</f>
        <v>41634</v>
      </c>
      <c r="F252" s="943">
        <v>1.35E-2</v>
      </c>
      <c r="G252" s="873" t="s">
        <v>527</v>
      </c>
    </row>
    <row r="253" spans="1:7" s="47" customFormat="1">
      <c r="A253" s="942">
        <v>41634</v>
      </c>
      <c r="B253" s="932">
        <v>439739</v>
      </c>
      <c r="C253" s="932">
        <f>B253+(B253*F253/365*D253)*1</f>
        <v>439882.36696164386</v>
      </c>
      <c r="D253" s="609">
        <v>34</v>
      </c>
      <c r="E253" s="610">
        <f>A253+D253</f>
        <v>41668</v>
      </c>
      <c r="F253" s="943">
        <v>3.5000000000000001E-3</v>
      </c>
      <c r="G253" s="873" t="s">
        <v>120</v>
      </c>
    </row>
    <row r="254" spans="1:7" s="47" customFormat="1">
      <c r="A254" s="942">
        <v>41634</v>
      </c>
      <c r="B254" s="932">
        <v>12613</v>
      </c>
      <c r="C254" s="932">
        <f>B254+(B254*F254/365*D254)*1</f>
        <v>12617.112183561643</v>
      </c>
      <c r="D254" s="609">
        <v>34</v>
      </c>
      <c r="E254" s="610">
        <f>A254+D254</f>
        <v>41668</v>
      </c>
      <c r="F254" s="943">
        <v>3.5000000000000001E-3</v>
      </c>
      <c r="G254" s="873" t="s">
        <v>527</v>
      </c>
    </row>
    <row r="257" spans="1:7" s="47" customFormat="1" ht="14">
      <c r="A257" s="315">
        <v>41639</v>
      </c>
      <c r="B257" s="316">
        <f>SUM(B243:B254)</f>
        <v>1924627.3796712328</v>
      </c>
      <c r="C257" s="316">
        <f>SUM(C243:C254)</f>
        <v>1929590.6897511089</v>
      </c>
      <c r="D257" s="317">
        <f>+C257-B257</f>
        <v>4963.3100798761006</v>
      </c>
      <c r="E257" s="318"/>
      <c r="F257" s="319"/>
      <c r="G257" s="320"/>
    </row>
    <row r="258" spans="1:7" s="47" customFormat="1">
      <c r="A258" s="942"/>
      <c r="B258" s="932"/>
      <c r="C258" s="932"/>
      <c r="D258" s="609"/>
      <c r="E258" s="610"/>
      <c r="F258" s="943"/>
      <c r="G258" s="873"/>
    </row>
    <row r="259" spans="1:7" s="47" customFormat="1">
      <c r="A259" s="942"/>
      <c r="B259" s="932"/>
      <c r="C259" s="932"/>
      <c r="D259" s="609"/>
      <c r="E259" s="610"/>
      <c r="F259" s="943"/>
      <c r="G259" s="873"/>
    </row>
    <row r="260" spans="1:7" s="47" customFormat="1">
      <c r="A260" s="942"/>
      <c r="B260" s="932"/>
      <c r="C260" s="932"/>
      <c r="D260" s="609"/>
      <c r="E260" s="610"/>
      <c r="F260" s="943"/>
      <c r="G260" s="873"/>
    </row>
    <row r="261" spans="1:7" s="47" customFormat="1">
      <c r="A261" s="942"/>
      <c r="B261" s="932"/>
      <c r="C261" s="932"/>
      <c r="D261" s="609"/>
      <c r="E261" s="610"/>
      <c r="F261" s="943"/>
      <c r="G261" s="873"/>
    </row>
    <row r="262" spans="1:7" s="47" customFormat="1">
      <c r="A262" s="942"/>
      <c r="B262" s="932"/>
      <c r="C262" s="932"/>
      <c r="D262" s="609"/>
      <c r="E262" s="610"/>
      <c r="F262" s="943"/>
      <c r="G262" s="873"/>
    </row>
    <row r="263" spans="1:7" s="47" customFormat="1">
      <c r="A263" s="942">
        <v>41646</v>
      </c>
      <c r="B263" s="932">
        <v>70150</v>
      </c>
      <c r="C263" s="932">
        <f t="shared" ref="C263:C288" si="37">B263+(B263*F263/365*D263)*1</f>
        <v>70203.81369863014</v>
      </c>
      <c r="D263" s="609">
        <v>35</v>
      </c>
      <c r="E263" s="610">
        <f t="shared" ref="E263:E288" si="38">A263+D263</f>
        <v>41681</v>
      </c>
      <c r="F263" s="943">
        <v>8.0000000000000002E-3</v>
      </c>
      <c r="G263" s="873" t="s">
        <v>527</v>
      </c>
    </row>
    <row r="264" spans="1:7" s="47" customFormat="1">
      <c r="A264" s="942">
        <v>41677</v>
      </c>
      <c r="B264" s="932">
        <v>439882</v>
      </c>
      <c r="C264" s="932">
        <f t="shared" si="37"/>
        <v>440722.59642465756</v>
      </c>
      <c r="D264" s="609">
        <v>31</v>
      </c>
      <c r="E264" s="610">
        <f t="shared" si="38"/>
        <v>41708</v>
      </c>
      <c r="F264" s="943">
        <v>2.2499999999999999E-2</v>
      </c>
      <c r="G264" s="873" t="s">
        <v>120</v>
      </c>
    </row>
    <row r="265" spans="1:7" s="47" customFormat="1">
      <c r="A265" s="942">
        <v>41677</v>
      </c>
      <c r="B265" s="932">
        <v>12617</v>
      </c>
      <c r="C265" s="932">
        <f t="shared" si="37"/>
        <v>12641.11056849315</v>
      </c>
      <c r="D265" s="609">
        <v>31</v>
      </c>
      <c r="E265" s="610">
        <f t="shared" si="38"/>
        <v>41708</v>
      </c>
      <c r="F265" s="943">
        <v>2.2499999999999999E-2</v>
      </c>
      <c r="G265" s="873" t="s">
        <v>527</v>
      </c>
    </row>
    <row r="266" spans="1:7" s="47" customFormat="1">
      <c r="A266" s="942">
        <v>41708</v>
      </c>
      <c r="B266" s="932">
        <v>226682</v>
      </c>
      <c r="C266" s="932">
        <f t="shared" si="37"/>
        <v>227101.20643835617</v>
      </c>
      <c r="D266" s="609">
        <v>30</v>
      </c>
      <c r="E266" s="610">
        <f t="shared" si="38"/>
        <v>41738</v>
      </c>
      <c r="F266" s="943">
        <v>2.2499999999999999E-2</v>
      </c>
      <c r="G266" s="873" t="s">
        <v>120</v>
      </c>
    </row>
    <row r="267" spans="1:7" s="47" customFormat="1">
      <c r="A267" s="942">
        <v>41738</v>
      </c>
      <c r="B267" s="932">
        <v>226682</v>
      </c>
      <c r="C267" s="932">
        <f t="shared" si="37"/>
        <v>227171.0741780822</v>
      </c>
      <c r="D267" s="609">
        <v>35</v>
      </c>
      <c r="E267" s="610">
        <f t="shared" si="38"/>
        <v>41773</v>
      </c>
      <c r="F267" s="943">
        <v>2.2499999999999999E-2</v>
      </c>
      <c r="G267" s="873" t="s">
        <v>120</v>
      </c>
    </row>
    <row r="268" spans="1:7" s="47" customFormat="1">
      <c r="A268" s="942">
        <v>41773</v>
      </c>
      <c r="B268" s="932">
        <v>227171.0741780822</v>
      </c>
      <c r="C268" s="932">
        <f t="shared" si="37"/>
        <v>227388.90945469131</v>
      </c>
      <c r="D268" s="609">
        <v>35</v>
      </c>
      <c r="E268" s="610">
        <f t="shared" si="38"/>
        <v>41808</v>
      </c>
      <c r="F268" s="943">
        <v>0.01</v>
      </c>
      <c r="G268" s="873" t="s">
        <v>120</v>
      </c>
    </row>
    <row r="269" spans="1:7" s="47" customFormat="1">
      <c r="A269" s="942">
        <v>41813</v>
      </c>
      <c r="B269" s="932">
        <v>77679</v>
      </c>
      <c r="C269" s="932">
        <f t="shared" si="37"/>
        <v>77734.120167123285</v>
      </c>
      <c r="D269" s="609">
        <v>37</v>
      </c>
      <c r="E269" s="610">
        <f t="shared" si="38"/>
        <v>41850</v>
      </c>
      <c r="F269" s="943">
        <v>7.0000000000000001E-3</v>
      </c>
      <c r="G269" s="873" t="s">
        <v>535</v>
      </c>
    </row>
    <row r="270" spans="1:7" s="47" customFormat="1">
      <c r="A270" s="942">
        <v>41708</v>
      </c>
      <c r="B270" s="932">
        <v>226682</v>
      </c>
      <c r="C270" s="932">
        <f t="shared" si="37"/>
        <v>230110.17709589042</v>
      </c>
      <c r="D270" s="609">
        <v>184</v>
      </c>
      <c r="E270" s="610">
        <f t="shared" si="38"/>
        <v>41892</v>
      </c>
      <c r="F270" s="943">
        <v>0.03</v>
      </c>
      <c r="G270" s="873" t="s">
        <v>527</v>
      </c>
    </row>
    <row r="271" spans="1:7" s="47" customFormat="1">
      <c r="A271" s="942">
        <v>41894</v>
      </c>
      <c r="B271" s="932">
        <v>230112</v>
      </c>
      <c r="C271" s="932">
        <f t="shared" si="37"/>
        <v>230278.43717260275</v>
      </c>
      <c r="D271" s="609">
        <v>33</v>
      </c>
      <c r="E271" s="610">
        <f t="shared" si="38"/>
        <v>41927</v>
      </c>
      <c r="F271" s="943">
        <v>8.0000000000000002E-3</v>
      </c>
      <c r="G271" s="873" t="s">
        <v>527</v>
      </c>
    </row>
    <row r="272" spans="1:7" s="47" customFormat="1">
      <c r="A272" s="942">
        <v>41927</v>
      </c>
      <c r="B272" s="932">
        <v>230278</v>
      </c>
      <c r="C272" s="932">
        <f t="shared" si="37"/>
        <v>230454.65161643835</v>
      </c>
      <c r="D272" s="609">
        <v>35</v>
      </c>
      <c r="E272" s="610">
        <f t="shared" si="38"/>
        <v>41962</v>
      </c>
      <c r="F272" s="943">
        <v>8.0000000000000002E-3</v>
      </c>
      <c r="G272" s="873" t="s">
        <v>527</v>
      </c>
    </row>
    <row r="273" spans="1:8" s="47" customFormat="1">
      <c r="A273" s="942">
        <v>41942</v>
      </c>
      <c r="B273" s="932">
        <v>100000</v>
      </c>
      <c r="C273" s="932">
        <f t="shared" si="37"/>
        <v>100074.52054794521</v>
      </c>
      <c r="D273" s="609">
        <v>34</v>
      </c>
      <c r="E273" s="610">
        <f t="shared" si="38"/>
        <v>41976</v>
      </c>
      <c r="F273" s="943">
        <v>8.0000000000000002E-3</v>
      </c>
      <c r="G273" s="873" t="s">
        <v>527</v>
      </c>
      <c r="H273" s="862"/>
    </row>
    <row r="274" spans="1:8" s="47" customFormat="1">
      <c r="A274" s="942">
        <v>41962</v>
      </c>
      <c r="B274" s="932">
        <v>50000</v>
      </c>
      <c r="C274" s="932">
        <f t="shared" si="37"/>
        <v>50037.260273972606</v>
      </c>
      <c r="D274" s="609">
        <v>34</v>
      </c>
      <c r="E274" s="610">
        <f t="shared" si="38"/>
        <v>41996</v>
      </c>
      <c r="F274" s="943">
        <v>8.0000000000000002E-3</v>
      </c>
      <c r="G274" s="873" t="s">
        <v>527</v>
      </c>
      <c r="H274" s="862"/>
    </row>
    <row r="275" spans="1:8" s="47" customFormat="1">
      <c r="A275" s="942">
        <v>41968</v>
      </c>
      <c r="B275" s="932">
        <v>234577</v>
      </c>
      <c r="C275" s="932">
        <f t="shared" si="37"/>
        <v>234756.94947945204</v>
      </c>
      <c r="D275" s="609">
        <v>35</v>
      </c>
      <c r="E275" s="610">
        <f t="shared" si="38"/>
        <v>42003</v>
      </c>
      <c r="F275" s="943">
        <v>8.0000000000000002E-3</v>
      </c>
      <c r="G275" s="873" t="s">
        <v>527</v>
      </c>
      <c r="H275" s="862"/>
    </row>
    <row r="276" spans="1:8" s="47" customFormat="1">
      <c r="A276" s="942">
        <v>41977</v>
      </c>
      <c r="B276" s="932">
        <v>100075</v>
      </c>
      <c r="C276" s="932">
        <f t="shared" si="37"/>
        <v>100149.57643835616</v>
      </c>
      <c r="D276" s="609">
        <v>34</v>
      </c>
      <c r="E276" s="610">
        <f t="shared" si="38"/>
        <v>42011</v>
      </c>
      <c r="F276" s="943">
        <v>8.0000000000000002E-3</v>
      </c>
      <c r="G276" s="873" t="s">
        <v>527</v>
      </c>
      <c r="H276" s="862"/>
    </row>
    <row r="277" spans="1:8" s="47" customFormat="1">
      <c r="A277" s="942">
        <v>42003</v>
      </c>
      <c r="B277" s="932">
        <v>234757</v>
      </c>
      <c r="C277" s="932">
        <f t="shared" si="37"/>
        <v>234942.23292054795</v>
      </c>
      <c r="D277" s="609">
        <v>36</v>
      </c>
      <c r="E277" s="610">
        <f t="shared" si="38"/>
        <v>42039</v>
      </c>
      <c r="F277" s="943">
        <v>8.0000000000000002E-3</v>
      </c>
      <c r="G277" s="873" t="s">
        <v>527</v>
      </c>
      <c r="H277" s="862"/>
    </row>
    <row r="278" spans="1:8" s="47" customFormat="1">
      <c r="A278" s="942"/>
      <c r="B278" s="932"/>
      <c r="C278" s="932"/>
      <c r="D278" s="609"/>
      <c r="E278" s="610"/>
      <c r="F278" s="943"/>
      <c r="G278" s="873"/>
      <c r="H278" s="862"/>
    </row>
    <row r="279" spans="1:8" s="47" customFormat="1">
      <c r="A279" s="942"/>
      <c r="B279" s="932">
        <f>SUM(B263:B278)</f>
        <v>2687344.0741780819</v>
      </c>
      <c r="C279" s="932">
        <f>SUM(C263:C278)</f>
        <v>2693766.6364752394</v>
      </c>
      <c r="D279" s="609">
        <f>+C279-B279</f>
        <v>6422.5622971574776</v>
      </c>
      <c r="E279" s="610"/>
      <c r="F279" s="943"/>
      <c r="G279" s="873"/>
      <c r="H279" s="862"/>
    </row>
    <row r="280" spans="1:8" s="47" customFormat="1">
      <c r="A280" s="942"/>
      <c r="B280" s="932"/>
      <c r="C280" s="932"/>
      <c r="D280" s="609"/>
      <c r="E280" s="610"/>
      <c r="F280" s="943"/>
      <c r="G280" s="873"/>
      <c r="H280" s="862"/>
    </row>
    <row r="281" spans="1:8" s="47" customFormat="1">
      <c r="A281" s="942">
        <v>42017</v>
      </c>
      <c r="B281" s="932">
        <f>30547</f>
        <v>30547</v>
      </c>
      <c r="C281" s="932">
        <f t="shared" si="37"/>
        <v>30571.102838356164</v>
      </c>
      <c r="D281" s="609">
        <v>36</v>
      </c>
      <c r="E281" s="610">
        <f t="shared" si="38"/>
        <v>42053</v>
      </c>
      <c r="F281" s="943">
        <v>8.0000000000000002E-3</v>
      </c>
      <c r="G281" s="873" t="s">
        <v>527</v>
      </c>
      <c r="H281" s="862"/>
    </row>
    <row r="282" spans="1:8" s="47" customFormat="1">
      <c r="A282" s="942">
        <v>42040</v>
      </c>
      <c r="B282" s="932">
        <v>234942</v>
      </c>
      <c r="C282" s="932">
        <f t="shared" si="37"/>
        <v>235117.08006575343</v>
      </c>
      <c r="D282" s="609">
        <v>34</v>
      </c>
      <c r="E282" s="610">
        <f t="shared" si="38"/>
        <v>42074</v>
      </c>
      <c r="F282" s="943">
        <v>8.0000000000000002E-3</v>
      </c>
      <c r="G282" s="873" t="s">
        <v>527</v>
      </c>
      <c r="H282" s="862"/>
    </row>
    <row r="283" spans="1:8" s="47" customFormat="1">
      <c r="A283" s="942">
        <v>42061</v>
      </c>
      <c r="B283" s="932">
        <v>30571</v>
      </c>
      <c r="C283" s="932">
        <f t="shared" si="37"/>
        <v>30698.225613698629</v>
      </c>
      <c r="D283" s="609">
        <v>62</v>
      </c>
      <c r="E283" s="610">
        <f t="shared" si="38"/>
        <v>42123</v>
      </c>
      <c r="F283" s="943">
        <v>2.4500000000000001E-2</v>
      </c>
      <c r="G283" s="873" t="s">
        <v>527</v>
      </c>
      <c r="H283" s="862">
        <f>+C283/3</f>
        <v>10232.741871232876</v>
      </c>
    </row>
    <row r="284" spans="1:8" s="47" customFormat="1">
      <c r="A284" s="942">
        <v>42061</v>
      </c>
      <c r="B284" s="932">
        <v>70204</v>
      </c>
      <c r="C284" s="932">
        <f t="shared" si="37"/>
        <v>70740.62783561644</v>
      </c>
      <c r="D284" s="609">
        <v>90</v>
      </c>
      <c r="E284" s="610">
        <f t="shared" si="38"/>
        <v>42151</v>
      </c>
      <c r="F284" s="943">
        <v>3.1E-2</v>
      </c>
      <c r="G284" s="873" t="s">
        <v>527</v>
      </c>
      <c r="H284" s="862"/>
    </row>
    <row r="285" spans="1:8" s="47" customFormat="1">
      <c r="A285" s="942">
        <v>42102</v>
      </c>
      <c r="B285" s="932">
        <v>8500</v>
      </c>
      <c r="C285" s="932">
        <f t="shared" si="37"/>
        <v>8534.8034246575335</v>
      </c>
      <c r="D285" s="609">
        <v>61</v>
      </c>
      <c r="E285" s="610">
        <f t="shared" si="38"/>
        <v>42163</v>
      </c>
      <c r="F285" s="943">
        <v>2.4500000000000001E-2</v>
      </c>
      <c r="G285" s="873" t="s">
        <v>536</v>
      </c>
      <c r="H285" s="862"/>
    </row>
    <row r="286" spans="1:8" s="47" customFormat="1">
      <c r="A286" s="942">
        <v>42074</v>
      </c>
      <c r="B286" s="932">
        <v>78372</v>
      </c>
      <c r="C286" s="932">
        <f t="shared" si="37"/>
        <v>78977.718936986304</v>
      </c>
      <c r="D286" s="609">
        <v>91</v>
      </c>
      <c r="E286" s="610">
        <f t="shared" si="38"/>
        <v>42165</v>
      </c>
      <c r="F286" s="943">
        <v>3.1E-2</v>
      </c>
      <c r="G286" s="873" t="s">
        <v>527</v>
      </c>
      <c r="H286" s="862"/>
    </row>
    <row r="287" spans="1:8" s="47" customFormat="1">
      <c r="A287" s="942">
        <v>42074</v>
      </c>
      <c r="B287" s="932">
        <v>78372</v>
      </c>
      <c r="C287" s="932">
        <f t="shared" si="37"/>
        <v>78977.718936986304</v>
      </c>
      <c r="D287" s="609">
        <v>91</v>
      </c>
      <c r="E287" s="610">
        <f t="shared" si="38"/>
        <v>42165</v>
      </c>
      <c r="F287" s="943">
        <v>3.1E-2</v>
      </c>
      <c r="G287" s="873" t="s">
        <v>527</v>
      </c>
      <c r="H287" s="862"/>
    </row>
    <row r="288" spans="1:8" s="47" customFormat="1">
      <c r="A288" s="942">
        <v>42074</v>
      </c>
      <c r="B288" s="932">
        <v>78372</v>
      </c>
      <c r="C288" s="932">
        <f t="shared" si="37"/>
        <v>79210.687758904111</v>
      </c>
      <c r="D288" s="609">
        <v>126</v>
      </c>
      <c r="E288" s="610">
        <f t="shared" si="38"/>
        <v>42200</v>
      </c>
      <c r="F288" s="943">
        <v>3.1E-2</v>
      </c>
      <c r="G288" s="873" t="s">
        <v>527</v>
      </c>
      <c r="H288" s="862"/>
    </row>
    <row r="289" spans="1:20" s="47" customFormat="1" ht="13">
      <c r="A289" s="942">
        <v>42138</v>
      </c>
      <c r="B289" s="932">
        <v>1793</v>
      </c>
      <c r="C289" s="932">
        <f t="shared" ref="C289:C318" si="39">B289+(B289*F289/365*D289)*1</f>
        <v>1800.4618273972603</v>
      </c>
      <c r="D289" s="609">
        <v>62</v>
      </c>
      <c r="E289" s="610">
        <f t="shared" ref="E289:E318" si="40">A289+D289</f>
        <v>42200</v>
      </c>
      <c r="F289" s="943">
        <v>2.4500000000000001E-2</v>
      </c>
      <c r="G289" s="873" t="s">
        <v>527</v>
      </c>
      <c r="H289" s="862"/>
      <c r="I289" s="647"/>
      <c r="J289" s="862"/>
      <c r="K289" s="986"/>
      <c r="L289" s="870"/>
      <c r="M289" s="940"/>
      <c r="N289" s="941"/>
      <c r="O289" s="872"/>
      <c r="P289" s="151"/>
      <c r="Q289"/>
      <c r="R289"/>
      <c r="S289"/>
      <c r="T289"/>
    </row>
    <row r="290" spans="1:20" s="47" customFormat="1" ht="13">
      <c r="A290" s="942">
        <v>42123</v>
      </c>
      <c r="B290" s="932">
        <v>37699</v>
      </c>
      <c r="C290" s="932">
        <f t="shared" si="39"/>
        <v>37990.36679178082</v>
      </c>
      <c r="D290" s="609">
        <v>91</v>
      </c>
      <c r="E290" s="610">
        <f t="shared" si="40"/>
        <v>42214</v>
      </c>
      <c r="F290" s="943">
        <v>3.1E-2</v>
      </c>
      <c r="G290" s="873" t="s">
        <v>527</v>
      </c>
      <c r="H290" s="862"/>
      <c r="I290" s="647"/>
      <c r="J290" s="862"/>
      <c r="K290" s="986"/>
      <c r="L290" s="870"/>
      <c r="M290" s="940"/>
      <c r="N290" s="941"/>
      <c r="O290" s="872"/>
      <c r="P290" s="151"/>
      <c r="Q290"/>
      <c r="R290"/>
      <c r="S290"/>
      <c r="T290"/>
    </row>
    <row r="291" spans="1:20" s="47" customFormat="1" ht="13">
      <c r="A291" s="942">
        <v>42205</v>
      </c>
      <c r="B291" s="932">
        <v>10507</v>
      </c>
      <c r="C291" s="932">
        <f t="shared" si="39"/>
        <v>10531.684253424657</v>
      </c>
      <c r="D291" s="609">
        <v>35</v>
      </c>
      <c r="E291" s="610">
        <f t="shared" si="40"/>
        <v>42240</v>
      </c>
      <c r="F291" s="943">
        <v>2.4500000000000001E-2</v>
      </c>
      <c r="G291" s="873" t="s">
        <v>527</v>
      </c>
      <c r="H291" s="862">
        <f>+C291/3</f>
        <v>3510.5614178082192</v>
      </c>
      <c r="I291" s="647"/>
      <c r="J291" s="862"/>
      <c r="K291" s="986"/>
      <c r="L291" s="870"/>
      <c r="M291" s="940"/>
      <c r="N291" s="941"/>
      <c r="O291" s="872"/>
      <c r="P291" s="151"/>
      <c r="Q291"/>
      <c r="R291"/>
      <c r="S291"/>
      <c r="T291"/>
    </row>
    <row r="292" spans="1:20" s="47" customFormat="1" ht="13">
      <c r="A292" s="942">
        <v>42152</v>
      </c>
      <c r="B292" s="932">
        <v>70741</v>
      </c>
      <c r="C292" s="932">
        <f t="shared" si="39"/>
        <v>71323.789553424664</v>
      </c>
      <c r="D292" s="609">
        <v>97</v>
      </c>
      <c r="E292" s="610">
        <f t="shared" si="40"/>
        <v>42249</v>
      </c>
      <c r="F292" s="943">
        <v>3.1E-2</v>
      </c>
      <c r="G292" s="873" t="s">
        <v>527</v>
      </c>
      <c r="H292" s="862">
        <f>+C292/3</f>
        <v>23774.596517808222</v>
      </c>
      <c r="I292" s="647"/>
      <c r="J292" s="862"/>
      <c r="K292" s="986"/>
      <c r="L292" s="870"/>
      <c r="M292" s="940"/>
      <c r="N292" s="941"/>
      <c r="O292" s="872"/>
      <c r="P292" s="151"/>
      <c r="Q292"/>
      <c r="R292"/>
      <c r="S292"/>
      <c r="T292"/>
    </row>
    <row r="293" spans="1:20">
      <c r="A293" s="942">
        <v>42157</v>
      </c>
      <c r="B293" s="932">
        <v>12000</v>
      </c>
      <c r="C293" s="932">
        <f t="shared" si="39"/>
        <v>12093.764383561644</v>
      </c>
      <c r="D293" s="609">
        <v>92</v>
      </c>
      <c r="E293" s="610">
        <f t="shared" si="40"/>
        <v>42249</v>
      </c>
      <c r="F293" s="943">
        <v>3.1E-2</v>
      </c>
      <c r="G293" s="873" t="s">
        <v>527</v>
      </c>
    </row>
    <row r="294" spans="1:20" s="47" customFormat="1" ht="13">
      <c r="A294" s="420">
        <v>42163</v>
      </c>
      <c r="B294" s="454">
        <v>9617</v>
      </c>
      <c r="C294" s="454">
        <f t="shared" si="39"/>
        <v>9691.3275534246568</v>
      </c>
      <c r="D294" s="421">
        <v>91</v>
      </c>
      <c r="E294" s="422">
        <f t="shared" si="40"/>
        <v>42254</v>
      </c>
      <c r="F294" s="423">
        <v>3.1E-2</v>
      </c>
      <c r="G294" s="424" t="s">
        <v>536</v>
      </c>
      <c r="H294" s="862"/>
      <c r="I294" s="647"/>
      <c r="J294" s="862"/>
      <c r="K294" s="986"/>
      <c r="L294" s="870"/>
      <c r="M294" s="940"/>
      <c r="N294" s="941"/>
      <c r="O294" s="872"/>
      <c r="P294" s="151"/>
      <c r="Q294"/>
      <c r="R294"/>
      <c r="S294"/>
      <c r="T294"/>
    </row>
    <row r="295" spans="1:20" s="47" customFormat="1" ht="13">
      <c r="A295" s="420">
        <v>42165</v>
      </c>
      <c r="B295" s="454">
        <v>78978</v>
      </c>
      <c r="C295" s="454">
        <f t="shared" si="39"/>
        <v>79588.402569863014</v>
      </c>
      <c r="D295" s="421">
        <v>91</v>
      </c>
      <c r="E295" s="422">
        <f t="shared" si="40"/>
        <v>42256</v>
      </c>
      <c r="F295" s="423">
        <v>3.1E-2</v>
      </c>
      <c r="G295" s="424" t="s">
        <v>527</v>
      </c>
      <c r="H295" s="862"/>
      <c r="I295" s="647"/>
      <c r="J295" s="862"/>
      <c r="K295" s="986"/>
      <c r="L295" s="870"/>
      <c r="M295" s="940"/>
      <c r="N295" s="941"/>
      <c r="O295" s="872"/>
      <c r="P295" s="151"/>
      <c r="Q295"/>
      <c r="R295"/>
      <c r="S295"/>
      <c r="T295"/>
    </row>
    <row r="296" spans="1:20" s="47" customFormat="1" ht="13">
      <c r="A296" s="420">
        <v>42165</v>
      </c>
      <c r="B296" s="454">
        <v>78978</v>
      </c>
      <c r="C296" s="454">
        <f t="shared" si="39"/>
        <v>79588.402569863014</v>
      </c>
      <c r="D296" s="421">
        <v>91</v>
      </c>
      <c r="E296" s="422">
        <f t="shared" si="40"/>
        <v>42256</v>
      </c>
      <c r="F296" s="423">
        <v>3.1E-2</v>
      </c>
      <c r="G296" s="424" t="s">
        <v>527</v>
      </c>
      <c r="H296" s="862"/>
      <c r="I296" s="647"/>
      <c r="J296" s="862"/>
      <c r="K296" s="986"/>
      <c r="L296" s="870"/>
      <c r="M296" s="940"/>
      <c r="N296" s="941"/>
      <c r="O296" s="872"/>
      <c r="P296" s="151"/>
      <c r="Q296"/>
      <c r="R296"/>
      <c r="S296"/>
      <c r="T296"/>
    </row>
    <row r="297" spans="1:20" s="47" customFormat="1" ht="13">
      <c r="A297" s="420">
        <v>42165</v>
      </c>
      <c r="B297" s="454">
        <v>4375</v>
      </c>
      <c r="C297" s="454">
        <f t="shared" si="39"/>
        <v>4408.8133561643835</v>
      </c>
      <c r="D297" s="421">
        <v>91</v>
      </c>
      <c r="E297" s="422">
        <f t="shared" si="40"/>
        <v>42256</v>
      </c>
      <c r="F297" s="423">
        <v>3.1E-2</v>
      </c>
      <c r="G297" s="424" t="s">
        <v>527</v>
      </c>
      <c r="H297" s="862"/>
      <c r="I297" s="647"/>
      <c r="J297" s="862"/>
      <c r="K297" s="986"/>
      <c r="L297" s="870"/>
      <c r="M297" s="940">
        <v>300800033258</v>
      </c>
      <c r="N297" s="941">
        <v>42305</v>
      </c>
      <c r="O297" s="872" t="s">
        <v>537</v>
      </c>
      <c r="P297" s="151" t="s">
        <v>538</v>
      </c>
      <c r="Q297" t="s">
        <v>539</v>
      </c>
      <c r="R297"/>
      <c r="S297"/>
      <c r="T297"/>
    </row>
    <row r="298" spans="1:20" s="47" customFormat="1">
      <c r="A298" s="420">
        <v>42200</v>
      </c>
      <c r="B298" s="454">
        <v>79211</v>
      </c>
      <c r="C298" s="454">
        <f t="shared" si="39"/>
        <v>79823.203372602744</v>
      </c>
      <c r="D298" s="421">
        <v>91</v>
      </c>
      <c r="E298" s="422">
        <f t="shared" si="40"/>
        <v>42291</v>
      </c>
      <c r="F298" s="423">
        <v>3.1E-2</v>
      </c>
      <c r="G298" s="424" t="s">
        <v>527</v>
      </c>
      <c r="H298" s="862"/>
      <c r="I298" s="647"/>
      <c r="J298" s="862"/>
      <c r="K298" s="986"/>
      <c r="L298" s="870"/>
      <c r="M298" s="442"/>
      <c r="N298" s="455"/>
      <c r="O298" s="442"/>
      <c r="P298" s="442"/>
      <c r="Q298" s="442"/>
      <c r="R298" s="442"/>
      <c r="S298" s="442"/>
      <c r="T298" s="442"/>
    </row>
    <row r="299" spans="1:20" s="47" customFormat="1">
      <c r="A299" s="420">
        <v>42214</v>
      </c>
      <c r="B299" s="454">
        <v>37990</v>
      </c>
      <c r="C299" s="454">
        <f t="shared" si="39"/>
        <v>38283.6158630137</v>
      </c>
      <c r="D299" s="421">
        <v>91</v>
      </c>
      <c r="E299" s="422">
        <f t="shared" si="40"/>
        <v>42305</v>
      </c>
      <c r="F299" s="423">
        <v>3.1E-2</v>
      </c>
      <c r="G299" s="424" t="s">
        <v>527</v>
      </c>
      <c r="H299" s="862"/>
      <c r="I299" s="647"/>
      <c r="J299" s="862"/>
      <c r="K299" s="986"/>
      <c r="L299" s="870"/>
      <c r="M299" s="442"/>
      <c r="N299" s="455"/>
      <c r="O299" s="442"/>
      <c r="P299" s="442"/>
      <c r="Q299" s="442"/>
      <c r="R299" s="442"/>
      <c r="S299" s="442"/>
      <c r="T299" s="442"/>
    </row>
    <row r="300" spans="1:20" s="47" customFormat="1">
      <c r="A300" s="420">
        <v>42256</v>
      </c>
      <c r="B300" s="454">
        <v>4409</v>
      </c>
      <c r="C300" s="454">
        <f t="shared" si="39"/>
        <v>4425.5730082191785</v>
      </c>
      <c r="D300" s="421">
        <v>56</v>
      </c>
      <c r="E300" s="422">
        <f t="shared" si="40"/>
        <v>42312</v>
      </c>
      <c r="F300" s="423">
        <v>2.4500000000000001E-2</v>
      </c>
      <c r="G300" s="424" t="s">
        <v>527</v>
      </c>
      <c r="H300" s="862"/>
      <c r="I300" s="647"/>
      <c r="J300" s="862"/>
      <c r="K300" s="986"/>
      <c r="L300" s="870"/>
      <c r="M300" s="1173"/>
      <c r="N300" s="1173"/>
      <c r="O300" s="1173"/>
      <c r="P300" s="1173"/>
      <c r="Q300" s="1173"/>
      <c r="R300" s="1173"/>
      <c r="S300" s="1173"/>
      <c r="T300" s="1173"/>
    </row>
    <row r="301" spans="1:20" s="47" customFormat="1">
      <c r="A301" s="420">
        <v>42249</v>
      </c>
      <c r="B301" s="454">
        <v>22626</v>
      </c>
      <c r="C301" s="454">
        <f t="shared" si="39"/>
        <v>22721.680084931508</v>
      </c>
      <c r="D301" s="421">
        <v>63</v>
      </c>
      <c r="E301" s="422">
        <f t="shared" si="40"/>
        <v>42312</v>
      </c>
      <c r="F301" s="423">
        <v>2.4500000000000001E-2</v>
      </c>
      <c r="G301" s="424" t="s">
        <v>527</v>
      </c>
      <c r="H301" s="862"/>
      <c r="I301" s="647"/>
      <c r="J301" s="862"/>
      <c r="K301" s="986"/>
      <c r="L301" s="870"/>
      <c r="M301" s="442"/>
      <c r="N301" s="455"/>
      <c r="O301" s="442"/>
      <c r="P301" s="442"/>
      <c r="Q301" s="442"/>
      <c r="R301" s="442"/>
      <c r="S301" s="442"/>
      <c r="T301" s="442"/>
    </row>
    <row r="302" spans="1:20" s="47" customFormat="1">
      <c r="A302" s="420">
        <v>42279</v>
      </c>
      <c r="B302" s="454">
        <v>9691</v>
      </c>
      <c r="C302" s="454">
        <f t="shared" si="39"/>
        <v>9712.4662287671235</v>
      </c>
      <c r="D302" s="421">
        <v>33</v>
      </c>
      <c r="E302" s="422">
        <f t="shared" si="40"/>
        <v>42312</v>
      </c>
      <c r="F302" s="423">
        <v>2.4500000000000001E-2</v>
      </c>
      <c r="G302" s="424" t="s">
        <v>527</v>
      </c>
      <c r="H302" s="862"/>
      <c r="I302" s="647"/>
      <c r="J302" s="862"/>
      <c r="K302" s="986"/>
      <c r="L302" s="870"/>
      <c r="M302" s="1173"/>
      <c r="N302" s="1173"/>
      <c r="O302" s="1173"/>
      <c r="P302" s="1173"/>
      <c r="Q302" s="1173"/>
      <c r="R302" s="1173"/>
      <c r="S302" s="1173"/>
      <c r="T302" s="1173"/>
    </row>
    <row r="303" spans="1:20" s="47" customFormat="1">
      <c r="A303" s="420">
        <v>42249</v>
      </c>
      <c r="B303" s="454">
        <v>71324</v>
      </c>
      <c r="C303" s="454">
        <f t="shared" si="39"/>
        <v>71875.246586301364</v>
      </c>
      <c r="D303" s="421">
        <v>91</v>
      </c>
      <c r="E303" s="422">
        <f t="shared" si="40"/>
        <v>42340</v>
      </c>
      <c r="F303" s="423">
        <v>3.1E-2</v>
      </c>
      <c r="G303" s="424" t="s">
        <v>527</v>
      </c>
      <c r="H303" s="862"/>
      <c r="I303" s="647"/>
      <c r="J303" s="862"/>
      <c r="K303" s="986"/>
      <c r="L303" s="870"/>
      <c r="M303" s="442"/>
      <c r="N303" s="455"/>
      <c r="O303" s="442"/>
      <c r="P303" s="442"/>
      <c r="Q303" s="442"/>
      <c r="R303" s="442"/>
      <c r="S303" s="442"/>
      <c r="T303" s="442"/>
    </row>
    <row r="304" spans="1:20" s="47" customFormat="1">
      <c r="A304" s="420">
        <v>42256</v>
      </c>
      <c r="B304" s="454">
        <v>79588</v>
      </c>
      <c r="C304" s="454">
        <f t="shared" si="39"/>
        <v>80203.117117808215</v>
      </c>
      <c r="D304" s="421">
        <v>91</v>
      </c>
      <c r="E304" s="422">
        <f t="shared" si="40"/>
        <v>42347</v>
      </c>
      <c r="F304" s="423">
        <v>3.1E-2</v>
      </c>
      <c r="G304" s="424" t="s">
        <v>527</v>
      </c>
      <c r="H304" s="862"/>
      <c r="I304" s="647"/>
      <c r="J304" s="862"/>
      <c r="K304" s="986"/>
      <c r="L304" s="870"/>
      <c r="M304" s="442"/>
      <c r="N304" s="455"/>
      <c r="O304" s="442"/>
      <c r="P304" s="442"/>
      <c r="Q304" s="442"/>
      <c r="R304" s="442"/>
      <c r="S304" s="442"/>
      <c r="T304" s="442"/>
    </row>
    <row r="305" spans="1:20" s="47" customFormat="1">
      <c r="A305" s="420">
        <v>42256</v>
      </c>
      <c r="B305" s="454">
        <v>79588</v>
      </c>
      <c r="C305" s="454">
        <f t="shared" si="39"/>
        <v>80250.433819178084</v>
      </c>
      <c r="D305" s="421">
        <v>98</v>
      </c>
      <c r="E305" s="422">
        <f t="shared" si="40"/>
        <v>42354</v>
      </c>
      <c r="F305" s="423">
        <v>3.1E-2</v>
      </c>
      <c r="G305" s="424" t="s">
        <v>527</v>
      </c>
      <c r="H305" s="862"/>
      <c r="I305" s="647"/>
      <c r="J305" s="862"/>
      <c r="K305" s="986"/>
      <c r="L305" s="870"/>
      <c r="M305" s="1173"/>
      <c r="N305" s="1173"/>
      <c r="O305" s="1173"/>
      <c r="P305" s="1173"/>
      <c r="Q305" s="1173"/>
      <c r="R305" s="1173"/>
      <c r="S305" s="1173"/>
      <c r="T305" s="1173"/>
    </row>
    <row r="306" spans="1:20" s="47" customFormat="1">
      <c r="A306" s="420">
        <v>42291</v>
      </c>
      <c r="B306" s="454">
        <v>54875</v>
      </c>
      <c r="C306" s="454">
        <f t="shared" si="39"/>
        <v>55107.053595890407</v>
      </c>
      <c r="D306" s="421">
        <v>63</v>
      </c>
      <c r="E306" s="422">
        <f t="shared" si="40"/>
        <v>42354</v>
      </c>
      <c r="F306" s="423">
        <v>2.4500000000000001E-2</v>
      </c>
      <c r="G306" s="424" t="s">
        <v>527</v>
      </c>
      <c r="H306" s="862"/>
      <c r="I306" s="647"/>
      <c r="J306" s="862"/>
      <c r="K306" s="986"/>
      <c r="L306" s="870"/>
      <c r="M306" s="442"/>
      <c r="N306" s="455"/>
      <c r="O306" s="442"/>
      <c r="P306" s="442"/>
      <c r="Q306" s="442"/>
      <c r="R306" s="442"/>
      <c r="S306" s="442"/>
      <c r="T306" s="442"/>
    </row>
    <row r="307" spans="1:20" s="47" customFormat="1">
      <c r="A307" s="420"/>
      <c r="B307" s="454"/>
      <c r="C307" s="454"/>
      <c r="D307" s="421"/>
      <c r="E307" s="422"/>
      <c r="F307" s="423"/>
      <c r="G307" s="424"/>
      <c r="H307" s="862"/>
      <c r="I307" s="647"/>
      <c r="J307" s="862"/>
      <c r="K307" s="986"/>
      <c r="L307" s="870"/>
      <c r="M307" s="442"/>
      <c r="N307" s="455"/>
      <c r="O307" s="442"/>
      <c r="P307" s="442"/>
      <c r="Q307" s="442"/>
      <c r="R307" s="442"/>
      <c r="S307" s="442"/>
      <c r="T307" s="442"/>
    </row>
    <row r="308" spans="1:20" s="47" customFormat="1">
      <c r="A308" s="420"/>
      <c r="B308" s="454"/>
      <c r="C308" s="454"/>
      <c r="D308" s="421"/>
      <c r="E308" s="422"/>
      <c r="F308" s="423"/>
      <c r="G308" s="424"/>
      <c r="H308" s="862"/>
      <c r="I308" s="647"/>
      <c r="J308" s="862"/>
      <c r="K308" s="986"/>
      <c r="L308" s="870"/>
      <c r="M308" s="442"/>
      <c r="N308" s="455"/>
      <c r="O308" s="442"/>
      <c r="P308" s="442"/>
      <c r="Q308" s="442"/>
      <c r="R308" s="442"/>
      <c r="S308" s="442"/>
      <c r="T308" s="442"/>
    </row>
    <row r="309" spans="1:20" s="47" customFormat="1">
      <c r="A309" s="583">
        <v>42291</v>
      </c>
      <c r="B309" s="584">
        <v>79823</v>
      </c>
      <c r="C309" s="584">
        <f t="shared" si="39"/>
        <v>80439.933378082191</v>
      </c>
      <c r="D309" s="585">
        <v>91</v>
      </c>
      <c r="E309" s="586">
        <f t="shared" si="40"/>
        <v>42382</v>
      </c>
      <c r="F309" s="587">
        <v>3.1E-2</v>
      </c>
      <c r="G309" s="588" t="s">
        <v>527</v>
      </c>
      <c r="H309" s="862"/>
      <c r="I309" s="647"/>
      <c r="J309" s="862"/>
      <c r="K309" s="986"/>
      <c r="L309" s="870"/>
      <c r="M309" s="442"/>
      <c r="N309" s="455"/>
      <c r="O309" s="442"/>
      <c r="P309" s="442"/>
      <c r="Q309" s="442"/>
      <c r="R309" s="442"/>
      <c r="S309" s="442"/>
      <c r="T309" s="442"/>
    </row>
    <row r="310" spans="1:20" s="47" customFormat="1">
      <c r="A310" s="583">
        <v>42305</v>
      </c>
      <c r="B310" s="584">
        <v>38284</v>
      </c>
      <c r="C310" s="584">
        <f t="shared" si="39"/>
        <v>38579.888120547948</v>
      </c>
      <c r="D310" s="585">
        <v>91</v>
      </c>
      <c r="E310" s="586">
        <f t="shared" si="40"/>
        <v>42396</v>
      </c>
      <c r="F310" s="587">
        <v>3.1E-2</v>
      </c>
      <c r="G310" s="588" t="s">
        <v>527</v>
      </c>
      <c r="H310" s="862"/>
      <c r="I310" s="647"/>
      <c r="J310" s="862"/>
      <c r="K310" s="986"/>
      <c r="L310" s="870"/>
      <c r="M310" s="442"/>
      <c r="N310" s="455"/>
      <c r="O310" s="442"/>
      <c r="P310" s="442"/>
      <c r="Q310" s="442"/>
      <c r="R310" s="442"/>
      <c r="S310" s="442"/>
      <c r="T310" s="442"/>
    </row>
    <row r="311" spans="1:20" s="47" customFormat="1">
      <c r="A311" s="583">
        <v>42312</v>
      </c>
      <c r="B311" s="584">
        <v>4426</v>
      </c>
      <c r="C311" s="584">
        <f t="shared" si="39"/>
        <v>4460.2075232876714</v>
      </c>
      <c r="D311" s="585">
        <v>91</v>
      </c>
      <c r="E311" s="586">
        <f t="shared" si="40"/>
        <v>42403</v>
      </c>
      <c r="F311" s="587">
        <v>3.1E-2</v>
      </c>
      <c r="G311" s="588" t="s">
        <v>527</v>
      </c>
      <c r="H311" s="862"/>
      <c r="I311" s="647"/>
      <c r="J311" s="862"/>
      <c r="K311" s="986"/>
      <c r="L311" s="870"/>
      <c r="M311" s="1173"/>
      <c r="N311" s="1173"/>
      <c r="O311" s="1173"/>
      <c r="P311" s="1173"/>
      <c r="Q311" s="1173"/>
      <c r="R311" s="1173"/>
      <c r="S311" s="1173"/>
      <c r="T311" s="1173"/>
    </row>
    <row r="312" spans="1:20" s="47" customFormat="1">
      <c r="A312" s="583">
        <v>42312</v>
      </c>
      <c r="B312" s="584">
        <v>22722</v>
      </c>
      <c r="C312" s="584">
        <f t="shared" si="39"/>
        <v>22897.613046575341</v>
      </c>
      <c r="D312" s="585">
        <v>91</v>
      </c>
      <c r="E312" s="586">
        <f t="shared" si="40"/>
        <v>42403</v>
      </c>
      <c r="F312" s="587">
        <v>3.1E-2</v>
      </c>
      <c r="G312" s="588" t="s">
        <v>527</v>
      </c>
      <c r="H312" s="862"/>
      <c r="I312" s="647"/>
      <c r="J312" s="862"/>
      <c r="K312" s="986"/>
      <c r="L312" s="870"/>
      <c r="M312" s="442"/>
      <c r="N312" s="455"/>
      <c r="O312" s="442"/>
      <c r="P312" s="442"/>
      <c r="Q312" s="442"/>
      <c r="R312" s="442"/>
      <c r="S312" s="442"/>
      <c r="T312" s="442"/>
    </row>
    <row r="313" spans="1:20" s="47" customFormat="1">
      <c r="A313" s="583">
        <v>42312</v>
      </c>
      <c r="B313" s="584">
        <v>9712</v>
      </c>
      <c r="C313" s="584">
        <f t="shared" si="39"/>
        <v>9787.0617863013704</v>
      </c>
      <c r="D313" s="585">
        <v>91</v>
      </c>
      <c r="E313" s="586">
        <f t="shared" si="40"/>
        <v>42403</v>
      </c>
      <c r="F313" s="587">
        <v>3.1E-2</v>
      </c>
      <c r="G313" s="588" t="s">
        <v>527</v>
      </c>
      <c r="H313" s="862"/>
      <c r="I313" s="647"/>
      <c r="J313" s="862"/>
      <c r="K313" s="986"/>
      <c r="L313" s="870"/>
      <c r="M313" s="1173"/>
      <c r="N313" s="1173"/>
      <c r="O313" s="1173"/>
      <c r="P313" s="1173"/>
      <c r="Q313" s="1173"/>
      <c r="R313" s="1173"/>
      <c r="S313" s="1173"/>
      <c r="T313" s="1173"/>
    </row>
    <row r="314" spans="1:20" s="47" customFormat="1">
      <c r="A314" s="583">
        <v>42349</v>
      </c>
      <c r="B314" s="584">
        <v>4375</v>
      </c>
      <c r="C314" s="584">
        <f t="shared" si="39"/>
        <v>4390.857876712329</v>
      </c>
      <c r="D314" s="585">
        <v>54</v>
      </c>
      <c r="E314" s="586">
        <f t="shared" si="40"/>
        <v>42403</v>
      </c>
      <c r="F314" s="587">
        <v>2.4500000000000001E-2</v>
      </c>
      <c r="G314" s="588" t="s">
        <v>527</v>
      </c>
      <c r="H314" s="862"/>
      <c r="I314" s="647"/>
      <c r="J314" s="862"/>
      <c r="K314" s="986"/>
      <c r="L314" s="870"/>
      <c r="M314" s="442"/>
      <c r="N314" s="455"/>
      <c r="O314" s="442"/>
      <c r="P314" s="442"/>
      <c r="Q314" s="442"/>
      <c r="R314" s="442"/>
      <c r="S314" s="442"/>
      <c r="T314" s="442"/>
    </row>
    <row r="315" spans="1:20" s="47" customFormat="1">
      <c r="A315" s="583">
        <v>42349</v>
      </c>
      <c r="B315" s="584">
        <v>3070</v>
      </c>
      <c r="C315" s="584">
        <f t="shared" si="39"/>
        <v>3081.1276986301368</v>
      </c>
      <c r="D315" s="585">
        <v>54</v>
      </c>
      <c r="E315" s="586">
        <f t="shared" si="40"/>
        <v>42403</v>
      </c>
      <c r="F315" s="587">
        <v>2.4500000000000001E-2</v>
      </c>
      <c r="G315" s="588" t="s">
        <v>540</v>
      </c>
      <c r="H315" s="870"/>
      <c r="I315" s="442"/>
      <c r="J315" s="455"/>
      <c r="K315" s="442"/>
      <c r="L315" s="442"/>
      <c r="M315" s="442"/>
      <c r="N315" s="442"/>
      <c r="O315" s="442"/>
      <c r="P315"/>
      <c r="Q315"/>
      <c r="R315"/>
      <c r="S315"/>
      <c r="T315"/>
    </row>
    <row r="316" spans="1:20" s="47" customFormat="1">
      <c r="A316" s="583">
        <v>42382</v>
      </c>
      <c r="B316" s="584">
        <v>8707</v>
      </c>
      <c r="C316" s="584">
        <f t="shared" si="39"/>
        <v>8724.9507328767122</v>
      </c>
      <c r="D316" s="585">
        <v>35</v>
      </c>
      <c r="E316" s="586">
        <f t="shared" si="40"/>
        <v>42417</v>
      </c>
      <c r="F316" s="587">
        <v>2.1499999999999998E-2</v>
      </c>
      <c r="G316" s="588" t="s">
        <v>541</v>
      </c>
      <c r="H316" s="870"/>
      <c r="I316" s="442"/>
      <c r="J316" s="455"/>
      <c r="K316" s="442"/>
      <c r="L316" s="442"/>
      <c r="M316" s="442"/>
      <c r="N316" s="442"/>
      <c r="O316" s="442"/>
      <c r="P316"/>
      <c r="Q316"/>
      <c r="R316"/>
      <c r="S316"/>
      <c r="T316"/>
    </row>
    <row r="317" spans="1:20" s="47" customFormat="1">
      <c r="A317" s="583">
        <v>42340</v>
      </c>
      <c r="B317" s="584">
        <v>71875</v>
      </c>
      <c r="C317" s="584">
        <f t="shared" si="39"/>
        <v>72430.505136986307</v>
      </c>
      <c r="D317" s="585">
        <v>91</v>
      </c>
      <c r="E317" s="586">
        <f t="shared" si="40"/>
        <v>42431</v>
      </c>
      <c r="F317" s="587">
        <v>3.1E-2</v>
      </c>
      <c r="G317" s="588" t="s">
        <v>527</v>
      </c>
      <c r="H317" s="870"/>
      <c r="I317" s="442"/>
      <c r="J317" s="455"/>
      <c r="K317" s="442"/>
      <c r="L317" s="442"/>
      <c r="M317" s="442"/>
      <c r="N317" s="442"/>
      <c r="O317" s="442"/>
      <c r="P317"/>
      <c r="Q317"/>
      <c r="R317"/>
      <c r="S317"/>
      <c r="T317"/>
    </row>
    <row r="318" spans="1:20" s="47" customFormat="1">
      <c r="A318" s="583">
        <v>42347</v>
      </c>
      <c r="B318" s="584">
        <v>80203</v>
      </c>
      <c r="C318" s="584">
        <f t="shared" si="39"/>
        <v>80822.870309589038</v>
      </c>
      <c r="D318" s="585">
        <v>91</v>
      </c>
      <c r="E318" s="586">
        <f t="shared" si="40"/>
        <v>42438</v>
      </c>
      <c r="F318" s="587">
        <v>3.1E-2</v>
      </c>
      <c r="G318" s="588" t="s">
        <v>527</v>
      </c>
      <c r="H318" s="870"/>
      <c r="I318" s="442"/>
      <c r="J318" s="455"/>
      <c r="K318" s="442"/>
      <c r="L318" s="442"/>
      <c r="M318" s="442"/>
      <c r="N318" s="442"/>
      <c r="O318" s="442"/>
      <c r="P318"/>
      <c r="Q318"/>
      <c r="R318"/>
      <c r="S318"/>
      <c r="T318"/>
    </row>
    <row r="319" spans="1:20" s="47" customFormat="1" ht="12.75" customHeight="1">
      <c r="A319" s="583">
        <v>42354</v>
      </c>
      <c r="B319" s="584">
        <v>55107</v>
      </c>
      <c r="C319" s="584">
        <f>B319+(B319*F319/365*D319)*1</f>
        <v>55532.909169863015</v>
      </c>
      <c r="D319" s="585">
        <v>91</v>
      </c>
      <c r="E319" s="586">
        <f>A319+D319</f>
        <v>42445</v>
      </c>
      <c r="F319" s="587">
        <v>3.1E-2</v>
      </c>
      <c r="G319" s="588" t="s">
        <v>527</v>
      </c>
      <c r="H319" s="468" t="s">
        <v>542</v>
      </c>
      <c r="I319" s="442"/>
      <c r="J319" s="455"/>
      <c r="K319" s="442"/>
      <c r="L319" s="442"/>
      <c r="M319" s="442"/>
      <c r="N319" s="442"/>
      <c r="O319" s="442"/>
      <c r="P319"/>
      <c r="Q319"/>
      <c r="R319"/>
      <c r="S319"/>
      <c r="T319"/>
    </row>
    <row r="320" spans="1:20" s="47" customFormat="1" ht="12.75" customHeight="1">
      <c r="A320" s="583">
        <v>42354</v>
      </c>
      <c r="B320" s="584">
        <v>80250</v>
      </c>
      <c r="C320" s="584">
        <f>B320+(B320*F320/365*D320)*1</f>
        <v>80917.943835616432</v>
      </c>
      <c r="D320" s="585">
        <v>98</v>
      </c>
      <c r="E320" s="586">
        <f>A320+D320</f>
        <v>42452</v>
      </c>
      <c r="F320" s="587">
        <v>3.1E-2</v>
      </c>
      <c r="G320" s="588" t="s">
        <v>527</v>
      </c>
      <c r="H320" s="862"/>
      <c r="I320" s="442"/>
      <c r="J320" s="455"/>
      <c r="K320" s="442"/>
      <c r="L320" s="442"/>
      <c r="M320" s="442"/>
      <c r="N320" s="442"/>
      <c r="O320" s="442"/>
      <c r="P320"/>
      <c r="Q320"/>
      <c r="R320"/>
      <c r="S320"/>
      <c r="T320"/>
    </row>
    <row r="321" spans="1:15" s="47" customFormat="1" ht="15.75" customHeight="1">
      <c r="A321" s="583">
        <v>42396</v>
      </c>
      <c r="B321" s="584">
        <v>38580</v>
      </c>
      <c r="C321" s="584">
        <f>B321+(B321*F321/365*D321)*1</f>
        <v>38713.180273972604</v>
      </c>
      <c r="D321" s="585">
        <v>63</v>
      </c>
      <c r="E321" s="586">
        <f>A321+D321</f>
        <v>42459</v>
      </c>
      <c r="F321" s="587">
        <v>0.02</v>
      </c>
      <c r="G321" s="588" t="s">
        <v>527</v>
      </c>
      <c r="H321" s="862"/>
      <c r="I321" s="1173"/>
      <c r="J321" s="1173"/>
      <c r="K321" s="1173"/>
      <c r="L321" s="1173"/>
      <c r="M321" s="1173"/>
      <c r="N321" s="1173"/>
      <c r="O321" s="1173"/>
    </row>
    <row r="322" spans="1:15" s="47" customFormat="1" ht="12.75" customHeight="1">
      <c r="A322" s="583">
        <v>42382</v>
      </c>
      <c r="B322" s="584">
        <v>80440</v>
      </c>
      <c r="C322" s="584">
        <f>B322+(B322*F322/365*D322)*1</f>
        <v>81041.647123287665</v>
      </c>
      <c r="D322" s="585">
        <v>91</v>
      </c>
      <c r="E322" s="586">
        <f>A322+D322</f>
        <v>42473</v>
      </c>
      <c r="F322" s="587">
        <v>0.03</v>
      </c>
      <c r="G322" s="588" t="s">
        <v>527</v>
      </c>
      <c r="H322" s="862"/>
      <c r="I322" s="442"/>
      <c r="J322" s="455"/>
      <c r="K322" s="442"/>
      <c r="L322" s="442"/>
      <c r="M322" s="442"/>
      <c r="N322" s="442"/>
      <c r="O322" s="442"/>
    </row>
    <row r="323" spans="1:15" s="47" customFormat="1" ht="15.75" customHeight="1">
      <c r="A323" s="583">
        <v>42431</v>
      </c>
      <c r="B323" s="584">
        <v>72431</v>
      </c>
      <c r="C323" s="584">
        <f t="shared" ref="C323:C336" si="41">B323+(B323*F323/365*D323)*1</f>
        <v>72568.51967945206</v>
      </c>
      <c r="D323" s="585">
        <v>63</v>
      </c>
      <c r="E323" s="586">
        <f t="shared" ref="E323:E336" si="42">A323+D323</f>
        <v>42494</v>
      </c>
      <c r="F323" s="587">
        <v>1.0999999999999999E-2</v>
      </c>
      <c r="G323" s="588" t="s">
        <v>543</v>
      </c>
      <c r="H323" s="862"/>
      <c r="I323" s="1173"/>
      <c r="J323" s="1173"/>
      <c r="K323" s="1173"/>
      <c r="L323" s="1173"/>
      <c r="M323" s="1173"/>
      <c r="N323" s="1173"/>
      <c r="O323" s="1173"/>
    </row>
    <row r="324" spans="1:15" s="47" customFormat="1">
      <c r="A324" s="583">
        <v>42403</v>
      </c>
      <c r="B324" s="584">
        <v>4460</v>
      </c>
      <c r="C324" s="584">
        <f t="shared" si="41"/>
        <v>4487.7986301369865</v>
      </c>
      <c r="D324" s="585">
        <v>91</v>
      </c>
      <c r="E324" s="586">
        <f t="shared" si="42"/>
        <v>42494</v>
      </c>
      <c r="F324" s="587">
        <v>2.5000000000000001E-2</v>
      </c>
      <c r="G324" s="588" t="s">
        <v>543</v>
      </c>
      <c r="H324" s="862"/>
      <c r="I324" s="442"/>
      <c r="J324" s="455"/>
      <c r="K324" s="442"/>
      <c r="L324" s="442"/>
      <c r="M324" s="442"/>
      <c r="N324" s="442"/>
      <c r="O324" s="442"/>
    </row>
    <row r="325" spans="1:15" s="47" customFormat="1">
      <c r="A325" s="583">
        <v>42403</v>
      </c>
      <c r="B325" s="584">
        <v>22898</v>
      </c>
      <c r="C325" s="584">
        <f t="shared" si="41"/>
        <v>23040.720410958904</v>
      </c>
      <c r="D325" s="585">
        <v>91</v>
      </c>
      <c r="E325" s="586">
        <f t="shared" si="42"/>
        <v>42494</v>
      </c>
      <c r="F325" s="587">
        <v>2.5000000000000001E-2</v>
      </c>
      <c r="G325" s="588" t="s">
        <v>543</v>
      </c>
      <c r="H325" s="862"/>
      <c r="I325" s="1173"/>
      <c r="J325" s="1173"/>
      <c r="K325" s="1173"/>
      <c r="L325" s="1173"/>
      <c r="M325" s="1173"/>
      <c r="N325" s="1173"/>
      <c r="O325" s="1173"/>
    </row>
    <row r="326" spans="1:15" s="47" customFormat="1">
      <c r="A326" s="583">
        <v>42403</v>
      </c>
      <c r="B326" s="584">
        <v>9787</v>
      </c>
      <c r="C326" s="584">
        <f t="shared" si="41"/>
        <v>9848.0011643835624</v>
      </c>
      <c r="D326" s="585">
        <v>91</v>
      </c>
      <c r="E326" s="586">
        <f t="shared" si="42"/>
        <v>42494</v>
      </c>
      <c r="F326" s="587">
        <v>2.5000000000000001E-2</v>
      </c>
      <c r="G326" s="588" t="s">
        <v>543</v>
      </c>
      <c r="H326" s="862"/>
      <c r="I326" s="442"/>
      <c r="J326" s="455"/>
      <c r="K326" s="442"/>
      <c r="L326" s="442"/>
      <c r="M326" s="442"/>
      <c r="N326" s="442"/>
      <c r="O326" s="442"/>
    </row>
    <row r="327" spans="1:15" s="47" customFormat="1">
      <c r="A327" s="583">
        <v>42403</v>
      </c>
      <c r="B327" s="584">
        <v>4391</v>
      </c>
      <c r="C327" s="584">
        <f t="shared" si="41"/>
        <v>4418.3685616438352</v>
      </c>
      <c r="D327" s="585">
        <v>91</v>
      </c>
      <c r="E327" s="586">
        <f t="shared" si="42"/>
        <v>42494</v>
      </c>
      <c r="F327" s="587">
        <v>2.5000000000000001E-2</v>
      </c>
      <c r="G327" s="588" t="s">
        <v>543</v>
      </c>
      <c r="H327" s="862"/>
      <c r="I327" s="1173"/>
      <c r="J327" s="1173"/>
      <c r="K327" s="1173"/>
      <c r="L327" s="1173"/>
      <c r="M327" s="1173"/>
      <c r="N327" s="1173"/>
      <c r="O327" s="1173"/>
    </row>
    <row r="328" spans="1:15" s="47" customFormat="1">
      <c r="A328" s="583">
        <v>42403</v>
      </c>
      <c r="B328" s="584">
        <f>3081+1747</f>
        <v>4828</v>
      </c>
      <c r="C328" s="584">
        <f t="shared" si="41"/>
        <v>4858.092328767123</v>
      </c>
      <c r="D328" s="585">
        <v>91</v>
      </c>
      <c r="E328" s="586">
        <f t="shared" si="42"/>
        <v>42494</v>
      </c>
      <c r="F328" s="587">
        <v>2.5000000000000001E-2</v>
      </c>
      <c r="G328" s="588" t="s">
        <v>544</v>
      </c>
      <c r="H328" s="862"/>
      <c r="I328" s="442"/>
      <c r="J328" s="455"/>
      <c r="K328" s="442"/>
      <c r="L328" s="442"/>
      <c r="M328" s="442"/>
      <c r="N328" s="442"/>
      <c r="O328" s="442"/>
    </row>
    <row r="329" spans="1:15" s="47" customFormat="1">
      <c r="A329" s="583">
        <v>42438</v>
      </c>
      <c r="B329" s="584">
        <v>80823</v>
      </c>
      <c r="C329" s="584">
        <f t="shared" si="41"/>
        <v>80962.502712328773</v>
      </c>
      <c r="D329" s="585">
        <v>63</v>
      </c>
      <c r="E329" s="586">
        <f t="shared" si="42"/>
        <v>42501</v>
      </c>
      <c r="F329" s="587">
        <v>0.01</v>
      </c>
      <c r="G329" s="588" t="s">
        <v>543</v>
      </c>
      <c r="H329" s="862"/>
      <c r="I329" s="1173"/>
      <c r="J329" s="1173"/>
      <c r="K329" s="1173"/>
      <c r="L329" s="1173"/>
      <c r="M329" s="1173"/>
      <c r="N329" s="1173"/>
      <c r="O329" s="1173"/>
    </row>
    <row r="330" spans="1:15" s="47" customFormat="1">
      <c r="A330" s="583">
        <v>42473</v>
      </c>
      <c r="B330" s="584">
        <f>81042+3625</f>
        <v>84667</v>
      </c>
      <c r="C330" s="584">
        <f t="shared" si="41"/>
        <v>84731.950027397266</v>
      </c>
      <c r="D330" s="585">
        <v>35</v>
      </c>
      <c r="E330" s="586">
        <f t="shared" si="42"/>
        <v>42508</v>
      </c>
      <c r="F330" s="587">
        <v>8.0000000000000002E-3</v>
      </c>
      <c r="G330" s="588" t="s">
        <v>543</v>
      </c>
      <c r="H330" s="862"/>
      <c r="I330" s="442"/>
      <c r="J330" s="455"/>
      <c r="K330" s="442"/>
      <c r="L330" s="442"/>
      <c r="M330" s="442"/>
      <c r="N330" s="442"/>
      <c r="O330" s="442"/>
    </row>
    <row r="331" spans="1:15" s="47" customFormat="1">
      <c r="A331" s="586">
        <v>42445</v>
      </c>
      <c r="B331" s="584">
        <v>55533</v>
      </c>
      <c r="C331" s="584">
        <f t="shared" si="41"/>
        <v>55628.851479452052</v>
      </c>
      <c r="D331" s="585">
        <v>63</v>
      </c>
      <c r="E331" s="586">
        <f t="shared" si="42"/>
        <v>42508</v>
      </c>
      <c r="F331" s="587">
        <v>0.01</v>
      </c>
      <c r="G331" s="588" t="s">
        <v>543</v>
      </c>
      <c r="H331" s="862"/>
      <c r="I331" s="1173"/>
      <c r="J331" s="1173"/>
      <c r="K331" s="1173"/>
      <c r="L331" s="1173"/>
      <c r="M331" s="1173"/>
      <c r="N331" s="1173"/>
      <c r="O331" s="1173"/>
    </row>
    <row r="332" spans="1:15" s="47" customFormat="1">
      <c r="A332" s="586">
        <v>42417</v>
      </c>
      <c r="B332" s="584">
        <v>8725</v>
      </c>
      <c r="C332" s="584">
        <f t="shared" si="41"/>
        <v>8768.5054794520547</v>
      </c>
      <c r="D332" s="585">
        <v>91</v>
      </c>
      <c r="E332" s="586">
        <f t="shared" si="42"/>
        <v>42508</v>
      </c>
      <c r="F332" s="587">
        <v>0.02</v>
      </c>
      <c r="G332" s="588" t="s">
        <v>543</v>
      </c>
      <c r="H332" s="862"/>
      <c r="I332" s="1173"/>
      <c r="J332" s="1173"/>
      <c r="K332" s="1173"/>
      <c r="L332" s="1173"/>
      <c r="M332" s="1173"/>
      <c r="N332" s="1173"/>
      <c r="O332" s="1173"/>
    </row>
    <row r="333" spans="1:15" s="47" customFormat="1" ht="12.75" customHeight="1">
      <c r="A333" s="586">
        <v>42419</v>
      </c>
      <c r="B333" s="584">
        <v>17413</v>
      </c>
      <c r="C333" s="584">
        <f t="shared" si="41"/>
        <v>17497.918191780824</v>
      </c>
      <c r="D333" s="585">
        <v>89</v>
      </c>
      <c r="E333" s="586">
        <f t="shared" si="42"/>
        <v>42508</v>
      </c>
      <c r="F333" s="587">
        <v>0.02</v>
      </c>
      <c r="G333" s="588" t="s">
        <v>543</v>
      </c>
      <c r="H333" s="468" t="s">
        <v>542</v>
      </c>
      <c r="I333" s="442"/>
      <c r="J333" s="455"/>
      <c r="K333" s="442"/>
      <c r="L333" s="442"/>
      <c r="M333" s="442"/>
      <c r="N333" s="442"/>
      <c r="O333" s="442"/>
    </row>
    <row r="334" spans="1:15" s="47" customFormat="1" ht="15.5">
      <c r="A334" s="586">
        <v>42452</v>
      </c>
      <c r="B334" s="584">
        <v>80918</v>
      </c>
      <c r="C334" s="584">
        <f t="shared" si="41"/>
        <v>81041.704778082189</v>
      </c>
      <c r="D334" s="585">
        <v>62</v>
      </c>
      <c r="E334" s="586">
        <f t="shared" si="42"/>
        <v>42514</v>
      </c>
      <c r="F334" s="587">
        <v>8.9999999999999993E-3</v>
      </c>
      <c r="G334" s="588" t="s">
        <v>527</v>
      </c>
      <c r="H334" s="468" t="s">
        <v>542</v>
      </c>
      <c r="I334" s="1173"/>
      <c r="J334" s="1173"/>
      <c r="K334" s="1173"/>
      <c r="L334" s="1173"/>
      <c r="M334" s="1173"/>
      <c r="N334" s="1173"/>
      <c r="O334" s="1173"/>
    </row>
    <row r="335" spans="1:15" s="47" customFormat="1">
      <c r="A335" s="586">
        <v>42459</v>
      </c>
      <c r="B335" s="584">
        <v>38713</v>
      </c>
      <c r="C335" s="584">
        <f t="shared" si="41"/>
        <v>38773.13772876712</v>
      </c>
      <c r="D335" s="585">
        <v>63</v>
      </c>
      <c r="E335" s="586">
        <f t="shared" si="42"/>
        <v>42522</v>
      </c>
      <c r="F335" s="587">
        <v>8.9999999999999993E-3</v>
      </c>
      <c r="G335" s="588" t="s">
        <v>527</v>
      </c>
      <c r="H335" s="862"/>
      <c r="I335" s="442"/>
      <c r="J335" s="442"/>
      <c r="K335" s="442"/>
      <c r="L335" s="442"/>
      <c r="M335" s="442"/>
      <c r="N335" s="442"/>
      <c r="O335" s="442"/>
    </row>
    <row r="336" spans="1:15" s="47" customFormat="1">
      <c r="A336" s="586">
        <v>42499</v>
      </c>
      <c r="B336" s="584">
        <v>59480.04</v>
      </c>
      <c r="C336" s="584">
        <f t="shared" si="41"/>
        <v>60000.547385654798</v>
      </c>
      <c r="D336" s="585">
        <v>91</v>
      </c>
      <c r="E336" s="586">
        <f t="shared" si="42"/>
        <v>42590</v>
      </c>
      <c r="F336" s="587">
        <v>3.5099999999999999E-2</v>
      </c>
      <c r="G336" s="588" t="s">
        <v>545</v>
      </c>
      <c r="H336" s="862"/>
      <c r="I336" s="442"/>
      <c r="J336" s="442"/>
      <c r="K336" s="442"/>
      <c r="L336" s="442"/>
      <c r="M336" s="442"/>
      <c r="N336" s="442"/>
      <c r="O336" s="442"/>
    </row>
    <row r="337" spans="1:12" s="47" customFormat="1" ht="12.75" customHeight="1" thickBot="1">
      <c r="A337" s="583">
        <v>42513</v>
      </c>
      <c r="B337" s="584">
        <v>123917.5</v>
      </c>
      <c r="C337" s="584">
        <f>B337+(B337*F337/365*D337)*1</f>
        <v>125000.352225</v>
      </c>
      <c r="D337" s="585">
        <v>91</v>
      </c>
      <c r="E337" s="586">
        <f>A337+D337</f>
        <v>42604</v>
      </c>
      <c r="F337" s="587">
        <v>3.5049999999999998E-2</v>
      </c>
      <c r="G337" s="588" t="s">
        <v>545</v>
      </c>
      <c r="H337" s="483"/>
      <c r="I337" s="484"/>
      <c r="J337" s="485"/>
      <c r="K337" s="486"/>
      <c r="L337" s="486"/>
    </row>
    <row r="338" spans="1:12" s="47" customFormat="1" ht="12.75" customHeight="1" thickBot="1">
      <c r="A338" s="583">
        <v>42513</v>
      </c>
      <c r="B338" s="584">
        <f>58073.42+121923</f>
        <v>179996.41999999998</v>
      </c>
      <c r="C338" s="584">
        <f>B338+(B338*F338/365*D338)*1</f>
        <v>183200.13929401423</v>
      </c>
      <c r="D338" s="585">
        <v>168</v>
      </c>
      <c r="E338" s="586">
        <f>A338+D338</f>
        <v>42681</v>
      </c>
      <c r="F338" s="587">
        <v>3.8670000000000003E-2</v>
      </c>
      <c r="G338" s="588" t="s">
        <v>545</v>
      </c>
      <c r="H338" s="483"/>
      <c r="I338" s="484"/>
      <c r="J338" s="485"/>
      <c r="K338" s="486"/>
      <c r="L338" s="486"/>
    </row>
    <row r="339" spans="1:12" s="47" customFormat="1" ht="12.75" customHeight="1" thickBot="1">
      <c r="A339" s="583">
        <v>42527</v>
      </c>
      <c r="B339" s="584">
        <f>22577.72+18651.16</f>
        <v>41228.880000000005</v>
      </c>
      <c r="C339" s="584">
        <f>B339+(B339*F339/365*D339)*1</f>
        <v>42000.831476186308</v>
      </c>
      <c r="D339" s="585">
        <v>182</v>
      </c>
      <c r="E339" s="586">
        <f>A339+D339</f>
        <v>42709</v>
      </c>
      <c r="F339" s="587">
        <v>3.755E-2</v>
      </c>
      <c r="G339" s="588" t="s">
        <v>545</v>
      </c>
      <c r="H339" s="483"/>
      <c r="I339" s="484"/>
      <c r="J339" s="487"/>
      <c r="K339" s="486"/>
      <c r="L339" s="486"/>
    </row>
    <row r="340" spans="1:12" s="47" customFormat="1" ht="12.75" customHeight="1" thickBot="1">
      <c r="A340" s="583">
        <v>42618</v>
      </c>
      <c r="B340" s="584">
        <v>183396.05</v>
      </c>
      <c r="C340" s="584">
        <f t="shared" ref="C340:C341" si="43">B340+(B340*F340/365*D340)*1</f>
        <v>185000.94129672603</v>
      </c>
      <c r="D340" s="585">
        <v>105</v>
      </c>
      <c r="E340" s="586">
        <f t="shared" ref="E340:E341" si="44">A340+D340</f>
        <v>42723</v>
      </c>
      <c r="F340" s="587">
        <v>3.0419999999999999E-2</v>
      </c>
      <c r="G340" s="588" t="s">
        <v>545</v>
      </c>
      <c r="H340" s="483"/>
      <c r="I340" s="484"/>
      <c r="J340" s="487"/>
      <c r="K340" s="486"/>
      <c r="L340" s="486"/>
    </row>
    <row r="341" spans="1:12" s="47" customFormat="1" ht="12.75" customHeight="1" thickBot="1">
      <c r="A341" s="583">
        <v>42558</v>
      </c>
      <c r="B341" s="584">
        <v>1896.85</v>
      </c>
      <c r="C341" s="584">
        <f t="shared" si="43"/>
        <v>1933.4592049999999</v>
      </c>
      <c r="D341" s="585">
        <v>193</v>
      </c>
      <c r="E341" s="586">
        <f t="shared" si="44"/>
        <v>42751</v>
      </c>
      <c r="F341" s="587">
        <v>3.6499999999999998E-2</v>
      </c>
      <c r="G341" s="588" t="s">
        <v>545</v>
      </c>
      <c r="H341" s="991" t="s">
        <v>546</v>
      </c>
      <c r="I341" s="484"/>
      <c r="J341" s="487"/>
      <c r="K341" s="486"/>
      <c r="L341" s="486"/>
    </row>
    <row r="342" spans="1:12" s="47" customFormat="1" ht="12.75" customHeight="1" thickBot="1">
      <c r="A342" s="583">
        <v>42681</v>
      </c>
      <c r="B342" s="584">
        <v>183194.6</v>
      </c>
      <c r="C342" s="584">
        <f t="shared" ref="C342:C351" si="45">B342+(B342*F342/365*D342)*1</f>
        <v>184459.39559452055</v>
      </c>
      <c r="D342" s="585">
        <v>84</v>
      </c>
      <c r="E342" s="586">
        <f t="shared" ref="E342:E351" si="46">A342+D342</f>
        <v>42765</v>
      </c>
      <c r="F342" s="587">
        <v>0.03</v>
      </c>
      <c r="G342" s="588" t="s">
        <v>545</v>
      </c>
      <c r="H342" s="991" t="s">
        <v>547</v>
      </c>
      <c r="I342" s="484"/>
      <c r="J342" s="487"/>
      <c r="K342" s="486"/>
      <c r="L342" s="486"/>
    </row>
    <row r="343" spans="1:12" s="47" customFormat="1" ht="12.75" customHeight="1" thickBot="1">
      <c r="A343" s="583">
        <v>42681</v>
      </c>
      <c r="B343" s="584">
        <v>1589.02</v>
      </c>
      <c r="C343" s="584">
        <f t="shared" si="45"/>
        <v>1599.9907682191781</v>
      </c>
      <c r="D343" s="585">
        <v>84</v>
      </c>
      <c r="E343" s="586">
        <f t="shared" si="46"/>
        <v>42765</v>
      </c>
      <c r="F343" s="587">
        <v>0.03</v>
      </c>
      <c r="G343" s="588" t="s">
        <v>545</v>
      </c>
      <c r="H343" s="991" t="s">
        <v>547</v>
      </c>
      <c r="I343" s="484"/>
      <c r="J343" s="487"/>
      <c r="K343" s="486"/>
      <c r="L343" s="486"/>
    </row>
    <row r="344" spans="1:12" s="47" customFormat="1" ht="12.75" customHeight="1" thickBot="1">
      <c r="A344" s="583">
        <v>42537</v>
      </c>
      <c r="B344" s="584">
        <f>95473.56+1948.44+53608.6/13.758</f>
        <v>101318.54019479576</v>
      </c>
      <c r="C344" s="584">
        <f t="shared" si="45"/>
        <v>104000.34479898743</v>
      </c>
      <c r="D344" s="585">
        <v>249</v>
      </c>
      <c r="E344" s="586">
        <f t="shared" si="46"/>
        <v>42786</v>
      </c>
      <c r="F344" s="587">
        <v>3.8800000000000001E-2</v>
      </c>
      <c r="G344" s="588" t="s">
        <v>548</v>
      </c>
      <c r="H344" s="991" t="s">
        <v>549</v>
      </c>
      <c r="I344" s="484"/>
      <c r="J344" s="487"/>
      <c r="K344" s="486"/>
      <c r="L344" s="486"/>
    </row>
    <row r="345" spans="1:12" s="47" customFormat="1" ht="12.75" customHeight="1" thickBot="1">
      <c r="A345" s="583">
        <v>42709</v>
      </c>
      <c r="B345" s="584">
        <v>41997.4</v>
      </c>
      <c r="C345" s="584">
        <f t="shared" si="45"/>
        <v>42360.447387260276</v>
      </c>
      <c r="D345" s="585">
        <v>105</v>
      </c>
      <c r="E345" s="586">
        <f t="shared" si="46"/>
        <v>42814</v>
      </c>
      <c r="F345" s="587">
        <v>3.005E-2</v>
      </c>
      <c r="G345" s="588" t="s">
        <v>545</v>
      </c>
      <c r="H345" s="991" t="s">
        <v>550</v>
      </c>
      <c r="I345" s="484"/>
      <c r="J345" s="487"/>
      <c r="K345" s="486"/>
      <c r="L345" s="486"/>
    </row>
    <row r="346" spans="1:12" s="47" customFormat="1" ht="12.75" customHeight="1" thickBot="1">
      <c r="A346" s="583">
        <v>42723</v>
      </c>
      <c r="B346" s="584">
        <v>184903.56</v>
      </c>
      <c r="C346" s="584">
        <f t="shared" si="45"/>
        <v>186500.36688075616</v>
      </c>
      <c r="D346" s="585">
        <v>105</v>
      </c>
      <c r="E346" s="586">
        <f t="shared" si="46"/>
        <v>42828</v>
      </c>
      <c r="F346" s="587">
        <v>3.0020000000000002E-2</v>
      </c>
      <c r="G346" s="588" t="s">
        <v>545</v>
      </c>
      <c r="H346" s="991" t="s">
        <v>551</v>
      </c>
      <c r="I346" s="442"/>
      <c r="J346" s="455"/>
      <c r="K346" s="442"/>
      <c r="L346" s="442"/>
    </row>
    <row r="347" spans="1:12" s="47" customFormat="1" ht="12.75" customHeight="1">
      <c r="A347" s="583"/>
      <c r="B347" s="589">
        <f>SUM(B309:B346)</f>
        <v>2166079.8601947958</v>
      </c>
      <c r="C347" s="589">
        <f>SUM(C309:C346)</f>
        <v>2184503.583497257</v>
      </c>
      <c r="D347" s="585"/>
      <c r="E347" s="586"/>
      <c r="F347" s="587"/>
      <c r="G347" s="588"/>
      <c r="H347" s="506"/>
      <c r="I347" s="442"/>
      <c r="J347" s="509">
        <f>SUM(C341:C346)</f>
        <v>520854.00463474356</v>
      </c>
      <c r="K347" s="442"/>
      <c r="L347" s="442"/>
    </row>
    <row r="348" spans="1:12" s="47" customFormat="1" ht="12.75" customHeight="1">
      <c r="A348" s="583"/>
      <c r="B348" s="589"/>
      <c r="C348" s="589">
        <f>+C347-B347</f>
        <v>18423.723302461207</v>
      </c>
      <c r="D348" s="585"/>
      <c r="E348" s="586"/>
      <c r="F348" s="587"/>
      <c r="G348" s="588"/>
      <c r="H348" s="506"/>
      <c r="I348" s="442"/>
      <c r="J348" s="455"/>
      <c r="K348" s="442"/>
      <c r="L348" s="442"/>
    </row>
    <row r="349" spans="1:12" s="47" customFormat="1" ht="12.75" customHeight="1">
      <c r="A349" s="420"/>
      <c r="B349" s="454"/>
      <c r="C349" s="454"/>
      <c r="D349" s="421"/>
      <c r="E349" s="422"/>
      <c r="F349" s="423"/>
      <c r="G349" s="424"/>
      <c r="H349" s="506"/>
      <c r="I349" s="442"/>
      <c r="J349" s="455"/>
      <c r="K349" s="442"/>
      <c r="L349" s="442"/>
    </row>
    <row r="350" spans="1:12" s="47" customFormat="1" ht="12.75" customHeight="1">
      <c r="A350" s="420"/>
      <c r="B350" s="454"/>
      <c r="C350" s="454"/>
      <c r="D350" s="421"/>
      <c r="E350" s="422"/>
      <c r="F350" s="423"/>
      <c r="G350" s="424"/>
      <c r="H350" s="506"/>
      <c r="I350" s="442"/>
      <c r="J350" s="455"/>
      <c r="K350" s="442"/>
      <c r="L350" s="442"/>
    </row>
    <row r="351" spans="1:12" s="47" customFormat="1" ht="12.75" customHeight="1">
      <c r="A351" s="420">
        <v>42765</v>
      </c>
      <c r="B351" s="454">
        <v>84134.44</v>
      </c>
      <c r="C351" s="454">
        <f t="shared" si="45"/>
        <v>84666.907277808219</v>
      </c>
      <c r="D351" s="421">
        <v>77</v>
      </c>
      <c r="E351" s="422">
        <f t="shared" si="46"/>
        <v>42842</v>
      </c>
      <c r="F351" s="423">
        <v>0.03</v>
      </c>
      <c r="G351" s="424" t="s">
        <v>545</v>
      </c>
      <c r="H351" s="862"/>
      <c r="I351" s="509">
        <v>37325</v>
      </c>
      <c r="J351" s="509" t="e">
        <f>+#REF!-I351</f>
        <v>#REF!</v>
      </c>
      <c r="K351" s="442">
        <v>149412</v>
      </c>
      <c r="L351" s="442" t="e">
        <f>+J351-K351</f>
        <v>#REF!</v>
      </c>
    </row>
    <row r="352" spans="1:12" s="47" customFormat="1" ht="12.75" customHeight="1" thickBot="1">
      <c r="A352" s="420">
        <v>42786</v>
      </c>
      <c r="B352" s="454">
        <v>55364.5</v>
      </c>
      <c r="C352" s="454">
        <f>B352+(B352*F352/365*D352)*1</f>
        <v>55775.183243150685</v>
      </c>
      <c r="D352" s="421">
        <v>95</v>
      </c>
      <c r="E352" s="422">
        <f>A352+D352</f>
        <v>42881</v>
      </c>
      <c r="F352" s="423">
        <v>2.8500000000000001E-2</v>
      </c>
      <c r="G352" s="424" t="s">
        <v>548</v>
      </c>
      <c r="H352" s="991"/>
      <c r="I352" s="484"/>
      <c r="J352" s="485"/>
      <c r="K352" s="486"/>
      <c r="L352" s="486"/>
    </row>
    <row r="353" spans="1:21" s="47" customFormat="1" ht="12.75" customHeight="1">
      <c r="A353" s="420">
        <v>42828</v>
      </c>
      <c r="B353" s="454">
        <f>37325-236</f>
        <v>37089</v>
      </c>
      <c r="C353" s="454">
        <f>B353+(B353*F353/365*D353)*1</f>
        <v>37325.963145205482</v>
      </c>
      <c r="D353" s="421">
        <v>88</v>
      </c>
      <c r="E353" s="422">
        <f>A353+D353</f>
        <v>42916</v>
      </c>
      <c r="F353" s="423">
        <v>2.6499999999999999E-2</v>
      </c>
      <c r="G353" s="424" t="s">
        <v>545</v>
      </c>
      <c r="H353" s="506"/>
      <c r="I353" s="509">
        <f>+' PF ANTERIORES U$S'!C934+' PF ANTERIORES U$S'!C933</f>
        <v>0</v>
      </c>
      <c r="J353" s="455"/>
      <c r="K353" s="442"/>
      <c r="L353" s="442"/>
      <c r="M353" s="442"/>
      <c r="N353" s="442"/>
      <c r="O353" s="442"/>
      <c r="P353" s="442"/>
      <c r="Q353" s="442"/>
      <c r="R353"/>
      <c r="S353"/>
      <c r="T353"/>
      <c r="U353"/>
    </row>
    <row r="354" spans="1:21" ht="13">
      <c r="A354" s="420">
        <v>42901</v>
      </c>
      <c r="B354" s="430">
        <v>6100</v>
      </c>
      <c r="C354" s="454">
        <f>B354+(B354*F354/365*D354)*1</f>
        <v>6199.6472602739723</v>
      </c>
      <c r="D354" s="421">
        <v>225</v>
      </c>
      <c r="E354" s="422">
        <f>A354+D354</f>
        <v>43126</v>
      </c>
      <c r="F354" s="423">
        <v>2.6499999999999999E-2</v>
      </c>
      <c r="G354" s="424" t="s">
        <v>552</v>
      </c>
    </row>
    <row r="355" spans="1:21">
      <c r="A355" s="8"/>
      <c r="B355" s="8"/>
      <c r="C355" s="8"/>
      <c r="D355" s="9"/>
      <c r="E355" s="7"/>
      <c r="F355" s="10"/>
      <c r="G355" s="11"/>
      <c r="I355" s="398"/>
    </row>
    <row r="356" spans="1:21" ht="14">
      <c r="A356" s="315">
        <v>43100</v>
      </c>
      <c r="B356" s="316">
        <f>SUM(B351:B355)</f>
        <v>182687.94</v>
      </c>
      <c r="C356" s="316">
        <f>SUM(C351:C355)</f>
        <v>183967.70092643838</v>
      </c>
      <c r="D356" s="317">
        <f>+C356-B356</f>
        <v>1279.7609264383791</v>
      </c>
      <c r="E356" s="318"/>
      <c r="F356" s="319"/>
      <c r="G356" s="320"/>
      <c r="I356" s="398"/>
    </row>
    <row r="357" spans="1:21" ht="14">
      <c r="A357" s="318"/>
      <c r="B357" s="316"/>
      <c r="C357" s="316"/>
      <c r="D357" s="317"/>
      <c r="E357" s="318"/>
      <c r="F357" s="507"/>
      <c r="G357" s="320"/>
      <c r="I357" s="398"/>
    </row>
    <row r="358" spans="1:21" ht="14">
      <c r="A358" s="316">
        <f>SUM(A341:A346)</f>
        <v>255889</v>
      </c>
      <c r="B358" s="316">
        <f>SUM(B341:B346)</f>
        <v>514899.97019479581</v>
      </c>
      <c r="C358" s="316">
        <f>SUM(C341:C346)</f>
        <v>520854.00463474356</v>
      </c>
      <c r="D358" s="317">
        <f>+C358-B358</f>
        <v>5954.0344399477472</v>
      </c>
      <c r="E358" s="318"/>
      <c r="F358" s="507"/>
      <c r="G358" s="320"/>
      <c r="I358" s="398"/>
    </row>
    <row r="359" spans="1:21" ht="14">
      <c r="A359" s="318"/>
      <c r="B359" s="316"/>
      <c r="C359" s="316"/>
      <c r="D359" s="317"/>
      <c r="E359" s="318"/>
      <c r="F359" s="507"/>
      <c r="G359" s="320"/>
      <c r="I359" s="398"/>
    </row>
    <row r="360" spans="1:21" s="47" customFormat="1" ht="13">
      <c r="A360" s="612">
        <v>43822</v>
      </c>
      <c r="B360" s="184">
        <v>115000</v>
      </c>
      <c r="C360" s="184">
        <f t="shared" ref="C360:C366" si="47">B360+(B360*F360/365*D360)*1-0.88</f>
        <v>115112.54465753424</v>
      </c>
      <c r="D360" s="613">
        <v>30</v>
      </c>
      <c r="E360" s="496">
        <f t="shared" ref="E360:E369" si="48">A360+D360</f>
        <v>43852</v>
      </c>
      <c r="F360" s="497">
        <v>1.2E-2</v>
      </c>
      <c r="G360" s="614" t="s">
        <v>120</v>
      </c>
      <c r="H360" s="862"/>
      <c r="I360" s="647"/>
      <c r="J360" s="862"/>
      <c r="K360"/>
      <c r="L360"/>
      <c r="M360"/>
      <c r="N360"/>
      <c r="O360" s="32"/>
      <c r="P360"/>
      <c r="Q360"/>
      <c r="R360"/>
      <c r="S360"/>
      <c r="T360"/>
      <c r="U360">
        <v>49314</v>
      </c>
    </row>
    <row r="361" spans="1:21" s="47" customFormat="1" ht="13">
      <c r="A361" s="612">
        <v>43826</v>
      </c>
      <c r="B361" s="184">
        <v>2900</v>
      </c>
      <c r="C361" s="184">
        <f t="shared" si="47"/>
        <v>2904.0460273972603</v>
      </c>
      <c r="D361" s="613">
        <v>31</v>
      </c>
      <c r="E361" s="496">
        <f t="shared" si="48"/>
        <v>43857</v>
      </c>
      <c r="F361" s="497">
        <v>0.02</v>
      </c>
      <c r="G361" s="614" t="s">
        <v>553</v>
      </c>
      <c r="H361" s="862"/>
      <c r="I361" s="647"/>
      <c r="J361" s="862"/>
      <c r="K361"/>
      <c r="L361"/>
      <c r="M361"/>
      <c r="N361"/>
      <c r="O361" s="32"/>
      <c r="P361"/>
      <c r="Q361"/>
      <c r="R361"/>
      <c r="S361"/>
      <c r="T361"/>
      <c r="U361"/>
    </row>
    <row r="362" spans="1:21" ht="13">
      <c r="A362" s="420">
        <v>43857</v>
      </c>
      <c r="B362" s="454">
        <v>7104</v>
      </c>
      <c r="C362" s="454">
        <f t="shared" si="47"/>
        <v>7114.9029084931508</v>
      </c>
      <c r="D362" s="604">
        <v>30</v>
      </c>
      <c r="E362" s="422">
        <f t="shared" si="48"/>
        <v>43887</v>
      </c>
      <c r="F362" s="423">
        <v>2.018E-2</v>
      </c>
      <c r="G362" s="424" t="s">
        <v>553</v>
      </c>
      <c r="H362" s="21"/>
      <c r="I362" s="21"/>
    </row>
    <row r="363" spans="1:21" ht="13">
      <c r="A363" s="420">
        <v>43859</v>
      </c>
      <c r="B363" s="454">
        <v>8000</v>
      </c>
      <c r="C363" s="454">
        <f t="shared" si="47"/>
        <v>8016.81205479452</v>
      </c>
      <c r="D363" s="604">
        <v>40</v>
      </c>
      <c r="E363" s="422">
        <f t="shared" si="48"/>
        <v>43899</v>
      </c>
      <c r="F363" s="423">
        <v>2.018E-2</v>
      </c>
      <c r="G363" s="424" t="s">
        <v>553</v>
      </c>
      <c r="I363" s="398"/>
    </row>
    <row r="364" spans="1:21" ht="13">
      <c r="A364" s="420">
        <v>43861</v>
      </c>
      <c r="B364" s="454">
        <v>8000</v>
      </c>
      <c r="C364" s="454">
        <f t="shared" si="47"/>
        <v>8015.9274520547942</v>
      </c>
      <c r="D364" s="604">
        <v>38</v>
      </c>
      <c r="E364" s="422">
        <f t="shared" si="48"/>
        <v>43899</v>
      </c>
      <c r="F364" s="423">
        <v>2.018E-2</v>
      </c>
      <c r="G364" s="424" t="s">
        <v>553</v>
      </c>
      <c r="I364" s="398"/>
    </row>
    <row r="365" spans="1:21" ht="13">
      <c r="A365" s="420">
        <v>43864</v>
      </c>
      <c r="B365" s="454">
        <v>8000</v>
      </c>
      <c r="C365" s="454">
        <f t="shared" si="47"/>
        <v>8006.7912328767125</v>
      </c>
      <c r="D365" s="604">
        <v>35</v>
      </c>
      <c r="E365" s="422">
        <f t="shared" si="48"/>
        <v>43899</v>
      </c>
      <c r="F365" s="423">
        <v>0.01</v>
      </c>
      <c r="G365" s="424" t="s">
        <v>553</v>
      </c>
      <c r="I365" s="398"/>
    </row>
    <row r="366" spans="1:21" ht="13">
      <c r="A366" s="420">
        <v>43867</v>
      </c>
      <c r="B366" s="454">
        <v>8000</v>
      </c>
      <c r="C366" s="454">
        <f t="shared" si="47"/>
        <v>8006.1336986301367</v>
      </c>
      <c r="D366" s="604">
        <v>32</v>
      </c>
      <c r="E366" s="422">
        <f t="shared" si="48"/>
        <v>43899</v>
      </c>
      <c r="F366" s="423">
        <v>0.01</v>
      </c>
      <c r="G366" s="424" t="s">
        <v>553</v>
      </c>
      <c r="I366" s="398"/>
    </row>
    <row r="367" spans="1:21" ht="13">
      <c r="A367" s="420">
        <v>43924</v>
      </c>
      <c r="B367" s="454">
        <v>51000</v>
      </c>
      <c r="C367" s="454">
        <f>B367+(B367*F367/365*D367)*1</f>
        <v>51030.320547945208</v>
      </c>
      <c r="D367" s="604">
        <v>31</v>
      </c>
      <c r="E367" s="422">
        <f t="shared" si="48"/>
        <v>43955</v>
      </c>
      <c r="F367" s="423">
        <v>7.0000000000000001E-3</v>
      </c>
      <c r="G367" s="424" t="s">
        <v>554</v>
      </c>
      <c r="H367" s="620"/>
      <c r="I367" s="398"/>
    </row>
    <row r="368" spans="1:21" ht="13">
      <c r="A368" s="420">
        <v>43924</v>
      </c>
      <c r="B368" s="454">
        <v>47000</v>
      </c>
      <c r="C368" s="454">
        <f>B368+(B368*F368/365*D368)*1</f>
        <v>47023.950684931508</v>
      </c>
      <c r="D368" s="604">
        <v>31</v>
      </c>
      <c r="E368" s="422">
        <f t="shared" si="48"/>
        <v>43955</v>
      </c>
      <c r="F368" s="423">
        <v>6.0000000000000001E-3</v>
      </c>
      <c r="G368" s="424" t="s">
        <v>555</v>
      </c>
      <c r="H368" s="21"/>
      <c r="I368" s="21"/>
    </row>
    <row r="369" spans="1:7" ht="13">
      <c r="A369" s="420">
        <v>43924</v>
      </c>
      <c r="B369" s="454">
        <v>100000</v>
      </c>
      <c r="C369" s="454">
        <f>B369+(B369*F369/365*D369)*1</f>
        <v>100067.94520547945</v>
      </c>
      <c r="D369" s="604">
        <v>31</v>
      </c>
      <c r="E369" s="422">
        <f t="shared" si="48"/>
        <v>43955</v>
      </c>
      <c r="F369" s="423">
        <v>8.0000000000000002E-3</v>
      </c>
      <c r="G369" s="424" t="s">
        <v>120</v>
      </c>
    </row>
    <row r="370" spans="1:7" ht="13">
      <c r="A370" s="422">
        <v>43955</v>
      </c>
      <c r="B370" s="454">
        <v>51030</v>
      </c>
      <c r="C370" s="454">
        <f t="shared" ref="C370:C376" si="49">B370+(B370*F370/365*E370)*1</f>
        <v>51059.359726027396</v>
      </c>
      <c r="D370" s="624">
        <f t="shared" ref="D370:D373" si="50">A370+E370</f>
        <v>43985</v>
      </c>
      <c r="E370" s="604">
        <v>30</v>
      </c>
      <c r="F370" s="423">
        <v>7.0000000000000001E-3</v>
      </c>
      <c r="G370" s="424" t="s">
        <v>554</v>
      </c>
    </row>
    <row r="371" spans="1:7" ht="13">
      <c r="A371" s="422">
        <v>43955</v>
      </c>
      <c r="B371" s="454">
        <v>47024</v>
      </c>
      <c r="C371" s="454">
        <f t="shared" si="49"/>
        <v>47047.189917808217</v>
      </c>
      <c r="D371" s="624">
        <f t="shared" si="50"/>
        <v>43985</v>
      </c>
      <c r="E371" s="604">
        <v>30</v>
      </c>
      <c r="F371" s="423">
        <v>6.0000000000000001E-3</v>
      </c>
      <c r="G371" s="424" t="s">
        <v>555</v>
      </c>
    </row>
    <row r="372" spans="1:7" ht="13">
      <c r="A372" s="422">
        <v>43955</v>
      </c>
      <c r="B372" s="454">
        <v>46000</v>
      </c>
      <c r="C372" s="454">
        <f t="shared" si="49"/>
        <v>46022.684931506847</v>
      </c>
      <c r="D372" s="624">
        <f t="shared" si="50"/>
        <v>43985</v>
      </c>
      <c r="E372" s="604">
        <v>30</v>
      </c>
      <c r="F372" s="423">
        <v>6.0000000000000001E-3</v>
      </c>
      <c r="G372" s="424" t="s">
        <v>556</v>
      </c>
    </row>
    <row r="373" spans="1:7" ht="13">
      <c r="A373" s="422">
        <v>43979</v>
      </c>
      <c r="B373" s="454">
        <v>31375</v>
      </c>
      <c r="C373" s="454">
        <f t="shared" si="49"/>
        <v>31391.504109589041</v>
      </c>
      <c r="D373" s="624">
        <f t="shared" si="50"/>
        <v>44011</v>
      </c>
      <c r="E373" s="604">
        <v>32</v>
      </c>
      <c r="F373" s="423">
        <v>6.0000000000000001E-3</v>
      </c>
      <c r="G373" s="424" t="s">
        <v>540</v>
      </c>
    </row>
    <row r="374" spans="1:7" ht="13">
      <c r="A374" s="422">
        <v>43985</v>
      </c>
      <c r="B374" s="454">
        <v>51059</v>
      </c>
      <c r="C374" s="454">
        <f t="shared" si="49"/>
        <v>51088.376410958903</v>
      </c>
      <c r="D374" s="624">
        <f t="shared" ref="D374:D380" si="51">A374+E374</f>
        <v>44015</v>
      </c>
      <c r="E374" s="604">
        <v>30</v>
      </c>
      <c r="F374" s="423">
        <v>7.0000000000000001E-3</v>
      </c>
      <c r="G374" s="424" t="s">
        <v>554</v>
      </c>
    </row>
    <row r="375" spans="1:7" ht="13">
      <c r="A375" s="422">
        <v>43985</v>
      </c>
      <c r="B375" s="454">
        <v>47047</v>
      </c>
      <c r="C375" s="454">
        <f t="shared" si="49"/>
        <v>47070.201260273971</v>
      </c>
      <c r="D375" s="624">
        <f t="shared" si="51"/>
        <v>44015</v>
      </c>
      <c r="E375" s="604">
        <v>30</v>
      </c>
      <c r="F375" s="423">
        <v>6.0000000000000001E-3</v>
      </c>
      <c r="G375" s="424" t="s">
        <v>555</v>
      </c>
    </row>
    <row r="376" spans="1:7" ht="13">
      <c r="A376" s="422">
        <v>43985</v>
      </c>
      <c r="B376" s="454">
        <v>46023</v>
      </c>
      <c r="C376" s="454">
        <f t="shared" si="49"/>
        <v>46045.6962739726</v>
      </c>
      <c r="D376" s="624">
        <f t="shared" si="51"/>
        <v>44015</v>
      </c>
      <c r="E376" s="604">
        <v>30</v>
      </c>
      <c r="F376" s="423">
        <v>6.0000000000000001E-3</v>
      </c>
      <c r="G376" s="424" t="s">
        <v>556</v>
      </c>
    </row>
    <row r="377" spans="1:7" ht="13">
      <c r="A377" s="422">
        <v>44011</v>
      </c>
      <c r="B377" s="454">
        <v>31992</v>
      </c>
      <c r="C377" s="454">
        <f t="shared" ref="C377:C384" si="52">B377+(B377*F377/365*E377)*1</f>
        <v>32007.776876712327</v>
      </c>
      <c r="D377" s="624">
        <f t="shared" si="51"/>
        <v>44041</v>
      </c>
      <c r="E377" s="604">
        <v>30</v>
      </c>
      <c r="F377" s="423">
        <v>6.0000000000000001E-3</v>
      </c>
      <c r="G377" s="424" t="s">
        <v>540</v>
      </c>
    </row>
    <row r="378" spans="1:7" ht="13">
      <c r="A378" s="422">
        <v>44015</v>
      </c>
      <c r="B378" s="454">
        <v>51088</v>
      </c>
      <c r="C378" s="454">
        <f t="shared" si="52"/>
        <v>51118.372865753423</v>
      </c>
      <c r="D378" s="624">
        <f t="shared" si="51"/>
        <v>44046</v>
      </c>
      <c r="E378" s="604">
        <v>31</v>
      </c>
      <c r="F378" s="423">
        <v>7.0000000000000001E-3</v>
      </c>
      <c r="G378" s="424" t="s">
        <v>554</v>
      </c>
    </row>
    <row r="379" spans="1:7" ht="13">
      <c r="A379" s="422">
        <v>44015</v>
      </c>
      <c r="B379" s="454">
        <v>47070</v>
      </c>
      <c r="C379" s="454">
        <f t="shared" si="52"/>
        <v>47093.986356164387</v>
      </c>
      <c r="D379" s="624">
        <f t="shared" si="51"/>
        <v>44046</v>
      </c>
      <c r="E379" s="604">
        <v>31</v>
      </c>
      <c r="F379" s="423">
        <v>6.0000000000000001E-3</v>
      </c>
      <c r="G379" s="424" t="s">
        <v>555</v>
      </c>
    </row>
    <row r="380" spans="1:7" ht="13">
      <c r="A380" s="422">
        <v>44015</v>
      </c>
      <c r="B380" s="454">
        <v>46046</v>
      </c>
      <c r="C380" s="454">
        <f t="shared" si="52"/>
        <v>46069.464536986299</v>
      </c>
      <c r="D380" s="624">
        <f t="shared" si="51"/>
        <v>44046</v>
      </c>
      <c r="E380" s="604">
        <v>31</v>
      </c>
      <c r="F380" s="423">
        <v>6.0000000000000001E-3</v>
      </c>
      <c r="G380" s="424" t="s">
        <v>556</v>
      </c>
    </row>
    <row r="381" spans="1:7" ht="13">
      <c r="A381" s="422">
        <v>44041</v>
      </c>
      <c r="B381" s="454">
        <v>32608</v>
      </c>
      <c r="C381" s="454">
        <f t="shared" si="52"/>
        <v>32624.080657534247</v>
      </c>
      <c r="D381" s="624">
        <f t="shared" ref="D381:D387" si="53">A381+E381</f>
        <v>44071</v>
      </c>
      <c r="E381" s="604">
        <v>30</v>
      </c>
      <c r="F381" s="423">
        <v>6.0000000000000001E-3</v>
      </c>
      <c r="G381" s="424" t="s">
        <v>540</v>
      </c>
    </row>
    <row r="382" spans="1:7" ht="13">
      <c r="A382" s="422">
        <v>44046</v>
      </c>
      <c r="B382" s="454">
        <v>51118</v>
      </c>
      <c r="C382" s="454">
        <f t="shared" si="52"/>
        <v>51122.201479452058</v>
      </c>
      <c r="D382" s="624">
        <f t="shared" si="53"/>
        <v>44076</v>
      </c>
      <c r="E382" s="604">
        <v>30</v>
      </c>
      <c r="F382" s="423">
        <v>1E-3</v>
      </c>
      <c r="G382" s="424" t="s">
        <v>554</v>
      </c>
    </row>
    <row r="383" spans="1:7" ht="13">
      <c r="A383" s="422">
        <v>44046</v>
      </c>
      <c r="B383" s="454">
        <v>47094</v>
      </c>
      <c r="C383" s="454">
        <f t="shared" si="52"/>
        <v>47097.87073972603</v>
      </c>
      <c r="D383" s="624">
        <f t="shared" si="53"/>
        <v>44076</v>
      </c>
      <c r="E383" s="604">
        <v>30</v>
      </c>
      <c r="F383" s="423">
        <v>1E-3</v>
      </c>
      <c r="G383" s="424" t="s">
        <v>555</v>
      </c>
    </row>
    <row r="384" spans="1:7" ht="13">
      <c r="A384" s="422">
        <v>44046</v>
      </c>
      <c r="B384" s="454">
        <v>46069</v>
      </c>
      <c r="C384" s="454">
        <f t="shared" si="52"/>
        <v>46072.786493150685</v>
      </c>
      <c r="D384" s="624">
        <f t="shared" si="53"/>
        <v>44076</v>
      </c>
      <c r="E384" s="604">
        <v>30</v>
      </c>
      <c r="F384" s="423">
        <v>1E-3</v>
      </c>
      <c r="G384" s="424" t="s">
        <v>556</v>
      </c>
    </row>
    <row r="385" spans="1:8" ht="13">
      <c r="A385" s="422">
        <v>44077</v>
      </c>
      <c r="B385" s="454">
        <v>47098</v>
      </c>
      <c r="C385" s="454">
        <f t="shared" ref="C385:C390" si="54">B385+(B385*F385/365*E385)*1</f>
        <v>47102.129139726028</v>
      </c>
      <c r="D385" s="624">
        <f t="shared" si="53"/>
        <v>44109</v>
      </c>
      <c r="E385" s="604">
        <v>32</v>
      </c>
      <c r="F385" s="423">
        <v>1E-3</v>
      </c>
      <c r="G385" s="424" t="s">
        <v>555</v>
      </c>
      <c r="H385" s="21"/>
    </row>
    <row r="386" spans="1:8" ht="13">
      <c r="A386" s="422">
        <v>44077</v>
      </c>
      <c r="B386" s="454">
        <v>46073</v>
      </c>
      <c r="C386" s="454">
        <f t="shared" si="54"/>
        <v>46077.039276712327</v>
      </c>
      <c r="D386" s="624">
        <f t="shared" si="53"/>
        <v>44109</v>
      </c>
      <c r="E386" s="604">
        <v>32</v>
      </c>
      <c r="F386" s="423">
        <v>1E-3</v>
      </c>
      <c r="G386" s="424" t="s">
        <v>556</v>
      </c>
      <c r="H386" s="21"/>
    </row>
    <row r="387" spans="1:8" ht="13">
      <c r="A387" s="422">
        <v>44077</v>
      </c>
      <c r="B387" s="454">
        <v>51122</v>
      </c>
      <c r="C387" s="454">
        <f t="shared" si="54"/>
        <v>51126.48192876712</v>
      </c>
      <c r="D387" s="624">
        <f t="shared" si="53"/>
        <v>44109</v>
      </c>
      <c r="E387" s="604">
        <v>32</v>
      </c>
      <c r="F387" s="423">
        <v>1E-3</v>
      </c>
      <c r="G387" s="424" t="s">
        <v>554</v>
      </c>
      <c r="H387" s="21"/>
    </row>
    <row r="388" spans="1:8" ht="13">
      <c r="A388" s="422">
        <v>44109</v>
      </c>
      <c r="B388" s="454">
        <v>47102</v>
      </c>
      <c r="C388" s="454">
        <f t="shared" si="54"/>
        <v>47105.871397260271</v>
      </c>
      <c r="D388" s="624">
        <f>A388+E388</f>
        <v>44139</v>
      </c>
      <c r="E388" s="604">
        <v>30</v>
      </c>
      <c r="F388" s="423">
        <v>1E-3</v>
      </c>
      <c r="G388" s="424" t="s">
        <v>555</v>
      </c>
      <c r="H388" s="21"/>
    </row>
    <row r="389" spans="1:8" ht="13">
      <c r="A389" s="422">
        <v>44109</v>
      </c>
      <c r="B389" s="454">
        <v>46077</v>
      </c>
      <c r="C389" s="454">
        <f t="shared" si="54"/>
        <v>46080.787150684933</v>
      </c>
      <c r="D389" s="624">
        <f>A389+E389</f>
        <v>44139</v>
      </c>
      <c r="E389" s="604">
        <v>30</v>
      </c>
      <c r="F389" s="423">
        <v>1E-3</v>
      </c>
      <c r="G389" s="424" t="s">
        <v>556</v>
      </c>
      <c r="H389" s="21"/>
    </row>
    <row r="390" spans="1:8" ht="13">
      <c r="A390" s="422">
        <v>44109</v>
      </c>
      <c r="B390" s="454">
        <v>51126</v>
      </c>
      <c r="C390" s="454">
        <f t="shared" si="54"/>
        <v>51130.2021369863</v>
      </c>
      <c r="D390" s="624">
        <f>A390+E390</f>
        <v>44139</v>
      </c>
      <c r="E390" s="604">
        <v>30</v>
      </c>
      <c r="F390" s="423">
        <v>1E-3</v>
      </c>
      <c r="G390" s="424" t="s">
        <v>554</v>
      </c>
      <c r="H390" s="21"/>
    </row>
    <row r="391" spans="1:8" ht="14">
      <c r="A391" s="318"/>
      <c r="B391" s="316"/>
      <c r="C391" s="316"/>
      <c r="D391" s="317"/>
      <c r="E391" s="318"/>
      <c r="F391" s="507"/>
      <c r="G391" s="320"/>
    </row>
    <row r="392" spans="1:8" ht="13">
      <c r="A392" s="422">
        <v>44174</v>
      </c>
      <c r="B392" s="454">
        <v>51134</v>
      </c>
      <c r="C392" s="454">
        <f t="shared" ref="C392:C399" si="55">B392+(B392*F392/365*E392)*1</f>
        <v>51138.202794520548</v>
      </c>
      <c r="D392" s="624">
        <f t="shared" ref="D392:D399" si="56">A392+E392</f>
        <v>44204</v>
      </c>
      <c r="E392" s="604">
        <v>30</v>
      </c>
      <c r="F392" s="423">
        <v>1E-3</v>
      </c>
      <c r="G392" s="424" t="s">
        <v>554</v>
      </c>
      <c r="H392" s="21"/>
    </row>
    <row r="393" spans="1:8" ht="13">
      <c r="A393" s="422">
        <v>44174</v>
      </c>
      <c r="B393" s="454">
        <v>47110.06</v>
      </c>
      <c r="C393" s="454">
        <f t="shared" si="55"/>
        <v>47113.932059726023</v>
      </c>
      <c r="D393" s="624">
        <f t="shared" si="56"/>
        <v>44204</v>
      </c>
      <c r="E393" s="604">
        <v>30</v>
      </c>
      <c r="F393" s="423">
        <v>1E-3</v>
      </c>
      <c r="G393" s="424" t="s">
        <v>555</v>
      </c>
      <c r="H393" s="21"/>
    </row>
    <row r="394" spans="1:8" ht="13">
      <c r="A394" s="422">
        <v>44174</v>
      </c>
      <c r="B394" s="454">
        <v>46085</v>
      </c>
      <c r="C394" s="454">
        <f t="shared" si="55"/>
        <v>46088.787808219175</v>
      </c>
      <c r="D394" s="624">
        <f t="shared" si="56"/>
        <v>44204</v>
      </c>
      <c r="E394" s="604">
        <v>30</v>
      </c>
      <c r="F394" s="423">
        <v>1E-3</v>
      </c>
      <c r="G394" s="424" t="s">
        <v>556</v>
      </c>
      <c r="H394" s="21"/>
    </row>
    <row r="395" spans="1:8" ht="13">
      <c r="A395" s="422">
        <v>44174</v>
      </c>
      <c r="B395" s="454">
        <v>120000</v>
      </c>
      <c r="C395" s="454">
        <f t="shared" si="55"/>
        <v>120009.86301369863</v>
      </c>
      <c r="D395" s="624">
        <f t="shared" si="56"/>
        <v>44204</v>
      </c>
      <c r="E395" s="604">
        <v>30</v>
      </c>
      <c r="F395" s="423">
        <v>1E-3</v>
      </c>
      <c r="G395" s="424" t="s">
        <v>540</v>
      </c>
      <c r="H395" s="21"/>
    </row>
    <row r="396" spans="1:8" ht="13">
      <c r="A396" s="422">
        <v>44204</v>
      </c>
      <c r="B396" s="454">
        <v>51138</v>
      </c>
      <c r="C396" s="454">
        <f t="shared" si="55"/>
        <v>51142.343227397258</v>
      </c>
      <c r="D396" s="624">
        <f t="shared" si="56"/>
        <v>44235</v>
      </c>
      <c r="E396" s="604">
        <v>31</v>
      </c>
      <c r="F396" s="423">
        <v>1E-3</v>
      </c>
      <c r="G396" s="424" t="s">
        <v>554</v>
      </c>
      <c r="H396" s="21"/>
    </row>
    <row r="397" spans="1:8" ht="13">
      <c r="A397" s="422">
        <v>44204</v>
      </c>
      <c r="B397" s="454">
        <v>47114</v>
      </c>
      <c r="C397" s="454">
        <f t="shared" si="55"/>
        <v>47118.001463013701</v>
      </c>
      <c r="D397" s="624">
        <f t="shared" si="56"/>
        <v>44235</v>
      </c>
      <c r="E397" s="604">
        <v>31</v>
      </c>
      <c r="F397" s="423">
        <v>1E-3</v>
      </c>
      <c r="G397" s="424" t="s">
        <v>555</v>
      </c>
      <c r="H397" s="21"/>
    </row>
    <row r="398" spans="1:8" ht="13">
      <c r="A398" s="422">
        <v>44204</v>
      </c>
      <c r="B398" s="454">
        <v>46089</v>
      </c>
      <c r="C398" s="454">
        <f t="shared" si="55"/>
        <v>46092.914408219178</v>
      </c>
      <c r="D398" s="624">
        <f t="shared" si="56"/>
        <v>44235</v>
      </c>
      <c r="E398" s="604">
        <v>31</v>
      </c>
      <c r="F398" s="423">
        <v>1E-3</v>
      </c>
      <c r="G398" s="424" t="s">
        <v>556</v>
      </c>
      <c r="H398" s="21"/>
    </row>
    <row r="399" spans="1:8" ht="13">
      <c r="A399" s="422">
        <v>44204</v>
      </c>
      <c r="B399" s="454">
        <v>120000</v>
      </c>
      <c r="C399" s="454">
        <f t="shared" si="55"/>
        <v>120010.19178082192</v>
      </c>
      <c r="D399" s="624">
        <f t="shared" si="56"/>
        <v>44235</v>
      </c>
      <c r="E399" s="604">
        <v>31</v>
      </c>
      <c r="F399" s="423">
        <v>1E-3</v>
      </c>
      <c r="G399" s="424" t="s">
        <v>540</v>
      </c>
      <c r="H399" s="21"/>
    </row>
    <row r="400" spans="1:8" ht="13">
      <c r="A400" s="422">
        <v>44235</v>
      </c>
      <c r="B400" s="454">
        <v>120000</v>
      </c>
      <c r="C400" s="454">
        <f t="shared" ref="C400:C408" si="57">B400+(B400*F400/365*E400)*1</f>
        <v>120009.86301369863</v>
      </c>
      <c r="D400" s="624">
        <f t="shared" ref="D400:D408" si="58">A400+E400</f>
        <v>44265</v>
      </c>
      <c r="E400" s="604">
        <v>30</v>
      </c>
      <c r="F400" s="423">
        <v>1E-3</v>
      </c>
      <c r="G400" s="424" t="s">
        <v>540</v>
      </c>
      <c r="H400" s="21"/>
    </row>
    <row r="401" spans="1:8" ht="13">
      <c r="A401" s="422">
        <v>44235</v>
      </c>
      <c r="B401" s="454">
        <v>51142</v>
      </c>
      <c r="C401" s="454">
        <f t="shared" si="57"/>
        <v>51146.203452054797</v>
      </c>
      <c r="D401" s="624">
        <f t="shared" si="58"/>
        <v>44265</v>
      </c>
      <c r="E401" s="604">
        <v>30</v>
      </c>
      <c r="F401" s="423">
        <v>1E-3</v>
      </c>
      <c r="G401" s="424" t="s">
        <v>554</v>
      </c>
      <c r="H401" s="21"/>
    </row>
    <row r="402" spans="1:8" ht="13">
      <c r="A402" s="422">
        <v>44235</v>
      </c>
      <c r="B402" s="454">
        <v>47118</v>
      </c>
      <c r="C402" s="454">
        <f t="shared" si="57"/>
        <v>47121.872712328768</v>
      </c>
      <c r="D402" s="624">
        <f t="shared" si="58"/>
        <v>44265</v>
      </c>
      <c r="E402" s="604">
        <v>30</v>
      </c>
      <c r="F402" s="423">
        <v>1E-3</v>
      </c>
      <c r="G402" s="424" t="s">
        <v>555</v>
      </c>
      <c r="H402" s="21"/>
    </row>
    <row r="403" spans="1:8" ht="13">
      <c r="A403" s="422">
        <v>44235</v>
      </c>
      <c r="B403" s="454">
        <v>46093</v>
      </c>
      <c r="C403" s="454">
        <f t="shared" si="57"/>
        <v>46096.788465753423</v>
      </c>
      <c r="D403" s="624">
        <f t="shared" si="58"/>
        <v>44265</v>
      </c>
      <c r="E403" s="604">
        <v>30</v>
      </c>
      <c r="F403" s="423">
        <v>1E-3</v>
      </c>
      <c r="G403" s="424" t="s">
        <v>556</v>
      </c>
      <c r="H403" s="21"/>
    </row>
    <row r="404" spans="1:8" ht="13">
      <c r="A404" s="422">
        <v>44265</v>
      </c>
      <c r="B404" s="454">
        <v>122000</v>
      </c>
      <c r="C404" s="454">
        <f t="shared" si="57"/>
        <v>122030.08219178082</v>
      </c>
      <c r="D404" s="624">
        <f t="shared" si="58"/>
        <v>44295</v>
      </c>
      <c r="E404" s="604">
        <v>30</v>
      </c>
      <c r="F404" s="423">
        <v>3.0000000000000001E-3</v>
      </c>
      <c r="G404" s="424" t="s">
        <v>540</v>
      </c>
      <c r="H404" s="21"/>
    </row>
    <row r="405" spans="1:8" ht="13">
      <c r="A405" s="422">
        <v>44292</v>
      </c>
      <c r="B405" s="454">
        <v>55646</v>
      </c>
      <c r="C405" s="454">
        <f t="shared" si="57"/>
        <v>55650.573643835618</v>
      </c>
      <c r="D405" s="624">
        <f t="shared" si="58"/>
        <v>44322</v>
      </c>
      <c r="E405" s="604">
        <v>30</v>
      </c>
      <c r="F405" s="423">
        <v>1E-3</v>
      </c>
      <c r="G405" s="424" t="s">
        <v>554</v>
      </c>
      <c r="H405" s="21"/>
    </row>
    <row r="406" spans="1:8" ht="13">
      <c r="A406" s="422">
        <v>44292</v>
      </c>
      <c r="B406" s="454">
        <v>52122</v>
      </c>
      <c r="C406" s="454">
        <f t="shared" si="57"/>
        <v>52126.284</v>
      </c>
      <c r="D406" s="624">
        <f t="shared" si="58"/>
        <v>44322</v>
      </c>
      <c r="E406" s="604">
        <v>30</v>
      </c>
      <c r="F406" s="423">
        <v>1E-3</v>
      </c>
      <c r="G406" s="424" t="s">
        <v>555</v>
      </c>
      <c r="H406" s="21"/>
    </row>
    <row r="407" spans="1:8" ht="13">
      <c r="A407" s="422">
        <v>44292</v>
      </c>
      <c r="B407" s="454">
        <v>51097</v>
      </c>
      <c r="C407" s="454">
        <f t="shared" si="57"/>
        <v>51101.199753424655</v>
      </c>
      <c r="D407" s="624">
        <f t="shared" si="58"/>
        <v>44322</v>
      </c>
      <c r="E407" s="604">
        <v>30</v>
      </c>
      <c r="F407" s="423">
        <v>1E-3</v>
      </c>
      <c r="G407" s="424" t="s">
        <v>556</v>
      </c>
      <c r="H407" s="21"/>
    </row>
    <row r="408" spans="1:8" ht="13">
      <c r="A408" s="422">
        <v>44298</v>
      </c>
      <c r="B408" s="454">
        <v>122000</v>
      </c>
      <c r="C408" s="454">
        <f t="shared" si="57"/>
        <v>122030.08219178082</v>
      </c>
      <c r="D408" s="624">
        <f t="shared" si="58"/>
        <v>44328</v>
      </c>
      <c r="E408" s="604">
        <v>30</v>
      </c>
      <c r="F408" s="423">
        <v>3.0000000000000001E-3</v>
      </c>
      <c r="G408" s="424" t="s">
        <v>540</v>
      </c>
      <c r="H408" s="21"/>
    </row>
    <row r="409" spans="1:8" ht="13">
      <c r="A409" s="422">
        <v>44322</v>
      </c>
      <c r="B409" s="454">
        <v>55651.56</v>
      </c>
      <c r="C409" s="454">
        <f t="shared" ref="C409:C415" si="59">B409+(B409*F409/365*E409)*1</f>
        <v>55656.439040876707</v>
      </c>
      <c r="D409" s="624">
        <f t="shared" ref="D409:D415" si="60">A409+E409</f>
        <v>44354</v>
      </c>
      <c r="E409" s="604">
        <v>32</v>
      </c>
      <c r="F409" s="423">
        <v>1E-3</v>
      </c>
      <c r="G409" s="424" t="s">
        <v>554</v>
      </c>
      <c r="H409" s="21"/>
    </row>
    <row r="410" spans="1:8" ht="13">
      <c r="A410" s="422">
        <v>44322</v>
      </c>
      <c r="B410" s="454">
        <v>52126.51</v>
      </c>
      <c r="C410" s="454">
        <f t="shared" si="59"/>
        <v>52131.07999539726</v>
      </c>
      <c r="D410" s="624">
        <f t="shared" si="60"/>
        <v>44354</v>
      </c>
      <c r="E410" s="604">
        <v>32</v>
      </c>
      <c r="F410" s="423">
        <v>1E-3</v>
      </c>
      <c r="G410" s="424" t="s">
        <v>555</v>
      </c>
      <c r="H410" s="21"/>
    </row>
    <row r="411" spans="1:8" ht="13">
      <c r="A411" s="422">
        <v>44322</v>
      </c>
      <c r="B411" s="454">
        <v>51101.9</v>
      </c>
      <c r="C411" s="454">
        <f t="shared" si="59"/>
        <v>51106.380166575342</v>
      </c>
      <c r="D411" s="624">
        <f t="shared" si="60"/>
        <v>44354</v>
      </c>
      <c r="E411" s="604">
        <v>32</v>
      </c>
      <c r="F411" s="423">
        <v>1E-3</v>
      </c>
      <c r="G411" s="424" t="s">
        <v>556</v>
      </c>
      <c r="H411" s="21"/>
    </row>
    <row r="412" spans="1:8" ht="13">
      <c r="A412" s="422">
        <v>44333</v>
      </c>
      <c r="B412" s="454">
        <v>55000</v>
      </c>
      <c r="C412" s="454">
        <f t="shared" si="59"/>
        <v>55004.520547945205</v>
      </c>
      <c r="D412" s="624">
        <f t="shared" si="60"/>
        <v>44363</v>
      </c>
      <c r="E412" s="604">
        <v>30</v>
      </c>
      <c r="F412" s="423">
        <v>1E-3</v>
      </c>
      <c r="G412" s="424" t="s">
        <v>540</v>
      </c>
      <c r="H412" s="21"/>
    </row>
    <row r="413" spans="1:8" ht="13">
      <c r="A413" s="422">
        <v>44354</v>
      </c>
      <c r="B413" s="454">
        <v>55661.56</v>
      </c>
      <c r="C413" s="454">
        <f t="shared" si="59"/>
        <v>55666.134922739722</v>
      </c>
      <c r="D413" s="624">
        <f t="shared" si="60"/>
        <v>44384</v>
      </c>
      <c r="E413" s="604">
        <v>30</v>
      </c>
      <c r="F413" s="423">
        <v>1E-3</v>
      </c>
      <c r="G413" s="424" t="s">
        <v>554</v>
      </c>
      <c r="H413" s="21"/>
    </row>
    <row r="414" spans="1:8" ht="13">
      <c r="A414" s="422">
        <v>44354</v>
      </c>
      <c r="B414" s="454">
        <v>52131.51</v>
      </c>
      <c r="C414" s="454">
        <f t="shared" si="59"/>
        <v>52135.794781643839</v>
      </c>
      <c r="D414" s="624">
        <f t="shared" si="60"/>
        <v>44384</v>
      </c>
      <c r="E414" s="604">
        <v>30</v>
      </c>
      <c r="F414" s="423">
        <v>1E-3</v>
      </c>
      <c r="G414" s="424" t="s">
        <v>555</v>
      </c>
      <c r="H414" s="21"/>
    </row>
    <row r="415" spans="1:8" ht="13">
      <c r="A415" s="422">
        <v>44354</v>
      </c>
      <c r="B415" s="454">
        <v>51105.9</v>
      </c>
      <c r="C415" s="454">
        <f t="shared" si="59"/>
        <v>51110.100484931507</v>
      </c>
      <c r="D415" s="624">
        <f t="shared" si="60"/>
        <v>44384</v>
      </c>
      <c r="E415" s="604">
        <v>30</v>
      </c>
      <c r="F415" s="423">
        <v>1E-3</v>
      </c>
      <c r="G415" s="424" t="s">
        <v>556</v>
      </c>
      <c r="H415" s="21"/>
    </row>
    <row r="416" spans="1:8" ht="13">
      <c r="A416" s="422">
        <v>44363</v>
      </c>
      <c r="B416" s="454">
        <v>65000</v>
      </c>
      <c r="C416" s="454">
        <f t="shared" ref="C416:C423" si="61">B416+(B416*F416/365*E416)*1</f>
        <v>65016.027397260274</v>
      </c>
      <c r="D416" s="624">
        <f t="shared" ref="D416:D423" si="62">A416+E416</f>
        <v>44393</v>
      </c>
      <c r="E416" s="604">
        <v>30</v>
      </c>
      <c r="F416" s="423">
        <v>3.0000000000000001E-3</v>
      </c>
      <c r="G416" s="424" t="s">
        <v>540</v>
      </c>
      <c r="H416" s="21"/>
    </row>
    <row r="417" spans="1:8" ht="13">
      <c r="A417" s="422">
        <v>44384</v>
      </c>
      <c r="B417" s="454">
        <v>55651.66</v>
      </c>
      <c r="C417" s="454">
        <f t="shared" si="61"/>
        <v>55656.234109041099</v>
      </c>
      <c r="D417" s="624">
        <f t="shared" si="62"/>
        <v>44414</v>
      </c>
      <c r="E417" s="604">
        <v>30</v>
      </c>
      <c r="F417" s="423">
        <v>1E-3</v>
      </c>
      <c r="G417" s="424" t="s">
        <v>554</v>
      </c>
      <c r="H417" s="21"/>
    </row>
    <row r="418" spans="1:8" ht="13">
      <c r="A418" s="422">
        <v>44384</v>
      </c>
      <c r="B418" s="454">
        <v>52135.51</v>
      </c>
      <c r="C418" s="454">
        <f t="shared" si="61"/>
        <v>52139.79511041096</v>
      </c>
      <c r="D418" s="624">
        <f t="shared" si="62"/>
        <v>44414</v>
      </c>
      <c r="E418" s="604">
        <v>30</v>
      </c>
      <c r="F418" s="423">
        <v>1E-3</v>
      </c>
      <c r="G418" s="424" t="s">
        <v>555</v>
      </c>
      <c r="H418" s="21"/>
    </row>
    <row r="419" spans="1:8" ht="13">
      <c r="A419" s="422">
        <v>44384</v>
      </c>
      <c r="B419" s="454">
        <v>51109.9</v>
      </c>
      <c r="C419" s="454">
        <f t="shared" si="61"/>
        <v>51114.100813698635</v>
      </c>
      <c r="D419" s="624">
        <f t="shared" si="62"/>
        <v>44414</v>
      </c>
      <c r="E419" s="604">
        <v>30</v>
      </c>
      <c r="F419" s="423">
        <v>1E-3</v>
      </c>
      <c r="G419" s="424" t="s">
        <v>556</v>
      </c>
      <c r="H419" s="21"/>
    </row>
    <row r="420" spans="1:8" ht="13">
      <c r="A420" s="422">
        <v>44397</v>
      </c>
      <c r="B420" s="454">
        <v>80000</v>
      </c>
      <c r="C420" s="454">
        <f t="shared" si="61"/>
        <v>80019.726027397264</v>
      </c>
      <c r="D420" s="624">
        <f t="shared" si="62"/>
        <v>44427</v>
      </c>
      <c r="E420" s="604">
        <v>30</v>
      </c>
      <c r="F420" s="423">
        <v>3.0000000000000001E-3</v>
      </c>
      <c r="G420" s="424" t="s">
        <v>540</v>
      </c>
      <c r="H420" s="21"/>
    </row>
    <row r="421" spans="1:8" ht="13">
      <c r="A421" s="422">
        <v>44414</v>
      </c>
      <c r="B421" s="454">
        <v>55666.559999999998</v>
      </c>
      <c r="C421" s="454">
        <f t="shared" si="61"/>
        <v>55671.287844821913</v>
      </c>
      <c r="D421" s="624">
        <f t="shared" si="62"/>
        <v>44445</v>
      </c>
      <c r="E421" s="604">
        <v>31</v>
      </c>
      <c r="F421" s="423">
        <v>1E-3</v>
      </c>
      <c r="G421" s="424" t="s">
        <v>554</v>
      </c>
      <c r="H421" s="21"/>
    </row>
    <row r="422" spans="1:8" ht="13">
      <c r="A422" s="422">
        <v>44414</v>
      </c>
      <c r="B422" s="454">
        <v>52139.51</v>
      </c>
      <c r="C422" s="454">
        <f t="shared" si="61"/>
        <v>52143.93828715069</v>
      </c>
      <c r="D422" s="624">
        <f t="shared" si="62"/>
        <v>44445</v>
      </c>
      <c r="E422" s="604">
        <v>31</v>
      </c>
      <c r="F422" s="423">
        <v>1E-3</v>
      </c>
      <c r="G422" s="424" t="s">
        <v>555</v>
      </c>
      <c r="H422" s="21"/>
    </row>
    <row r="423" spans="1:8" ht="13">
      <c r="A423" s="422">
        <v>44384</v>
      </c>
      <c r="B423" s="454">
        <v>51113.9</v>
      </c>
      <c r="C423" s="454">
        <f t="shared" si="61"/>
        <v>51118.24118054795</v>
      </c>
      <c r="D423" s="624">
        <f t="shared" si="62"/>
        <v>44415</v>
      </c>
      <c r="E423" s="604">
        <v>31</v>
      </c>
      <c r="F423" s="423">
        <v>1E-3</v>
      </c>
      <c r="G423" s="424" t="s">
        <v>556</v>
      </c>
      <c r="H423" s="21"/>
    </row>
    <row r="424" spans="1:8" ht="13">
      <c r="A424" s="422">
        <v>44427</v>
      </c>
      <c r="B424" s="454">
        <v>85000</v>
      </c>
      <c r="C424" s="454">
        <f t="shared" ref="C424:C431" si="63">B424+(B424*F424/365*E424)*1</f>
        <v>85022.356164383556</v>
      </c>
      <c r="D424" s="624">
        <f t="shared" ref="D424:D431" si="64">A424+E424</f>
        <v>44459</v>
      </c>
      <c r="E424" s="604">
        <v>32</v>
      </c>
      <c r="F424" s="423">
        <v>3.0000000000000001E-3</v>
      </c>
      <c r="G424" s="424" t="s">
        <v>120</v>
      </c>
      <c r="H424" s="21"/>
    </row>
    <row r="425" spans="1:8" ht="13">
      <c r="A425" s="422">
        <v>44445</v>
      </c>
      <c r="B425" s="454">
        <v>52143.51</v>
      </c>
      <c r="C425" s="454">
        <f t="shared" si="63"/>
        <v>52147.795767945208</v>
      </c>
      <c r="D425" s="624">
        <f t="shared" si="64"/>
        <v>44475</v>
      </c>
      <c r="E425" s="604">
        <v>30</v>
      </c>
      <c r="F425" s="423">
        <v>1E-3</v>
      </c>
      <c r="G425" s="424" t="s">
        <v>555</v>
      </c>
      <c r="H425" s="21"/>
    </row>
    <row r="426" spans="1:8" ht="13">
      <c r="A426" s="422">
        <v>44445</v>
      </c>
      <c r="B426" s="454">
        <v>51117.9</v>
      </c>
      <c r="C426" s="454">
        <f t="shared" si="63"/>
        <v>51122.101471232876</v>
      </c>
      <c r="D426" s="624">
        <f t="shared" si="64"/>
        <v>44475</v>
      </c>
      <c r="E426" s="604">
        <v>30</v>
      </c>
      <c r="F426" s="423">
        <v>1E-3</v>
      </c>
      <c r="G426" s="424" t="s">
        <v>556</v>
      </c>
      <c r="H426" s="21"/>
    </row>
    <row r="427" spans="1:8" ht="13">
      <c r="A427" s="422">
        <v>44446</v>
      </c>
      <c r="B427" s="454">
        <v>55671.56</v>
      </c>
      <c r="C427" s="454">
        <f t="shared" si="63"/>
        <v>55676.135744657535</v>
      </c>
      <c r="D427" s="624">
        <f t="shared" si="64"/>
        <v>44476</v>
      </c>
      <c r="E427" s="604">
        <v>30</v>
      </c>
      <c r="F427" s="423">
        <v>1E-3</v>
      </c>
      <c r="G427" s="424" t="s">
        <v>554</v>
      </c>
      <c r="H427" s="21"/>
    </row>
    <row r="428" spans="1:8" ht="13">
      <c r="A428" s="422">
        <v>44459</v>
      </c>
      <c r="B428" s="454">
        <v>100000</v>
      </c>
      <c r="C428" s="454">
        <f t="shared" si="63"/>
        <v>100024.65753424658</v>
      </c>
      <c r="D428" s="624">
        <f t="shared" si="64"/>
        <v>44489</v>
      </c>
      <c r="E428" s="630">
        <v>30</v>
      </c>
      <c r="F428" s="423">
        <v>3.0000000000000001E-3</v>
      </c>
      <c r="G428" s="424" t="s">
        <v>120</v>
      </c>
      <c r="H428" s="21"/>
    </row>
    <row r="429" spans="1:8" ht="13">
      <c r="A429" s="422">
        <v>44476</v>
      </c>
      <c r="B429" s="454">
        <v>55676.58</v>
      </c>
      <c r="C429" s="454">
        <f t="shared" si="63"/>
        <v>55681.461234410963</v>
      </c>
      <c r="D429" s="624">
        <f t="shared" si="64"/>
        <v>44508</v>
      </c>
      <c r="E429" s="630">
        <v>32</v>
      </c>
      <c r="F429" s="423">
        <v>1E-3</v>
      </c>
      <c r="G429" s="424" t="s">
        <v>554</v>
      </c>
      <c r="H429" s="21"/>
    </row>
    <row r="430" spans="1:8" ht="13">
      <c r="A430" s="422">
        <v>44475</v>
      </c>
      <c r="B430" s="454">
        <v>52147.51</v>
      </c>
      <c r="C430" s="454">
        <f t="shared" si="63"/>
        <v>52151.796096712329</v>
      </c>
      <c r="D430" s="624">
        <f t="shared" si="64"/>
        <v>44505</v>
      </c>
      <c r="E430" s="630">
        <v>30</v>
      </c>
      <c r="F430" s="423">
        <v>1E-3</v>
      </c>
      <c r="G430" s="424" t="s">
        <v>555</v>
      </c>
      <c r="H430" s="21"/>
    </row>
    <row r="431" spans="1:8" ht="13">
      <c r="A431" s="422">
        <v>44475</v>
      </c>
      <c r="B431" s="454">
        <v>51121.9</v>
      </c>
      <c r="C431" s="454">
        <f t="shared" si="63"/>
        <v>51126.101800000004</v>
      </c>
      <c r="D431" s="624">
        <f t="shared" si="64"/>
        <v>44505</v>
      </c>
      <c r="E431" s="630">
        <v>30</v>
      </c>
      <c r="F431" s="423">
        <v>1E-3</v>
      </c>
      <c r="G431" s="424" t="s">
        <v>556</v>
      </c>
      <c r="H431" s="21"/>
    </row>
    <row r="432" spans="1:8" ht="13">
      <c r="A432" s="422">
        <v>44509</v>
      </c>
      <c r="B432" s="454">
        <v>55681</v>
      </c>
      <c r="C432" s="454">
        <f t="shared" ref="C432:C437" si="65">B432+(B432*F432/365*E432)*1</f>
        <v>55699.306082191782</v>
      </c>
      <c r="D432" s="624">
        <f t="shared" ref="D432:D437" si="66">A432+E432</f>
        <v>44539</v>
      </c>
      <c r="E432" s="630">
        <v>30</v>
      </c>
      <c r="F432" s="423">
        <v>4.0000000000000001E-3</v>
      </c>
      <c r="G432" s="424" t="s">
        <v>554</v>
      </c>
      <c r="H432" s="21"/>
    </row>
    <row r="433" spans="1:8" ht="13">
      <c r="A433" s="422">
        <v>44509</v>
      </c>
      <c r="B433" s="454">
        <v>52151.51</v>
      </c>
      <c r="C433" s="454">
        <f t="shared" si="65"/>
        <v>52155.796425479457</v>
      </c>
      <c r="D433" s="624">
        <f t="shared" si="66"/>
        <v>44539</v>
      </c>
      <c r="E433" s="630">
        <v>30</v>
      </c>
      <c r="F433" s="423">
        <v>1E-3</v>
      </c>
      <c r="G433" s="424" t="s">
        <v>555</v>
      </c>
      <c r="H433" s="21"/>
    </row>
    <row r="434" spans="1:8" ht="13">
      <c r="A434" s="422">
        <v>44509</v>
      </c>
      <c r="B434" s="454">
        <v>51125.9</v>
      </c>
      <c r="C434" s="454">
        <f t="shared" si="65"/>
        <v>51130.102128767125</v>
      </c>
      <c r="D434" s="624">
        <f t="shared" si="66"/>
        <v>44539</v>
      </c>
      <c r="E434" s="630">
        <v>30</v>
      </c>
      <c r="F434" s="423">
        <v>1E-3</v>
      </c>
      <c r="G434" s="424" t="s">
        <v>556</v>
      </c>
      <c r="H434" s="21"/>
    </row>
    <row r="435" spans="1:8" ht="13">
      <c r="A435" s="422">
        <v>44519</v>
      </c>
      <c r="B435" s="454">
        <v>105000</v>
      </c>
      <c r="C435" s="454">
        <f t="shared" si="65"/>
        <v>105035.67123287672</v>
      </c>
      <c r="D435" s="624">
        <f t="shared" si="66"/>
        <v>44550</v>
      </c>
      <c r="E435" s="630">
        <v>31</v>
      </c>
      <c r="F435" s="423">
        <v>4.0000000000000001E-3</v>
      </c>
      <c r="G435" s="424" t="s">
        <v>540</v>
      </c>
      <c r="H435" s="21"/>
    </row>
    <row r="436" spans="1:8" ht="13">
      <c r="A436" s="422">
        <v>44540</v>
      </c>
      <c r="B436" s="454">
        <v>55699</v>
      </c>
      <c r="C436" s="454">
        <f t="shared" si="65"/>
        <v>55717.922400000003</v>
      </c>
      <c r="D436" s="624">
        <f t="shared" si="66"/>
        <v>44571</v>
      </c>
      <c r="E436" s="630">
        <v>31</v>
      </c>
      <c r="F436" s="423">
        <v>4.0000000000000001E-3</v>
      </c>
      <c r="G436" s="424" t="s">
        <v>554</v>
      </c>
      <c r="H436" s="21"/>
    </row>
    <row r="437" spans="1:8" ht="13">
      <c r="A437" s="422">
        <v>44544</v>
      </c>
      <c r="B437" s="454">
        <v>52155</v>
      </c>
      <c r="C437" s="454">
        <f t="shared" si="65"/>
        <v>52172.146849315068</v>
      </c>
      <c r="D437" s="624">
        <f t="shared" si="66"/>
        <v>44574</v>
      </c>
      <c r="E437" s="630">
        <v>30</v>
      </c>
      <c r="F437" s="423">
        <v>4.0000000000000001E-3</v>
      </c>
      <c r="G437" s="424" t="s">
        <v>555</v>
      </c>
      <c r="H437" s="21"/>
    </row>
    <row r="438" spans="1:8" ht="13">
      <c r="A438" s="422">
        <v>44545</v>
      </c>
      <c r="B438" s="454">
        <v>51129</v>
      </c>
      <c r="C438" s="454">
        <f t="shared" ref="C438:C443" si="67">B438+(B438*F438/365*E438)*1</f>
        <v>51133.202383561642</v>
      </c>
      <c r="D438" s="624">
        <f t="shared" ref="D438:D443" si="68">A438+E438</f>
        <v>44575</v>
      </c>
      <c r="E438" s="630">
        <v>30</v>
      </c>
      <c r="F438" s="423">
        <v>1E-3</v>
      </c>
      <c r="G438" s="424" t="s">
        <v>556</v>
      </c>
      <c r="H438" s="21"/>
    </row>
    <row r="439" spans="1:8" ht="13">
      <c r="A439" s="422">
        <v>44550</v>
      </c>
      <c r="B439" s="454">
        <v>125000</v>
      </c>
      <c r="C439" s="454">
        <f t="shared" si="67"/>
        <v>125041.09589041096</v>
      </c>
      <c r="D439" s="624">
        <f t="shared" si="68"/>
        <v>44580</v>
      </c>
      <c r="E439" s="630">
        <v>30</v>
      </c>
      <c r="F439" s="423">
        <v>4.0000000000000001E-3</v>
      </c>
      <c r="G439" s="424" t="s">
        <v>540</v>
      </c>
      <c r="H439" s="21"/>
    </row>
    <row r="440" spans="1:8" ht="13">
      <c r="A440" s="422">
        <v>44572</v>
      </c>
      <c r="B440" s="454">
        <v>55718</v>
      </c>
      <c r="C440" s="454">
        <f t="shared" si="67"/>
        <v>55740.897808219175</v>
      </c>
      <c r="D440" s="624">
        <f t="shared" si="68"/>
        <v>44602</v>
      </c>
      <c r="E440" s="630">
        <v>30</v>
      </c>
      <c r="F440" s="423">
        <v>5.0000000000000001E-3</v>
      </c>
      <c r="G440" s="424" t="s">
        <v>554</v>
      </c>
      <c r="H440" s="21"/>
    </row>
    <row r="441" spans="1:8" ht="13">
      <c r="A441" s="422">
        <v>44574</v>
      </c>
      <c r="B441" s="454">
        <v>52172</v>
      </c>
      <c r="C441" s="454">
        <f t="shared" si="67"/>
        <v>52194.869917808217</v>
      </c>
      <c r="D441" s="624">
        <f t="shared" si="68"/>
        <v>44606</v>
      </c>
      <c r="E441" s="630">
        <v>32</v>
      </c>
      <c r="F441" s="423">
        <v>5.0000000000000001E-3</v>
      </c>
      <c r="G441" s="424" t="s">
        <v>555</v>
      </c>
      <c r="H441" s="424" t="s">
        <v>557</v>
      </c>
    </row>
    <row r="442" spans="1:8" ht="13">
      <c r="A442" s="422">
        <v>44575</v>
      </c>
      <c r="B442" s="454">
        <v>51134</v>
      </c>
      <c r="C442" s="454">
        <f t="shared" si="67"/>
        <v>51138.342887671235</v>
      </c>
      <c r="D442" s="624">
        <f t="shared" si="68"/>
        <v>44606</v>
      </c>
      <c r="E442" s="630">
        <v>31</v>
      </c>
      <c r="F442" s="423">
        <v>1E-3</v>
      </c>
      <c r="G442" s="424" t="s">
        <v>556</v>
      </c>
      <c r="H442" s="21"/>
    </row>
    <row r="443" spans="1:8" ht="13">
      <c r="A443" s="422">
        <v>44580</v>
      </c>
      <c r="B443" s="454">
        <v>125000</v>
      </c>
      <c r="C443" s="454">
        <f t="shared" si="67"/>
        <v>125051.36986301369</v>
      </c>
      <c r="D443" s="624">
        <f t="shared" si="68"/>
        <v>44610</v>
      </c>
      <c r="E443" s="630">
        <v>30</v>
      </c>
      <c r="F443" s="423">
        <v>5.0000000000000001E-3</v>
      </c>
      <c r="G443" s="424" t="s">
        <v>540</v>
      </c>
      <c r="H443" s="21"/>
    </row>
    <row r="444" spans="1:8" ht="13">
      <c r="A444" s="422">
        <v>44610</v>
      </c>
      <c r="B444" s="454">
        <v>130000</v>
      </c>
      <c r="C444" s="454">
        <f t="shared" ref="C444:C451" si="69">B444+(B444*F444/365*E444)*1</f>
        <v>130055.20547945205</v>
      </c>
      <c r="D444" s="624">
        <f t="shared" ref="D444:D451" si="70">A444+E444</f>
        <v>44641</v>
      </c>
      <c r="E444" s="630">
        <v>31</v>
      </c>
      <c r="F444" s="423">
        <v>5.0000000000000001E-3</v>
      </c>
      <c r="G444" s="424" t="s">
        <v>120</v>
      </c>
      <c r="H444" s="21"/>
    </row>
    <row r="445" spans="1:8" ht="13.5" customHeight="1">
      <c r="A445" s="422">
        <v>44606</v>
      </c>
      <c r="B445" s="454">
        <v>52194</v>
      </c>
      <c r="C445" s="454">
        <f t="shared" si="69"/>
        <v>52226.174383561643</v>
      </c>
      <c r="D445" s="624">
        <f t="shared" si="70"/>
        <v>44651</v>
      </c>
      <c r="E445" s="630">
        <v>45</v>
      </c>
      <c r="F445" s="423">
        <v>5.0000000000000001E-3</v>
      </c>
      <c r="G445" s="424" t="s">
        <v>555</v>
      </c>
      <c r="H445" s="21"/>
    </row>
    <row r="446" spans="1:8" ht="13">
      <c r="A446" s="422">
        <v>44606</v>
      </c>
      <c r="B446" s="454">
        <v>51138</v>
      </c>
      <c r="C446" s="454">
        <f t="shared" si="69"/>
        <v>51143.884372602741</v>
      </c>
      <c r="D446" s="624">
        <f t="shared" si="70"/>
        <v>44648</v>
      </c>
      <c r="E446" s="630">
        <v>42</v>
      </c>
      <c r="F446" s="423">
        <v>1E-3</v>
      </c>
      <c r="G446" s="424" t="s">
        <v>556</v>
      </c>
      <c r="H446" s="21"/>
    </row>
    <row r="447" spans="1:8" ht="13">
      <c r="A447" s="422">
        <v>44603</v>
      </c>
      <c r="B447" s="454">
        <v>55741</v>
      </c>
      <c r="C447" s="454">
        <f t="shared" si="69"/>
        <v>55777.651616438357</v>
      </c>
      <c r="D447" s="624">
        <f t="shared" si="70"/>
        <v>44651</v>
      </c>
      <c r="E447" s="630">
        <v>48</v>
      </c>
      <c r="F447" s="423">
        <v>5.0000000000000001E-3</v>
      </c>
      <c r="G447" s="424" t="s">
        <v>554</v>
      </c>
      <c r="H447" s="21"/>
    </row>
    <row r="448" spans="1:8" ht="13">
      <c r="A448" s="422">
        <v>44641</v>
      </c>
      <c r="B448" s="454">
        <v>130000</v>
      </c>
      <c r="C448" s="454">
        <f t="shared" si="69"/>
        <v>130053.42465753424</v>
      </c>
      <c r="D448" s="624">
        <f t="shared" si="70"/>
        <v>44671</v>
      </c>
      <c r="E448" s="630">
        <v>30</v>
      </c>
      <c r="F448" s="423">
        <v>5.0000000000000001E-3</v>
      </c>
      <c r="G448" s="424" t="s">
        <v>120</v>
      </c>
      <c r="H448" s="21"/>
    </row>
    <row r="449" spans="1:8" ht="13.5" customHeight="1">
      <c r="A449" s="422">
        <v>44652</v>
      </c>
      <c r="B449" s="454">
        <v>57722</v>
      </c>
      <c r="C449" s="454">
        <f t="shared" si="69"/>
        <v>57746.512082191781</v>
      </c>
      <c r="D449" s="624">
        <f t="shared" si="70"/>
        <v>44683</v>
      </c>
      <c r="E449" s="630">
        <v>31</v>
      </c>
      <c r="F449" s="423">
        <v>5.0000000000000001E-3</v>
      </c>
      <c r="G449" s="424" t="s">
        <v>555</v>
      </c>
      <c r="H449" s="21"/>
    </row>
    <row r="450" spans="1:8" ht="13">
      <c r="A450" s="422">
        <v>44652</v>
      </c>
      <c r="B450" s="454">
        <v>57644</v>
      </c>
      <c r="C450" s="454">
        <f t="shared" si="69"/>
        <v>57648.895791780822</v>
      </c>
      <c r="D450" s="624">
        <f t="shared" si="70"/>
        <v>44683</v>
      </c>
      <c r="E450" s="630">
        <v>31</v>
      </c>
      <c r="F450" s="423">
        <v>1E-3</v>
      </c>
      <c r="G450" s="424" t="s">
        <v>556</v>
      </c>
      <c r="H450" s="21"/>
    </row>
    <row r="451" spans="1:8" ht="13">
      <c r="A451" s="422">
        <v>44652</v>
      </c>
      <c r="B451" s="454">
        <v>61778</v>
      </c>
      <c r="C451" s="454">
        <f t="shared" si="69"/>
        <v>61804.234493150681</v>
      </c>
      <c r="D451" s="624">
        <f t="shared" si="70"/>
        <v>44683</v>
      </c>
      <c r="E451" s="630">
        <v>31</v>
      </c>
      <c r="F451" s="423">
        <v>5.0000000000000001E-3</v>
      </c>
      <c r="G451" s="424" t="s">
        <v>554</v>
      </c>
      <c r="H451" s="21"/>
    </row>
    <row r="452" spans="1:8" ht="13">
      <c r="A452" s="422">
        <v>44671</v>
      </c>
      <c r="B452" s="454">
        <v>130000</v>
      </c>
      <c r="C452" s="454">
        <f t="shared" ref="C452:C459" si="71">B452+(B452*F452/365*E452)*1</f>
        <v>130053.42465753424</v>
      </c>
      <c r="D452" s="624">
        <f t="shared" ref="D452:D459" si="72">A452+E452</f>
        <v>44701</v>
      </c>
      <c r="E452" s="630">
        <v>30</v>
      </c>
      <c r="F452" s="423">
        <v>5.0000000000000001E-3</v>
      </c>
      <c r="G452" s="424" t="s">
        <v>120</v>
      </c>
      <c r="H452" s="21"/>
    </row>
    <row r="453" spans="1:8" ht="13.5" customHeight="1">
      <c r="A453" s="422">
        <v>44683</v>
      </c>
      <c r="B453" s="454">
        <v>57744</v>
      </c>
      <c r="C453" s="454">
        <f t="shared" si="71"/>
        <v>57767.730410958902</v>
      </c>
      <c r="D453" s="624">
        <f t="shared" si="72"/>
        <v>44713</v>
      </c>
      <c r="E453" s="630">
        <v>30</v>
      </c>
      <c r="F453" s="423">
        <v>5.0000000000000001E-3</v>
      </c>
      <c r="G453" s="424" t="s">
        <v>555</v>
      </c>
      <c r="H453" s="21"/>
    </row>
    <row r="454" spans="1:8" ht="13">
      <c r="A454" s="422">
        <v>44683</v>
      </c>
      <c r="B454" s="454">
        <v>57649</v>
      </c>
      <c r="C454" s="454">
        <f t="shared" si="71"/>
        <v>57653.738273972602</v>
      </c>
      <c r="D454" s="624">
        <f t="shared" si="72"/>
        <v>44713</v>
      </c>
      <c r="E454" s="630">
        <v>30</v>
      </c>
      <c r="F454" s="423">
        <v>1E-3</v>
      </c>
      <c r="G454" s="424" t="s">
        <v>556</v>
      </c>
      <c r="H454" s="21"/>
    </row>
    <row r="455" spans="1:8" ht="13">
      <c r="A455" s="422">
        <v>44683</v>
      </c>
      <c r="B455" s="454">
        <v>61804</v>
      </c>
      <c r="C455" s="454">
        <f t="shared" si="71"/>
        <v>61829.398904109592</v>
      </c>
      <c r="D455" s="624">
        <f t="shared" si="72"/>
        <v>44713</v>
      </c>
      <c r="E455" s="630">
        <v>30</v>
      </c>
      <c r="F455" s="423">
        <v>5.0000000000000001E-3</v>
      </c>
      <c r="G455" s="424" t="s">
        <v>554</v>
      </c>
      <c r="H455" s="21"/>
    </row>
    <row r="456" spans="1:8" ht="13">
      <c r="A456" s="422">
        <v>44701</v>
      </c>
      <c r="B456" s="454">
        <v>130000</v>
      </c>
      <c r="C456" s="454">
        <f t="shared" si="71"/>
        <v>130055.20547945205</v>
      </c>
      <c r="D456" s="624">
        <f t="shared" si="72"/>
        <v>44732</v>
      </c>
      <c r="E456" s="630">
        <v>31</v>
      </c>
      <c r="F456" s="423">
        <v>5.0000000000000001E-3</v>
      </c>
      <c r="G456" s="424" t="s">
        <v>120</v>
      </c>
      <c r="H456" s="21"/>
    </row>
    <row r="457" spans="1:8" ht="13.5" customHeight="1">
      <c r="A457" s="422">
        <v>44713</v>
      </c>
      <c r="B457" s="454">
        <v>57766</v>
      </c>
      <c r="C457" s="454">
        <f t="shared" si="71"/>
        <v>57789.739452054797</v>
      </c>
      <c r="D457" s="624">
        <f t="shared" si="72"/>
        <v>44743</v>
      </c>
      <c r="E457" s="630">
        <v>30</v>
      </c>
      <c r="F457" s="423">
        <v>5.0000000000000001E-3</v>
      </c>
      <c r="G457" s="424" t="s">
        <v>555</v>
      </c>
      <c r="H457" s="21"/>
    </row>
    <row r="458" spans="1:8" ht="13.5" customHeight="1">
      <c r="A458" s="422">
        <v>44713</v>
      </c>
      <c r="B458" s="454">
        <v>61829</v>
      </c>
      <c r="C458" s="454">
        <f t="shared" si="71"/>
        <v>61854.409178082191</v>
      </c>
      <c r="D458" s="624">
        <f t="shared" si="72"/>
        <v>44743</v>
      </c>
      <c r="E458" s="630">
        <v>30</v>
      </c>
      <c r="F458" s="423">
        <v>5.0000000000000001E-3</v>
      </c>
      <c r="G458" s="424" t="s">
        <v>554</v>
      </c>
      <c r="H458" s="21"/>
    </row>
    <row r="459" spans="1:8" ht="13">
      <c r="A459" s="422">
        <v>44713</v>
      </c>
      <c r="B459" s="454">
        <v>57654</v>
      </c>
      <c r="C459" s="454">
        <f t="shared" si="71"/>
        <v>57658.738684931508</v>
      </c>
      <c r="D459" s="624">
        <f t="shared" si="72"/>
        <v>44743</v>
      </c>
      <c r="E459" s="630">
        <v>30</v>
      </c>
      <c r="F459" s="423">
        <v>1E-3</v>
      </c>
      <c r="G459" s="424" t="s">
        <v>556</v>
      </c>
      <c r="H459" s="21"/>
    </row>
    <row r="460" spans="1:8" ht="13.5" customHeight="1">
      <c r="A460" s="422">
        <v>44743</v>
      </c>
      <c r="B460" s="454">
        <v>57787</v>
      </c>
      <c r="C460" s="454">
        <v>57812</v>
      </c>
      <c r="D460" s="624">
        <f t="shared" ref="D460:D466" si="73">A460+E460</f>
        <v>44774</v>
      </c>
      <c r="E460" s="630">
        <v>31</v>
      </c>
      <c r="F460" s="423">
        <v>5.0000000000000001E-3</v>
      </c>
      <c r="G460" s="424" t="s">
        <v>555</v>
      </c>
      <c r="H460" s="21"/>
    </row>
    <row r="461" spans="1:8" ht="13">
      <c r="A461" s="422">
        <v>44733</v>
      </c>
      <c r="B461" s="454">
        <v>130000</v>
      </c>
      <c r="C461" s="454">
        <f t="shared" ref="C461:C466" si="74">B461+(B461*F461/365*E461)*1</f>
        <v>130073.01369863014</v>
      </c>
      <c r="D461" s="624">
        <f t="shared" si="73"/>
        <v>44774</v>
      </c>
      <c r="E461" s="630">
        <v>41</v>
      </c>
      <c r="F461" s="423">
        <v>5.0000000000000001E-3</v>
      </c>
      <c r="G461" s="424" t="s">
        <v>120</v>
      </c>
      <c r="H461" s="21"/>
    </row>
    <row r="462" spans="1:8" ht="13.5" customHeight="1">
      <c r="A462" s="422">
        <v>44774</v>
      </c>
      <c r="B462" s="454">
        <v>57810.38</v>
      </c>
      <c r="C462" s="454">
        <f t="shared" si="74"/>
        <v>57834.929613424654</v>
      </c>
      <c r="D462" s="624">
        <f t="shared" si="73"/>
        <v>44805</v>
      </c>
      <c r="E462" s="630">
        <v>31</v>
      </c>
      <c r="F462" s="423">
        <v>5.0000000000000001E-3</v>
      </c>
      <c r="G462" s="424" t="s">
        <v>555</v>
      </c>
      <c r="H462" s="21"/>
    </row>
    <row r="463" spans="1:8" ht="13">
      <c r="A463" s="532">
        <v>44743</v>
      </c>
      <c r="B463" s="454">
        <v>57659</v>
      </c>
      <c r="C463" s="454">
        <f t="shared" si="74"/>
        <v>57663.897065753423</v>
      </c>
      <c r="D463" s="624">
        <f t="shared" si="73"/>
        <v>44774</v>
      </c>
      <c r="E463" s="630">
        <v>31</v>
      </c>
      <c r="F463" s="423">
        <v>1E-3</v>
      </c>
      <c r="G463" s="424" t="s">
        <v>556</v>
      </c>
      <c r="H463" s="21"/>
    </row>
    <row r="464" spans="1:8" ht="13">
      <c r="A464" s="532">
        <v>44743</v>
      </c>
      <c r="B464" s="454">
        <v>61854</v>
      </c>
      <c r="C464" s="454">
        <f t="shared" si="74"/>
        <v>61880.266767123285</v>
      </c>
      <c r="D464" s="624">
        <f t="shared" si="73"/>
        <v>44774</v>
      </c>
      <c r="E464" s="630">
        <v>31</v>
      </c>
      <c r="F464" s="423">
        <v>5.0000000000000001E-3</v>
      </c>
      <c r="G464" s="424" t="s">
        <v>554</v>
      </c>
      <c r="H464" s="21"/>
    </row>
    <row r="465" spans="1:8" ht="13">
      <c r="A465" s="422">
        <v>44774</v>
      </c>
      <c r="B465" s="454">
        <v>130000</v>
      </c>
      <c r="C465" s="454">
        <f t="shared" si="74"/>
        <v>130053.42465753424</v>
      </c>
      <c r="D465" s="624">
        <f t="shared" si="73"/>
        <v>44804</v>
      </c>
      <c r="E465" s="630">
        <v>30</v>
      </c>
      <c r="F465" s="423">
        <v>5.0000000000000001E-3</v>
      </c>
      <c r="G465" s="424" t="s">
        <v>120</v>
      </c>
      <c r="H465" s="21"/>
    </row>
    <row r="466" spans="1:8" ht="13.5" customHeight="1">
      <c r="A466" s="422">
        <v>44774</v>
      </c>
      <c r="B466" s="454">
        <v>57810</v>
      </c>
      <c r="C466" s="454">
        <f t="shared" si="74"/>
        <v>57833.757534246579</v>
      </c>
      <c r="D466" s="624">
        <f t="shared" si="73"/>
        <v>44804</v>
      </c>
      <c r="E466" s="630">
        <v>30</v>
      </c>
      <c r="F466" s="423">
        <v>5.0000000000000001E-3</v>
      </c>
      <c r="G466" s="424" t="s">
        <v>555</v>
      </c>
      <c r="H466" s="21"/>
    </row>
    <row r="467" spans="1:8" ht="13">
      <c r="A467" s="532">
        <v>44775</v>
      </c>
      <c r="B467" s="454">
        <v>57664</v>
      </c>
      <c r="C467" s="454">
        <f t="shared" ref="C467:C472" si="75">B467+(B467*F467/365*E467)*1</f>
        <v>57668.739506849313</v>
      </c>
      <c r="D467" s="624">
        <f t="shared" ref="D467:D472" si="76">A467+E467</f>
        <v>44805</v>
      </c>
      <c r="E467" s="630">
        <v>30</v>
      </c>
      <c r="F467" s="423">
        <v>1E-3</v>
      </c>
      <c r="G467" s="424" t="s">
        <v>556</v>
      </c>
      <c r="H467" s="21"/>
    </row>
    <row r="468" spans="1:8" ht="13">
      <c r="A468" s="532">
        <v>44775</v>
      </c>
      <c r="B468" s="454">
        <v>61880</v>
      </c>
      <c r="C468" s="454">
        <f t="shared" si="75"/>
        <v>61905.430136986302</v>
      </c>
      <c r="D468" s="624">
        <f t="shared" si="76"/>
        <v>44805</v>
      </c>
      <c r="E468" s="630">
        <v>30</v>
      </c>
      <c r="F468" s="423">
        <v>5.0000000000000001E-3</v>
      </c>
      <c r="G468" s="424" t="s">
        <v>554</v>
      </c>
      <c r="H468" s="21"/>
    </row>
    <row r="469" spans="1:8" ht="13">
      <c r="A469" s="532">
        <v>44805</v>
      </c>
      <c r="B469" s="454">
        <v>57669</v>
      </c>
      <c r="C469" s="454">
        <f t="shared" si="75"/>
        <v>57674.055912328768</v>
      </c>
      <c r="D469" s="624">
        <f t="shared" si="76"/>
        <v>44837</v>
      </c>
      <c r="E469" s="630">
        <v>32</v>
      </c>
      <c r="F469" s="423">
        <v>1E-3</v>
      </c>
      <c r="G469" s="424" t="s">
        <v>556</v>
      </c>
      <c r="H469" s="21"/>
    </row>
    <row r="470" spans="1:8" ht="13">
      <c r="A470" s="422">
        <v>44804</v>
      </c>
      <c r="B470" s="454">
        <v>130000</v>
      </c>
      <c r="C470" s="454">
        <f t="shared" si="75"/>
        <v>130058.76712328767</v>
      </c>
      <c r="D470" s="624">
        <f t="shared" si="76"/>
        <v>44837</v>
      </c>
      <c r="E470" s="630">
        <v>33</v>
      </c>
      <c r="F470" s="423">
        <v>5.0000000000000001E-3</v>
      </c>
      <c r="G470" s="424" t="s">
        <v>120</v>
      </c>
      <c r="H470" s="21"/>
    </row>
    <row r="471" spans="1:8" ht="13.5" customHeight="1">
      <c r="A471" s="422">
        <v>44804</v>
      </c>
      <c r="B471" s="454">
        <v>57831</v>
      </c>
      <c r="C471" s="454">
        <f t="shared" si="75"/>
        <v>57857.142780821916</v>
      </c>
      <c r="D471" s="624">
        <f t="shared" si="76"/>
        <v>44837</v>
      </c>
      <c r="E471" s="630">
        <v>33</v>
      </c>
      <c r="F471" s="423">
        <v>5.0000000000000001E-3</v>
      </c>
      <c r="G471" s="424" t="s">
        <v>555</v>
      </c>
      <c r="H471" s="21"/>
    </row>
    <row r="472" spans="1:8" ht="13">
      <c r="A472" s="532">
        <v>44805</v>
      </c>
      <c r="B472" s="454">
        <v>61905</v>
      </c>
      <c r="C472" s="454">
        <f t="shared" si="75"/>
        <v>61932.136438356167</v>
      </c>
      <c r="D472" s="624">
        <f t="shared" si="76"/>
        <v>44837</v>
      </c>
      <c r="E472" s="630">
        <v>32</v>
      </c>
      <c r="F472" s="423">
        <v>5.0000000000000001E-3</v>
      </c>
      <c r="G472" s="424" t="s">
        <v>554</v>
      </c>
      <c r="H472" s="21"/>
    </row>
    <row r="473" spans="1:8" ht="13">
      <c r="A473" s="532"/>
      <c r="B473" s="454"/>
      <c r="C473" s="454"/>
      <c r="D473" s="624"/>
      <c r="E473" s="630"/>
      <c r="F473" s="423"/>
      <c r="G473" s="424"/>
      <c r="H473" s="21"/>
    </row>
    <row r="474" spans="1:8" ht="13">
      <c r="A474" s="532"/>
      <c r="B474" s="454"/>
      <c r="C474" s="454"/>
      <c r="D474" s="624"/>
      <c r="E474" s="630"/>
      <c r="F474" s="423"/>
      <c r="G474" s="424"/>
      <c r="H474" s="21"/>
    </row>
    <row r="475" spans="1:8" ht="13">
      <c r="A475" s="532">
        <v>44837</v>
      </c>
      <c r="B475" s="454">
        <v>125000</v>
      </c>
      <c r="C475" s="454">
        <f t="shared" ref="C475:C482" si="77">B475+(B475*F475/365*E475)*1</f>
        <v>125051.36986301369</v>
      </c>
      <c r="D475" s="624">
        <f t="shared" ref="D475:D482" si="78">A475+E475</f>
        <v>44867</v>
      </c>
      <c r="E475" s="630">
        <v>30</v>
      </c>
      <c r="F475" s="423">
        <v>5.0000000000000001E-3</v>
      </c>
      <c r="G475" s="424" t="s">
        <v>120</v>
      </c>
      <c r="H475" s="21"/>
    </row>
    <row r="476" spans="1:8" ht="13">
      <c r="A476" s="532">
        <v>44837</v>
      </c>
      <c r="B476" s="454">
        <v>57855</v>
      </c>
      <c r="C476" s="454">
        <f t="shared" si="77"/>
        <v>57878.77602739726</v>
      </c>
      <c r="D476" s="624">
        <f t="shared" si="78"/>
        <v>44867</v>
      </c>
      <c r="E476" s="630">
        <v>30</v>
      </c>
      <c r="F476" s="423">
        <v>5.0000000000000001E-3</v>
      </c>
      <c r="G476" s="424" t="s">
        <v>555</v>
      </c>
      <c r="H476" s="21"/>
    </row>
    <row r="477" spans="1:8" ht="13">
      <c r="A477" s="532">
        <v>44837</v>
      </c>
      <c r="B477" s="454">
        <v>57674</v>
      </c>
      <c r="C477" s="454">
        <f t="shared" si="77"/>
        <v>57678.740328767126</v>
      </c>
      <c r="D477" s="624">
        <f t="shared" si="78"/>
        <v>44867</v>
      </c>
      <c r="E477" s="630">
        <v>30</v>
      </c>
      <c r="F477" s="423">
        <v>1E-3</v>
      </c>
      <c r="G477" s="424" t="s">
        <v>556</v>
      </c>
      <c r="H477" s="21"/>
    </row>
    <row r="478" spans="1:8" ht="13">
      <c r="A478" s="532">
        <v>44837</v>
      </c>
      <c r="B478" s="454">
        <v>61932</v>
      </c>
      <c r="C478" s="454">
        <f t="shared" si="77"/>
        <v>61957.451506849313</v>
      </c>
      <c r="D478" s="624">
        <f t="shared" si="78"/>
        <v>44867</v>
      </c>
      <c r="E478" s="630">
        <v>30</v>
      </c>
      <c r="F478" s="423">
        <v>5.0000000000000001E-3</v>
      </c>
      <c r="G478" s="424" t="s">
        <v>554</v>
      </c>
      <c r="H478" s="21"/>
    </row>
    <row r="479" spans="1:8" ht="13">
      <c r="A479" s="532">
        <v>44867</v>
      </c>
      <c r="B479" s="454">
        <v>125000</v>
      </c>
      <c r="C479" s="454">
        <f t="shared" si="77"/>
        <v>125051.36986301369</v>
      </c>
      <c r="D479" s="624">
        <f t="shared" si="78"/>
        <v>44897</v>
      </c>
      <c r="E479" s="630">
        <v>30</v>
      </c>
      <c r="F479" s="423">
        <v>5.0000000000000001E-3</v>
      </c>
      <c r="G479" s="424" t="s">
        <v>120</v>
      </c>
      <c r="H479" s="21"/>
    </row>
    <row r="480" spans="1:8" ht="13">
      <c r="A480" s="532">
        <v>44867</v>
      </c>
      <c r="B480" s="454">
        <v>57876</v>
      </c>
      <c r="C480" s="454">
        <f t="shared" si="77"/>
        <v>57899.784657534248</v>
      </c>
      <c r="D480" s="624">
        <f t="shared" si="78"/>
        <v>44897</v>
      </c>
      <c r="E480" s="630">
        <v>30</v>
      </c>
      <c r="F480" s="423">
        <v>5.0000000000000001E-3</v>
      </c>
      <c r="G480" s="424" t="s">
        <v>555</v>
      </c>
      <c r="H480" s="21"/>
    </row>
    <row r="481" spans="1:8" ht="13">
      <c r="A481" s="532">
        <v>44867</v>
      </c>
      <c r="B481" s="454">
        <v>57679</v>
      </c>
      <c r="C481" s="454">
        <f t="shared" si="77"/>
        <v>57683.740739726025</v>
      </c>
      <c r="D481" s="624">
        <f t="shared" si="78"/>
        <v>44897</v>
      </c>
      <c r="E481" s="630">
        <v>30</v>
      </c>
      <c r="F481" s="423">
        <v>1E-3</v>
      </c>
      <c r="G481" s="424" t="s">
        <v>556</v>
      </c>
      <c r="H481" s="21"/>
    </row>
    <row r="482" spans="1:8" ht="13">
      <c r="A482" s="532">
        <v>44867</v>
      </c>
      <c r="B482" s="454">
        <v>61957</v>
      </c>
      <c r="C482" s="454">
        <f t="shared" si="77"/>
        <v>61982.461780821919</v>
      </c>
      <c r="D482" s="624">
        <f t="shared" si="78"/>
        <v>44897</v>
      </c>
      <c r="E482" s="630">
        <v>30</v>
      </c>
      <c r="F482" s="423">
        <v>5.0000000000000001E-3</v>
      </c>
      <c r="G482" s="424" t="s">
        <v>554</v>
      </c>
      <c r="H482" s="21"/>
    </row>
    <row r="484" spans="1:8" ht="13.5" thickBot="1">
      <c r="A484" s="532"/>
      <c r="B484" s="454"/>
      <c r="C484" s="454"/>
      <c r="D484" s="624"/>
      <c r="E484" s="630"/>
      <c r="F484" s="423"/>
      <c r="G484" s="469"/>
      <c r="H484" s="21"/>
    </row>
    <row r="485" spans="1:8" ht="14" thickTop="1" thickBot="1">
      <c r="A485" s="2" t="s">
        <v>521</v>
      </c>
      <c r="B485" s="3" t="s">
        <v>522</v>
      </c>
      <c r="C485" s="3" t="s">
        <v>523</v>
      </c>
      <c r="D485" s="5" t="s">
        <v>525</v>
      </c>
      <c r="E485" s="4" t="s">
        <v>524</v>
      </c>
      <c r="F485" s="4" t="s">
        <v>526</v>
      </c>
      <c r="G485" s="6"/>
    </row>
    <row r="486" spans="1:8" ht="13.5" thickTop="1">
      <c r="A486" s="422">
        <v>44897</v>
      </c>
      <c r="B486" s="454">
        <v>130000</v>
      </c>
      <c r="C486" s="454">
        <f t="shared" ref="C486:C493" si="79">B486+(B486*F486/365*E486)*1</f>
        <v>130055.20547945205</v>
      </c>
      <c r="D486" s="624">
        <f t="shared" ref="D486:D493" si="80">A486+E486</f>
        <v>44928</v>
      </c>
      <c r="E486" s="630">
        <v>31</v>
      </c>
      <c r="F486" s="423">
        <v>5.0000000000000001E-3</v>
      </c>
      <c r="G486" s="424" t="s">
        <v>120</v>
      </c>
      <c r="H486" s="21"/>
    </row>
    <row r="487" spans="1:8" ht="13">
      <c r="A487" s="422">
        <v>44897</v>
      </c>
      <c r="B487" s="454">
        <v>57898</v>
      </c>
      <c r="C487" s="454">
        <f t="shared" si="79"/>
        <v>57922.586821917808</v>
      </c>
      <c r="D487" s="624">
        <f t="shared" si="80"/>
        <v>44928</v>
      </c>
      <c r="E487" s="630">
        <v>31</v>
      </c>
      <c r="F487" s="423">
        <v>5.0000000000000001E-3</v>
      </c>
      <c r="G487" s="424" t="s">
        <v>555</v>
      </c>
      <c r="H487" s="21"/>
    </row>
    <row r="488" spans="1:8" ht="13">
      <c r="A488" s="422">
        <v>44897</v>
      </c>
      <c r="B488" s="454">
        <v>57684</v>
      </c>
      <c r="C488" s="454">
        <f t="shared" si="79"/>
        <v>57688.899189041098</v>
      </c>
      <c r="D488" s="624">
        <f t="shared" si="80"/>
        <v>44928</v>
      </c>
      <c r="E488" s="630">
        <v>31</v>
      </c>
      <c r="F488" s="423">
        <v>1E-3</v>
      </c>
      <c r="G488" s="424" t="s">
        <v>556</v>
      </c>
      <c r="H488" s="21"/>
    </row>
    <row r="489" spans="1:8" ht="13">
      <c r="A489" s="422">
        <v>44897</v>
      </c>
      <c r="B489" s="454">
        <v>61982</v>
      </c>
      <c r="C489" s="454">
        <f t="shared" si="79"/>
        <v>62008.321123287671</v>
      </c>
      <c r="D489" s="624">
        <f t="shared" si="80"/>
        <v>44928</v>
      </c>
      <c r="E489" s="630">
        <v>31</v>
      </c>
      <c r="F489" s="423">
        <v>5.0000000000000001E-3</v>
      </c>
      <c r="G489" s="424" t="s">
        <v>554</v>
      </c>
      <c r="H489" s="21"/>
    </row>
    <row r="490" spans="1:8" ht="13">
      <c r="A490" s="422">
        <v>44928</v>
      </c>
      <c r="B490" s="454">
        <v>130000</v>
      </c>
      <c r="C490" s="454">
        <f t="shared" si="79"/>
        <v>130053.42465753424</v>
      </c>
      <c r="D490" s="624">
        <f t="shared" si="80"/>
        <v>44958</v>
      </c>
      <c r="E490" s="630">
        <v>30</v>
      </c>
      <c r="F490" s="423">
        <v>5.0000000000000001E-3</v>
      </c>
      <c r="G490" s="424" t="s">
        <v>120</v>
      </c>
      <c r="H490" s="21"/>
    </row>
    <row r="491" spans="1:8" ht="13">
      <c r="A491" s="422">
        <v>44928</v>
      </c>
      <c r="B491" s="454">
        <v>57921</v>
      </c>
      <c r="C491" s="454">
        <f t="shared" si="79"/>
        <v>57944.803150684929</v>
      </c>
      <c r="D491" s="624">
        <f t="shared" si="80"/>
        <v>44958</v>
      </c>
      <c r="E491" s="630">
        <v>30</v>
      </c>
      <c r="F491" s="423">
        <v>5.0000000000000001E-3</v>
      </c>
      <c r="G491" s="424" t="s">
        <v>555</v>
      </c>
      <c r="H491" s="21"/>
    </row>
    <row r="492" spans="1:8" ht="13">
      <c r="A492" s="422">
        <v>44928</v>
      </c>
      <c r="B492" s="454">
        <v>57689</v>
      </c>
      <c r="C492" s="454">
        <f t="shared" si="79"/>
        <v>57693.741561643837</v>
      </c>
      <c r="D492" s="624">
        <f t="shared" si="80"/>
        <v>44958</v>
      </c>
      <c r="E492" s="630">
        <v>30</v>
      </c>
      <c r="F492" s="423">
        <v>1E-3</v>
      </c>
      <c r="G492" s="424" t="s">
        <v>556</v>
      </c>
      <c r="H492" s="21"/>
    </row>
    <row r="493" spans="1:8" ht="13">
      <c r="A493" s="422">
        <v>44928</v>
      </c>
      <c r="B493" s="454">
        <v>62008</v>
      </c>
      <c r="C493" s="454">
        <f t="shared" si="79"/>
        <v>62033.482739726031</v>
      </c>
      <c r="D493" s="624">
        <f t="shared" si="80"/>
        <v>44958</v>
      </c>
      <c r="E493" s="630">
        <v>30</v>
      </c>
      <c r="F493" s="423">
        <v>5.0000000000000001E-3</v>
      </c>
      <c r="G493" s="424" t="s">
        <v>554</v>
      </c>
      <c r="H493" s="21"/>
    </row>
    <row r="494" spans="1:8" ht="13">
      <c r="A494" s="422">
        <v>44958</v>
      </c>
      <c r="B494" s="454">
        <v>130000</v>
      </c>
      <c r="C494" s="454">
        <f t="shared" ref="C494:C501" si="81">B494+(B494*F494/365*E494)*1</f>
        <v>130053.42465753424</v>
      </c>
      <c r="D494" s="624">
        <f t="shared" ref="D494:D501" si="82">A494+E494</f>
        <v>44988</v>
      </c>
      <c r="E494" s="630">
        <v>30</v>
      </c>
      <c r="F494" s="423">
        <v>5.0000000000000001E-3</v>
      </c>
      <c r="G494" s="424" t="s">
        <v>120</v>
      </c>
      <c r="H494" s="21"/>
    </row>
    <row r="495" spans="1:8" ht="13">
      <c r="A495" s="422">
        <v>44958</v>
      </c>
      <c r="B495" s="454">
        <v>57942</v>
      </c>
      <c r="C495" s="454">
        <f t="shared" si="81"/>
        <v>57965.811780821918</v>
      </c>
      <c r="D495" s="624">
        <f t="shared" si="82"/>
        <v>44988</v>
      </c>
      <c r="E495" s="630">
        <v>30</v>
      </c>
      <c r="F495" s="423">
        <v>5.0000000000000001E-3</v>
      </c>
      <c r="G495" s="424" t="s">
        <v>555</v>
      </c>
      <c r="H495" s="21"/>
    </row>
    <row r="496" spans="1:8" ht="13">
      <c r="A496" s="422">
        <v>44958</v>
      </c>
      <c r="B496" s="454">
        <v>57693</v>
      </c>
      <c r="C496" s="454">
        <f t="shared" si="81"/>
        <v>57697.741890410958</v>
      </c>
      <c r="D496" s="624">
        <f t="shared" si="82"/>
        <v>44988</v>
      </c>
      <c r="E496" s="630">
        <v>30</v>
      </c>
      <c r="F496" s="423">
        <v>1E-3</v>
      </c>
      <c r="G496" s="424" t="s">
        <v>556</v>
      </c>
      <c r="H496" s="21"/>
    </row>
    <row r="497" spans="1:8" ht="13">
      <c r="A497" s="422">
        <v>44958</v>
      </c>
      <c r="B497" s="454">
        <v>62034</v>
      </c>
      <c r="C497" s="454">
        <f t="shared" si="81"/>
        <v>62059.493424657536</v>
      </c>
      <c r="D497" s="624">
        <f t="shared" si="82"/>
        <v>44988</v>
      </c>
      <c r="E497" s="630">
        <v>30</v>
      </c>
      <c r="F497" s="423">
        <v>5.0000000000000001E-3</v>
      </c>
      <c r="G497" s="424" t="s">
        <v>554</v>
      </c>
      <c r="H497" s="21"/>
    </row>
    <row r="498" spans="1:8" ht="13">
      <c r="A498" s="422">
        <v>44988</v>
      </c>
      <c r="B498" s="454">
        <v>30000</v>
      </c>
      <c r="C498" s="454">
        <f t="shared" si="81"/>
        <v>30012.739726027397</v>
      </c>
      <c r="D498" s="624">
        <f t="shared" si="82"/>
        <v>45019</v>
      </c>
      <c r="E498" s="630">
        <v>31</v>
      </c>
      <c r="F498" s="423">
        <v>5.0000000000000001E-3</v>
      </c>
      <c r="G498" s="424" t="s">
        <v>120</v>
      </c>
      <c r="H498" s="21"/>
    </row>
    <row r="499" spans="1:8" ht="13">
      <c r="A499" s="422">
        <v>44988</v>
      </c>
      <c r="B499" s="454">
        <v>57963</v>
      </c>
      <c r="C499" s="454">
        <f t="shared" si="81"/>
        <v>57987.614424657535</v>
      </c>
      <c r="D499" s="624">
        <f t="shared" si="82"/>
        <v>45019</v>
      </c>
      <c r="E499" s="630">
        <v>31</v>
      </c>
      <c r="F499" s="423">
        <v>5.0000000000000001E-3</v>
      </c>
      <c r="G499" s="424" t="s">
        <v>555</v>
      </c>
      <c r="H499" s="21">
        <f t="shared" ref="H499:H500" si="83">+C499-B499</f>
        <v>24.614424657534983</v>
      </c>
    </row>
    <row r="500" spans="1:8" ht="13">
      <c r="A500" s="422">
        <v>44988</v>
      </c>
      <c r="B500" s="454">
        <v>57698</v>
      </c>
      <c r="C500" s="454">
        <f t="shared" si="81"/>
        <v>57702.900378082195</v>
      </c>
      <c r="D500" s="624">
        <f t="shared" si="82"/>
        <v>45019</v>
      </c>
      <c r="E500" s="630">
        <v>31</v>
      </c>
      <c r="F500" s="423">
        <v>1E-3</v>
      </c>
      <c r="G500" s="424" t="s">
        <v>556</v>
      </c>
      <c r="H500" s="21">
        <f t="shared" si="83"/>
        <v>4.9003780821949476</v>
      </c>
    </row>
    <row r="501" spans="1:8" ht="13">
      <c r="A501" s="422">
        <v>44988</v>
      </c>
      <c r="B501" s="454">
        <v>62059</v>
      </c>
      <c r="C501" s="454">
        <f t="shared" si="81"/>
        <v>62085.353821917808</v>
      </c>
      <c r="D501" s="624">
        <f t="shared" si="82"/>
        <v>45019</v>
      </c>
      <c r="E501" s="630">
        <v>31</v>
      </c>
      <c r="F501" s="423">
        <v>5.0000000000000001E-3</v>
      </c>
      <c r="G501" s="424" t="s">
        <v>554</v>
      </c>
      <c r="H501" s="21">
        <f>+C501-B501</f>
        <v>26.353821917808091</v>
      </c>
    </row>
    <row r="502" spans="1:8" ht="13">
      <c r="A502" s="422">
        <v>44999</v>
      </c>
      <c r="B502" s="454">
        <v>100000</v>
      </c>
      <c r="C502" s="454">
        <f t="shared" ref="C502:C509" si="84">B502+(B502*F502/365*E502)*1</f>
        <v>100041.09589041096</v>
      </c>
      <c r="D502" s="624">
        <f t="shared" ref="D502:D509" si="85">A502+E502</f>
        <v>45029</v>
      </c>
      <c r="E502" s="630">
        <v>30</v>
      </c>
      <c r="F502" s="423">
        <v>5.0000000000000001E-3</v>
      </c>
      <c r="G502" s="424" t="s">
        <v>120</v>
      </c>
      <c r="H502" s="21">
        <f t="shared" ref="H502:H503" si="86">+C502-B502</f>
        <v>41.095890410957509</v>
      </c>
    </row>
    <row r="503" spans="1:8" ht="13">
      <c r="A503" s="422">
        <v>45019</v>
      </c>
      <c r="B503" s="454">
        <v>30000</v>
      </c>
      <c r="C503" s="454">
        <f t="shared" si="84"/>
        <v>30012.328767123287</v>
      </c>
      <c r="D503" s="624">
        <f t="shared" si="85"/>
        <v>45049</v>
      </c>
      <c r="E503" s="630">
        <v>30</v>
      </c>
      <c r="F503" s="423">
        <v>5.0000000000000001E-3</v>
      </c>
      <c r="G503" s="424" t="s">
        <v>120</v>
      </c>
      <c r="H503" s="21">
        <f t="shared" si="86"/>
        <v>12.328767123286525</v>
      </c>
    </row>
    <row r="504" spans="1:8" ht="13">
      <c r="A504" s="422">
        <v>45019</v>
      </c>
      <c r="B504" s="454">
        <v>57986</v>
      </c>
      <c r="C504" s="454">
        <f t="shared" si="84"/>
        <v>58007.450000000004</v>
      </c>
      <c r="D504" s="624">
        <f t="shared" si="85"/>
        <v>45049</v>
      </c>
      <c r="E504" s="630">
        <v>30</v>
      </c>
      <c r="F504" s="423">
        <v>4.5006553305986796E-3</v>
      </c>
      <c r="G504" s="424" t="s">
        <v>555</v>
      </c>
      <c r="H504" s="21"/>
    </row>
    <row r="505" spans="1:8" ht="13">
      <c r="A505" s="422">
        <v>45019</v>
      </c>
      <c r="B505" s="454">
        <v>62086</v>
      </c>
      <c r="C505" s="454">
        <f t="shared" si="84"/>
        <v>62111.514794520546</v>
      </c>
      <c r="D505" s="624">
        <f t="shared" si="85"/>
        <v>45049</v>
      </c>
      <c r="E505" s="630">
        <v>30</v>
      </c>
      <c r="F505" s="423">
        <v>5.0000000000000001E-3</v>
      </c>
      <c r="G505" s="424" t="s">
        <v>554</v>
      </c>
      <c r="H505" s="21"/>
    </row>
    <row r="506" spans="1:8" ht="13">
      <c r="A506" s="422">
        <v>45049</v>
      </c>
      <c r="B506" s="454">
        <v>30000</v>
      </c>
      <c r="C506" s="454">
        <f t="shared" si="84"/>
        <v>30012.328767123287</v>
      </c>
      <c r="D506" s="624">
        <f t="shared" si="85"/>
        <v>45079</v>
      </c>
      <c r="E506" s="630">
        <v>30</v>
      </c>
      <c r="F506" s="423">
        <v>5.0000000000000001E-3</v>
      </c>
      <c r="G506" s="424" t="s">
        <v>120</v>
      </c>
      <c r="H506" s="21"/>
    </row>
    <row r="507" spans="1:8" ht="13">
      <c r="A507" s="422">
        <v>45020</v>
      </c>
      <c r="B507" s="454">
        <v>57703</v>
      </c>
      <c r="C507" s="454">
        <f t="shared" si="84"/>
        <v>57707.742712328771</v>
      </c>
      <c r="D507" s="624">
        <f t="shared" si="85"/>
        <v>45050</v>
      </c>
      <c r="E507" s="630">
        <v>30</v>
      </c>
      <c r="F507" s="423">
        <v>1E-3</v>
      </c>
      <c r="G507" s="424" t="s">
        <v>556</v>
      </c>
      <c r="H507" s="21"/>
    </row>
    <row r="508" spans="1:8" ht="13">
      <c r="A508" s="422">
        <v>45049</v>
      </c>
      <c r="B508" s="454">
        <v>58007</v>
      </c>
      <c r="C508" s="454">
        <f t="shared" ref="C508" si="87">B508+(B508*F508/365*E508)*1</f>
        <v>58028.454643835619</v>
      </c>
      <c r="D508" s="624">
        <f t="shared" ref="D508" si="88">A508+E508</f>
        <v>45079</v>
      </c>
      <c r="E508" s="630">
        <v>30</v>
      </c>
      <c r="F508" s="423">
        <v>4.4999999999999997E-3</v>
      </c>
      <c r="G508" s="424" t="s">
        <v>555</v>
      </c>
      <c r="H508" s="21"/>
    </row>
    <row r="509" spans="1:8" ht="13">
      <c r="A509" s="422">
        <v>45049</v>
      </c>
      <c r="B509" s="454">
        <v>62111</v>
      </c>
      <c r="C509" s="454">
        <f t="shared" si="84"/>
        <v>62136.525068493153</v>
      </c>
      <c r="D509" s="624">
        <f t="shared" si="85"/>
        <v>45079</v>
      </c>
      <c r="E509" s="630">
        <v>30</v>
      </c>
      <c r="F509" s="423">
        <v>5.0000000000000001E-3</v>
      </c>
      <c r="G509" s="424" t="s">
        <v>554</v>
      </c>
      <c r="H509" s="21"/>
    </row>
    <row r="510" spans="1:8" ht="13">
      <c r="A510" s="422">
        <v>45079</v>
      </c>
      <c r="B510" s="454">
        <v>35000</v>
      </c>
      <c r="C510" s="454">
        <f t="shared" ref="C510:C517" si="89">B510+(B510*F510/365*E510)*1</f>
        <v>35014.863013698632</v>
      </c>
      <c r="D510" s="624">
        <f t="shared" ref="D510:D517" si="90">A510+E510</f>
        <v>45110</v>
      </c>
      <c r="E510" s="630">
        <v>31</v>
      </c>
      <c r="F510" s="423">
        <v>5.0000000000000001E-3</v>
      </c>
      <c r="G510" s="424" t="s">
        <v>120</v>
      </c>
      <c r="H510" s="21"/>
    </row>
    <row r="511" spans="1:8" ht="13">
      <c r="A511" s="422">
        <v>45079</v>
      </c>
      <c r="B511" s="454">
        <v>57708</v>
      </c>
      <c r="C511" s="454">
        <f t="shared" si="89"/>
        <v>57712.901227397262</v>
      </c>
      <c r="D511" s="624">
        <f t="shared" si="90"/>
        <v>45110</v>
      </c>
      <c r="E511" s="630">
        <v>31</v>
      </c>
      <c r="F511" s="423">
        <v>1E-3</v>
      </c>
      <c r="G511" s="424" t="s">
        <v>556</v>
      </c>
      <c r="H511" s="21"/>
    </row>
    <row r="512" spans="1:8" ht="13">
      <c r="A512" s="422">
        <v>45079</v>
      </c>
      <c r="B512" s="454">
        <v>62137</v>
      </c>
      <c r="C512" s="454">
        <f t="shared" si="89"/>
        <v>62163.386945205479</v>
      </c>
      <c r="D512" s="624">
        <f t="shared" si="90"/>
        <v>45110</v>
      </c>
      <c r="E512" s="630">
        <v>31</v>
      </c>
      <c r="F512" s="423">
        <v>5.0000000000000001E-3</v>
      </c>
      <c r="G512" s="424" t="s">
        <v>554</v>
      </c>
      <c r="H512" s="21"/>
    </row>
    <row r="513" spans="1:8" ht="13">
      <c r="A513" s="422">
        <v>45089</v>
      </c>
      <c r="B513" s="454">
        <v>58028</v>
      </c>
      <c r="C513" s="454">
        <f t="shared" si="89"/>
        <v>58051.847123287669</v>
      </c>
      <c r="D513" s="624">
        <f t="shared" si="90"/>
        <v>45119</v>
      </c>
      <c r="E513" s="630">
        <v>30</v>
      </c>
      <c r="F513" s="423">
        <v>5.0000000000000001E-3</v>
      </c>
      <c r="G513" s="424" t="s">
        <v>555</v>
      </c>
      <c r="H513" s="21"/>
    </row>
    <row r="514" spans="1:8" ht="13">
      <c r="A514" s="422">
        <v>45110</v>
      </c>
      <c r="B514" s="454">
        <v>35000</v>
      </c>
      <c r="C514" s="454">
        <f t="shared" si="89"/>
        <v>35020.136986301368</v>
      </c>
      <c r="D514" s="624">
        <f t="shared" si="90"/>
        <v>45152</v>
      </c>
      <c r="E514" s="630">
        <v>42</v>
      </c>
      <c r="F514" s="423">
        <v>5.0000000000000001E-3</v>
      </c>
      <c r="G514" s="424" t="s">
        <v>120</v>
      </c>
      <c r="H514" s="21"/>
    </row>
    <row r="515" spans="1:8" ht="13">
      <c r="A515" s="422">
        <v>45110</v>
      </c>
      <c r="B515" s="454">
        <v>57713</v>
      </c>
      <c r="C515" s="454">
        <f t="shared" si="89"/>
        <v>57719.640947945205</v>
      </c>
      <c r="D515" s="624">
        <f t="shared" si="90"/>
        <v>45152</v>
      </c>
      <c r="E515" s="630">
        <v>42</v>
      </c>
      <c r="F515" s="423">
        <v>1E-3</v>
      </c>
      <c r="G515" s="424" t="s">
        <v>556</v>
      </c>
      <c r="H515" s="21"/>
    </row>
    <row r="516" spans="1:8" ht="13">
      <c r="A516" s="422">
        <v>45110</v>
      </c>
      <c r="B516" s="454">
        <v>62163</v>
      </c>
      <c r="C516" s="454">
        <f t="shared" si="89"/>
        <v>62198.765013698627</v>
      </c>
      <c r="D516" s="624">
        <f t="shared" si="90"/>
        <v>45152</v>
      </c>
      <c r="E516" s="630">
        <v>42</v>
      </c>
      <c r="F516" s="423">
        <v>5.0000000000000001E-3</v>
      </c>
      <c r="G516" s="424" t="s">
        <v>554</v>
      </c>
      <c r="H516" s="21"/>
    </row>
    <row r="517" spans="1:8" ht="13">
      <c r="A517" s="422">
        <v>45119</v>
      </c>
      <c r="B517" s="454">
        <v>58050</v>
      </c>
      <c r="C517" s="454">
        <f t="shared" si="89"/>
        <v>58076.241780821918</v>
      </c>
      <c r="D517" s="624">
        <f t="shared" si="90"/>
        <v>45152</v>
      </c>
      <c r="E517" s="630">
        <v>33</v>
      </c>
      <c r="F517" s="423">
        <v>5.0000000000000001E-3</v>
      </c>
      <c r="G517" s="424" t="s">
        <v>555</v>
      </c>
      <c r="H517" s="21"/>
    </row>
    <row r="518" spans="1:8" ht="13">
      <c r="A518" s="422">
        <v>45152</v>
      </c>
      <c r="B518" s="454">
        <v>35000</v>
      </c>
      <c r="C518" s="454">
        <f t="shared" ref="C518:C525" si="91">B518+(B518*F518/365*E518)*1</f>
        <v>35014.383561643837</v>
      </c>
      <c r="D518" s="624">
        <f t="shared" ref="D518:D525" si="92">A518+E518</f>
        <v>45182</v>
      </c>
      <c r="E518" s="630">
        <v>30</v>
      </c>
      <c r="F518" s="423">
        <v>5.0000000000000001E-3</v>
      </c>
      <c r="G518" s="424" t="s">
        <v>120</v>
      </c>
      <c r="H518" s="21"/>
    </row>
    <row r="519" spans="1:8" ht="13">
      <c r="A519" s="422">
        <v>45152</v>
      </c>
      <c r="B519" s="454">
        <v>57720</v>
      </c>
      <c r="C519" s="454">
        <f t="shared" si="91"/>
        <v>57724.744109589039</v>
      </c>
      <c r="D519" s="624">
        <f t="shared" si="92"/>
        <v>45182</v>
      </c>
      <c r="E519" s="630">
        <v>30</v>
      </c>
      <c r="F519" s="423">
        <v>1E-3</v>
      </c>
      <c r="G519" s="424" t="s">
        <v>556</v>
      </c>
      <c r="H519" s="21"/>
    </row>
    <row r="520" spans="1:8" ht="13">
      <c r="A520" s="422">
        <v>45152</v>
      </c>
      <c r="B520" s="454">
        <v>62198</v>
      </c>
      <c r="C520" s="454">
        <f t="shared" si="91"/>
        <v>62223.56082191781</v>
      </c>
      <c r="D520" s="624">
        <f t="shared" si="92"/>
        <v>45182</v>
      </c>
      <c r="E520" s="630">
        <v>30</v>
      </c>
      <c r="F520" s="423">
        <v>5.0000000000000001E-3</v>
      </c>
      <c r="G520" s="424" t="s">
        <v>554</v>
      </c>
      <c r="H520" s="21"/>
    </row>
    <row r="521" spans="1:8" ht="13">
      <c r="A521" s="422">
        <v>45152</v>
      </c>
      <c r="B521" s="454">
        <v>58074</v>
      </c>
      <c r="C521" s="454">
        <f t="shared" si="91"/>
        <v>58095.479424657533</v>
      </c>
      <c r="D521" s="624">
        <f t="shared" si="92"/>
        <v>45182</v>
      </c>
      <c r="E521" s="630">
        <v>30</v>
      </c>
      <c r="F521" s="423">
        <v>4.4999999999999997E-3</v>
      </c>
      <c r="G521" s="424" t="s">
        <v>555</v>
      </c>
      <c r="H521" s="21"/>
    </row>
    <row r="522" spans="1:8" ht="13">
      <c r="A522" s="422">
        <v>45182</v>
      </c>
      <c r="B522" s="454">
        <v>35000</v>
      </c>
      <c r="C522" s="454">
        <f t="shared" si="91"/>
        <v>35016.301369863017</v>
      </c>
      <c r="D522" s="624">
        <f t="shared" si="92"/>
        <v>45216</v>
      </c>
      <c r="E522" s="630">
        <v>34</v>
      </c>
      <c r="F522" s="423">
        <v>5.0000000000000001E-3</v>
      </c>
      <c r="G522" s="424" t="s">
        <v>120</v>
      </c>
      <c r="H522" s="21"/>
    </row>
    <row r="523" spans="1:8" ht="13">
      <c r="A523" s="422">
        <v>45182</v>
      </c>
      <c r="B523" s="454">
        <v>57725</v>
      </c>
      <c r="C523" s="454">
        <f t="shared" si="91"/>
        <v>57730.377123287668</v>
      </c>
      <c r="D523" s="624">
        <f t="shared" si="92"/>
        <v>45216</v>
      </c>
      <c r="E523" s="630">
        <v>34</v>
      </c>
      <c r="F523" s="423">
        <v>1E-3</v>
      </c>
      <c r="G523" s="424" t="s">
        <v>556</v>
      </c>
      <c r="H523" s="21"/>
    </row>
    <row r="524" spans="1:8" ht="13">
      <c r="A524" s="422">
        <v>45182</v>
      </c>
      <c r="B524" s="454">
        <v>62222</v>
      </c>
      <c r="C524" s="454">
        <f t="shared" si="91"/>
        <v>62250.980109589043</v>
      </c>
      <c r="D524" s="624">
        <f t="shared" si="92"/>
        <v>45216</v>
      </c>
      <c r="E524" s="630">
        <v>34</v>
      </c>
      <c r="F524" s="423">
        <v>5.0000000000000001E-3</v>
      </c>
      <c r="G524" s="424" t="s">
        <v>554</v>
      </c>
      <c r="H524" s="21"/>
    </row>
    <row r="525" spans="1:8" ht="13">
      <c r="A525" s="422">
        <v>45182</v>
      </c>
      <c r="B525" s="454">
        <v>58074</v>
      </c>
      <c r="C525" s="454">
        <f t="shared" si="91"/>
        <v>58098.343347945207</v>
      </c>
      <c r="D525" s="624">
        <f t="shared" si="92"/>
        <v>45216</v>
      </c>
      <c r="E525" s="630">
        <v>34</v>
      </c>
      <c r="F525" s="423">
        <v>4.4999999999999997E-3</v>
      </c>
      <c r="G525" s="424" t="s">
        <v>555</v>
      </c>
      <c r="H525" s="21"/>
    </row>
    <row r="526" spans="1:8" ht="13">
      <c r="A526" s="422">
        <v>45216</v>
      </c>
      <c r="B526" s="454">
        <v>57730</v>
      </c>
      <c r="C526" s="454">
        <f t="shared" ref="C526:C531" si="93">B526+(B526*F526/365*E526)*1</f>
        <v>57734.744931506852</v>
      </c>
      <c r="D526" s="624">
        <f t="shared" ref="D526:D531" si="94">A526+E526</f>
        <v>45246</v>
      </c>
      <c r="E526" s="630">
        <v>30</v>
      </c>
      <c r="F526" s="423">
        <v>1E-3</v>
      </c>
      <c r="G526" s="424" t="s">
        <v>556</v>
      </c>
      <c r="H526" s="21"/>
    </row>
    <row r="527" spans="1:8" ht="13">
      <c r="A527" s="422">
        <v>45216</v>
      </c>
      <c r="B527" s="454">
        <v>62251</v>
      </c>
      <c r="C527" s="454">
        <f t="shared" si="93"/>
        <v>62276.582602739727</v>
      </c>
      <c r="D527" s="624">
        <f t="shared" si="94"/>
        <v>45246</v>
      </c>
      <c r="E527" s="630">
        <v>30</v>
      </c>
      <c r="F527" s="423">
        <v>5.0000000000000001E-3</v>
      </c>
      <c r="G527" s="424" t="s">
        <v>554</v>
      </c>
      <c r="H527" s="21"/>
    </row>
    <row r="528" spans="1:8" ht="13">
      <c r="A528" s="422">
        <v>45216</v>
      </c>
      <c r="B528" s="454">
        <v>58095</v>
      </c>
      <c r="C528" s="454">
        <f t="shared" si="93"/>
        <v>58118.874657534245</v>
      </c>
      <c r="D528" s="624">
        <f t="shared" si="94"/>
        <v>45246</v>
      </c>
      <c r="E528" s="630">
        <v>30</v>
      </c>
      <c r="F528" s="423">
        <v>5.0000000000000001E-3</v>
      </c>
      <c r="G528" s="424" t="s">
        <v>555</v>
      </c>
      <c r="H528" s="21"/>
    </row>
    <row r="529" spans="1:13" ht="13">
      <c r="A529" s="422">
        <v>45246</v>
      </c>
      <c r="B529" s="454">
        <v>57735</v>
      </c>
      <c r="C529" s="454">
        <f t="shared" si="93"/>
        <v>57740.061698630139</v>
      </c>
      <c r="D529" s="624">
        <f t="shared" si="94"/>
        <v>45278</v>
      </c>
      <c r="E529" s="630">
        <v>32</v>
      </c>
      <c r="F529" s="423">
        <v>1E-3</v>
      </c>
      <c r="G529" s="424" t="s">
        <v>556</v>
      </c>
      <c r="H529" s="21"/>
    </row>
    <row r="530" spans="1:13" ht="13">
      <c r="A530" s="422">
        <v>45246</v>
      </c>
      <c r="B530" s="454">
        <v>62275</v>
      </c>
      <c r="C530" s="454">
        <f t="shared" si="93"/>
        <v>62302.298630136989</v>
      </c>
      <c r="D530" s="624">
        <f t="shared" si="94"/>
        <v>45278</v>
      </c>
      <c r="E530" s="630">
        <v>32</v>
      </c>
      <c r="F530" s="423">
        <v>5.0000000000000001E-3</v>
      </c>
      <c r="G530" s="424" t="s">
        <v>554</v>
      </c>
      <c r="H530" s="21"/>
    </row>
    <row r="531" spans="1:13" ht="13">
      <c r="A531" s="422">
        <v>45246</v>
      </c>
      <c r="B531" s="454">
        <v>58141</v>
      </c>
      <c r="C531" s="454">
        <f t="shared" si="93"/>
        <v>58166.486465753427</v>
      </c>
      <c r="D531" s="624">
        <f t="shared" si="94"/>
        <v>45278</v>
      </c>
      <c r="E531" s="630">
        <v>32</v>
      </c>
      <c r="F531" s="423">
        <v>5.0000000000000001E-3</v>
      </c>
      <c r="G531" s="424" t="s">
        <v>555</v>
      </c>
      <c r="H531" s="21"/>
    </row>
    <row r="532" spans="1:13" ht="13">
      <c r="A532" s="422">
        <v>44958</v>
      </c>
      <c r="B532" s="454">
        <v>57740</v>
      </c>
      <c r="C532" s="454">
        <f t="shared" ref="C532:C537" si="95">B532+(B532*F532/365*E532)*1</f>
        <v>57744.903945205479</v>
      </c>
      <c r="D532" s="624">
        <f t="shared" ref="D532:D537" si="96">A532+E532</f>
        <v>44989</v>
      </c>
      <c r="E532" s="630">
        <v>31</v>
      </c>
      <c r="F532" s="423">
        <v>1E-3</v>
      </c>
      <c r="G532" s="424" t="s">
        <v>556</v>
      </c>
      <c r="H532" s="21"/>
    </row>
    <row r="533" spans="1:13" ht="13">
      <c r="A533" s="422">
        <v>44958</v>
      </c>
      <c r="B533" s="454">
        <v>58165</v>
      </c>
      <c r="C533" s="454">
        <f t="shared" si="95"/>
        <v>58189.70020547945</v>
      </c>
      <c r="D533" s="624">
        <f t="shared" si="96"/>
        <v>44989</v>
      </c>
      <c r="E533" s="630">
        <v>31</v>
      </c>
      <c r="F533" s="423">
        <v>5.0000000000000001E-3</v>
      </c>
      <c r="G533" s="424" t="s">
        <v>555</v>
      </c>
      <c r="H533" s="21"/>
    </row>
    <row r="534" spans="1:13" ht="13">
      <c r="A534" s="422">
        <v>44989</v>
      </c>
      <c r="B534" s="454">
        <v>57744</v>
      </c>
      <c r="C534" s="454">
        <f t="shared" si="95"/>
        <v>57748.746082191778</v>
      </c>
      <c r="D534" s="624">
        <f t="shared" si="96"/>
        <v>45019</v>
      </c>
      <c r="E534" s="630">
        <v>30</v>
      </c>
      <c r="F534" s="423">
        <v>1E-3</v>
      </c>
      <c r="G534" s="424" t="s">
        <v>556</v>
      </c>
      <c r="H534" s="21"/>
    </row>
    <row r="535" spans="1:13" ht="13">
      <c r="A535" s="422">
        <v>44989</v>
      </c>
      <c r="B535" s="454">
        <v>58188</v>
      </c>
      <c r="C535" s="454">
        <f t="shared" si="95"/>
        <v>58215.898356164384</v>
      </c>
      <c r="D535" s="624">
        <f t="shared" si="96"/>
        <v>45024</v>
      </c>
      <c r="E535" s="630">
        <v>35</v>
      </c>
      <c r="F535" s="423">
        <v>5.0000000000000001E-3</v>
      </c>
      <c r="G535" s="424" t="s">
        <v>555</v>
      </c>
      <c r="H535" s="21"/>
    </row>
    <row r="536" spans="1:13" ht="13">
      <c r="A536" s="422">
        <v>45390</v>
      </c>
      <c r="B536" s="454">
        <v>57749</v>
      </c>
      <c r="C536" s="454">
        <f t="shared" si="95"/>
        <v>57753.746493150684</v>
      </c>
      <c r="D536" s="624">
        <f t="shared" si="96"/>
        <v>45420</v>
      </c>
      <c r="E536" s="630">
        <v>30</v>
      </c>
      <c r="F536" s="423">
        <v>1E-3</v>
      </c>
      <c r="G536" s="424" t="s">
        <v>556</v>
      </c>
      <c r="H536" s="21"/>
      <c r="I536" s="235"/>
    </row>
    <row r="537" spans="1:13" ht="13">
      <c r="A537" s="422">
        <v>45440</v>
      </c>
      <c r="B537" s="454">
        <v>58213</v>
      </c>
      <c r="C537" s="454">
        <f t="shared" si="95"/>
        <v>58236.923150684932</v>
      </c>
      <c r="D537" s="624">
        <f t="shared" si="96"/>
        <v>45470</v>
      </c>
      <c r="E537" s="630">
        <v>30</v>
      </c>
      <c r="F537" s="423">
        <v>5.0000000000000001E-3</v>
      </c>
      <c r="G537" s="424" t="s">
        <v>555</v>
      </c>
      <c r="H537" s="21"/>
      <c r="I537" s="235"/>
    </row>
    <row r="538" spans="1:13" ht="13">
      <c r="A538" s="422">
        <v>45470</v>
      </c>
      <c r="B538" s="454">
        <v>58256</v>
      </c>
      <c r="C538" s="454">
        <f>B538+(B538*F538/365*E538)*1</f>
        <v>58281.536876712329</v>
      </c>
      <c r="D538" s="624">
        <f>A538+E538</f>
        <v>45502</v>
      </c>
      <c r="E538" s="630">
        <v>32</v>
      </c>
      <c r="F538" s="423">
        <v>5.0000000000000001E-3</v>
      </c>
      <c r="G538" s="424" t="s">
        <v>555</v>
      </c>
      <c r="H538" s="21"/>
      <c r="I538" s="235"/>
    </row>
    <row r="540" spans="1:13" ht="20">
      <c r="A540" s="766" t="s">
        <v>852</v>
      </c>
    </row>
    <row r="541" spans="1:13" ht="13">
      <c r="A541" s="422">
        <v>45867</v>
      </c>
      <c r="B541" s="454">
        <v>10000</v>
      </c>
      <c r="C541" s="454">
        <f t="shared" ref="C541:C542" si="97">B541+(B541*F541/365*E541)*1</f>
        <v>10020.547945205479</v>
      </c>
      <c r="D541" s="624">
        <f t="shared" ref="D541" si="98">A541+E541</f>
        <v>45897</v>
      </c>
      <c r="E541" s="630">
        <v>30</v>
      </c>
      <c r="F541" s="423">
        <v>2.5000000000000001E-2</v>
      </c>
      <c r="G541" s="424" t="s">
        <v>258</v>
      </c>
      <c r="H541" s="21" t="s">
        <v>38</v>
      </c>
      <c r="I541" s="235">
        <v>1559.3115192594194</v>
      </c>
      <c r="J541">
        <v>1584.4544062531552</v>
      </c>
      <c r="K541">
        <v>2.6934964233412138</v>
      </c>
      <c r="L541">
        <v>4208.6301369863013</v>
      </c>
      <c r="M541">
        <v>0</v>
      </c>
    </row>
    <row r="542" spans="1:13" ht="13">
      <c r="A542" s="422">
        <v>45867</v>
      </c>
      <c r="B542" s="454">
        <v>19000</v>
      </c>
      <c r="C542" s="454">
        <f t="shared" si="97"/>
        <v>19039.04109589041</v>
      </c>
      <c r="D542" s="624">
        <f>A542+E542</f>
        <v>45897</v>
      </c>
      <c r="E542" s="630">
        <v>30</v>
      </c>
      <c r="F542" s="423">
        <v>2.5000000000000001E-2</v>
      </c>
      <c r="G542" s="424" t="s">
        <v>258</v>
      </c>
      <c r="H542" s="21" t="s">
        <v>38</v>
      </c>
      <c r="I542" s="235">
        <v>1559.3115192594194</v>
      </c>
      <c r="J542">
        <v>1584.4544062531552</v>
      </c>
      <c r="K542">
        <v>2.6934964233412138</v>
      </c>
      <c r="L542">
        <v>4208.6301369863013</v>
      </c>
      <c r="M542">
        <v>0</v>
      </c>
    </row>
    <row r="543" spans="1:13" ht="13">
      <c r="A543" s="422">
        <v>45889</v>
      </c>
      <c r="B543" s="454">
        <v>4200</v>
      </c>
      <c r="C543" s="454">
        <v>4208.6301369863013</v>
      </c>
      <c r="D543" s="624">
        <v>45919</v>
      </c>
      <c r="E543" s="630">
        <v>30</v>
      </c>
      <c r="F543" s="423">
        <v>2.5000000000000001E-2</v>
      </c>
      <c r="G543" s="424" t="s">
        <v>258</v>
      </c>
      <c r="H543" s="21" t="s">
        <v>38</v>
      </c>
      <c r="I543" s="235">
        <v>1559.3115192594194</v>
      </c>
      <c r="J543">
        <v>1584.4544062531552</v>
      </c>
      <c r="K543">
        <v>2.6934964233412138</v>
      </c>
      <c r="L543">
        <v>4208.6301369863013</v>
      </c>
      <c r="M543">
        <v>0</v>
      </c>
    </row>
    <row r="544" spans="1:13" ht="13">
      <c r="A544" s="422">
        <v>45897</v>
      </c>
      <c r="B544" s="454">
        <v>30400</v>
      </c>
      <c r="C544" s="454">
        <v>30466.630136986303</v>
      </c>
      <c r="D544" s="624">
        <v>45929</v>
      </c>
      <c r="E544" s="630">
        <v>32</v>
      </c>
      <c r="F544" s="423">
        <v>2.5000000000000001E-2</v>
      </c>
      <c r="G544" s="424" t="s">
        <v>258</v>
      </c>
      <c r="H544" s="21" t="s">
        <v>38</v>
      </c>
      <c r="I544" s="235">
        <v>1565.9770140473809</v>
      </c>
      <c r="J544">
        <v>1592.9251396406219</v>
      </c>
      <c r="K544">
        <v>19.412800907868373</v>
      </c>
      <c r="L544">
        <v>30466.630136986303</v>
      </c>
      <c r="M544">
        <v>0</v>
      </c>
    </row>
    <row r="545" spans="1:13" ht="13">
      <c r="A545" s="422">
        <v>45929</v>
      </c>
      <c r="B545" s="454">
        <v>40000</v>
      </c>
      <c r="C545" s="454">
        <v>40082.191780821915</v>
      </c>
      <c r="D545" s="624">
        <v>45959</v>
      </c>
      <c r="E545" s="630">
        <v>30</v>
      </c>
      <c r="F545" s="423">
        <v>2.5000000000000001E-2</v>
      </c>
      <c r="G545" s="424" t="s">
        <v>258</v>
      </c>
      <c r="H545" s="21" t="s">
        <v>38</v>
      </c>
      <c r="I545" s="235">
        <v>1592.9251396406219</v>
      </c>
      <c r="J545">
        <v>1618.6100244636918</v>
      </c>
      <c r="K545">
        <v>25.111035669274678</v>
      </c>
      <c r="L545">
        <v>40082.191780821915</v>
      </c>
      <c r="M545">
        <v>0</v>
      </c>
    </row>
    <row r="553" spans="1:13" s="47" customFormat="1" ht="13">
      <c r="A553" s="831"/>
      <c r="B553" s="1027"/>
      <c r="C553" s="1027"/>
      <c r="D553" s="1022"/>
      <c r="E553" s="1023"/>
      <c r="F553" s="1024"/>
      <c r="G553" s="834"/>
      <c r="H553" s="834"/>
      <c r="I553" s="21"/>
      <c r="J553" s="609"/>
    </row>
    <row r="554" spans="1:13" s="47" customFormat="1" ht="13">
      <c r="A554" s="831"/>
      <c r="B554" s="1027"/>
      <c r="C554" s="1027"/>
      <c r="D554" s="1022"/>
      <c r="E554" s="1023"/>
      <c r="F554" s="1024"/>
      <c r="G554" s="834"/>
      <c r="H554" s="834"/>
      <c r="I554" s="21"/>
      <c r="J554" s="609"/>
    </row>
    <row r="555" spans="1:13" s="47" customFormat="1" ht="13">
      <c r="A555" s="831"/>
      <c r="B555" s="1027"/>
      <c r="C555" s="1027"/>
      <c r="D555" s="1022"/>
      <c r="E555" s="1023"/>
      <c r="F555" s="1024"/>
      <c r="G555" s="834"/>
      <c r="H555" s="834"/>
      <c r="I555" s="21"/>
      <c r="J555" s="609"/>
    </row>
    <row r="556" spans="1:13" ht="16" thickBot="1">
      <c r="A556" s="652" t="s">
        <v>558</v>
      </c>
      <c r="B556" s="321"/>
      <c r="C556" s="21"/>
      <c r="D556" s="21"/>
      <c r="E556" s="21"/>
      <c r="F556" s="21"/>
      <c r="G556" s="21"/>
      <c r="H556" s="21"/>
    </row>
    <row r="557" spans="1:13" ht="14" thickTop="1" thickBot="1">
      <c r="A557" s="2" t="s">
        <v>521</v>
      </c>
      <c r="B557" s="3" t="s">
        <v>522</v>
      </c>
      <c r="C557" s="3" t="s">
        <v>523</v>
      </c>
      <c r="D557" s="5" t="s">
        <v>525</v>
      </c>
      <c r="E557" s="4" t="s">
        <v>524</v>
      </c>
      <c r="F557" s="4" t="s">
        <v>526</v>
      </c>
      <c r="G557" s="6" t="s">
        <v>559</v>
      </c>
    </row>
    <row r="558" spans="1:13" ht="13.5" thickTop="1">
      <c r="A558" s="532">
        <v>44896</v>
      </c>
      <c r="B558" s="454">
        <v>148606.69</v>
      </c>
      <c r="C558" s="454">
        <f>B558+(B558*F558/365*E558)*1</f>
        <v>150000</v>
      </c>
      <c r="D558" s="624">
        <f>A558+E558</f>
        <v>44987</v>
      </c>
      <c r="E558" s="630">
        <v>91</v>
      </c>
      <c r="F558" s="651">
        <v>3.7606322426675873E-2</v>
      </c>
      <c r="G558" s="469" t="s">
        <v>243</v>
      </c>
      <c r="H558" s="21"/>
    </row>
    <row r="559" spans="1:13" ht="13">
      <c r="A559" s="532">
        <v>44910</v>
      </c>
      <c r="B559" s="454">
        <v>113923.51</v>
      </c>
      <c r="C559" s="454">
        <f>B559+(B559*F559/365*E559)*1</f>
        <v>115000</v>
      </c>
      <c r="D559" s="624">
        <f>A559+E559</f>
        <v>45001</v>
      </c>
      <c r="E559" s="630">
        <v>91</v>
      </c>
      <c r="F559" s="651">
        <v>3.7900777112991071E-2</v>
      </c>
      <c r="G559" s="469" t="s">
        <v>240</v>
      </c>
      <c r="H559" s="21"/>
    </row>
    <row r="560" spans="1:13" ht="13">
      <c r="A560" s="532">
        <v>44896</v>
      </c>
      <c r="B560" s="454">
        <v>148606.69</v>
      </c>
      <c r="C560" s="454">
        <f>B560+(B560*F560/365*E560)*1</f>
        <v>148667.76124246576</v>
      </c>
      <c r="D560" s="624">
        <f>A560+E560</f>
        <v>44926</v>
      </c>
      <c r="E560" s="630">
        <v>30</v>
      </c>
      <c r="F560" s="651">
        <v>5.0000000000000001E-3</v>
      </c>
      <c r="G560" s="469" t="s">
        <v>243</v>
      </c>
      <c r="H560" s="21"/>
    </row>
    <row r="561" spans="1:9" ht="13">
      <c r="A561" s="532">
        <v>44936</v>
      </c>
      <c r="B561" s="454">
        <v>24743.57</v>
      </c>
      <c r="C561" s="454">
        <f t="shared" ref="C561:C563" si="99">B561+(B561*F561/365*E561)*1</f>
        <v>24999.999999999989</v>
      </c>
      <c r="D561" s="624">
        <f t="shared" ref="D561:D563" si="100">A561+E561</f>
        <v>45029</v>
      </c>
      <c r="E561" s="630">
        <v>93</v>
      </c>
      <c r="F561" s="651">
        <v>4.0673953564673695E-2</v>
      </c>
      <c r="G561" s="469" t="s">
        <v>243</v>
      </c>
      <c r="H561" s="21"/>
    </row>
    <row r="562" spans="1:9" ht="13">
      <c r="A562" s="532">
        <v>44988</v>
      </c>
      <c r="B562" s="454">
        <v>74208.19</v>
      </c>
      <c r="C562" s="454">
        <f t="shared" si="99"/>
        <v>75000</v>
      </c>
      <c r="D562" s="624">
        <f t="shared" si="100"/>
        <v>45078</v>
      </c>
      <c r="E562" s="630">
        <v>90</v>
      </c>
      <c r="F562" s="651">
        <v>4.32732484708825E-2</v>
      </c>
      <c r="G562" s="469" t="s">
        <v>243</v>
      </c>
      <c r="H562" s="21"/>
    </row>
    <row r="563" spans="1:9" ht="13">
      <c r="A563" s="532">
        <v>44896</v>
      </c>
      <c r="B563" s="454">
        <v>146977.91</v>
      </c>
      <c r="C563" s="454">
        <f t="shared" si="99"/>
        <v>150000</v>
      </c>
      <c r="D563" s="624">
        <f t="shared" si="100"/>
        <v>45078</v>
      </c>
      <c r="E563" s="630">
        <v>182</v>
      </c>
      <c r="F563" s="651">
        <v>4.1236025808979629E-2</v>
      </c>
      <c r="G563" s="469" t="s">
        <v>243</v>
      </c>
      <c r="H563" s="21"/>
    </row>
    <row r="564" spans="1:9" ht="13">
      <c r="A564" s="532">
        <v>45002</v>
      </c>
      <c r="B564" s="454">
        <v>64340.17</v>
      </c>
      <c r="C564" s="454">
        <f t="shared" ref="C564:C565" si="101">B564+(B564*F564/365*E564)*1</f>
        <v>65000.000000000036</v>
      </c>
      <c r="D564" s="624">
        <f t="shared" ref="D564:D565" si="102">A564+E564</f>
        <v>45092</v>
      </c>
      <c r="E564" s="630">
        <v>90</v>
      </c>
      <c r="F564" s="651">
        <v>4.1591081003086651E-2</v>
      </c>
      <c r="G564" s="469" t="s">
        <v>240</v>
      </c>
      <c r="H564" s="21"/>
      <c r="I564" s="235"/>
    </row>
    <row r="565" spans="1:9" ht="13">
      <c r="A565" s="532">
        <v>44910</v>
      </c>
      <c r="B565" s="454">
        <v>112673.16</v>
      </c>
      <c r="C565" s="454">
        <f t="shared" si="101"/>
        <v>115000</v>
      </c>
      <c r="D565" s="624">
        <f t="shared" si="102"/>
        <v>45092</v>
      </c>
      <c r="E565" s="630">
        <v>182</v>
      </c>
      <c r="F565" s="651">
        <v>4.1415940008825765E-2</v>
      </c>
      <c r="G565" s="469" t="s">
        <v>240</v>
      </c>
      <c r="H565" s="21"/>
      <c r="I565" s="235"/>
    </row>
    <row r="566" spans="1:9" ht="13">
      <c r="A566" s="532">
        <v>44939</v>
      </c>
      <c r="B566" s="454">
        <v>16657.41</v>
      </c>
      <c r="C566" s="454">
        <f>B566+(B566*F566/365*E566)*1</f>
        <v>17000</v>
      </c>
      <c r="D566" s="624">
        <f>A566+E566</f>
        <v>45120</v>
      </c>
      <c r="E566" s="630">
        <v>181</v>
      </c>
      <c r="F566" s="651">
        <v>4.147453219274902E-2</v>
      </c>
      <c r="G566" s="469" t="s">
        <v>243</v>
      </c>
      <c r="H566" s="21"/>
      <c r="I566" s="235"/>
    </row>
    <row r="567" spans="1:9" ht="13">
      <c r="A567" s="532">
        <v>45041</v>
      </c>
      <c r="B567" s="454">
        <v>49433.04</v>
      </c>
      <c r="C567" s="454">
        <f t="shared" ref="C567:C569" si="103">B567+(B567*F567/365*E567)*1</f>
        <v>50000</v>
      </c>
      <c r="D567" s="624">
        <f t="shared" ref="D567:D569" si="104">A567+E567</f>
        <v>45134</v>
      </c>
      <c r="E567" s="630">
        <v>93</v>
      </c>
      <c r="F567" s="651">
        <v>4.5013731532550949E-2</v>
      </c>
      <c r="G567" s="469" t="s">
        <v>242</v>
      </c>
      <c r="H567" s="21"/>
      <c r="I567" s="235"/>
    </row>
    <row r="568" spans="1:9" ht="13">
      <c r="A568" s="532">
        <v>45078</v>
      </c>
      <c r="B568" s="454">
        <v>113647.89</v>
      </c>
      <c r="C568" s="454">
        <f t="shared" si="103"/>
        <v>115000.00000000003</v>
      </c>
      <c r="D568" s="624">
        <f t="shared" si="104"/>
        <v>45169</v>
      </c>
      <c r="E568" s="630">
        <v>91</v>
      </c>
      <c r="F568" s="651">
        <v>4.7720185140687182E-2</v>
      </c>
      <c r="G568" s="469" t="s">
        <v>243</v>
      </c>
      <c r="H568" s="21"/>
      <c r="I568" s="235"/>
    </row>
    <row r="569" spans="1:9" ht="13">
      <c r="A569" s="532">
        <v>44988</v>
      </c>
      <c r="B569" s="454">
        <v>73235.5</v>
      </c>
      <c r="C569" s="454">
        <f t="shared" si="103"/>
        <v>74999.999999999985</v>
      </c>
      <c r="D569" s="624">
        <f t="shared" si="104"/>
        <v>45169</v>
      </c>
      <c r="E569" s="630">
        <v>181</v>
      </c>
      <c r="F569" s="423">
        <v>4.8586353016686665E-2</v>
      </c>
      <c r="G569" s="469" t="s">
        <v>243</v>
      </c>
      <c r="H569" s="21"/>
      <c r="I569" s="235"/>
    </row>
    <row r="570" spans="1:9" ht="13">
      <c r="A570" s="532">
        <v>45092</v>
      </c>
      <c r="B570" s="454">
        <v>93914.51</v>
      </c>
      <c r="C570" s="454">
        <f>B570+(B570*F570/365*E570)*1</f>
        <v>95000</v>
      </c>
      <c r="D570" s="624">
        <f>A570+E570</f>
        <v>45183</v>
      </c>
      <c r="E570" s="630">
        <v>91</v>
      </c>
      <c r="F570" s="423">
        <v>4.636012541127519E-2</v>
      </c>
      <c r="G570" s="469" t="s">
        <v>240</v>
      </c>
      <c r="H570" s="21"/>
      <c r="I570" s="235"/>
    </row>
    <row r="571" spans="1:9" ht="13">
      <c r="A571" s="532">
        <v>45002</v>
      </c>
      <c r="B571" s="454">
        <v>58661.4</v>
      </c>
      <c r="C571" s="454">
        <f>B571+(B571*F571/365*E571)*1</f>
        <v>60000.000000000007</v>
      </c>
      <c r="D571" s="624">
        <f>A571+E571</f>
        <v>45183</v>
      </c>
      <c r="E571" s="630">
        <v>181</v>
      </c>
      <c r="F571" s="423">
        <v>4.6016405001099513E-2</v>
      </c>
      <c r="G571" s="469" t="s">
        <v>240</v>
      </c>
      <c r="H571" s="21"/>
      <c r="I571" s="235"/>
    </row>
    <row r="572" spans="1:9" ht="13">
      <c r="A572" s="532">
        <v>45030</v>
      </c>
      <c r="B572" s="454">
        <v>27368.63</v>
      </c>
      <c r="C572" s="454">
        <f t="shared" ref="C572:C590" si="105">B572+(B572*F572/365*E572)*1</f>
        <v>28000</v>
      </c>
      <c r="D572" s="624">
        <f t="shared" ref="D572:D595" si="106">A572+E572</f>
        <v>45211</v>
      </c>
      <c r="E572" s="630">
        <v>181</v>
      </c>
      <c r="F572" s="651">
        <v>4.6520585653450408E-2</v>
      </c>
      <c r="G572" s="469" t="s">
        <v>243</v>
      </c>
      <c r="H572" s="21"/>
      <c r="I572" s="235"/>
    </row>
    <row r="573" spans="1:9" ht="13">
      <c r="A573" s="532">
        <v>45041</v>
      </c>
      <c r="B573" s="454">
        <v>49899.01</v>
      </c>
      <c r="C573" s="454">
        <f t="shared" si="105"/>
        <v>51000</v>
      </c>
      <c r="D573" s="624">
        <f t="shared" si="106"/>
        <v>45218</v>
      </c>
      <c r="E573" s="630">
        <v>177</v>
      </c>
      <c r="F573" s="651">
        <v>4.5499962972103708E-2</v>
      </c>
      <c r="G573" s="469" t="s">
        <v>242</v>
      </c>
      <c r="H573" s="21"/>
      <c r="I573" s="235"/>
    </row>
    <row r="574" spans="1:9" ht="13">
      <c r="A574" s="532">
        <v>45056</v>
      </c>
      <c r="B574" s="454">
        <v>29371.25</v>
      </c>
      <c r="C574" s="454">
        <f t="shared" si="105"/>
        <v>30000</v>
      </c>
      <c r="D574" s="624">
        <f t="shared" si="106"/>
        <v>45225</v>
      </c>
      <c r="E574" s="630">
        <v>169</v>
      </c>
      <c r="F574" s="651">
        <v>4.6234027609718689E-2</v>
      </c>
      <c r="G574" s="469" t="s">
        <v>242</v>
      </c>
      <c r="H574" s="21"/>
      <c r="I574" s="235"/>
    </row>
    <row r="575" spans="1:9" ht="13">
      <c r="A575" s="532">
        <v>45169</v>
      </c>
      <c r="B575" s="454">
        <v>69156.19</v>
      </c>
      <c r="C575" s="454">
        <f t="shared" si="105"/>
        <v>70000</v>
      </c>
      <c r="D575" s="624">
        <f t="shared" si="106"/>
        <v>45260</v>
      </c>
      <c r="E575" s="630">
        <v>91</v>
      </c>
      <c r="F575" s="651">
        <v>4.8940125784295484E-2</v>
      </c>
      <c r="G575" s="469" t="s">
        <v>243</v>
      </c>
      <c r="H575" s="21"/>
      <c r="I575" s="235"/>
    </row>
    <row r="576" spans="1:9" ht="13">
      <c r="A576" s="532">
        <v>45078</v>
      </c>
      <c r="B576" s="454">
        <v>112136.87</v>
      </c>
      <c r="C576" s="454">
        <f t="shared" si="105"/>
        <v>115000</v>
      </c>
      <c r="D576" s="624">
        <f t="shared" si="106"/>
        <v>45260</v>
      </c>
      <c r="E576" s="630">
        <v>182</v>
      </c>
      <c r="F576" s="651">
        <v>5.1205205598448392E-2</v>
      </c>
      <c r="G576" s="469" t="s">
        <v>243</v>
      </c>
      <c r="H576" s="21"/>
      <c r="I576" s="235"/>
    </row>
    <row r="577" spans="1:10" ht="13">
      <c r="A577" s="532">
        <v>45183</v>
      </c>
      <c r="B577" s="454">
        <f>67000*0.987983</f>
        <v>66194.86099999999</v>
      </c>
      <c r="C577" s="454">
        <f t="shared" si="105"/>
        <v>67000</v>
      </c>
      <c r="D577" s="624">
        <f t="shared" si="106"/>
        <v>45274</v>
      </c>
      <c r="E577" s="630">
        <v>91</v>
      </c>
      <c r="F577" s="651">
        <v>4.878632015435036E-2</v>
      </c>
      <c r="G577" s="469" t="s">
        <v>240</v>
      </c>
      <c r="H577" s="21"/>
      <c r="I577" s="235"/>
    </row>
    <row r="578" spans="1:10" ht="13">
      <c r="A578" s="532">
        <v>45092</v>
      </c>
      <c r="B578" s="454">
        <v>92681.38</v>
      </c>
      <c r="C578" s="454">
        <f t="shared" si="105"/>
        <v>95000</v>
      </c>
      <c r="D578" s="624">
        <f t="shared" si="106"/>
        <v>45274</v>
      </c>
      <c r="E578" s="630">
        <v>182</v>
      </c>
      <c r="F578" s="651">
        <v>5.0171670623912486E-2</v>
      </c>
      <c r="G578" s="469" t="s">
        <v>240</v>
      </c>
      <c r="H578" s="21"/>
      <c r="I578" s="235"/>
    </row>
    <row r="579" spans="1:10" ht="13">
      <c r="A579" s="693">
        <v>45134</v>
      </c>
      <c r="B579" s="694">
        <v>49841.7</v>
      </c>
      <c r="C579" s="694">
        <f t="shared" si="105"/>
        <v>51000</v>
      </c>
      <c r="D579" s="624">
        <f t="shared" si="106"/>
        <v>45302</v>
      </c>
      <c r="E579" s="630">
        <v>168</v>
      </c>
      <c r="F579" s="651">
        <v>5.0490746560754238E-2</v>
      </c>
      <c r="G579" s="469" t="s">
        <v>242</v>
      </c>
      <c r="H579" s="851"/>
      <c r="I579" s="21"/>
      <c r="J579" s="609">
        <v>90</v>
      </c>
    </row>
    <row r="580" spans="1:10" ht="13">
      <c r="A580" s="676">
        <v>45120</v>
      </c>
      <c r="B580" s="692">
        <v>32172.19</v>
      </c>
      <c r="C580" s="692">
        <f t="shared" si="105"/>
        <v>33000.000000000007</v>
      </c>
      <c r="D580" s="624">
        <f t="shared" si="106"/>
        <v>45302</v>
      </c>
      <c r="E580" s="630">
        <v>182</v>
      </c>
      <c r="F580" s="651">
        <v>5.160259238160092E-2</v>
      </c>
      <c r="G580" s="469" t="s">
        <v>243</v>
      </c>
      <c r="H580" s="851"/>
      <c r="I580" s="21"/>
      <c r="J580" s="609"/>
    </row>
    <row r="581" spans="1:10" s="47" customFormat="1" ht="13">
      <c r="A581" s="676">
        <v>45260</v>
      </c>
      <c r="B581" s="692">
        <v>90905.95</v>
      </c>
      <c r="C581" s="692">
        <f t="shared" si="105"/>
        <v>91999.999999999985</v>
      </c>
      <c r="D581" s="624">
        <f t="shared" si="106"/>
        <v>45351</v>
      </c>
      <c r="E581" s="630">
        <v>91</v>
      </c>
      <c r="F581" s="771">
        <v>4.8272115603791098E-2</v>
      </c>
      <c r="G581" s="469" t="s">
        <v>243</v>
      </c>
      <c r="H581" s="851"/>
      <c r="I581" s="21"/>
      <c r="J581" s="609">
        <v>90</v>
      </c>
    </row>
    <row r="582" spans="1:10" ht="13">
      <c r="A582" s="693">
        <v>45169</v>
      </c>
      <c r="B582" s="694">
        <v>117103.74</v>
      </c>
      <c r="C582" s="694">
        <f t="shared" si="105"/>
        <v>120000</v>
      </c>
      <c r="D582" s="624">
        <f t="shared" si="106"/>
        <v>45351</v>
      </c>
      <c r="E582" s="630">
        <v>182</v>
      </c>
      <c r="F582" s="771">
        <v>4.9600751577050427E-2</v>
      </c>
      <c r="G582" s="469" t="s">
        <v>243</v>
      </c>
      <c r="H582" s="851"/>
      <c r="I582" s="21"/>
      <c r="J582" s="609">
        <v>90</v>
      </c>
    </row>
    <row r="583" spans="1:10" ht="13">
      <c r="A583" s="693">
        <v>45183</v>
      </c>
      <c r="B583" s="694">
        <f>100000*0.975827</f>
        <v>97582.7</v>
      </c>
      <c r="C583" s="694">
        <f t="shared" si="105"/>
        <v>100000</v>
      </c>
      <c r="D583" s="624">
        <f t="shared" si="106"/>
        <v>45365</v>
      </c>
      <c r="E583" s="630">
        <v>182</v>
      </c>
      <c r="F583" s="771">
        <v>4.9679726715205326E-2</v>
      </c>
      <c r="G583" s="469" t="s">
        <v>560</v>
      </c>
      <c r="H583" s="851"/>
      <c r="I583" s="21"/>
      <c r="J583" s="609">
        <v>90</v>
      </c>
    </row>
    <row r="584" spans="1:10" ht="13">
      <c r="A584" s="676">
        <v>45211</v>
      </c>
      <c r="B584" s="692">
        <v>33128.080000000002</v>
      </c>
      <c r="C584" s="692">
        <f t="shared" si="105"/>
        <v>34000.000000000007</v>
      </c>
      <c r="D584" s="624">
        <f t="shared" si="106"/>
        <v>45393</v>
      </c>
      <c r="E584" s="630">
        <v>182</v>
      </c>
      <c r="F584" s="771">
        <v>5.2783945499732712E-2</v>
      </c>
      <c r="G584" s="469" t="s">
        <v>243</v>
      </c>
      <c r="H584" s="851"/>
      <c r="I584" s="21"/>
      <c r="J584" s="609">
        <v>90</v>
      </c>
    </row>
    <row r="585" spans="1:10" ht="13">
      <c r="A585" s="676">
        <v>45218</v>
      </c>
      <c r="B585" s="692">
        <v>52633.29</v>
      </c>
      <c r="C585" s="692">
        <f t="shared" si="105"/>
        <v>54000</v>
      </c>
      <c r="D585" s="624">
        <f t="shared" si="106"/>
        <v>45400</v>
      </c>
      <c r="E585" s="630">
        <v>182</v>
      </c>
      <c r="F585" s="771">
        <v>5.2075965526844264E-2</v>
      </c>
      <c r="G585" s="469" t="s">
        <v>242</v>
      </c>
      <c r="H585" s="851">
        <f>+C585-B585</f>
        <v>1366.7099999999991</v>
      </c>
      <c r="I585" s="21"/>
      <c r="J585" s="609">
        <v>90</v>
      </c>
    </row>
    <row r="586" spans="1:10" ht="13">
      <c r="A586" s="676">
        <v>45231</v>
      </c>
      <c r="B586" s="692">
        <v>40018.07</v>
      </c>
      <c r="C586" s="692">
        <f t="shared" si="105"/>
        <v>41000</v>
      </c>
      <c r="D586" s="624">
        <f t="shared" si="106"/>
        <v>45407</v>
      </c>
      <c r="E586" s="630">
        <v>176</v>
      </c>
      <c r="F586" s="771">
        <v>5.0886734928859471E-2</v>
      </c>
      <c r="G586" s="469" t="s">
        <v>242</v>
      </c>
      <c r="H586" s="851"/>
      <c r="I586" s="21"/>
      <c r="J586" s="609">
        <v>90</v>
      </c>
    </row>
    <row r="587" spans="1:10" ht="13">
      <c r="A587" s="676">
        <v>45225</v>
      </c>
      <c r="B587" s="692">
        <v>29254.81</v>
      </c>
      <c r="C587" s="692">
        <f t="shared" si="105"/>
        <v>30000.000000000004</v>
      </c>
      <c r="D587" s="624">
        <f t="shared" si="106"/>
        <v>45407</v>
      </c>
      <c r="E587" s="630">
        <v>182</v>
      </c>
      <c r="F587" s="771">
        <v>5.10847430063451E-2</v>
      </c>
      <c r="G587" s="469" t="s">
        <v>242</v>
      </c>
      <c r="H587" s="851"/>
      <c r="I587" s="21"/>
      <c r="J587" s="609"/>
    </row>
    <row r="588" spans="1:10" ht="13">
      <c r="A588" s="676">
        <v>45260</v>
      </c>
      <c r="B588" s="692">
        <v>90802.15</v>
      </c>
      <c r="C588" s="692">
        <f t="shared" si="105"/>
        <v>93000</v>
      </c>
      <c r="D588" s="624">
        <f t="shared" si="106"/>
        <v>45442</v>
      </c>
      <c r="E588" s="630">
        <v>182</v>
      </c>
      <c r="F588" s="771">
        <v>4.854264022273827E-2</v>
      </c>
      <c r="G588" s="469" t="s">
        <v>243</v>
      </c>
      <c r="H588" s="851"/>
      <c r="I588" s="21"/>
      <c r="J588" s="609">
        <v>90</v>
      </c>
    </row>
    <row r="589" spans="1:10" ht="13">
      <c r="A589" s="676">
        <v>45274</v>
      </c>
      <c r="B589" s="692">
        <v>165870.12</v>
      </c>
      <c r="C589" s="692">
        <f t="shared" si="105"/>
        <v>170000</v>
      </c>
      <c r="D589" s="624">
        <f t="shared" si="106"/>
        <v>45456</v>
      </c>
      <c r="E589" s="630">
        <v>182</v>
      </c>
      <c r="F589" s="771">
        <v>4.9933355376795198E-2</v>
      </c>
      <c r="G589" s="469" t="s">
        <v>240</v>
      </c>
      <c r="H589" s="851"/>
      <c r="I589" s="21"/>
      <c r="J589" s="609">
        <v>90</v>
      </c>
    </row>
    <row r="590" spans="1:10" s="47" customFormat="1" ht="13">
      <c r="A590" s="676">
        <v>45118</v>
      </c>
      <c r="B590" s="692">
        <v>20998.95</v>
      </c>
      <c r="C590" s="692">
        <f t="shared" si="105"/>
        <v>21999.999999999996</v>
      </c>
      <c r="D590" s="624">
        <f t="shared" si="106"/>
        <v>45456</v>
      </c>
      <c r="E590" s="630">
        <v>338</v>
      </c>
      <c r="F590" s="771">
        <v>5.1479504096365473E-2</v>
      </c>
      <c r="G590" s="469" t="s">
        <v>243</v>
      </c>
      <c r="I590" s="21"/>
      <c r="J590" s="609">
        <v>90</v>
      </c>
    </row>
    <row r="591" spans="1:10" ht="13">
      <c r="A591" s="676">
        <v>45302</v>
      </c>
      <c r="B591" s="692">
        <v>50860.59</v>
      </c>
      <c r="C591" s="692">
        <f>B591+(B591*F591/365*E591)*1</f>
        <v>52000</v>
      </c>
      <c r="D591" s="624">
        <f t="shared" si="106"/>
        <v>45470</v>
      </c>
      <c r="E591" s="630">
        <v>168</v>
      </c>
      <c r="F591" s="771">
        <v>4.8672338819656456E-2</v>
      </c>
      <c r="G591" s="469" t="s">
        <v>242</v>
      </c>
      <c r="H591" s="851"/>
      <c r="I591" s="21"/>
      <c r="J591" s="609">
        <v>90</v>
      </c>
    </row>
    <row r="592" spans="1:10" s="47" customFormat="1" ht="13">
      <c r="A592" s="676">
        <v>45308</v>
      </c>
      <c r="B592" s="692">
        <v>64489.36</v>
      </c>
      <c r="C592" s="692">
        <f>B592+(B592*F592/365*E592)*1</f>
        <v>66000</v>
      </c>
      <c r="D592" s="624">
        <f t="shared" si="106"/>
        <v>45484</v>
      </c>
      <c r="E592" s="630">
        <v>176</v>
      </c>
      <c r="F592" s="771">
        <v>4.8579507745717544E-2</v>
      </c>
      <c r="G592" s="469" t="s">
        <v>242</v>
      </c>
      <c r="H592" s="851"/>
      <c r="I592" s="21"/>
      <c r="J592" s="609"/>
    </row>
    <row r="593" spans="1:11" ht="13">
      <c r="A593" s="532">
        <v>45302</v>
      </c>
      <c r="B593" s="692">
        <v>63513.71</v>
      </c>
      <c r="C593" s="692">
        <f>B593+(B593*F593/365*E593)*1</f>
        <v>65000</v>
      </c>
      <c r="D593" s="624">
        <f t="shared" si="106"/>
        <v>45484</v>
      </c>
      <c r="E593" s="630">
        <v>182</v>
      </c>
      <c r="F593" s="771">
        <v>4.6930756030019762E-2</v>
      </c>
      <c r="G593" s="469" t="s">
        <v>243</v>
      </c>
      <c r="H593" s="851"/>
      <c r="I593" s="21"/>
      <c r="J593" s="609">
        <v>90</v>
      </c>
    </row>
    <row r="594" spans="1:11" ht="13">
      <c r="A594" s="676">
        <v>45303</v>
      </c>
      <c r="B594" s="692">
        <v>22466.23</v>
      </c>
      <c r="C594" s="692">
        <f>B594+(B594*F594/365*E594)*1</f>
        <v>23000</v>
      </c>
      <c r="D594" s="624">
        <f t="shared" si="106"/>
        <v>45484</v>
      </c>
      <c r="E594" s="630">
        <v>181</v>
      </c>
      <c r="F594" s="771">
        <v>4.7911332545539823E-2</v>
      </c>
      <c r="G594" s="469" t="s">
        <v>243</v>
      </c>
      <c r="H594" s="851"/>
      <c r="I594" s="21"/>
      <c r="J594" s="609">
        <v>90</v>
      </c>
    </row>
    <row r="595" spans="1:11" s="47" customFormat="1" ht="13">
      <c r="A595" s="830">
        <v>45456</v>
      </c>
      <c r="B595" s="823">
        <v>49595.1</v>
      </c>
      <c r="C595" s="823">
        <f>+B595+F595</f>
        <v>51198.224999999999</v>
      </c>
      <c r="D595" s="821">
        <f t="shared" si="106"/>
        <v>45493</v>
      </c>
      <c r="E595" s="822">
        <f>37</f>
        <v>37</v>
      </c>
      <c r="F595" s="858">
        <f>45000*7.125%/2</f>
        <v>1603.1249999999998</v>
      </c>
      <c r="G595" s="813" t="s">
        <v>561</v>
      </c>
      <c r="H595" s="992">
        <f>3200/B595</f>
        <v>6.4522503231165984E-2</v>
      </c>
      <c r="I595" s="21"/>
      <c r="J595" s="609">
        <v>90</v>
      </c>
      <c r="K595"/>
    </row>
    <row r="596" spans="1:11" s="47" customFormat="1" ht="13">
      <c r="A596" s="821">
        <v>45407</v>
      </c>
      <c r="B596" s="823">
        <v>48033.919999999998</v>
      </c>
      <c r="C596" s="823">
        <f>+B596+F596</f>
        <v>49034.46</v>
      </c>
      <c r="D596" s="821">
        <f>A596+E596</f>
        <v>45519</v>
      </c>
      <c r="E596" s="822">
        <f>112</f>
        <v>112</v>
      </c>
      <c r="F596" s="858">
        <f>50000*4%/2+0.54</f>
        <v>1000.54</v>
      </c>
      <c r="G596" s="813" t="s">
        <v>562</v>
      </c>
      <c r="H596" s="993">
        <v>7.1249999999999994E-2</v>
      </c>
      <c r="I596" s="21">
        <v>45000</v>
      </c>
      <c r="J596" s="609"/>
      <c r="K596"/>
    </row>
    <row r="597" spans="1:11" s="47" customFormat="1" ht="13">
      <c r="A597" s="532">
        <v>45351</v>
      </c>
      <c r="B597" s="692">
        <v>206045.23</v>
      </c>
      <c r="C597" s="692">
        <f t="shared" ref="C597" si="107">B597+(B597*F597/365*E597)*1</f>
        <v>211000.00000000003</v>
      </c>
      <c r="D597" s="624">
        <f t="shared" ref="D597:D611" si="108">A597+E597</f>
        <v>45526</v>
      </c>
      <c r="E597" s="630">
        <v>175</v>
      </c>
      <c r="F597" s="771">
        <v>5.0155175013896769E-2</v>
      </c>
      <c r="G597" s="469" t="s">
        <v>243</v>
      </c>
      <c r="H597" s="993">
        <v>7.1249999999999994E-2</v>
      </c>
      <c r="I597" s="21">
        <v>45000</v>
      </c>
      <c r="J597" s="609"/>
      <c r="K597" s="1104">
        <v>4277</v>
      </c>
    </row>
    <row r="598" spans="1:11" s="47" customFormat="1" ht="13">
      <c r="A598" s="676">
        <v>45365</v>
      </c>
      <c r="B598" s="692">
        <v>109251.69</v>
      </c>
      <c r="C598" s="692">
        <v>112000</v>
      </c>
      <c r="D598" s="624">
        <f t="shared" si="108"/>
        <v>45547</v>
      </c>
      <c r="E598" s="630">
        <v>182</v>
      </c>
      <c r="F598" s="840">
        <f>+C598-B598</f>
        <v>2748.3099999999977</v>
      </c>
      <c r="G598" s="469" t="s">
        <v>240</v>
      </c>
      <c r="H598" s="469" t="s">
        <v>241</v>
      </c>
      <c r="I598" s="21"/>
      <c r="J598" s="609">
        <v>90</v>
      </c>
      <c r="K598" s="1104">
        <v>5817</v>
      </c>
    </row>
    <row r="599" spans="1:11" s="47" customFormat="1" ht="13">
      <c r="A599" s="532">
        <v>45399</v>
      </c>
      <c r="B599" s="692">
        <v>53723.71</v>
      </c>
      <c r="C599" s="692">
        <v>55000</v>
      </c>
      <c r="D599" s="624">
        <f t="shared" si="108"/>
        <v>45575</v>
      </c>
      <c r="E599" s="630">
        <v>176</v>
      </c>
      <c r="F599" s="840">
        <f>+C599-B599</f>
        <v>1276.2900000000009</v>
      </c>
      <c r="G599" s="469" t="s">
        <v>242</v>
      </c>
      <c r="H599" s="469" t="s">
        <v>241</v>
      </c>
      <c r="I599" s="837">
        <f>+F599*2/B599</f>
        <v>4.7513099895744391E-2</v>
      </c>
      <c r="J599" s="609"/>
      <c r="K599" s="1104">
        <v>6448</v>
      </c>
    </row>
    <row r="600" spans="1:11" ht="13">
      <c r="A600" s="532">
        <v>45393</v>
      </c>
      <c r="B600" s="692">
        <v>39987.74</v>
      </c>
      <c r="C600" s="692">
        <v>41000</v>
      </c>
      <c r="D600" s="624">
        <f t="shared" si="108"/>
        <v>45575</v>
      </c>
      <c r="E600" s="630">
        <v>182</v>
      </c>
      <c r="F600" s="840">
        <f>+C600-B600</f>
        <v>1012.260000000002</v>
      </c>
      <c r="G600" s="469" t="s">
        <v>243</v>
      </c>
      <c r="H600" s="469" t="s">
        <v>241</v>
      </c>
      <c r="I600" s="21"/>
      <c r="J600" s="609"/>
      <c r="K600" s="1104">
        <v>3816</v>
      </c>
    </row>
    <row r="601" spans="1:11" ht="13">
      <c r="A601" s="532">
        <v>45407</v>
      </c>
      <c r="B601" s="692">
        <v>22441.77</v>
      </c>
      <c r="C601" s="692">
        <v>23000</v>
      </c>
      <c r="D601" s="624">
        <f t="shared" si="108"/>
        <v>45589</v>
      </c>
      <c r="E601" s="630">
        <v>182</v>
      </c>
      <c r="F601" s="840">
        <f>+C601-B601</f>
        <v>558.22999999999956</v>
      </c>
      <c r="G601" s="469" t="s">
        <v>242</v>
      </c>
      <c r="H601" s="469" t="s">
        <v>241</v>
      </c>
      <c r="I601" s="21" t="s">
        <v>789</v>
      </c>
      <c r="J601" s="609"/>
      <c r="K601" s="1104">
        <v>4266</v>
      </c>
    </row>
    <row r="602" spans="1:11" ht="13">
      <c r="A602" s="422">
        <v>45426</v>
      </c>
      <c r="B602" s="454">
        <v>36124.67</v>
      </c>
      <c r="C602" s="692">
        <f t="shared" ref="C602:C603" si="109">B602+(B602*F602/365*E602)*1</f>
        <v>36999.999999999971</v>
      </c>
      <c r="D602" s="624">
        <f t="shared" si="108"/>
        <v>45610</v>
      </c>
      <c r="E602" s="630">
        <v>184</v>
      </c>
      <c r="F602" s="771">
        <v>4.8066551617421911E-2</v>
      </c>
      <c r="G602" s="424" t="s">
        <v>240</v>
      </c>
      <c r="H602" s="21" t="s">
        <v>241</v>
      </c>
      <c r="I602" s="235">
        <f>+F602*2/B602</f>
        <v>2.6611482744297407E-6</v>
      </c>
      <c r="K602" s="1104">
        <v>5319</v>
      </c>
    </row>
    <row r="603" spans="1:11" ht="13">
      <c r="A603" s="422">
        <v>45610</v>
      </c>
      <c r="B603" s="454">
        <v>39601.75</v>
      </c>
      <c r="C603" s="692">
        <f t="shared" si="109"/>
        <v>40000.000000000007</v>
      </c>
      <c r="D603" s="624">
        <f t="shared" si="108"/>
        <v>45701</v>
      </c>
      <c r="E603" s="630">
        <v>91</v>
      </c>
      <c r="F603" s="771">
        <v>4.0336004687328106E-2</v>
      </c>
      <c r="G603" s="424" t="s">
        <v>240</v>
      </c>
      <c r="H603" s="21" t="s">
        <v>241</v>
      </c>
      <c r="I603" s="235">
        <f>+F603*2/B603</f>
        <v>2.0370819313453626E-6</v>
      </c>
      <c r="K603" s="1104">
        <v>3838</v>
      </c>
    </row>
    <row r="604" spans="1:11" ht="13">
      <c r="A604" s="821">
        <v>45575</v>
      </c>
      <c r="B604" s="823">
        <v>51880.81</v>
      </c>
      <c r="C604" s="1028">
        <v>53000</v>
      </c>
      <c r="D604" s="1029">
        <f t="shared" si="108"/>
        <v>45611</v>
      </c>
      <c r="E604" s="822">
        <v>36</v>
      </c>
      <c r="F604" s="858">
        <f>53000*4.375%/2</f>
        <v>1159.375</v>
      </c>
      <c r="G604" s="813" t="s">
        <v>242</v>
      </c>
      <c r="H604" s="813" t="s">
        <v>792</v>
      </c>
      <c r="I604" s="21">
        <f>+F604*2/B604</f>
        <v>4.4693789476301544E-2</v>
      </c>
      <c r="J604" s="609"/>
      <c r="K604" s="1104">
        <v>4595</v>
      </c>
    </row>
    <row r="605" spans="1:11" ht="13">
      <c r="A605" s="821">
        <v>45456</v>
      </c>
      <c r="B605" s="823">
        <v>116937.5</v>
      </c>
      <c r="C605" s="1028">
        <f>+B605+F605</f>
        <v>119453.125</v>
      </c>
      <c r="D605" s="1029">
        <f t="shared" si="108"/>
        <v>45611</v>
      </c>
      <c r="E605" s="822">
        <v>155</v>
      </c>
      <c r="F605" s="858">
        <f>115000*4.375%/2</f>
        <v>2515.625</v>
      </c>
      <c r="G605" s="813" t="s">
        <v>240</v>
      </c>
      <c r="H605" s="813" t="s">
        <v>244</v>
      </c>
      <c r="I605" s="21">
        <f>+F605*2/B605</f>
        <v>4.3025120256547304E-2</v>
      </c>
      <c r="J605" s="609"/>
      <c r="K605" s="1104">
        <v>9596</v>
      </c>
    </row>
    <row r="606" spans="1:11" ht="13">
      <c r="A606" s="821">
        <v>45442</v>
      </c>
      <c r="B606" s="823">
        <v>49958.2</v>
      </c>
      <c r="C606" s="823">
        <f>+B606+F606</f>
        <v>51051.95</v>
      </c>
      <c r="D606" s="1029">
        <f t="shared" si="108"/>
        <v>45611</v>
      </c>
      <c r="E606" s="822">
        <v>169</v>
      </c>
      <c r="F606" s="858">
        <f>50000*4.375%/2</f>
        <v>1093.75</v>
      </c>
      <c r="G606" s="813" t="s">
        <v>243</v>
      </c>
      <c r="H606" s="813" t="s">
        <v>786</v>
      </c>
      <c r="I606" s="21">
        <f>+F606*2/B606</f>
        <v>4.3786605602283514E-2</v>
      </c>
      <c r="J606" s="609"/>
      <c r="K606" s="1104">
        <v>5811</v>
      </c>
    </row>
    <row r="607" spans="1:11" s="47" customFormat="1" ht="13">
      <c r="A607" s="830">
        <v>45547</v>
      </c>
      <c r="B607" s="823">
        <f>75784.26-4279.1</f>
        <v>71505.159999999989</v>
      </c>
      <c r="C607" s="823">
        <f>+B607+F607</f>
        <v>72948.909999999989</v>
      </c>
      <c r="D607" s="1029">
        <f t="shared" si="108"/>
        <v>45611</v>
      </c>
      <c r="E607" s="822">
        <v>64</v>
      </c>
      <c r="F607" s="858">
        <f>66000*4.375%/2</f>
        <v>1443.75</v>
      </c>
      <c r="G607" s="813" t="s">
        <v>240</v>
      </c>
      <c r="H607" s="813" t="s">
        <v>787</v>
      </c>
      <c r="I607" s="21"/>
      <c r="J607" s="609">
        <v>90</v>
      </c>
      <c r="K607" s="1104">
        <v>6754</v>
      </c>
    </row>
    <row r="608" spans="1:11" ht="13">
      <c r="A608" s="532">
        <v>45442</v>
      </c>
      <c r="B608" s="692">
        <v>42906.54</v>
      </c>
      <c r="C608" s="454">
        <v>44000</v>
      </c>
      <c r="D608" s="1030">
        <f t="shared" si="108"/>
        <v>45625</v>
      </c>
      <c r="E608" s="630">
        <v>183</v>
      </c>
      <c r="F608" s="840">
        <f>+C608-B608</f>
        <v>1093.4599999999991</v>
      </c>
      <c r="G608" s="469" t="s">
        <v>243</v>
      </c>
      <c r="H608" s="469" t="s">
        <v>241</v>
      </c>
      <c r="I608" s="21">
        <f>+F608*2/B608</f>
        <v>5.096938601900778E-2</v>
      </c>
      <c r="J608" s="609"/>
      <c r="K608" s="1104">
        <v>3223</v>
      </c>
    </row>
    <row r="609" spans="1:11" ht="13">
      <c r="A609" s="821">
        <v>45484</v>
      </c>
      <c r="B609" s="823">
        <v>66049.56</v>
      </c>
      <c r="C609" s="1028">
        <f>+B609+F609</f>
        <v>67633.934999999998</v>
      </c>
      <c r="D609" s="1029">
        <f t="shared" si="108"/>
        <v>45626</v>
      </c>
      <c r="E609" s="822">
        <v>142</v>
      </c>
      <c r="F609" s="858">
        <f>65000*4.875%/2</f>
        <v>1584.375</v>
      </c>
      <c r="G609" s="813" t="s">
        <v>245</v>
      </c>
      <c r="H609" s="813" t="s">
        <v>790</v>
      </c>
      <c r="I609" s="21">
        <f>+F609*2/B609</f>
        <v>4.7975338518530634E-2</v>
      </c>
      <c r="J609" s="609"/>
      <c r="K609" s="1104">
        <v>4568</v>
      </c>
    </row>
    <row r="610" spans="1:11" ht="13">
      <c r="A610" s="821">
        <v>45470</v>
      </c>
      <c r="B610" s="823">
        <v>52027.79</v>
      </c>
      <c r="C610" s="823">
        <f>+B610+F610</f>
        <v>52988.415000000001</v>
      </c>
      <c r="D610" s="1029">
        <f t="shared" si="108"/>
        <v>45626</v>
      </c>
      <c r="E610" s="822">
        <v>156</v>
      </c>
      <c r="F610" s="858">
        <f>53000*3.625%/2</f>
        <v>960.62499999999989</v>
      </c>
      <c r="G610" s="813" t="s">
        <v>245</v>
      </c>
      <c r="H610" s="813" t="s">
        <v>801</v>
      </c>
      <c r="I610" s="21">
        <f>+F610*2/B610</f>
        <v>3.6927380540284334E-2</v>
      </c>
      <c r="J610" s="609"/>
      <c r="K610" s="1104">
        <v>3215</v>
      </c>
    </row>
    <row r="611" spans="1:11" s="47" customFormat="1" ht="13">
      <c r="A611" s="830">
        <v>45478</v>
      </c>
      <c r="B611" s="823">
        <v>60811.199999999997</v>
      </c>
      <c r="C611" s="823">
        <f>+B611+F611</f>
        <v>62273.7</v>
      </c>
      <c r="D611" s="1029">
        <f t="shared" si="108"/>
        <v>45626</v>
      </c>
      <c r="E611" s="822">
        <v>148</v>
      </c>
      <c r="F611" s="858">
        <f>60000*4.875%/2</f>
        <v>1462.5</v>
      </c>
      <c r="G611" s="813" t="s">
        <v>245</v>
      </c>
      <c r="H611" s="813" t="s">
        <v>791</v>
      </c>
      <c r="I611" s="21"/>
      <c r="J611" s="609">
        <v>90</v>
      </c>
      <c r="K611" s="1104">
        <v>6526</v>
      </c>
    </row>
    <row r="612" spans="1:11" ht="13">
      <c r="A612" s="821">
        <v>45509</v>
      </c>
      <c r="B612" s="823">
        <v>59274.37</v>
      </c>
      <c r="C612" s="1028">
        <f>+B612+F612</f>
        <v>60485.62</v>
      </c>
      <c r="D612" s="1029">
        <v>45657</v>
      </c>
      <c r="E612" s="822">
        <v>113</v>
      </c>
      <c r="F612" s="858">
        <f>57000*4.25%/2</f>
        <v>1211.25</v>
      </c>
      <c r="G612" s="813" t="s">
        <v>245</v>
      </c>
      <c r="H612" s="813" t="s">
        <v>246</v>
      </c>
      <c r="I612" s="21">
        <f>+F612*2/B612</f>
        <v>4.0869266092579307E-2</v>
      </c>
      <c r="J612" s="609"/>
      <c r="K612" s="1104">
        <v>4778</v>
      </c>
    </row>
    <row r="613" spans="1:11" ht="13">
      <c r="A613" s="821">
        <v>45484</v>
      </c>
      <c r="B613" s="823">
        <v>116754.21</v>
      </c>
      <c r="C613" s="1028">
        <f>+B613+F613</f>
        <v>119197.96</v>
      </c>
      <c r="D613" s="1029">
        <f>A613+E613</f>
        <v>45656</v>
      </c>
      <c r="E613" s="822">
        <v>172</v>
      </c>
      <c r="F613" s="858">
        <f>115000*4.25%/2</f>
        <v>2443.75</v>
      </c>
      <c r="G613" s="813" t="s">
        <v>243</v>
      </c>
      <c r="H613" s="813" t="s">
        <v>788</v>
      </c>
      <c r="I613" s="609">
        <f>SUM(B579:B613)</f>
        <v>2314552.56</v>
      </c>
      <c r="J613" s="609">
        <f>SUM(C579:C613)</f>
        <v>2368266.3000000003</v>
      </c>
      <c r="K613" s="1104">
        <v>5012</v>
      </c>
    </row>
    <row r="614" spans="1:11" ht="13">
      <c r="A614" s="532">
        <v>45485</v>
      </c>
      <c r="B614" s="692">
        <v>21483.14</v>
      </c>
      <c r="C614" s="454">
        <v>22000</v>
      </c>
      <c r="D614" s="1030">
        <f t="shared" ref="D614:D633" si="110">A614+E614</f>
        <v>45666</v>
      </c>
      <c r="E614" s="630">
        <v>181</v>
      </c>
      <c r="F614" s="840">
        <f>+C614-B614</f>
        <v>516.86000000000058</v>
      </c>
      <c r="G614" s="469" t="s">
        <v>243</v>
      </c>
      <c r="H614" s="469" t="s">
        <v>241</v>
      </c>
      <c r="I614" s="21"/>
      <c r="J614" s="609"/>
      <c r="K614" s="1104">
        <v>5344</v>
      </c>
    </row>
    <row r="615" spans="1:11" s="47" customFormat="1" ht="14">
      <c r="A615" s="830">
        <v>45547</v>
      </c>
      <c r="B615" s="823">
        <v>56549.48</v>
      </c>
      <c r="C615" s="823">
        <f>+B615+F615</f>
        <v>58330.73</v>
      </c>
      <c r="D615" s="1029">
        <f t="shared" si="110"/>
        <v>45677</v>
      </c>
      <c r="E615" s="822">
        <v>130</v>
      </c>
      <c r="F615" s="858">
        <f>50000*7.125%/2</f>
        <v>1781.2499999999998</v>
      </c>
      <c r="G615" s="813" t="s">
        <v>240</v>
      </c>
      <c r="H615" s="813" t="s">
        <v>785</v>
      </c>
      <c r="I615" s="21"/>
      <c r="J615" s="609">
        <v>90</v>
      </c>
      <c r="K615" s="1105">
        <f>SUM(K597:K614)</f>
        <v>93203</v>
      </c>
    </row>
    <row r="616" spans="1:11" s="47" customFormat="1" ht="13">
      <c r="A616" s="830">
        <v>45526</v>
      </c>
      <c r="B616" s="823">
        <v>72336.78</v>
      </c>
      <c r="C616" s="823">
        <f>+B616+F616</f>
        <v>74652.404999999999</v>
      </c>
      <c r="D616" s="1029">
        <f t="shared" si="110"/>
        <v>45677</v>
      </c>
      <c r="E616" s="822">
        <v>151</v>
      </c>
      <c r="F616" s="858">
        <f>65000*7.125%/2</f>
        <v>2315.625</v>
      </c>
      <c r="G616" s="813" t="s">
        <v>243</v>
      </c>
      <c r="H616" s="813" t="s">
        <v>247</v>
      </c>
      <c r="I616" s="837">
        <v>45000</v>
      </c>
      <c r="J616" s="609"/>
      <c r="K616"/>
    </row>
    <row r="617" spans="1:11" ht="13">
      <c r="A617" s="821">
        <v>45493</v>
      </c>
      <c r="B617" s="823">
        <v>49595.1</v>
      </c>
      <c r="C617" s="1028">
        <f>+B617+F617</f>
        <v>51198.224999999999</v>
      </c>
      <c r="D617" s="1029">
        <f t="shared" si="110"/>
        <v>45677</v>
      </c>
      <c r="E617" s="822">
        <v>184</v>
      </c>
      <c r="F617" s="858">
        <f>45000*7.125%/2</f>
        <v>1603.1249999999998</v>
      </c>
      <c r="G617" s="813" t="s">
        <v>248</v>
      </c>
      <c r="H617" s="813" t="s">
        <v>249</v>
      </c>
      <c r="I617" s="21">
        <f>+F617*2/B617</f>
        <v>6.4648523745289344E-2</v>
      </c>
      <c r="J617" s="609"/>
    </row>
    <row r="618" spans="1:11" s="47" customFormat="1" ht="13">
      <c r="A618" s="676">
        <v>45610</v>
      </c>
      <c r="B618" s="692">
        <v>39601.75</v>
      </c>
      <c r="C618" s="692">
        <v>40000</v>
      </c>
      <c r="D618" s="1030">
        <f t="shared" si="110"/>
        <v>45701</v>
      </c>
      <c r="E618" s="630">
        <v>91</v>
      </c>
      <c r="F618" s="840">
        <f>+C618-B618</f>
        <v>398.25</v>
      </c>
      <c r="G618" s="469" t="s">
        <v>240</v>
      </c>
      <c r="H618" s="469" t="s">
        <v>241</v>
      </c>
      <c r="I618" s="21"/>
      <c r="J618" s="609">
        <v>90</v>
      </c>
      <c r="K618"/>
    </row>
    <row r="619" spans="1:11" s="47" customFormat="1" ht="13">
      <c r="A619" s="830">
        <v>45638</v>
      </c>
      <c r="B619" s="823">
        <v>24038.68</v>
      </c>
      <c r="C619" s="823">
        <f>+B619+F619</f>
        <v>24518.68</v>
      </c>
      <c r="D619" s="1029">
        <f t="shared" si="110"/>
        <v>45703</v>
      </c>
      <c r="E619" s="822">
        <v>65</v>
      </c>
      <c r="F619" s="858">
        <f>24000*4%/2</f>
        <v>480</v>
      </c>
      <c r="G619" s="813" t="s">
        <v>243</v>
      </c>
      <c r="H619" s="813" t="s">
        <v>814</v>
      </c>
      <c r="I619" s="21"/>
      <c r="J619" s="609">
        <v>90</v>
      </c>
      <c r="K619"/>
    </row>
    <row r="620" spans="1:11" ht="13">
      <c r="A620" s="830">
        <v>45575</v>
      </c>
      <c r="B620" s="823">
        <v>41156</v>
      </c>
      <c r="C620" s="823">
        <v>41000</v>
      </c>
      <c r="D620" s="1029">
        <f t="shared" si="110"/>
        <v>45703</v>
      </c>
      <c r="E620" s="822">
        <v>128</v>
      </c>
      <c r="F620" s="858">
        <f>41000*4%/2</f>
        <v>820</v>
      </c>
      <c r="G620" s="813" t="s">
        <v>243</v>
      </c>
      <c r="H620" s="813" t="s">
        <v>813</v>
      </c>
      <c r="I620" s="21"/>
      <c r="J620" s="609"/>
    </row>
    <row r="621" spans="1:11" s="47" customFormat="1" ht="13">
      <c r="A621" s="830">
        <v>45526</v>
      </c>
      <c r="B621" s="823">
        <v>144103.44</v>
      </c>
      <c r="C621" s="823">
        <f>+B621+F621</f>
        <v>146923.44</v>
      </c>
      <c r="D621" s="1029">
        <f t="shared" si="110"/>
        <v>45703</v>
      </c>
      <c r="E621" s="822">
        <v>177</v>
      </c>
      <c r="F621" s="858">
        <f>141000*4%/2</f>
        <v>2820</v>
      </c>
      <c r="G621" s="813" t="s">
        <v>243</v>
      </c>
      <c r="H621" s="813" t="s">
        <v>812</v>
      </c>
      <c r="I621" s="837">
        <v>45000</v>
      </c>
      <c r="J621" s="609"/>
    </row>
    <row r="622" spans="1:11" ht="13">
      <c r="A622" s="821">
        <v>45519</v>
      </c>
      <c r="B622" s="823">
        <v>48033.919999999998</v>
      </c>
      <c r="C622" s="823">
        <f>+B622+F622</f>
        <v>49033.919999999998</v>
      </c>
      <c r="D622" s="1029">
        <f t="shared" si="110"/>
        <v>45703</v>
      </c>
      <c r="E622" s="822">
        <v>184</v>
      </c>
      <c r="F622" s="858">
        <f>50000*4%/2</f>
        <v>1000</v>
      </c>
      <c r="G622" s="813" t="s">
        <v>245</v>
      </c>
      <c r="H622" s="813" t="s">
        <v>811</v>
      </c>
      <c r="I622" s="21">
        <f>+F622*2/B622</f>
        <v>4.1637243014936112E-2</v>
      </c>
      <c r="J622" s="609"/>
    </row>
    <row r="623" spans="1:11" s="47" customFormat="1" ht="13">
      <c r="A623" s="676">
        <v>45608</v>
      </c>
      <c r="B623" s="692">
        <v>44489.17</v>
      </c>
      <c r="C623" s="692">
        <v>45000</v>
      </c>
      <c r="D623" s="1030">
        <f t="shared" si="110"/>
        <v>45713</v>
      </c>
      <c r="E623" s="630">
        <v>105</v>
      </c>
      <c r="F623" s="840">
        <f>+C623-B623</f>
        <v>510.83000000000175</v>
      </c>
      <c r="G623" s="469" t="s">
        <v>242</v>
      </c>
      <c r="H623" s="469" t="s">
        <v>241</v>
      </c>
      <c r="I623" s="21"/>
      <c r="J623" s="609">
        <v>90</v>
      </c>
    </row>
    <row r="624" spans="1:11" s="47" customFormat="1" ht="13">
      <c r="A624" s="830">
        <v>45701</v>
      </c>
      <c r="B624" s="823">
        <v>35377.65</v>
      </c>
      <c r="C624" s="823">
        <f>+B624+F624</f>
        <v>36143.275000000001</v>
      </c>
      <c r="D624" s="1029">
        <f t="shared" si="110"/>
        <v>45792</v>
      </c>
      <c r="E624" s="822">
        <v>91</v>
      </c>
      <c r="F624" s="858">
        <f>35000*4.375%/2</f>
        <v>765.625</v>
      </c>
      <c r="G624" s="813" t="s">
        <v>240</v>
      </c>
      <c r="H624" s="813" t="s">
        <v>810</v>
      </c>
      <c r="I624" s="21"/>
      <c r="J624" s="609">
        <v>90</v>
      </c>
    </row>
    <row r="625" spans="1:10" ht="13">
      <c r="A625" s="821">
        <v>45672</v>
      </c>
      <c r="B625" s="823">
        <v>49957.4</v>
      </c>
      <c r="C625" s="823">
        <f>+B625+F625</f>
        <v>51051.15</v>
      </c>
      <c r="D625" s="1029">
        <f t="shared" si="110"/>
        <v>45792</v>
      </c>
      <c r="E625" s="822">
        <v>120</v>
      </c>
      <c r="F625" s="858">
        <f>50000*4.375%/2</f>
        <v>1093.75</v>
      </c>
      <c r="G625" s="813" t="s">
        <v>243</v>
      </c>
      <c r="H625" s="813" t="s">
        <v>786</v>
      </c>
      <c r="I625" s="21">
        <f>+F625*2/B625</f>
        <v>4.378730678538114E-2</v>
      </c>
      <c r="J625" s="609"/>
    </row>
    <row r="626" spans="1:10" ht="13">
      <c r="A626" s="821">
        <v>45575</v>
      </c>
      <c r="B626" s="823">
        <v>51880.81</v>
      </c>
      <c r="C626" s="823">
        <v>53000</v>
      </c>
      <c r="D626" s="1029">
        <f t="shared" si="110"/>
        <v>45792</v>
      </c>
      <c r="E626" s="822">
        <f>181+36</f>
        <v>217</v>
      </c>
      <c r="F626" s="858">
        <f>53000*4.375%/2</f>
        <v>1159.375</v>
      </c>
      <c r="G626" s="813" t="s">
        <v>242</v>
      </c>
      <c r="H626" s="813" t="s">
        <v>808</v>
      </c>
      <c r="I626" s="21">
        <f>+F626*2/B626</f>
        <v>4.4693789476301544E-2</v>
      </c>
      <c r="J626" s="609"/>
    </row>
    <row r="627" spans="1:10" s="47" customFormat="1" ht="13">
      <c r="A627" s="830">
        <v>45456</v>
      </c>
      <c r="B627" s="823">
        <v>116937.5</v>
      </c>
      <c r="C627" s="823">
        <f t="shared" ref="C627:C629" si="111">+B627+F627</f>
        <v>119453.125</v>
      </c>
      <c r="D627" s="1029">
        <f t="shared" si="110"/>
        <v>45792</v>
      </c>
      <c r="E627" s="822">
        <f>181+155</f>
        <v>336</v>
      </c>
      <c r="F627" s="858">
        <f>115000*4.375%/2</f>
        <v>2515.625</v>
      </c>
      <c r="G627" s="813" t="s">
        <v>240</v>
      </c>
      <c r="H627" s="813" t="s">
        <v>809</v>
      </c>
      <c r="I627" s="21">
        <f>+F627*2/B627</f>
        <v>4.3025120256547304E-2</v>
      </c>
      <c r="J627" s="609"/>
    </row>
    <row r="628" spans="1:10" s="47" customFormat="1" ht="13">
      <c r="A628" s="821">
        <v>45442</v>
      </c>
      <c r="B628" s="823">
        <v>49958.2</v>
      </c>
      <c r="C628" s="823">
        <f t="shared" si="111"/>
        <v>51051.95</v>
      </c>
      <c r="D628" s="1029">
        <f t="shared" si="110"/>
        <v>45792</v>
      </c>
      <c r="E628" s="822">
        <f>181+169</f>
        <v>350</v>
      </c>
      <c r="F628" s="858">
        <f>50000*4.375%/2</f>
        <v>1093.75</v>
      </c>
      <c r="G628" s="813" t="s">
        <v>243</v>
      </c>
      <c r="H628" s="813" t="s">
        <v>786</v>
      </c>
      <c r="I628" s="21"/>
      <c r="J628" s="609">
        <v>90</v>
      </c>
    </row>
    <row r="629" spans="1:10" s="47" customFormat="1" ht="13">
      <c r="A629" s="830">
        <v>45547</v>
      </c>
      <c r="B629" s="823">
        <f>75784.26-4279.1</f>
        <v>71505.159999999989</v>
      </c>
      <c r="C629" s="823">
        <f t="shared" si="111"/>
        <v>72948.909999999989</v>
      </c>
      <c r="D629" s="1029">
        <f t="shared" si="110"/>
        <v>45792</v>
      </c>
      <c r="E629" s="822">
        <f>181+64</f>
        <v>245</v>
      </c>
      <c r="F629" s="858">
        <f>66000*4.375%/2</f>
        <v>1443.75</v>
      </c>
      <c r="G629" s="813" t="s">
        <v>240</v>
      </c>
      <c r="H629" s="813" t="s">
        <v>787</v>
      </c>
      <c r="I629" s="21"/>
      <c r="J629" s="609">
        <v>90</v>
      </c>
    </row>
    <row r="630" spans="1:10" s="47" customFormat="1" ht="13">
      <c r="A630" s="830">
        <v>45626</v>
      </c>
      <c r="B630" s="823">
        <v>66049.56</v>
      </c>
      <c r="C630" s="823">
        <f>+B630+F630</f>
        <v>67633.934999999998</v>
      </c>
      <c r="D630" s="1029">
        <f t="shared" si="110"/>
        <v>45808</v>
      </c>
      <c r="E630" s="822">
        <v>182</v>
      </c>
      <c r="F630" s="858">
        <f>65000*4.875%/2</f>
        <v>1584.375</v>
      </c>
      <c r="G630" s="813" t="s">
        <v>245</v>
      </c>
      <c r="H630" s="813" t="s">
        <v>790</v>
      </c>
      <c r="I630" s="21"/>
      <c r="J630" s="609">
        <v>90</v>
      </c>
    </row>
    <row r="631" spans="1:10" ht="13">
      <c r="A631" s="821">
        <v>45626</v>
      </c>
      <c r="B631" s="823">
        <v>52027.79</v>
      </c>
      <c r="C631" s="823">
        <f>+B631+F631</f>
        <v>52988.415000000001</v>
      </c>
      <c r="D631" s="1029">
        <f t="shared" si="110"/>
        <v>45808</v>
      </c>
      <c r="E631" s="822">
        <v>182</v>
      </c>
      <c r="F631" s="858">
        <f>53000*3.625%/2</f>
        <v>960.62499999999989</v>
      </c>
      <c r="G631" s="813" t="s">
        <v>245</v>
      </c>
      <c r="H631" s="813" t="s">
        <v>801</v>
      </c>
      <c r="I631" s="21">
        <f>+F631*2/B631</f>
        <v>3.6927380540284334E-2</v>
      </c>
      <c r="J631" s="609"/>
    </row>
    <row r="632" spans="1:10" ht="13">
      <c r="A632" s="821">
        <v>45626</v>
      </c>
      <c r="B632" s="823">
        <v>60811.199999999997</v>
      </c>
      <c r="C632" s="823">
        <f>+B632+F632</f>
        <v>62273.7</v>
      </c>
      <c r="D632" s="1029">
        <f t="shared" si="110"/>
        <v>45808</v>
      </c>
      <c r="E632" s="822">
        <v>182</v>
      </c>
      <c r="F632" s="858">
        <f>60000*4.875%/2</f>
        <v>1462.5</v>
      </c>
      <c r="G632" s="813" t="s">
        <v>245</v>
      </c>
      <c r="H632" s="813" t="s">
        <v>791</v>
      </c>
      <c r="I632" s="21">
        <f>+F632*2/B632</f>
        <v>4.8099692161970166E-2</v>
      </c>
      <c r="J632" s="609"/>
    </row>
    <row r="633" spans="1:10" ht="13">
      <c r="A633" s="532">
        <v>45608</v>
      </c>
      <c r="B633" s="692">
        <v>45039.59</v>
      </c>
      <c r="C633" s="692">
        <v>46000</v>
      </c>
      <c r="D633" s="1030">
        <f t="shared" si="110"/>
        <v>45808</v>
      </c>
      <c r="E633" s="630">
        <v>200</v>
      </c>
      <c r="F633" s="840">
        <f>+C633-B633</f>
        <v>960.41000000000349</v>
      </c>
      <c r="G633" s="469" t="s">
        <v>242</v>
      </c>
      <c r="H633" s="469" t="s">
        <v>241</v>
      </c>
      <c r="I633" s="21"/>
      <c r="J633" s="609"/>
    </row>
    <row r="634" spans="1:10" s="47" customFormat="1" ht="13">
      <c r="A634" s="830">
        <v>45625</v>
      </c>
      <c r="B634" s="823">
        <v>45000</v>
      </c>
      <c r="C634" s="823">
        <v>45000</v>
      </c>
      <c r="D634" s="1029">
        <v>45808</v>
      </c>
      <c r="E634" s="822">
        <v>166</v>
      </c>
      <c r="F634" s="858">
        <f>45000*4.125%/2</f>
        <v>928.125</v>
      </c>
      <c r="G634" s="813" t="s">
        <v>243</v>
      </c>
      <c r="H634" s="813" t="s">
        <v>821</v>
      </c>
      <c r="I634" s="21"/>
      <c r="J634" s="609">
        <v>90</v>
      </c>
    </row>
    <row r="635" spans="1:10" s="47" customFormat="1" ht="13">
      <c r="A635" s="830">
        <v>45588</v>
      </c>
      <c r="B635" s="1111">
        <v>165000</v>
      </c>
      <c r="C635" s="823">
        <v>165000</v>
      </c>
      <c r="D635" s="1029">
        <v>45838</v>
      </c>
      <c r="E635" s="822">
        <v>332</v>
      </c>
      <c r="F635" s="858">
        <v>3506.2500000000005</v>
      </c>
      <c r="G635" s="813" t="s">
        <v>243</v>
      </c>
      <c r="H635" s="813" t="s">
        <v>823</v>
      </c>
      <c r="I635" s="21"/>
      <c r="J635" s="609">
        <v>90</v>
      </c>
    </row>
    <row r="636" spans="1:10" s="47" customFormat="1" ht="13">
      <c r="A636" s="830">
        <v>45672</v>
      </c>
      <c r="B636" s="1111">
        <v>95000</v>
      </c>
      <c r="C636" s="823">
        <v>95000</v>
      </c>
      <c r="D636" s="1113">
        <v>45858</v>
      </c>
      <c r="E636" s="822">
        <v>311</v>
      </c>
      <c r="F636" s="858">
        <v>3384.3749999999995</v>
      </c>
      <c r="G636" s="813" t="s">
        <v>240</v>
      </c>
      <c r="H636" s="813" t="s">
        <v>824</v>
      </c>
      <c r="I636" s="21"/>
      <c r="J636" s="609">
        <v>90</v>
      </c>
    </row>
    <row r="637" spans="1:10" s="47" customFormat="1" ht="13">
      <c r="A637" s="830">
        <v>45825</v>
      </c>
      <c r="B637" s="1111">
        <v>45000</v>
      </c>
      <c r="C637" s="823">
        <v>45000</v>
      </c>
      <c r="D637" s="1113">
        <v>45858</v>
      </c>
      <c r="E637" s="822">
        <v>332</v>
      </c>
      <c r="F637" s="858">
        <v>1603.1249999999998</v>
      </c>
      <c r="G637" s="813" t="s">
        <v>240</v>
      </c>
      <c r="H637" s="813" t="s">
        <v>824</v>
      </c>
      <c r="I637" s="21"/>
      <c r="J637" s="609">
        <v>90</v>
      </c>
    </row>
    <row r="638" spans="1:10" s="47" customFormat="1" ht="13">
      <c r="A638" s="830">
        <v>45509</v>
      </c>
      <c r="B638" s="1111">
        <v>65000</v>
      </c>
      <c r="C638" s="823">
        <v>65000</v>
      </c>
      <c r="D638" s="1113">
        <v>45858</v>
      </c>
      <c r="E638" s="822">
        <v>332</v>
      </c>
      <c r="F638" s="858">
        <v>2315.625</v>
      </c>
      <c r="G638" s="813" t="s">
        <v>243</v>
      </c>
      <c r="H638" s="813" t="s">
        <v>824</v>
      </c>
      <c r="I638" s="21"/>
      <c r="J638" s="609">
        <v>90</v>
      </c>
    </row>
    <row r="639" spans="1:10" s="47" customFormat="1" ht="13">
      <c r="A639" s="830">
        <v>45848</v>
      </c>
      <c r="B639" s="1111">
        <v>60000</v>
      </c>
      <c r="C639" s="823">
        <f>+B639</f>
        <v>60000</v>
      </c>
      <c r="D639" s="1113">
        <v>45858</v>
      </c>
      <c r="E639" s="822">
        <v>332</v>
      </c>
      <c r="F639" s="858">
        <f>+C639*7.125%/2</f>
        <v>2137.5</v>
      </c>
      <c r="G639" s="813" t="s">
        <v>243</v>
      </c>
      <c r="H639" s="813" t="s">
        <v>824</v>
      </c>
      <c r="I639" s="21"/>
      <c r="J639" s="609">
        <v>90</v>
      </c>
    </row>
    <row r="640" spans="1:10" s="47" customFormat="1" ht="13">
      <c r="A640" s="676">
        <v>45713</v>
      </c>
      <c r="B640" s="1110">
        <v>17665.240000000002</v>
      </c>
      <c r="C640" s="692">
        <v>18000</v>
      </c>
      <c r="D640" s="1112">
        <v>45862</v>
      </c>
      <c r="E640" s="630">
        <v>183</v>
      </c>
      <c r="F640" s="840">
        <v>334.7599999999984</v>
      </c>
      <c r="G640" s="469" t="s">
        <v>243</v>
      </c>
      <c r="H640" s="469" t="s">
        <v>241</v>
      </c>
      <c r="I640" s="21"/>
      <c r="J640" s="609">
        <v>90</v>
      </c>
    </row>
    <row r="641" spans="1:11" s="47" customFormat="1" ht="13">
      <c r="A641" s="830">
        <v>45860</v>
      </c>
      <c r="B641" s="1111">
        <v>33000</v>
      </c>
      <c r="C641" s="823">
        <f>+B641</f>
        <v>33000</v>
      </c>
      <c r="D641" s="1113">
        <f>+E641+A641</f>
        <v>45870</v>
      </c>
      <c r="E641" s="822">
        <v>10</v>
      </c>
      <c r="F641" s="1130">
        <f>+C641*3.65%/2</f>
        <v>602.25</v>
      </c>
      <c r="G641" s="813" t="s">
        <v>243</v>
      </c>
      <c r="H641" s="813" t="s">
        <v>834</v>
      </c>
      <c r="I641" s="21"/>
      <c r="J641" s="609">
        <v>90</v>
      </c>
    </row>
    <row r="642" spans="1:11" s="47" customFormat="1" ht="13">
      <c r="A642" s="676">
        <v>45808</v>
      </c>
      <c r="B642" s="1110">
        <v>18644.669999999998</v>
      </c>
      <c r="C642" s="692">
        <v>19000</v>
      </c>
      <c r="D642" s="1112">
        <v>45883</v>
      </c>
      <c r="E642" s="630">
        <v>90</v>
      </c>
      <c r="F642" s="840">
        <v>355.33000000000175</v>
      </c>
      <c r="G642" s="469" t="s">
        <v>240</v>
      </c>
      <c r="H642" s="469" t="s">
        <v>241</v>
      </c>
      <c r="I642" s="21"/>
      <c r="J642" s="609">
        <v>90</v>
      </c>
    </row>
    <row r="643" spans="1:11" s="47" customFormat="1" ht="13">
      <c r="A643" s="830">
        <v>45808</v>
      </c>
      <c r="B643" s="1111">
        <f>206000+35000</f>
        <v>241000</v>
      </c>
      <c r="C643" s="823">
        <f>+B643</f>
        <v>241000</v>
      </c>
      <c r="D643" s="1113">
        <v>45884</v>
      </c>
      <c r="E643" s="822">
        <v>65</v>
      </c>
      <c r="F643" s="858">
        <f>+C643*4%/2</f>
        <v>4820</v>
      </c>
      <c r="G643" s="813" t="s">
        <v>243</v>
      </c>
      <c r="H643" s="813" t="s">
        <v>822</v>
      </c>
      <c r="I643" s="21">
        <f>+F643*2/B643</f>
        <v>0.04</v>
      </c>
      <c r="J643" s="609"/>
    </row>
    <row r="644" spans="1:11" s="47" customFormat="1" ht="13">
      <c r="A644" s="676">
        <v>45792</v>
      </c>
      <c r="B644" s="1141">
        <v>38309.99</v>
      </c>
      <c r="C644" s="1141">
        <v>39155.439999999995</v>
      </c>
      <c r="D644" s="1112">
        <v>45883</v>
      </c>
      <c r="E644" s="630">
        <v>174</v>
      </c>
      <c r="F644" s="840">
        <v>845.45</v>
      </c>
      <c r="G644" s="469" t="s">
        <v>243</v>
      </c>
      <c r="H644" s="469" t="s">
        <v>815</v>
      </c>
      <c r="I644" s="21"/>
      <c r="J644" s="609">
        <v>90</v>
      </c>
    </row>
    <row r="645" spans="1:11" s="47" customFormat="1" ht="13">
      <c r="A645" s="830"/>
      <c r="B645" s="1111"/>
      <c r="C645" s="823"/>
      <c r="D645" s="1113"/>
      <c r="E645" s="822"/>
      <c r="F645" s="858"/>
      <c r="G645" s="813"/>
      <c r="H645" s="813"/>
      <c r="I645" s="21"/>
      <c r="J645" s="609"/>
    </row>
    <row r="646" spans="1:11" s="47" customFormat="1" ht="13">
      <c r="A646" s="830"/>
      <c r="B646" s="1111"/>
      <c r="C646" s="823"/>
      <c r="D646" s="1113"/>
      <c r="E646" s="822"/>
      <c r="F646" s="858"/>
      <c r="G646" s="813"/>
      <c r="H646" s="813"/>
      <c r="I646" s="21"/>
      <c r="J646" s="609"/>
    </row>
    <row r="647" spans="1:11" s="47" customFormat="1" ht="13">
      <c r="A647" s="830"/>
      <c r="B647" s="1111"/>
      <c r="C647" s="823"/>
      <c r="D647" s="1113"/>
      <c r="E647" s="822"/>
      <c r="F647" s="858"/>
      <c r="G647" s="813"/>
      <c r="H647" s="813"/>
      <c r="I647" s="21"/>
      <c r="J647" s="609"/>
    </row>
    <row r="648" spans="1:11" s="47" customFormat="1" ht="13">
      <c r="A648" s="821"/>
      <c r="B648" s="1028">
        <f>SUM(B619:B621)</f>
        <v>209298.12</v>
      </c>
      <c r="C648" s="1028">
        <f>SUM(C619:C621)</f>
        <v>212442.12</v>
      </c>
      <c r="D648" s="1029"/>
      <c r="E648" s="822"/>
      <c r="F648" s="858"/>
      <c r="G648" s="813"/>
      <c r="H648" s="813"/>
      <c r="I648" s="21"/>
      <c r="J648" s="609"/>
    </row>
    <row r="649" spans="1:11" ht="13">
      <c r="A649" s="532"/>
      <c r="B649" s="454">
        <f>SUM(B558:B603)</f>
        <v>3312885.0509999995</v>
      </c>
      <c r="C649" s="454">
        <f>SUM(C558:C603)</f>
        <v>3376900.4462424661</v>
      </c>
      <c r="D649" s="624"/>
      <c r="E649" s="630"/>
      <c r="F649" s="840">
        <f>+F615+F617</f>
        <v>3384.3749999999995</v>
      </c>
      <c r="G649" s="469"/>
      <c r="H649" s="21"/>
      <c r="I649" s="235"/>
    </row>
    <row r="650" spans="1:11" ht="13">
      <c r="A650" s="532"/>
      <c r="B650" s="454"/>
      <c r="C650" s="454">
        <f>+C649-B649</f>
        <v>64015.395242466591</v>
      </c>
      <c r="D650" s="624"/>
      <c r="E650" s="630"/>
      <c r="F650" s="840"/>
      <c r="G650" s="469"/>
      <c r="H650" s="21"/>
      <c r="I650" s="235">
        <f>SUBTOTAL(9,C559:C583)</f>
        <v>1957667.7612424658</v>
      </c>
      <c r="J650">
        <f>SUBTOTAL(9,B559:B583)</f>
        <v>1925437.4209999996</v>
      </c>
      <c r="K650" s="827">
        <f>+I650-J650</f>
        <v>32230.340242466191</v>
      </c>
    </row>
    <row r="651" spans="1:11" ht="13">
      <c r="A651" s="532"/>
      <c r="B651" s="454"/>
      <c r="C651" s="454"/>
      <c r="D651" s="624"/>
      <c r="E651" s="630"/>
      <c r="F651" s="423"/>
      <c r="G651" s="469"/>
      <c r="H651" s="21"/>
      <c r="I651" s="235"/>
    </row>
    <row r="652" spans="1:11" ht="13" thickBot="1">
      <c r="A652" s="24"/>
      <c r="B652" s="22">
        <f>+B568+B569</f>
        <v>186883.39</v>
      </c>
      <c r="C652" s="454"/>
      <c r="D652" s="54">
        <f>SUM(C179:C180)</f>
        <v>27672.731205479453</v>
      </c>
      <c r="E652" s="23"/>
      <c r="F652" s="21"/>
    </row>
    <row r="653" spans="1:11" ht="16.5" thickTop="1" thickBot="1">
      <c r="A653" s="55" t="s">
        <v>563</v>
      </c>
      <c r="B653" s="56"/>
      <c r="C653" s="54">
        <f>+C241-B241</f>
        <v>990.00298082199879</v>
      </c>
      <c r="D653" s="8">
        <f>+D652+D241</f>
        <v>28662.734186301452</v>
      </c>
      <c r="E653" s="57">
        <f>+E655+E656+E657+E658+E662+E663+E664</f>
        <v>83265.238095238092</v>
      </c>
      <c r="F653" s="21"/>
    </row>
    <row r="654" spans="1:11" ht="16.5" thickTop="1" thickBot="1">
      <c r="A654" s="58"/>
      <c r="B654" s="59"/>
      <c r="C654" s="55"/>
      <c r="D654" s="60" t="s">
        <v>564</v>
      </c>
      <c r="E654" s="61" t="s">
        <v>565</v>
      </c>
      <c r="F654" s="21"/>
    </row>
    <row r="655" spans="1:11" ht="13.5" thickTop="1">
      <c r="A655" s="62">
        <v>37236</v>
      </c>
      <c r="B655" s="63">
        <v>22000</v>
      </c>
      <c r="C655" s="60" t="s">
        <v>566</v>
      </c>
      <c r="D655" s="64">
        <f>20000*3%+5000*3%</f>
        <v>750</v>
      </c>
      <c r="E655" s="65">
        <f t="shared" ref="E655:E660" si="112">+B655-C656-D655</f>
        <v>20202.38095238095</v>
      </c>
      <c r="F655" s="66">
        <f>+B655-C656</f>
        <v>20952.38095238095</v>
      </c>
      <c r="G655" s="26">
        <f>+F655*1.05</f>
        <v>22000</v>
      </c>
    </row>
    <row r="656" spans="1:11">
      <c r="A656" s="62">
        <v>37238</v>
      </c>
      <c r="B656" s="63">
        <v>25000</v>
      </c>
      <c r="C656" s="63">
        <f t="shared" ref="C656:C661" si="113">+B655*(1-1/1.05)</f>
        <v>1047.6190476190488</v>
      </c>
      <c r="D656" s="63">
        <f>18000*3%+5000*3%</f>
        <v>690</v>
      </c>
      <c r="E656" s="65">
        <f t="shared" si="112"/>
        <v>23119.523809523809</v>
      </c>
      <c r="F656" s="66">
        <v>23809.523809523809</v>
      </c>
      <c r="G656" s="26">
        <f>+F656*1.05</f>
        <v>25000</v>
      </c>
    </row>
    <row r="657" spans="1:6">
      <c r="A657" s="62">
        <v>37239</v>
      </c>
      <c r="B657" s="63">
        <v>15000</v>
      </c>
      <c r="C657" s="63">
        <f t="shared" si="113"/>
        <v>1190.4761904761917</v>
      </c>
      <c r="D657" s="63">
        <f>14000*3%</f>
        <v>420</v>
      </c>
      <c r="E657" s="65">
        <f t="shared" si="112"/>
        <v>13865.714285714284</v>
      </c>
      <c r="F657" s="21"/>
    </row>
    <row r="658" spans="1:6">
      <c r="A658" s="62">
        <v>37242</v>
      </c>
      <c r="B658" s="63">
        <v>20000</v>
      </c>
      <c r="C658" s="63">
        <f t="shared" si="113"/>
        <v>714.28571428571513</v>
      </c>
      <c r="D658" s="63">
        <f>14000*3%</f>
        <v>420</v>
      </c>
      <c r="E658" s="65">
        <f t="shared" si="112"/>
        <v>18627.619047619046</v>
      </c>
      <c r="F658" s="21"/>
    </row>
    <row r="659" spans="1:6">
      <c r="A659" s="62">
        <v>37252</v>
      </c>
      <c r="B659" s="63">
        <v>20000</v>
      </c>
      <c r="C659" s="63">
        <f t="shared" si="113"/>
        <v>952.38095238095343</v>
      </c>
      <c r="D659" s="63">
        <v>0</v>
      </c>
      <c r="E659" s="65">
        <f t="shared" si="112"/>
        <v>19047.619047619046</v>
      </c>
      <c r="F659" s="21"/>
    </row>
    <row r="660" spans="1:6">
      <c r="A660" s="62">
        <v>37253</v>
      </c>
      <c r="B660" s="63">
        <v>20000</v>
      </c>
      <c r="C660" s="63">
        <f t="shared" si="113"/>
        <v>952.38095238095343</v>
      </c>
      <c r="D660" s="63">
        <v>0</v>
      </c>
      <c r="E660" s="65">
        <f t="shared" si="112"/>
        <v>19047.619047619046</v>
      </c>
      <c r="F660" s="21"/>
    </row>
    <row r="661" spans="1:6">
      <c r="A661" s="62"/>
      <c r="B661" s="63"/>
      <c r="C661" s="63">
        <f t="shared" si="113"/>
        <v>952.38095238095343</v>
      </c>
      <c r="D661" s="64"/>
      <c r="E661" s="67"/>
      <c r="F661" s="21"/>
    </row>
    <row r="662" spans="1:6">
      <c r="A662" s="62">
        <v>37279</v>
      </c>
      <c r="B662" s="63">
        <f>3000*1.67</f>
        <v>5010</v>
      </c>
      <c r="C662" s="64"/>
      <c r="D662" s="63">
        <f>+B662-3000</f>
        <v>2010</v>
      </c>
      <c r="E662" s="65">
        <f>+B662-C663-D662</f>
        <v>3000</v>
      </c>
      <c r="F662" s="21"/>
    </row>
    <row r="663" spans="1:6">
      <c r="A663" s="62">
        <v>37280</v>
      </c>
      <c r="B663" s="63">
        <v>2392.5</v>
      </c>
      <c r="C663" s="64"/>
      <c r="D663" s="63">
        <f>+B663-1450</f>
        <v>942.5</v>
      </c>
      <c r="E663" s="65">
        <f>+B663-C664-D663</f>
        <v>1450</v>
      </c>
      <c r="F663" s="21"/>
    </row>
    <row r="664" spans="1:6">
      <c r="A664" s="62">
        <v>37280</v>
      </c>
      <c r="B664" s="63">
        <v>4950</v>
      </c>
      <c r="C664" s="64"/>
      <c r="D664" s="63">
        <f>+B664-3000</f>
        <v>1950</v>
      </c>
      <c r="E664" s="65">
        <f>+B664-C665-D664</f>
        <v>3000</v>
      </c>
    </row>
    <row r="665" spans="1:6">
      <c r="A665" s="62">
        <v>37286</v>
      </c>
      <c r="B665" s="63">
        <v>25000</v>
      </c>
      <c r="C665" s="64"/>
      <c r="D665" s="63">
        <v>0</v>
      </c>
      <c r="E665" s="65">
        <f>+B665-C666-D665</f>
        <v>23364.485981308411</v>
      </c>
    </row>
    <row r="666" spans="1:6">
      <c r="A666" s="62">
        <v>37286</v>
      </c>
      <c r="B666" s="63"/>
      <c r="C666" s="63">
        <f>+B665*(1-1/1.07)</f>
        <v>1635.5140186915889</v>
      </c>
      <c r="D666" s="63"/>
      <c r="E666" s="65"/>
    </row>
    <row r="667" spans="1:6">
      <c r="A667" s="62">
        <v>37314</v>
      </c>
      <c r="B667" s="63">
        <v>23100</v>
      </c>
      <c r="C667" s="63">
        <f>-25000/1.07+25000/1.09</f>
        <v>-428.70616479465025</v>
      </c>
      <c r="D667" s="63">
        <v>0</v>
      </c>
      <c r="E667" s="65">
        <f>+B667-C668-D667</f>
        <v>22427.184466019418</v>
      </c>
    </row>
    <row r="668" spans="1:6">
      <c r="A668" s="62">
        <v>37314</v>
      </c>
      <c r="B668" s="63">
        <v>-8000</v>
      </c>
      <c r="C668" s="63">
        <f>+B667*(1-1/1.03)</f>
        <v>672.81553398058225</v>
      </c>
      <c r="D668" s="63">
        <v>0</v>
      </c>
      <c r="E668" s="65">
        <f>+B668-C669-D668</f>
        <v>-7407.4074074074069</v>
      </c>
    </row>
    <row r="669" spans="1:6">
      <c r="A669" s="62"/>
      <c r="B669" s="63"/>
      <c r="C669" s="63">
        <f>+B668*(1-1/1.08)</f>
        <v>-592.59259259259341</v>
      </c>
      <c r="D669" s="63"/>
      <c r="E669" s="65"/>
    </row>
    <row r="670" spans="1:6">
      <c r="A670" s="62">
        <v>37319</v>
      </c>
      <c r="B670" s="63">
        <v>-7000</v>
      </c>
      <c r="C670" s="63"/>
      <c r="D670" s="63">
        <v>0</v>
      </c>
      <c r="E670" s="65">
        <f>+B670-C671-D670</f>
        <v>-6481.4814814814808</v>
      </c>
    </row>
    <row r="671" spans="1:6">
      <c r="A671" s="62"/>
      <c r="B671" s="63"/>
      <c r="C671" s="63">
        <f>+B670*(1-1/1.08)</f>
        <v>-518.51851851851927</v>
      </c>
      <c r="D671" s="63"/>
      <c r="E671" s="65"/>
    </row>
    <row r="672" spans="1:6">
      <c r="A672" s="62">
        <v>37345</v>
      </c>
      <c r="B672" s="63">
        <v>-15000</v>
      </c>
      <c r="C672" s="63"/>
      <c r="D672" s="63">
        <v>0</v>
      </c>
      <c r="E672" s="65">
        <f>+B672-C673-D672</f>
        <v>-14423.076923076922</v>
      </c>
    </row>
    <row r="673" spans="1:7">
      <c r="A673" s="62">
        <v>37346</v>
      </c>
      <c r="B673" s="63">
        <v>5800</v>
      </c>
      <c r="C673" s="63">
        <f>+B672*(1-1/1.04)</f>
        <v>-576.92307692307816</v>
      </c>
      <c r="D673" s="63">
        <v>0</v>
      </c>
      <c r="E673" s="65">
        <f>+B673-C674-D673</f>
        <v>5631.0679611650485</v>
      </c>
    </row>
    <row r="674" spans="1:7">
      <c r="A674" s="62"/>
      <c r="B674" s="63"/>
      <c r="C674" s="63">
        <f>+B673*(1-1/1.03)</f>
        <v>168.93203883495138</v>
      </c>
      <c r="D674" s="63"/>
      <c r="E674" s="65"/>
    </row>
    <row r="675" spans="1:7">
      <c r="A675" s="62">
        <v>37400</v>
      </c>
      <c r="B675" s="63">
        <v>-59871</v>
      </c>
      <c r="C675" s="63"/>
      <c r="D675" s="63">
        <v>0</v>
      </c>
      <c r="E675" s="65">
        <f>+B675-C676-D675</f>
        <v>-54781.964999999997</v>
      </c>
    </row>
    <row r="676" spans="1:7">
      <c r="A676" s="62"/>
      <c r="B676" s="63"/>
      <c r="C676" s="63">
        <f>+B675*8.5%</f>
        <v>-5089.0350000000008</v>
      </c>
      <c r="D676" s="63"/>
      <c r="E676" s="65"/>
    </row>
    <row r="677" spans="1:7" ht="13">
      <c r="A677" s="62" t="s">
        <v>567</v>
      </c>
      <c r="B677" s="63">
        <f>SUM(B655:B676)</f>
        <v>98381.5</v>
      </c>
      <c r="C677" s="63"/>
      <c r="D677" s="68">
        <f>SUM(D655:D676)</f>
        <v>7182.5</v>
      </c>
      <c r="E677" s="65">
        <f>SUM(E655:E676)</f>
        <v>89689.283787003224</v>
      </c>
    </row>
    <row r="678" spans="1:7" ht="13.5" thickBot="1">
      <c r="A678" s="69" t="s">
        <v>568</v>
      </c>
      <c r="B678" s="27"/>
      <c r="C678" s="68">
        <f>SUM(C656:C677)</f>
        <v>1081.0100482020971</v>
      </c>
      <c r="D678" s="27"/>
      <c r="E678" s="71"/>
    </row>
    <row r="679" spans="1:7" ht="14" thickTop="1" thickBot="1">
      <c r="A679" s="7"/>
      <c r="B679" s="8"/>
      <c r="C679" s="70">
        <f>+C678+D677</f>
        <v>8263.5100482020971</v>
      </c>
      <c r="D679" s="9"/>
      <c r="E679" s="7"/>
      <c r="F679" s="10"/>
      <c r="G679" s="11"/>
    </row>
    <row r="680" spans="1:7" ht="13" thickTop="1">
      <c r="C680" s="8"/>
    </row>
    <row r="681" spans="1:7" ht="13">
      <c r="A681" s="532"/>
      <c r="B681" s="692"/>
      <c r="C681" s="454"/>
      <c r="D681" s="624"/>
      <c r="E681" s="630"/>
      <c r="F681" s="423"/>
      <c r="G681" s="469"/>
    </row>
    <row r="682" spans="1:7" ht="13">
      <c r="A682" s="532"/>
      <c r="B682" s="692"/>
      <c r="C682" s="454"/>
      <c r="D682" s="624"/>
      <c r="E682" s="630"/>
      <c r="F682" s="423"/>
      <c r="G682" s="469"/>
    </row>
    <row r="683" spans="1:7" ht="13">
      <c r="A683" s="532"/>
      <c r="B683" s="454"/>
      <c r="C683" s="454"/>
      <c r="D683" s="624"/>
      <c r="E683" s="630"/>
      <c r="F683" s="423"/>
      <c r="G683" s="469"/>
    </row>
    <row r="684" spans="1:7" ht="15.5">
      <c r="A684" s="994" t="s">
        <v>406</v>
      </c>
      <c r="B684" s="1025">
        <f>SUM(B681:B683)</f>
        <v>0</v>
      </c>
      <c r="C684" s="57"/>
      <c r="D684" s="1"/>
      <c r="E684" s="1"/>
      <c r="F684" s="1"/>
    </row>
    <row r="686" spans="1:7" ht="15.5">
      <c r="A686" s="72">
        <v>36935</v>
      </c>
      <c r="B686" s="30">
        <v>40541.57</v>
      </c>
      <c r="C686" s="1"/>
      <c r="D686" s="73">
        <v>30</v>
      </c>
      <c r="E686" s="72">
        <f>A686+D686</f>
        <v>36965</v>
      </c>
      <c r="F686" s="74">
        <v>6.9000000000000006E-2</v>
      </c>
      <c r="G686" s="11" t="s">
        <v>569</v>
      </c>
    </row>
    <row r="687" spans="1:7" ht="15.5">
      <c r="A687" s="72">
        <v>36965</v>
      </c>
      <c r="B687" s="30">
        <v>40771</v>
      </c>
      <c r="C687" s="30">
        <f>B686+(B686*F686/365*D686)*1</f>
        <v>40771.490684657532</v>
      </c>
      <c r="D687" s="73">
        <v>204</v>
      </c>
      <c r="E687" s="72">
        <f>A687+D687</f>
        <v>37169</v>
      </c>
      <c r="F687" s="74">
        <v>0.1</v>
      </c>
      <c r="G687" s="11" t="s">
        <v>569</v>
      </c>
    </row>
    <row r="688" spans="1:7" ht="15.5">
      <c r="A688" s="1"/>
      <c r="B688" s="30"/>
      <c r="C688" s="30">
        <f>B687+(B687*F687/365*D687)*1</f>
        <v>43049.707945205482</v>
      </c>
      <c r="D688" s="1"/>
      <c r="E688" s="1"/>
      <c r="F688" s="1"/>
    </row>
    <row r="689" spans="1:7" ht="15.5">
      <c r="A689" s="1"/>
      <c r="B689" s="30"/>
      <c r="C689" s="30">
        <f>+C688-B687</f>
        <v>2278.7079452054822</v>
      </c>
      <c r="D689" s="1"/>
      <c r="E689" s="1"/>
      <c r="F689" s="1"/>
    </row>
    <row r="690" spans="1:7" ht="15.5">
      <c r="A690" s="1"/>
      <c r="B690" s="30"/>
      <c r="C690" s="30"/>
      <c r="D690" s="1"/>
      <c r="E690" s="1"/>
      <c r="F690" s="1"/>
    </row>
    <row r="691" spans="1:7" ht="15.5">
      <c r="A691" s="72">
        <v>37106</v>
      </c>
      <c r="B691" s="30">
        <v>15000</v>
      </c>
      <c r="C691" s="30"/>
      <c r="D691" s="73">
        <v>63</v>
      </c>
      <c r="E691" s="72">
        <f>A691+D691</f>
        <v>37169</v>
      </c>
      <c r="F691" s="74">
        <v>0.1</v>
      </c>
      <c r="G691" s="11" t="s">
        <v>570</v>
      </c>
    </row>
    <row r="692" spans="1:7" ht="15.5">
      <c r="A692" s="1"/>
      <c r="B692" s="30"/>
      <c r="C692" s="30">
        <f>B691+(B691*F691/365*D691)*1</f>
        <v>15258.904109589041</v>
      </c>
      <c r="D692" s="1"/>
      <c r="E692" s="1"/>
      <c r="F692" s="1"/>
    </row>
    <row r="693" spans="1:7" ht="15.5">
      <c r="A693" s="1"/>
      <c r="B693" s="30"/>
      <c r="C693" s="30">
        <f>+C692-B691</f>
        <v>258.90410958904067</v>
      </c>
      <c r="D693" s="1"/>
      <c r="E693" s="1"/>
      <c r="F693" s="1"/>
    </row>
    <row r="694" spans="1:7" ht="15.5">
      <c r="A694" s="1"/>
      <c r="B694" s="30">
        <f>+C688+C692</f>
        <v>58308.612054794525</v>
      </c>
      <c r="C694" s="30"/>
      <c r="D694" s="1"/>
      <c r="E694" s="1"/>
      <c r="F694" s="1"/>
    </row>
    <row r="695" spans="1:7" ht="15.5">
      <c r="A695" s="1"/>
      <c r="B695" s="30"/>
      <c r="C695" s="30">
        <f>+C689+C693</f>
        <v>2537.6120547945229</v>
      </c>
      <c r="D695" s="1"/>
      <c r="E695" s="1"/>
      <c r="F695" s="1"/>
    </row>
    <row r="696" spans="1:7" ht="15.5">
      <c r="A696" s="994" t="s">
        <v>388</v>
      </c>
      <c r="B696" s="30"/>
      <c r="C696" s="30"/>
      <c r="D696" s="1"/>
      <c r="E696" s="1"/>
      <c r="F696" s="1"/>
    </row>
    <row r="697" spans="1:7" ht="15.5">
      <c r="A697" s="1"/>
      <c r="B697" s="30"/>
      <c r="C697" s="30"/>
      <c r="D697" s="1"/>
      <c r="E697" s="1"/>
      <c r="F697" s="1"/>
    </row>
    <row r="698" spans="1:7" ht="15.5">
      <c r="A698" s="72">
        <v>36931</v>
      </c>
      <c r="B698" s="30">
        <v>16446</v>
      </c>
      <c r="C698" s="30"/>
      <c r="D698" s="73">
        <v>38</v>
      </c>
      <c r="E698" s="72">
        <f>A698+D698</f>
        <v>36969</v>
      </c>
      <c r="F698" s="74">
        <v>7.7499999999999999E-2</v>
      </c>
      <c r="G698" s="11" t="s">
        <v>569</v>
      </c>
    </row>
    <row r="699" spans="1:7" ht="15.5">
      <c r="A699" s="72">
        <v>36969</v>
      </c>
      <c r="B699" s="30">
        <v>16578</v>
      </c>
      <c r="C699" s="30">
        <f>B698+(B698*F698/365*D698)*1</f>
        <v>16578.694438356164</v>
      </c>
      <c r="D699" s="73">
        <v>200</v>
      </c>
      <c r="E699" s="72">
        <f>A699+D699</f>
        <v>37169</v>
      </c>
      <c r="F699" s="74">
        <v>0.1</v>
      </c>
      <c r="G699" s="11" t="s">
        <v>569</v>
      </c>
    </row>
    <row r="700" spans="1:7" ht="15.5">
      <c r="A700" s="72"/>
      <c r="B700" s="30"/>
      <c r="C700" s="30">
        <f>B699+(B699*F699/365*D699)*1</f>
        <v>17486.383561643837</v>
      </c>
      <c r="D700" s="73"/>
      <c r="E700" s="72"/>
      <c r="F700" s="74"/>
      <c r="G700" s="11"/>
    </row>
    <row r="701" spans="1:7" ht="15.5">
      <c r="A701" s="72"/>
      <c r="B701" s="30"/>
      <c r="C701" s="25">
        <f>+C700-B699</f>
        <v>908.38356164383731</v>
      </c>
      <c r="D701" s="73"/>
      <c r="E701" s="72"/>
      <c r="F701" s="74"/>
      <c r="G701" s="11"/>
    </row>
    <row r="702" spans="1:7" ht="15.5">
      <c r="A702" s="72">
        <v>37109</v>
      </c>
      <c r="B702" s="30">
        <v>10092</v>
      </c>
      <c r="C702" s="30"/>
      <c r="D702" s="73">
        <v>60</v>
      </c>
      <c r="E702" s="72">
        <f>A702+D702</f>
        <v>37169</v>
      </c>
      <c r="F702" s="74">
        <v>0.1</v>
      </c>
      <c r="G702" s="11" t="s">
        <v>571</v>
      </c>
    </row>
    <row r="703" spans="1:7" ht="15.5">
      <c r="A703" s="1"/>
      <c r="B703" s="30"/>
      <c r="C703" s="30">
        <f>B702+(B702*F702/365*D702)*1</f>
        <v>10257.895890410959</v>
      </c>
      <c r="D703" s="1"/>
      <c r="E703" s="1"/>
      <c r="F703" s="1"/>
    </row>
    <row r="704" spans="1:7" ht="15.5">
      <c r="A704" s="1"/>
      <c r="B704" s="30"/>
      <c r="C704" s="25">
        <f>+C703-B702</f>
        <v>165.8958904109586</v>
      </c>
      <c r="D704" s="1"/>
      <c r="E704" s="1"/>
      <c r="F704" s="1"/>
    </row>
    <row r="705" spans="1:7" ht="15.5">
      <c r="A705" s="72">
        <v>37190</v>
      </c>
      <c r="B705" s="30">
        <v>5000</v>
      </c>
      <c r="C705" s="30"/>
      <c r="D705" s="73">
        <v>30</v>
      </c>
      <c r="E705" s="72">
        <f>A705+D705</f>
        <v>37220</v>
      </c>
      <c r="F705" s="74">
        <v>0.1</v>
      </c>
      <c r="G705" s="11" t="s">
        <v>572</v>
      </c>
    </row>
    <row r="706" spans="1:7" ht="15.5">
      <c r="A706" s="1"/>
      <c r="B706" s="30"/>
      <c r="C706" s="30">
        <f>B705+(B705*F705/365*D705)*1</f>
        <v>5041.0958904109593</v>
      </c>
      <c r="D706" s="1"/>
      <c r="E706" s="1"/>
      <c r="F706" s="1"/>
    </row>
    <row r="707" spans="1:7" ht="15.5">
      <c r="A707" s="75"/>
      <c r="B707" s="30"/>
      <c r="C707" s="25">
        <f>+C706-B705</f>
        <v>41.095890410959328</v>
      </c>
      <c r="D707" s="1"/>
      <c r="E707" s="1"/>
      <c r="F707" s="1"/>
    </row>
    <row r="708" spans="1:7" ht="15.5">
      <c r="A708" s="1"/>
      <c r="B708" s="30">
        <f>+C700+C703+B705</f>
        <v>32744.279452054798</v>
      </c>
      <c r="C708" s="25"/>
      <c r="D708" s="1"/>
      <c r="E708" s="1"/>
      <c r="F708" s="1"/>
    </row>
    <row r="709" spans="1:7" ht="15.5">
      <c r="B709" s="26">
        <f>+B708+B694</f>
        <v>91052.891506849322</v>
      </c>
      <c r="C709" s="25">
        <f>+C701+C704+C707</f>
        <v>1115.3753424657552</v>
      </c>
    </row>
    <row r="710" spans="1:7" ht="13" thickBot="1">
      <c r="B710" s="26"/>
      <c r="C710" s="26"/>
    </row>
    <row r="711" spans="1:7" ht="16.5" thickTop="1" thickBot="1">
      <c r="A711" s="995" t="s">
        <v>406</v>
      </c>
      <c r="B711" s="76">
        <f>+B687</f>
        <v>40771</v>
      </c>
      <c r="C711" s="26"/>
    </row>
    <row r="712" spans="1:7" ht="16" thickTop="1">
      <c r="A712" s="78"/>
      <c r="B712" s="79">
        <f>+B691</f>
        <v>15000</v>
      </c>
      <c r="C712" s="77"/>
    </row>
    <row r="713" spans="1:7" ht="15.5">
      <c r="A713" s="78"/>
      <c r="B713" s="79">
        <v>6000</v>
      </c>
      <c r="C713" s="80"/>
    </row>
    <row r="714" spans="1:7" ht="15.5">
      <c r="A714" s="81">
        <v>37977</v>
      </c>
      <c r="B714" s="79">
        <v>1000</v>
      </c>
      <c r="C714" s="80"/>
    </row>
    <row r="715" spans="1:7" ht="15.5">
      <c r="A715" s="81">
        <v>37977</v>
      </c>
      <c r="B715" s="82">
        <v>4500</v>
      </c>
      <c r="C715" s="80"/>
    </row>
    <row r="716" spans="1:7" ht="15.5">
      <c r="A716" s="81">
        <v>38204</v>
      </c>
      <c r="B716" s="82">
        <v>3000</v>
      </c>
      <c r="C716" s="80"/>
    </row>
    <row r="717" spans="1:7" ht="15.5">
      <c r="A717" s="81">
        <v>38342</v>
      </c>
      <c r="B717" s="79">
        <v>1000</v>
      </c>
      <c r="C717" s="80"/>
    </row>
    <row r="718" spans="1:7" ht="15.5">
      <c r="A718" s="996"/>
      <c r="B718" s="997">
        <f>SUM(B715:B716)</f>
        <v>7500</v>
      </c>
      <c r="C718" s="80"/>
    </row>
    <row r="719" spans="1:7" ht="15.5">
      <c r="A719" s="996"/>
      <c r="B719" s="997"/>
      <c r="C719" s="998">
        <f>SUM(B711:B713)+B717</f>
        <v>62771</v>
      </c>
    </row>
    <row r="720" spans="1:7" ht="15.5">
      <c r="A720" s="999" t="s">
        <v>388</v>
      </c>
      <c r="B720" s="79">
        <f>+B698</f>
        <v>16446</v>
      </c>
      <c r="C720" s="998"/>
    </row>
    <row r="721" spans="1:4" ht="15.5">
      <c r="A721" s="78"/>
      <c r="B721" s="79">
        <v>10000</v>
      </c>
      <c r="C721" s="83"/>
    </row>
    <row r="722" spans="1:4" ht="15.5">
      <c r="A722" s="78"/>
      <c r="B722" s="79">
        <f>+B705</f>
        <v>5000</v>
      </c>
      <c r="C722" s="83"/>
    </row>
    <row r="723" spans="1:4" ht="15.5">
      <c r="A723" s="78"/>
      <c r="B723" s="79">
        <v>23000</v>
      </c>
      <c r="C723" s="80"/>
    </row>
    <row r="724" spans="1:4" ht="15.5">
      <c r="A724" s="78"/>
      <c r="B724" s="79">
        <v>1200</v>
      </c>
      <c r="C724" s="80"/>
    </row>
    <row r="725" spans="1:4" ht="15.5">
      <c r="A725" s="78"/>
      <c r="B725" s="79">
        <f>+(5000-1300)/3.25</f>
        <v>1138.4615384615386</v>
      </c>
      <c r="C725" s="84"/>
    </row>
    <row r="726" spans="1:4" ht="15.5">
      <c r="A726" s="78"/>
      <c r="B726" s="79">
        <v>5000</v>
      </c>
      <c r="C726" s="80"/>
    </row>
    <row r="727" spans="1:4" ht="15.5">
      <c r="A727" s="81">
        <v>37833</v>
      </c>
      <c r="B727" s="79">
        <v>2600</v>
      </c>
      <c r="C727" s="80"/>
    </row>
    <row r="728" spans="1:4" ht="15.5">
      <c r="A728" s="81">
        <v>37887</v>
      </c>
      <c r="B728" s="79">
        <f>3000/2.92</f>
        <v>1027.3972602739727</v>
      </c>
      <c r="C728" s="80"/>
    </row>
    <row r="729" spans="1:4" ht="15.5">
      <c r="A729" s="81">
        <v>37977</v>
      </c>
      <c r="B729" s="79">
        <v>6500</v>
      </c>
      <c r="C729" s="80"/>
    </row>
    <row r="730" spans="1:4" ht="15.5">
      <c r="A730" s="81">
        <v>37977</v>
      </c>
      <c r="B730" s="85">
        <f>14500-14500</f>
        <v>0</v>
      </c>
      <c r="C730" s="80"/>
    </row>
    <row r="731" spans="1:4" ht="15.5">
      <c r="A731" s="81">
        <v>38014</v>
      </c>
      <c r="B731" s="85">
        <f>3500-3500</f>
        <v>0</v>
      </c>
      <c r="C731" s="80" t="s">
        <v>573</v>
      </c>
    </row>
    <row r="732" spans="1:4" ht="15.5">
      <c r="A732" s="996">
        <f>+B730</f>
        <v>0</v>
      </c>
      <c r="B732" s="997">
        <v>0</v>
      </c>
      <c r="C732" s="80" t="s">
        <v>573</v>
      </c>
    </row>
    <row r="733" spans="1:4" ht="15.5">
      <c r="A733" s="78"/>
      <c r="B733" s="30"/>
      <c r="C733" s="998">
        <f>SUM(B720:B729)</f>
        <v>71911.858798735513</v>
      </c>
      <c r="D733" s="8" t="s">
        <v>574</v>
      </c>
    </row>
    <row r="734" spans="1:4" ht="16" thickBot="1">
      <c r="A734" s="1000">
        <f>+A732+A718</f>
        <v>0</v>
      </c>
      <c r="B734" s="1001">
        <f>+B732+B718</f>
        <v>7500</v>
      </c>
      <c r="C734" s="84"/>
      <c r="D734" s="86" t="e">
        <v>#VALUE!</v>
      </c>
    </row>
    <row r="735" spans="1:4" ht="16.5" thickTop="1" thickBot="1">
      <c r="B735" s="26"/>
      <c r="C735" s="1002">
        <f>+C733+C719</f>
        <v>134682.85879873551</v>
      </c>
      <c r="D735" s="57" t="e">
        <f>+D734+D733</f>
        <v>#VALUE!</v>
      </c>
    </row>
    <row r="737" spans="1:5" ht="14" thickTop="1" thickBot="1">
      <c r="A737" s="87" t="s">
        <v>575</v>
      </c>
      <c r="B737" s="88"/>
      <c r="C737" s="26"/>
      <c r="D737" s="90"/>
      <c r="E737" s="91"/>
    </row>
    <row r="738" spans="1:5" ht="13.5" thickTop="1">
      <c r="A738" s="92" t="s">
        <v>0</v>
      </c>
      <c r="B738" s="93" t="s">
        <v>576</v>
      </c>
      <c r="C738" s="89"/>
      <c r="D738" s="93" t="s">
        <v>188</v>
      </c>
      <c r="E738" s="94" t="s">
        <v>577</v>
      </c>
    </row>
    <row r="739" spans="1:5" ht="13">
      <c r="A739" s="95">
        <v>37530</v>
      </c>
      <c r="B739" s="32">
        <v>160</v>
      </c>
      <c r="C739" s="93" t="s">
        <v>578</v>
      </c>
      <c r="D739" s="32" t="s">
        <v>579</v>
      </c>
      <c r="E739" s="96">
        <v>301</v>
      </c>
    </row>
    <row r="740" spans="1:5">
      <c r="A740" s="95">
        <v>37530</v>
      </c>
      <c r="B740" s="32">
        <v>60</v>
      </c>
      <c r="C740" s="32"/>
      <c r="D740" s="32" t="s">
        <v>579</v>
      </c>
      <c r="E740" s="96">
        <v>302</v>
      </c>
    </row>
    <row r="741" spans="1:5">
      <c r="A741" s="95">
        <v>37537</v>
      </c>
      <c r="B741" s="32">
        <v>180</v>
      </c>
      <c r="C741" s="32"/>
      <c r="D741" s="32" t="s">
        <v>580</v>
      </c>
      <c r="E741" s="96">
        <v>303</v>
      </c>
    </row>
    <row r="742" spans="1:5">
      <c r="A742" s="95">
        <v>37539</v>
      </c>
      <c r="B742" s="32">
        <v>240</v>
      </c>
      <c r="C742" s="32"/>
      <c r="D742" s="32" t="s">
        <v>581</v>
      </c>
      <c r="E742" s="96">
        <v>304</v>
      </c>
    </row>
    <row r="743" spans="1:5">
      <c r="A743" s="95">
        <v>37542</v>
      </c>
      <c r="B743" s="32">
        <v>90.2</v>
      </c>
      <c r="C743" s="32"/>
      <c r="D743" t="s">
        <v>582</v>
      </c>
      <c r="E743" s="96">
        <v>309</v>
      </c>
    </row>
    <row r="744" spans="1:5">
      <c r="A744" s="95">
        <v>37544</v>
      </c>
      <c r="B744" s="32">
        <v>272.41000000000003</v>
      </c>
      <c r="C744" s="32"/>
      <c r="D744" t="s">
        <v>583</v>
      </c>
      <c r="E744" s="96">
        <v>305</v>
      </c>
    </row>
    <row r="745" spans="1:5">
      <c r="A745" s="95">
        <v>37546</v>
      </c>
      <c r="B745" s="32">
        <v>85</v>
      </c>
      <c r="C745" s="32"/>
      <c r="D745" t="s">
        <v>584</v>
      </c>
      <c r="E745" s="96">
        <v>307</v>
      </c>
    </row>
    <row r="746" spans="1:5">
      <c r="A746" s="95">
        <v>37550</v>
      </c>
      <c r="B746" s="32">
        <v>300</v>
      </c>
      <c r="C746" s="32"/>
      <c r="D746" t="s">
        <v>585</v>
      </c>
      <c r="E746" s="96">
        <v>310</v>
      </c>
    </row>
    <row r="747" spans="1:5">
      <c r="A747" s="95">
        <v>37550</v>
      </c>
      <c r="B747" s="32">
        <v>139.52000000000001</v>
      </c>
      <c r="C747" s="32"/>
      <c r="D747" t="s">
        <v>586</v>
      </c>
      <c r="E747" s="96">
        <v>311</v>
      </c>
    </row>
    <row r="748" spans="1:5">
      <c r="A748" s="95">
        <v>37551</v>
      </c>
      <c r="B748" s="32">
        <v>906.8</v>
      </c>
      <c r="C748" s="32"/>
      <c r="D748" t="s">
        <v>587</v>
      </c>
      <c r="E748" s="96" t="s">
        <v>588</v>
      </c>
    </row>
    <row r="749" spans="1:5">
      <c r="A749" s="95">
        <v>37551</v>
      </c>
      <c r="B749" s="32">
        <v>459.74</v>
      </c>
      <c r="C749" s="32"/>
      <c r="D749" t="s">
        <v>589</v>
      </c>
      <c r="E749" s="96" t="s">
        <v>588</v>
      </c>
    </row>
    <row r="750" spans="1:5">
      <c r="A750" s="95">
        <v>37551</v>
      </c>
      <c r="B750" s="32">
        <v>2200</v>
      </c>
      <c r="C750" s="32"/>
      <c r="D750" t="s">
        <v>590</v>
      </c>
      <c r="E750" s="96" t="s">
        <v>588</v>
      </c>
    </row>
    <row r="751" spans="1:5">
      <c r="A751" s="95">
        <v>37558</v>
      </c>
      <c r="B751" s="32">
        <v>-120</v>
      </c>
      <c r="C751" s="32"/>
      <c r="D751" t="s">
        <v>591</v>
      </c>
      <c r="E751" s="96" t="s">
        <v>592</v>
      </c>
    </row>
    <row r="752" spans="1:5">
      <c r="A752" s="95">
        <v>37560</v>
      </c>
      <c r="B752" s="32">
        <v>-800</v>
      </c>
      <c r="C752" s="32"/>
      <c r="D752" t="s">
        <v>593</v>
      </c>
      <c r="E752" s="96"/>
    </row>
    <row r="753" spans="1:5">
      <c r="A753" s="95">
        <v>37561</v>
      </c>
      <c r="B753" s="32">
        <v>-1450</v>
      </c>
      <c r="C753" s="32"/>
      <c r="D753" t="s">
        <v>593</v>
      </c>
      <c r="E753" s="96"/>
    </row>
    <row r="754" spans="1:5">
      <c r="A754" s="95">
        <v>37539</v>
      </c>
      <c r="B754" s="32">
        <v>124</v>
      </c>
      <c r="C754" s="32"/>
      <c r="D754" t="s">
        <v>594</v>
      </c>
      <c r="E754" s="96">
        <v>306</v>
      </c>
    </row>
    <row r="755" spans="1:5">
      <c r="A755" s="95">
        <v>37557</v>
      </c>
      <c r="B755" s="32">
        <v>300</v>
      </c>
      <c r="C755" s="32"/>
      <c r="D755" t="s">
        <v>595</v>
      </c>
      <c r="E755" s="96">
        <v>312</v>
      </c>
    </row>
    <row r="756" spans="1:5">
      <c r="A756" s="95">
        <v>37560</v>
      </c>
      <c r="B756" s="32">
        <v>3000</v>
      </c>
      <c r="C756" s="32"/>
      <c r="D756" t="s">
        <v>596</v>
      </c>
      <c r="E756" s="96">
        <v>308</v>
      </c>
    </row>
    <row r="757" spans="1:5">
      <c r="A757" s="95">
        <v>37566</v>
      </c>
      <c r="B757" s="32">
        <v>180</v>
      </c>
      <c r="C757" s="32"/>
      <c r="D757" t="s">
        <v>580</v>
      </c>
      <c r="E757" s="96">
        <v>314</v>
      </c>
    </row>
    <row r="758" spans="1:5">
      <c r="A758" s="95">
        <v>37574</v>
      </c>
      <c r="B758" s="32">
        <v>-370</v>
      </c>
      <c r="C758" s="32"/>
      <c r="D758" t="s">
        <v>593</v>
      </c>
      <c r="E758" s="96"/>
    </row>
    <row r="759" spans="1:5">
      <c r="A759" s="95">
        <v>37575</v>
      </c>
      <c r="B759" s="32">
        <v>-625</v>
      </c>
      <c r="C759" s="32"/>
      <c r="D759" t="s">
        <v>597</v>
      </c>
      <c r="E759" s="96"/>
    </row>
    <row r="760" spans="1:5">
      <c r="A760" s="95">
        <v>37574</v>
      </c>
      <c r="B760" s="32">
        <v>-480</v>
      </c>
      <c r="C760" s="32"/>
      <c r="D760" t="s">
        <v>593</v>
      </c>
      <c r="E760" s="96" t="s">
        <v>598</v>
      </c>
    </row>
    <row r="761" spans="1:5">
      <c r="A761" s="95">
        <v>37570</v>
      </c>
      <c r="B761" s="32">
        <v>240</v>
      </c>
      <c r="C761" s="32"/>
      <c r="D761" t="s">
        <v>581</v>
      </c>
      <c r="E761" s="96">
        <v>315</v>
      </c>
    </row>
    <row r="762" spans="1:5">
      <c r="A762" s="97">
        <v>37575</v>
      </c>
      <c r="B762" s="98">
        <v>138.63</v>
      </c>
      <c r="C762" s="32"/>
      <c r="D762" s="40" t="s">
        <v>599</v>
      </c>
      <c r="E762" s="99">
        <v>319</v>
      </c>
    </row>
    <row r="763" spans="1:5">
      <c r="A763" s="95">
        <v>37575</v>
      </c>
      <c r="B763" s="32">
        <v>58.87</v>
      </c>
      <c r="C763" s="32"/>
      <c r="D763" t="s">
        <v>582</v>
      </c>
      <c r="E763" s="96">
        <v>320</v>
      </c>
    </row>
    <row r="764" spans="1:5">
      <c r="A764" s="95">
        <v>37564</v>
      </c>
      <c r="B764" s="32">
        <v>99.8</v>
      </c>
      <c r="C764" s="32"/>
      <c r="D764" t="s">
        <v>600</v>
      </c>
      <c r="E764" s="96">
        <v>313</v>
      </c>
    </row>
    <row r="765" spans="1:5">
      <c r="A765" s="95">
        <v>37567</v>
      </c>
      <c r="B765" s="32">
        <v>146</v>
      </c>
      <c r="C765" s="32"/>
      <c r="D765" t="s">
        <v>594</v>
      </c>
      <c r="E765" s="96">
        <v>317</v>
      </c>
    </row>
    <row r="766" spans="1:5">
      <c r="A766" s="95">
        <v>37580</v>
      </c>
      <c r="B766" s="32">
        <v>189</v>
      </c>
      <c r="C766" s="32"/>
      <c r="D766" t="s">
        <v>601</v>
      </c>
      <c r="E766" s="96">
        <v>318</v>
      </c>
    </row>
    <row r="767" spans="1:5">
      <c r="A767" s="95">
        <v>37584</v>
      </c>
      <c r="B767" s="32">
        <v>168.18</v>
      </c>
      <c r="C767" s="32"/>
      <c r="D767" t="s">
        <v>602</v>
      </c>
      <c r="E767" s="96" t="s">
        <v>603</v>
      </c>
    </row>
    <row r="768" spans="1:5">
      <c r="A768" s="95">
        <v>37583</v>
      </c>
      <c r="B768" s="32">
        <v>130</v>
      </c>
      <c r="C768" s="32"/>
      <c r="D768" t="s">
        <v>604</v>
      </c>
      <c r="E768" s="96">
        <v>321</v>
      </c>
    </row>
    <row r="769" spans="1:5">
      <c r="A769" s="95">
        <v>37575</v>
      </c>
      <c r="B769" s="32">
        <v>269.51</v>
      </c>
      <c r="C769" s="32"/>
      <c r="D769" t="s">
        <v>583</v>
      </c>
      <c r="E769" s="96">
        <v>316</v>
      </c>
    </row>
    <row r="770" spans="1:5">
      <c r="A770" s="95">
        <v>37586</v>
      </c>
      <c r="B770" s="32">
        <v>-500</v>
      </c>
      <c r="C770" s="32"/>
      <c r="D770" t="s">
        <v>597</v>
      </c>
      <c r="E770" s="96"/>
    </row>
    <row r="771" spans="1:5">
      <c r="A771" s="95">
        <v>37586</v>
      </c>
      <c r="B771" s="32">
        <v>86</v>
      </c>
      <c r="C771" s="32"/>
      <c r="D771" t="s">
        <v>605</v>
      </c>
      <c r="E771" s="96">
        <v>322</v>
      </c>
    </row>
    <row r="772" spans="1:5">
      <c r="A772" s="95">
        <v>37589</v>
      </c>
      <c r="B772" s="32">
        <v>-140</v>
      </c>
      <c r="C772" s="32"/>
      <c r="D772" t="s">
        <v>591</v>
      </c>
      <c r="E772" s="96" t="s">
        <v>592</v>
      </c>
    </row>
    <row r="773" spans="1:5">
      <c r="A773" s="95">
        <v>37589</v>
      </c>
      <c r="B773" s="32">
        <v>-80</v>
      </c>
      <c r="C773" s="32"/>
      <c r="D773" t="s">
        <v>593</v>
      </c>
      <c r="E773" s="96" t="s">
        <v>603</v>
      </c>
    </row>
    <row r="774" spans="1:5">
      <c r="A774" s="95">
        <v>37596</v>
      </c>
      <c r="B774" s="32">
        <v>194.22</v>
      </c>
      <c r="C774" s="32"/>
      <c r="D774" t="s">
        <v>606</v>
      </c>
      <c r="E774" s="96" t="s">
        <v>603</v>
      </c>
    </row>
    <row r="775" spans="1:5">
      <c r="A775" s="95">
        <v>37595</v>
      </c>
      <c r="B775" s="32">
        <v>990.85</v>
      </c>
      <c r="C775" s="32"/>
      <c r="D775" t="s">
        <v>607</v>
      </c>
      <c r="E775" s="96" t="s">
        <v>603</v>
      </c>
    </row>
    <row r="776" spans="1:5">
      <c r="A776" s="95">
        <v>37612</v>
      </c>
      <c r="B776" s="32">
        <v>210.63</v>
      </c>
      <c r="C776" s="32"/>
      <c r="D776" t="s">
        <v>602</v>
      </c>
      <c r="E776" s="96" t="s">
        <v>603</v>
      </c>
    </row>
    <row r="777" spans="1:5" ht="15.5">
      <c r="A777" s="95">
        <v>37613</v>
      </c>
      <c r="B777" s="36">
        <v>28.47</v>
      </c>
      <c r="C777" s="32"/>
      <c r="D777" t="s">
        <v>608</v>
      </c>
      <c r="E777" s="96" t="s">
        <v>603</v>
      </c>
    </row>
    <row r="778" spans="1:5" ht="15.5">
      <c r="A778" s="95">
        <v>37613</v>
      </c>
      <c r="B778" s="36">
        <v>39.86</v>
      </c>
      <c r="C778" s="32"/>
      <c r="D778" t="s">
        <v>609</v>
      </c>
      <c r="E778" s="96" t="s">
        <v>603</v>
      </c>
    </row>
    <row r="779" spans="1:5">
      <c r="A779" s="95">
        <v>37613</v>
      </c>
      <c r="B779" s="32">
        <v>-300</v>
      </c>
      <c r="D779" t="s">
        <v>593</v>
      </c>
      <c r="E779" s="96"/>
    </row>
    <row r="780" spans="1:5">
      <c r="A780" s="95">
        <v>37619</v>
      </c>
      <c r="B780" s="32">
        <v>70.64</v>
      </c>
      <c r="C780" s="32"/>
      <c r="D780" t="s">
        <v>602</v>
      </c>
      <c r="E780" s="96" t="s">
        <v>603</v>
      </c>
    </row>
    <row r="781" spans="1:5">
      <c r="A781" s="95">
        <v>37620</v>
      </c>
      <c r="B781" s="32">
        <v>100</v>
      </c>
      <c r="C781" s="32"/>
      <c r="D781" t="s">
        <v>610</v>
      </c>
      <c r="E781" s="96" t="s">
        <v>603</v>
      </c>
    </row>
    <row r="782" spans="1:5">
      <c r="A782" s="95">
        <v>37620</v>
      </c>
      <c r="B782" s="32">
        <v>100</v>
      </c>
      <c r="C782" s="32"/>
      <c r="D782" t="s">
        <v>610</v>
      </c>
      <c r="E782" s="96" t="s">
        <v>603</v>
      </c>
    </row>
    <row r="785" spans="1:4" ht="14" thickTop="1" thickBot="1">
      <c r="A785" s="100" t="s">
        <v>611</v>
      </c>
      <c r="B785" s="101"/>
      <c r="D785" s="103" t="s">
        <v>161</v>
      </c>
    </row>
    <row r="786" spans="1:4" ht="13" thickTop="1">
      <c r="A786" s="104">
        <v>37601</v>
      </c>
      <c r="B786" s="32">
        <v>174</v>
      </c>
      <c r="C786" s="102" t="s">
        <v>612</v>
      </c>
      <c r="D786" t="s">
        <v>584</v>
      </c>
    </row>
    <row r="787" spans="1:4">
      <c r="A787" s="104">
        <v>37608</v>
      </c>
      <c r="B787" s="32">
        <v>-175</v>
      </c>
      <c r="C787" s="32"/>
      <c r="D787" t="s">
        <v>593</v>
      </c>
    </row>
  </sheetData>
  <autoFilter ref="A557:G587" xr:uid="{00000000-0001-0000-0400-000000000000}"/>
  <mergeCells count="13">
    <mergeCell ref="M302:T302"/>
    <mergeCell ref="M311:T311"/>
    <mergeCell ref="M305:T305"/>
    <mergeCell ref="M300:T300"/>
    <mergeCell ref="I334:O334"/>
    <mergeCell ref="M313:T313"/>
    <mergeCell ref="I331:O331"/>
    <mergeCell ref="I332:O332"/>
    <mergeCell ref="I323:O323"/>
    <mergeCell ref="I327:O327"/>
    <mergeCell ref="I329:O329"/>
    <mergeCell ref="I321:O321"/>
    <mergeCell ref="I325:O325"/>
  </mergeCells>
  <phoneticPr fontId="0" type="noConversion"/>
  <pageMargins left="0.75" right="0.75" top="1" bottom="1" header="0" footer="0"/>
  <pageSetup orientation="portrait" horizontalDpi="120" verticalDpi="144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4" filterMode="1"/>
  <dimension ref="A1:U659"/>
  <sheetViews>
    <sheetView topLeftCell="A648" workbookViewId="0">
      <selection activeCell="C662" sqref="C662"/>
    </sheetView>
  </sheetViews>
  <sheetFormatPr baseColWidth="10" defaultColWidth="11.453125" defaultRowHeight="12.5"/>
  <cols>
    <col min="2" max="2" width="17.54296875" customWidth="1"/>
    <col min="3" max="3" width="16.54296875" customWidth="1"/>
    <col min="7" max="7" width="20.453125" customWidth="1"/>
    <col min="8" max="8" width="14.453125" customWidth="1"/>
  </cols>
  <sheetData>
    <row r="1" spans="1:7" ht="14" thickTop="1" thickBot="1">
      <c r="A1" s="2" t="s">
        <v>521</v>
      </c>
      <c r="B1" s="3" t="s">
        <v>522</v>
      </c>
      <c r="C1" s="3" t="s">
        <v>523</v>
      </c>
      <c r="D1" s="5" t="s">
        <v>525</v>
      </c>
      <c r="E1" s="4" t="s">
        <v>524</v>
      </c>
      <c r="F1" s="4" t="s">
        <v>526</v>
      </c>
      <c r="G1" s="6" t="s">
        <v>270</v>
      </c>
    </row>
    <row r="2" spans="1:7" ht="12.75" hidden="1" customHeight="1" thickTop="1">
      <c r="A2" s="532">
        <v>44531</v>
      </c>
      <c r="B2" s="615">
        <v>90000</v>
      </c>
      <c r="C2" s="615">
        <f t="shared" ref="C2:C3" si="0">B2+(B2*F2/365*E2)*1</f>
        <v>93010.684931506854</v>
      </c>
      <c r="D2" s="532">
        <f t="shared" ref="D2:D3" si="1">+A2+E2</f>
        <v>44564</v>
      </c>
      <c r="E2" s="534">
        <v>33</v>
      </c>
      <c r="F2" s="601">
        <v>0.37</v>
      </c>
      <c r="G2" s="536" t="s">
        <v>540</v>
      </c>
    </row>
    <row r="3" spans="1:7" ht="12.75" hidden="1" customHeight="1">
      <c r="A3" s="532">
        <v>44533</v>
      </c>
      <c r="B3" s="615">
        <v>28000</v>
      </c>
      <c r="C3" s="615">
        <f t="shared" si="0"/>
        <v>28879.890410958906</v>
      </c>
      <c r="D3" s="532">
        <f t="shared" si="1"/>
        <v>44564</v>
      </c>
      <c r="E3" s="534">
        <v>31</v>
      </c>
      <c r="F3" s="601">
        <v>0.37</v>
      </c>
      <c r="G3" s="536" t="s">
        <v>697</v>
      </c>
    </row>
    <row r="4" spans="1:7" ht="12.75" customHeight="1" thickTop="1">
      <c r="A4" s="532">
        <v>44533</v>
      </c>
      <c r="B4" s="615">
        <v>110000</v>
      </c>
      <c r="C4" s="615">
        <f t="shared" ref="C4:C67" si="2">B4+(B4*F4/365*E4)*1</f>
        <v>113456.71232876713</v>
      </c>
      <c r="D4" s="532">
        <f t="shared" ref="D4:D35" si="3">+A4+E4</f>
        <v>44564</v>
      </c>
      <c r="E4" s="534">
        <v>31</v>
      </c>
      <c r="F4" s="601">
        <v>0.37</v>
      </c>
      <c r="G4" s="536" t="s">
        <v>276</v>
      </c>
    </row>
    <row r="5" spans="1:7" ht="12.75" hidden="1" customHeight="1">
      <c r="A5" s="532">
        <v>44536</v>
      </c>
      <c r="B5" s="615">
        <v>31000</v>
      </c>
      <c r="C5" s="615">
        <f t="shared" si="2"/>
        <v>31942.739726027397</v>
      </c>
      <c r="D5" s="532">
        <f t="shared" si="3"/>
        <v>44566</v>
      </c>
      <c r="E5" s="534">
        <v>30</v>
      </c>
      <c r="F5" s="601">
        <v>0.37</v>
      </c>
      <c r="G5" s="536" t="s">
        <v>697</v>
      </c>
    </row>
    <row r="6" spans="1:7" ht="12.75" customHeight="1">
      <c r="A6" s="532">
        <v>44536</v>
      </c>
      <c r="B6" s="615">
        <v>27000</v>
      </c>
      <c r="C6" s="615">
        <f t="shared" si="2"/>
        <v>27821.095890410958</v>
      </c>
      <c r="D6" s="532">
        <f t="shared" si="3"/>
        <v>44566</v>
      </c>
      <c r="E6" s="534">
        <v>30</v>
      </c>
      <c r="F6" s="601">
        <v>0.37</v>
      </c>
      <c r="G6" s="536" t="s">
        <v>276</v>
      </c>
    </row>
    <row r="7" spans="1:7" ht="12.75" hidden="1" customHeight="1">
      <c r="A7" s="532">
        <v>44540</v>
      </c>
      <c r="B7" s="615">
        <v>8900</v>
      </c>
      <c r="C7" s="615">
        <f t="shared" si="2"/>
        <v>9179.6794520547937</v>
      </c>
      <c r="D7" s="532">
        <f t="shared" si="3"/>
        <v>44571</v>
      </c>
      <c r="E7" s="534">
        <v>31</v>
      </c>
      <c r="F7" s="601">
        <v>0.37</v>
      </c>
      <c r="G7" s="536" t="s">
        <v>697</v>
      </c>
    </row>
    <row r="8" spans="1:7" ht="12.75" customHeight="1">
      <c r="A8" s="532">
        <v>44540</v>
      </c>
      <c r="B8" s="615">
        <v>27000</v>
      </c>
      <c r="C8" s="615">
        <f t="shared" si="2"/>
        <v>27848.465753424658</v>
      </c>
      <c r="D8" s="532">
        <f t="shared" si="3"/>
        <v>44571</v>
      </c>
      <c r="E8" s="534">
        <v>31</v>
      </c>
      <c r="F8" s="601">
        <v>0.37</v>
      </c>
      <c r="G8" s="536" t="s">
        <v>276</v>
      </c>
    </row>
    <row r="9" spans="1:7" ht="12.75" customHeight="1">
      <c r="A9" s="532">
        <v>44543</v>
      </c>
      <c r="B9" s="615">
        <v>160000</v>
      </c>
      <c r="C9" s="615">
        <f t="shared" si="2"/>
        <v>164865.75342465754</v>
      </c>
      <c r="D9" s="532">
        <f t="shared" si="3"/>
        <v>44573</v>
      </c>
      <c r="E9" s="534">
        <v>30</v>
      </c>
      <c r="F9" s="601">
        <v>0.37</v>
      </c>
      <c r="G9" s="536" t="s">
        <v>276</v>
      </c>
    </row>
    <row r="10" spans="1:7" ht="12.75" hidden="1" customHeight="1">
      <c r="A10" s="532">
        <v>44543</v>
      </c>
      <c r="B10" s="615">
        <v>51600</v>
      </c>
      <c r="C10" s="615">
        <f t="shared" si="2"/>
        <v>53169.205479452052</v>
      </c>
      <c r="D10" s="532">
        <f t="shared" si="3"/>
        <v>44573</v>
      </c>
      <c r="E10" s="534">
        <v>30</v>
      </c>
      <c r="F10" s="601">
        <v>0.37</v>
      </c>
      <c r="G10" s="536" t="s">
        <v>697</v>
      </c>
    </row>
    <row r="11" spans="1:7" ht="12.75" hidden="1" customHeight="1">
      <c r="A11" s="532">
        <v>44545</v>
      </c>
      <c r="B11" s="615">
        <v>47300</v>
      </c>
      <c r="C11" s="615">
        <f t="shared" si="2"/>
        <v>48738.438356164384</v>
      </c>
      <c r="D11" s="532">
        <f t="shared" si="3"/>
        <v>44575</v>
      </c>
      <c r="E11" s="534">
        <v>30</v>
      </c>
      <c r="F11" s="601">
        <v>0.37</v>
      </c>
      <c r="G11" s="536" t="s">
        <v>696</v>
      </c>
    </row>
    <row r="12" spans="1:7" ht="12.75" customHeight="1">
      <c r="A12" s="532">
        <v>44545</v>
      </c>
      <c r="B12" s="615">
        <v>14000</v>
      </c>
      <c r="C12" s="615">
        <f t="shared" si="2"/>
        <v>14425.753424657534</v>
      </c>
      <c r="D12" s="532">
        <f t="shared" si="3"/>
        <v>44575</v>
      </c>
      <c r="E12" s="534">
        <v>30</v>
      </c>
      <c r="F12" s="601">
        <v>0.37</v>
      </c>
      <c r="G12" s="536" t="s">
        <v>276</v>
      </c>
    </row>
    <row r="13" spans="1:7" ht="12.75" hidden="1" customHeight="1">
      <c r="A13" s="532">
        <v>44546</v>
      </c>
      <c r="B13" s="615">
        <v>100000</v>
      </c>
      <c r="C13" s="615">
        <f t="shared" si="2"/>
        <v>103243.83561643836</v>
      </c>
      <c r="D13" s="532">
        <f t="shared" si="3"/>
        <v>44578</v>
      </c>
      <c r="E13" s="534">
        <v>32</v>
      </c>
      <c r="F13" s="601">
        <v>0.37</v>
      </c>
      <c r="G13" s="536" t="s">
        <v>120</v>
      </c>
    </row>
    <row r="14" spans="1:7" ht="12.75" hidden="1" customHeight="1">
      <c r="A14" s="532">
        <v>44547</v>
      </c>
      <c r="B14" s="615">
        <v>113000</v>
      </c>
      <c r="C14" s="615">
        <f t="shared" si="2"/>
        <v>116550.98630136986</v>
      </c>
      <c r="D14" s="532">
        <f t="shared" si="3"/>
        <v>44578</v>
      </c>
      <c r="E14" s="534">
        <v>31</v>
      </c>
      <c r="F14" s="601">
        <v>0.37</v>
      </c>
      <c r="G14" s="536" t="s">
        <v>695</v>
      </c>
    </row>
    <row r="15" spans="1:7" ht="12.75" hidden="1" customHeight="1">
      <c r="A15" s="532">
        <v>44547</v>
      </c>
      <c r="B15" s="615">
        <v>50300</v>
      </c>
      <c r="C15" s="615">
        <f t="shared" si="2"/>
        <v>51880.6602739726</v>
      </c>
      <c r="D15" s="532">
        <f t="shared" si="3"/>
        <v>44578</v>
      </c>
      <c r="E15" s="534">
        <v>31</v>
      </c>
      <c r="F15" s="601">
        <v>0.37</v>
      </c>
      <c r="G15" s="536" t="s">
        <v>695</v>
      </c>
    </row>
    <row r="16" spans="1:7" ht="12.75" hidden="1" customHeight="1">
      <c r="A16" s="532">
        <v>44547</v>
      </c>
      <c r="B16" s="615">
        <v>27300</v>
      </c>
      <c r="C16" s="615">
        <f t="shared" si="2"/>
        <v>28157.893150684933</v>
      </c>
      <c r="D16" s="532">
        <f t="shared" si="3"/>
        <v>44578</v>
      </c>
      <c r="E16" s="534">
        <v>31</v>
      </c>
      <c r="F16" s="601">
        <v>0.37</v>
      </c>
      <c r="G16" s="536" t="s">
        <v>680</v>
      </c>
    </row>
    <row r="17" spans="1:7" ht="12.75" hidden="1" customHeight="1">
      <c r="A17" s="532">
        <v>44547</v>
      </c>
      <c r="B17" s="615">
        <v>50000</v>
      </c>
      <c r="C17" s="615">
        <f t="shared" si="2"/>
        <v>51571.232876712325</v>
      </c>
      <c r="D17" s="532">
        <f t="shared" si="3"/>
        <v>44578</v>
      </c>
      <c r="E17" s="534">
        <v>31</v>
      </c>
      <c r="F17" s="601">
        <v>0.37</v>
      </c>
      <c r="G17" s="536" t="s">
        <v>680</v>
      </c>
    </row>
    <row r="18" spans="1:7" ht="12.75" hidden="1" customHeight="1">
      <c r="A18" s="532">
        <v>44547</v>
      </c>
      <c r="B18" s="615">
        <v>32900</v>
      </c>
      <c r="C18" s="615">
        <f t="shared" si="2"/>
        <v>33933.871232876714</v>
      </c>
      <c r="D18" s="532">
        <f t="shared" si="3"/>
        <v>44578</v>
      </c>
      <c r="E18" s="534">
        <v>31</v>
      </c>
      <c r="F18" s="601">
        <v>0.37</v>
      </c>
      <c r="G18" s="536" t="s">
        <v>697</v>
      </c>
    </row>
    <row r="19" spans="1:7" ht="12.75" hidden="1" customHeight="1">
      <c r="A19" s="532">
        <v>44550</v>
      </c>
      <c r="B19" s="615">
        <v>127900</v>
      </c>
      <c r="C19" s="615">
        <f t="shared" si="2"/>
        <v>131789.56164383562</v>
      </c>
      <c r="D19" s="532">
        <f t="shared" si="3"/>
        <v>44580</v>
      </c>
      <c r="E19" s="534">
        <v>30</v>
      </c>
      <c r="F19" s="601">
        <v>0.37</v>
      </c>
      <c r="G19" s="536" t="s">
        <v>696</v>
      </c>
    </row>
    <row r="20" spans="1:7" ht="12.75" customHeight="1">
      <c r="A20" s="532">
        <v>44550</v>
      </c>
      <c r="B20" s="615">
        <v>45000</v>
      </c>
      <c r="C20" s="615">
        <f t="shared" si="2"/>
        <v>46368.493150684932</v>
      </c>
      <c r="D20" s="532">
        <f t="shared" si="3"/>
        <v>44580</v>
      </c>
      <c r="E20" s="534">
        <v>30</v>
      </c>
      <c r="F20" s="601">
        <v>0.37</v>
      </c>
      <c r="G20" s="536" t="s">
        <v>276</v>
      </c>
    </row>
    <row r="21" spans="1:7" ht="12.75" hidden="1" customHeight="1">
      <c r="A21" s="532">
        <v>44550</v>
      </c>
      <c r="B21" s="615">
        <v>59300</v>
      </c>
      <c r="C21" s="615">
        <f t="shared" si="2"/>
        <v>61103.369863013701</v>
      </c>
      <c r="D21" s="532">
        <f t="shared" si="3"/>
        <v>44580</v>
      </c>
      <c r="E21" s="534">
        <v>30</v>
      </c>
      <c r="F21" s="601">
        <v>0.37</v>
      </c>
      <c r="G21" s="536" t="s">
        <v>695</v>
      </c>
    </row>
    <row r="22" spans="1:7" ht="12.75" hidden="1" customHeight="1">
      <c r="A22" s="532">
        <v>44551</v>
      </c>
      <c r="B22" s="615">
        <v>28000</v>
      </c>
      <c r="C22" s="615">
        <f t="shared" si="2"/>
        <v>28851.506849315068</v>
      </c>
      <c r="D22" s="532">
        <f t="shared" si="3"/>
        <v>44581</v>
      </c>
      <c r="E22" s="534">
        <v>30</v>
      </c>
      <c r="F22" s="601">
        <v>0.37</v>
      </c>
      <c r="G22" s="536" t="s">
        <v>695</v>
      </c>
    </row>
    <row r="23" spans="1:7" ht="12.75" hidden="1" customHeight="1">
      <c r="A23" s="532">
        <v>44551</v>
      </c>
      <c r="B23" s="615">
        <v>120000</v>
      </c>
      <c r="C23" s="615">
        <f t="shared" si="2"/>
        <v>123649.31506849315</v>
      </c>
      <c r="D23" s="532">
        <f t="shared" si="3"/>
        <v>44581</v>
      </c>
      <c r="E23" s="534">
        <v>30</v>
      </c>
      <c r="F23" s="601">
        <v>0.37</v>
      </c>
      <c r="G23" s="536" t="s">
        <v>540</v>
      </c>
    </row>
    <row r="24" spans="1:7" ht="12.75" hidden="1" customHeight="1">
      <c r="A24" s="532">
        <v>44551</v>
      </c>
      <c r="B24" s="615">
        <v>45000</v>
      </c>
      <c r="C24" s="615">
        <f t="shared" si="2"/>
        <v>46368.493150684932</v>
      </c>
      <c r="D24" s="532">
        <f t="shared" si="3"/>
        <v>44581</v>
      </c>
      <c r="E24" s="534">
        <v>30</v>
      </c>
      <c r="F24" s="601">
        <v>0.37</v>
      </c>
      <c r="G24" s="536" t="s">
        <v>540</v>
      </c>
    </row>
    <row r="25" spans="1:7" ht="12.75" hidden="1" customHeight="1">
      <c r="A25" s="532">
        <v>44553</v>
      </c>
      <c r="B25" s="615">
        <v>14000</v>
      </c>
      <c r="C25" s="615">
        <f t="shared" si="2"/>
        <v>14454.13698630137</v>
      </c>
      <c r="D25" s="532">
        <f t="shared" si="3"/>
        <v>44585</v>
      </c>
      <c r="E25" s="534">
        <v>32</v>
      </c>
      <c r="F25" s="601">
        <v>0.37</v>
      </c>
      <c r="G25" s="536" t="s">
        <v>697</v>
      </c>
    </row>
    <row r="26" spans="1:7" ht="12.75" hidden="1" customHeight="1">
      <c r="A26" s="532">
        <v>44553</v>
      </c>
      <c r="B26" s="615">
        <v>62300</v>
      </c>
      <c r="C26" s="615">
        <f t="shared" si="2"/>
        <v>64320.909589041097</v>
      </c>
      <c r="D26" s="532">
        <f t="shared" si="3"/>
        <v>44585</v>
      </c>
      <c r="E26" s="534">
        <v>32</v>
      </c>
      <c r="F26" s="601">
        <v>0.37</v>
      </c>
      <c r="G26" s="536" t="s">
        <v>695</v>
      </c>
    </row>
    <row r="27" spans="1:7" ht="12.75" hidden="1" customHeight="1">
      <c r="A27" s="532">
        <v>44553</v>
      </c>
      <c r="B27" s="615">
        <v>19800</v>
      </c>
      <c r="C27" s="615">
        <f t="shared" si="2"/>
        <v>20442.279452054794</v>
      </c>
      <c r="D27" s="532">
        <f t="shared" si="3"/>
        <v>44585</v>
      </c>
      <c r="E27" s="534">
        <v>32</v>
      </c>
      <c r="F27" s="601">
        <v>0.37</v>
      </c>
      <c r="G27" s="536" t="s">
        <v>680</v>
      </c>
    </row>
    <row r="28" spans="1:7" ht="12.75" hidden="1" customHeight="1">
      <c r="A28" s="532">
        <v>44553</v>
      </c>
      <c r="B28" s="615">
        <v>8000</v>
      </c>
      <c r="C28" s="615">
        <f t="shared" si="2"/>
        <v>8259.5068493150684</v>
      </c>
      <c r="D28" s="532">
        <f t="shared" si="3"/>
        <v>44585</v>
      </c>
      <c r="E28" s="534">
        <v>32</v>
      </c>
      <c r="F28" s="601">
        <v>0.37</v>
      </c>
      <c r="G28" s="536" t="s">
        <v>696</v>
      </c>
    </row>
    <row r="29" spans="1:7" ht="12.75" hidden="1" customHeight="1">
      <c r="A29" s="532">
        <v>44557</v>
      </c>
      <c r="B29" s="615">
        <v>51000</v>
      </c>
      <c r="C29" s="615">
        <f t="shared" si="2"/>
        <v>52550.95890410959</v>
      </c>
      <c r="D29" s="532">
        <f t="shared" si="3"/>
        <v>44587</v>
      </c>
      <c r="E29" s="534">
        <v>30</v>
      </c>
      <c r="F29" s="601">
        <v>0.37</v>
      </c>
      <c r="G29" s="536" t="s">
        <v>697</v>
      </c>
    </row>
    <row r="30" spans="1:7" ht="12.75" hidden="1" customHeight="1">
      <c r="A30" s="532">
        <v>44557</v>
      </c>
      <c r="B30" s="615">
        <v>6000</v>
      </c>
      <c r="C30" s="615">
        <f t="shared" si="2"/>
        <v>6182.4657534246571</v>
      </c>
      <c r="D30" s="532">
        <f t="shared" si="3"/>
        <v>44587</v>
      </c>
      <c r="E30" s="534">
        <v>30</v>
      </c>
      <c r="F30" s="601">
        <v>0.37</v>
      </c>
      <c r="G30" s="536" t="s">
        <v>680</v>
      </c>
    </row>
    <row r="31" spans="1:7" ht="12.75" hidden="1" customHeight="1">
      <c r="A31" s="532">
        <v>44557</v>
      </c>
      <c r="B31" s="615">
        <v>286900</v>
      </c>
      <c r="C31" s="615">
        <f t="shared" si="2"/>
        <v>295624.90410958906</v>
      </c>
      <c r="D31" s="532">
        <f t="shared" si="3"/>
        <v>44587</v>
      </c>
      <c r="E31" s="534">
        <v>30</v>
      </c>
      <c r="F31" s="601">
        <v>0.37</v>
      </c>
      <c r="G31" s="536" t="s">
        <v>695</v>
      </c>
    </row>
    <row r="32" spans="1:7" ht="12.75" customHeight="1">
      <c r="A32" s="532">
        <v>44557</v>
      </c>
      <c r="B32" s="615">
        <v>140000</v>
      </c>
      <c r="C32" s="615">
        <f t="shared" si="2"/>
        <v>144257.53424657535</v>
      </c>
      <c r="D32" s="532">
        <f t="shared" si="3"/>
        <v>44587</v>
      </c>
      <c r="E32" s="534">
        <v>30</v>
      </c>
      <c r="F32" s="601">
        <v>0.37</v>
      </c>
      <c r="G32" s="536" t="s">
        <v>276</v>
      </c>
    </row>
    <row r="33" spans="1:21" ht="12.75" hidden="1" customHeight="1">
      <c r="A33" s="532">
        <v>44557</v>
      </c>
      <c r="B33" s="615">
        <v>186500</v>
      </c>
      <c r="C33" s="615">
        <f t="shared" si="2"/>
        <v>192171.64383561644</v>
      </c>
      <c r="D33" s="532">
        <f t="shared" si="3"/>
        <v>44587</v>
      </c>
      <c r="E33" s="534">
        <v>30</v>
      </c>
      <c r="F33" s="601">
        <v>0.37</v>
      </c>
      <c r="G33" s="536" t="s">
        <v>696</v>
      </c>
    </row>
    <row r="34" spans="1:21" ht="12.75" hidden="1" customHeight="1">
      <c r="A34" s="532">
        <v>44557</v>
      </c>
      <c r="B34" s="615">
        <v>70000</v>
      </c>
      <c r="C34" s="615">
        <f t="shared" si="2"/>
        <v>72128.767123287675</v>
      </c>
      <c r="D34" s="532">
        <f t="shared" si="3"/>
        <v>44587</v>
      </c>
      <c r="E34" s="534">
        <v>30</v>
      </c>
      <c r="F34" s="601">
        <v>0.37</v>
      </c>
      <c r="G34" s="536" t="s">
        <v>540</v>
      </c>
    </row>
    <row r="35" spans="1:21" ht="12.75" hidden="1" customHeight="1">
      <c r="A35" s="532">
        <v>44557</v>
      </c>
      <c r="B35" s="615">
        <v>355000</v>
      </c>
      <c r="C35" s="615">
        <f t="shared" si="2"/>
        <v>365795.89041095891</v>
      </c>
      <c r="D35" s="532">
        <f t="shared" si="3"/>
        <v>44587</v>
      </c>
      <c r="E35" s="534">
        <v>30</v>
      </c>
      <c r="F35" s="601">
        <v>0.37</v>
      </c>
      <c r="G35" s="536" t="s">
        <v>120</v>
      </c>
    </row>
    <row r="36" spans="1:21" ht="12.75" hidden="1" customHeight="1">
      <c r="A36" s="532">
        <v>44559</v>
      </c>
      <c r="B36" s="615">
        <v>22000</v>
      </c>
      <c r="C36" s="615">
        <f t="shared" si="2"/>
        <v>22669.04109589041</v>
      </c>
      <c r="D36" s="532">
        <f t="shared" ref="D36:D67" si="4">+A36+E36</f>
        <v>44589</v>
      </c>
      <c r="E36" s="534">
        <v>30</v>
      </c>
      <c r="F36" s="601">
        <v>0.37</v>
      </c>
      <c r="G36" s="536" t="s">
        <v>695</v>
      </c>
    </row>
    <row r="37" spans="1:21" ht="12.75" customHeight="1">
      <c r="A37" s="532">
        <v>44559</v>
      </c>
      <c r="B37" s="615">
        <v>140000</v>
      </c>
      <c r="C37" s="615">
        <f t="shared" si="2"/>
        <v>144257.53424657535</v>
      </c>
      <c r="D37" s="532">
        <f t="shared" si="4"/>
        <v>44589</v>
      </c>
      <c r="E37" s="534">
        <v>30</v>
      </c>
      <c r="F37" s="601">
        <v>0.37</v>
      </c>
      <c r="G37" s="536" t="s">
        <v>276</v>
      </c>
    </row>
    <row r="38" spans="1:21" ht="12.75" hidden="1" customHeight="1">
      <c r="A38" s="532">
        <v>44559</v>
      </c>
      <c r="B38" s="615">
        <v>100000</v>
      </c>
      <c r="C38" s="615">
        <f t="shared" si="2"/>
        <v>103041.09589041096</v>
      </c>
      <c r="D38" s="532">
        <f t="shared" si="4"/>
        <v>44589</v>
      </c>
      <c r="E38" s="534">
        <v>30</v>
      </c>
      <c r="F38" s="601">
        <v>0.37</v>
      </c>
      <c r="G38" s="536" t="s">
        <v>120</v>
      </c>
    </row>
    <row r="39" spans="1:21" ht="12.75" hidden="1" customHeight="1">
      <c r="A39" s="532">
        <v>44560</v>
      </c>
      <c r="B39" s="615">
        <v>160000</v>
      </c>
      <c r="C39" s="615">
        <f t="shared" si="2"/>
        <v>165190.13698630137</v>
      </c>
      <c r="D39" s="532">
        <f t="shared" si="4"/>
        <v>44592</v>
      </c>
      <c r="E39" s="534">
        <v>32</v>
      </c>
      <c r="F39" s="601">
        <v>0.37</v>
      </c>
      <c r="G39" s="536" t="s">
        <v>695</v>
      </c>
    </row>
    <row r="40" spans="1:21" ht="12.75" customHeight="1">
      <c r="A40" s="532">
        <v>44560</v>
      </c>
      <c r="B40" s="615">
        <v>800000</v>
      </c>
      <c r="C40" s="615">
        <f t="shared" si="2"/>
        <v>825950.68493150687</v>
      </c>
      <c r="D40" s="532">
        <f t="shared" si="4"/>
        <v>44592</v>
      </c>
      <c r="E40" s="534">
        <v>32</v>
      </c>
      <c r="F40" s="601">
        <v>0.37</v>
      </c>
      <c r="G40" s="536" t="s">
        <v>276</v>
      </c>
    </row>
    <row r="41" spans="1:21" ht="12.75" customHeight="1">
      <c r="A41" s="532">
        <v>44564</v>
      </c>
      <c r="B41" s="615">
        <v>85000</v>
      </c>
      <c r="C41" s="615">
        <f t="shared" si="2"/>
        <v>87584.931506849316</v>
      </c>
      <c r="D41" s="532">
        <f t="shared" si="4"/>
        <v>44594</v>
      </c>
      <c r="E41" s="534">
        <v>30</v>
      </c>
      <c r="F41" s="601">
        <v>0.37</v>
      </c>
      <c r="G41" s="536" t="s">
        <v>276</v>
      </c>
    </row>
    <row r="42" spans="1:21" ht="12.75" hidden="1" customHeight="1">
      <c r="A42" s="532">
        <v>44564</v>
      </c>
      <c r="B42" s="615">
        <v>29400</v>
      </c>
      <c r="C42" s="615">
        <f t="shared" si="2"/>
        <v>30294.082191780821</v>
      </c>
      <c r="D42" s="532">
        <f t="shared" si="4"/>
        <v>44594</v>
      </c>
      <c r="E42" s="534">
        <v>30</v>
      </c>
      <c r="F42" s="601">
        <v>0.37</v>
      </c>
      <c r="G42" s="536" t="s">
        <v>697</v>
      </c>
    </row>
    <row r="43" spans="1:21" ht="12.75" hidden="1" customHeight="1">
      <c r="A43" s="532">
        <v>44564</v>
      </c>
      <c r="B43" s="615">
        <v>150000</v>
      </c>
      <c r="C43" s="615">
        <f t="shared" si="2"/>
        <v>154561.64383561644</v>
      </c>
      <c r="D43" s="532">
        <f t="shared" si="4"/>
        <v>44594</v>
      </c>
      <c r="E43" s="534">
        <v>30</v>
      </c>
      <c r="F43" s="601">
        <v>0.37</v>
      </c>
      <c r="G43" s="536" t="s">
        <v>540</v>
      </c>
      <c r="H43">
        <f>SUM(C43:C43)</f>
        <v>154561.64383561644</v>
      </c>
    </row>
    <row r="44" spans="1:21" ht="12.75" hidden="1" customHeight="1">
      <c r="A44" s="532">
        <v>44564</v>
      </c>
      <c r="B44" s="615">
        <v>18500</v>
      </c>
      <c r="C44" s="615">
        <f t="shared" si="2"/>
        <v>19062.602739726026</v>
      </c>
      <c r="D44" s="532">
        <f t="shared" si="4"/>
        <v>44594</v>
      </c>
      <c r="E44" s="534">
        <v>30</v>
      </c>
      <c r="F44" s="601">
        <v>0.37</v>
      </c>
      <c r="G44" s="536" t="s">
        <v>696</v>
      </c>
      <c r="U44">
        <v>49314</v>
      </c>
    </row>
    <row r="45" spans="1:21" ht="12.75" hidden="1" customHeight="1">
      <c r="A45" s="532">
        <v>44566</v>
      </c>
      <c r="B45" s="615">
        <v>26900</v>
      </c>
      <c r="C45" s="615">
        <f t="shared" si="2"/>
        <v>27718.054794520547</v>
      </c>
      <c r="D45" s="532">
        <f t="shared" si="4"/>
        <v>44596</v>
      </c>
      <c r="E45" s="534">
        <v>30</v>
      </c>
      <c r="F45" s="601">
        <v>0.37</v>
      </c>
      <c r="G45" s="536" t="s">
        <v>697</v>
      </c>
    </row>
    <row r="46" spans="1:21" ht="12.75" hidden="1" customHeight="1">
      <c r="A46" s="532">
        <v>44566</v>
      </c>
      <c r="B46" s="615">
        <v>25000</v>
      </c>
      <c r="C46" s="615">
        <f t="shared" si="2"/>
        <v>25760.273972602739</v>
      </c>
      <c r="D46" s="532">
        <f t="shared" si="4"/>
        <v>44596</v>
      </c>
      <c r="E46" s="534">
        <v>30</v>
      </c>
      <c r="F46" s="601">
        <v>0.37</v>
      </c>
      <c r="G46" s="536" t="s">
        <v>695</v>
      </c>
    </row>
    <row r="47" spans="1:21" ht="12.75" customHeight="1">
      <c r="A47" s="532">
        <v>44573</v>
      </c>
      <c r="B47" s="615">
        <v>160000</v>
      </c>
      <c r="C47" s="615">
        <f t="shared" si="2"/>
        <v>165128.76712328766</v>
      </c>
      <c r="D47" s="532">
        <f t="shared" si="4"/>
        <v>44603</v>
      </c>
      <c r="E47" s="534">
        <v>30</v>
      </c>
      <c r="F47" s="601">
        <v>0.39</v>
      </c>
      <c r="G47" s="536" t="s">
        <v>276</v>
      </c>
    </row>
    <row r="48" spans="1:21" ht="12.75" hidden="1" customHeight="1">
      <c r="A48" s="532">
        <v>44573</v>
      </c>
      <c r="B48" s="615">
        <v>53200</v>
      </c>
      <c r="C48" s="615">
        <f t="shared" si="2"/>
        <v>54905.315068493153</v>
      </c>
      <c r="D48" s="532">
        <f t="shared" si="4"/>
        <v>44603</v>
      </c>
      <c r="E48" s="534">
        <v>30</v>
      </c>
      <c r="F48" s="601">
        <v>0.39</v>
      </c>
      <c r="G48" s="536" t="s">
        <v>697</v>
      </c>
    </row>
    <row r="49" spans="1:21" ht="12.75" customHeight="1">
      <c r="A49" s="532">
        <v>44574</v>
      </c>
      <c r="B49" s="615">
        <v>18000</v>
      </c>
      <c r="C49" s="615">
        <f t="shared" si="2"/>
        <v>18615.452054794521</v>
      </c>
      <c r="D49" s="532">
        <f t="shared" si="4"/>
        <v>44606</v>
      </c>
      <c r="E49" s="534">
        <v>32</v>
      </c>
      <c r="F49" s="601">
        <v>0.39</v>
      </c>
      <c r="G49" s="536" t="s">
        <v>276</v>
      </c>
      <c r="U49">
        <v>49314</v>
      </c>
    </row>
    <row r="50" spans="1:21" ht="12.75" hidden="1" customHeight="1">
      <c r="A50" s="532">
        <v>44574</v>
      </c>
      <c r="B50" s="615">
        <v>56000</v>
      </c>
      <c r="C50" s="615">
        <f t="shared" si="2"/>
        <v>57914.739726027394</v>
      </c>
      <c r="D50" s="532">
        <f t="shared" si="4"/>
        <v>44606</v>
      </c>
      <c r="E50" s="534">
        <v>32</v>
      </c>
      <c r="F50" s="601">
        <v>0.39</v>
      </c>
      <c r="G50" s="536" t="s">
        <v>695</v>
      </c>
    </row>
    <row r="51" spans="1:21" ht="12.75" hidden="1" customHeight="1">
      <c r="A51" s="532">
        <v>44575</v>
      </c>
      <c r="B51" s="615">
        <v>5000</v>
      </c>
      <c r="C51" s="615">
        <f t="shared" si="2"/>
        <v>5165.6164383561645</v>
      </c>
      <c r="D51" s="532">
        <f t="shared" si="4"/>
        <v>44606</v>
      </c>
      <c r="E51" s="534">
        <v>31</v>
      </c>
      <c r="F51" s="601">
        <v>0.39</v>
      </c>
      <c r="G51" s="536" t="s">
        <v>120</v>
      </c>
    </row>
    <row r="52" spans="1:21" ht="12.75" hidden="1" customHeight="1">
      <c r="A52" s="532">
        <v>44578</v>
      </c>
      <c r="B52" s="615">
        <v>79700</v>
      </c>
      <c r="C52" s="615">
        <f t="shared" si="2"/>
        <v>82254.767123287675</v>
      </c>
      <c r="D52" s="532">
        <f t="shared" si="4"/>
        <v>44608</v>
      </c>
      <c r="E52" s="534">
        <v>30</v>
      </c>
      <c r="F52" s="601">
        <v>0.39</v>
      </c>
      <c r="G52" s="536" t="s">
        <v>680</v>
      </c>
    </row>
    <row r="53" spans="1:21" ht="12.75" hidden="1" customHeight="1">
      <c r="A53" s="532">
        <v>44578</v>
      </c>
      <c r="B53" s="615">
        <v>124200</v>
      </c>
      <c r="C53" s="615">
        <f t="shared" si="2"/>
        <v>128181.20547945205</v>
      </c>
      <c r="D53" s="532">
        <f t="shared" si="4"/>
        <v>44608</v>
      </c>
      <c r="E53" s="534">
        <v>30</v>
      </c>
      <c r="F53" s="601">
        <v>0.39</v>
      </c>
      <c r="G53" s="536" t="s">
        <v>695</v>
      </c>
      <c r="U53">
        <v>49314</v>
      </c>
    </row>
    <row r="54" spans="1:21" ht="12.75" hidden="1" customHeight="1">
      <c r="A54" s="532">
        <v>44578</v>
      </c>
      <c r="B54" s="615">
        <v>19100</v>
      </c>
      <c r="C54" s="615">
        <f t="shared" si="2"/>
        <v>19712.246575342466</v>
      </c>
      <c r="D54" s="532">
        <f t="shared" si="4"/>
        <v>44608</v>
      </c>
      <c r="E54" s="534">
        <v>30</v>
      </c>
      <c r="F54" s="601">
        <v>0.39</v>
      </c>
      <c r="G54" s="536" t="s">
        <v>697</v>
      </c>
    </row>
    <row r="55" spans="1:21" ht="12.75" hidden="1" customHeight="1">
      <c r="A55" s="532">
        <v>44580</v>
      </c>
      <c r="B55" s="615">
        <v>61000</v>
      </c>
      <c r="C55" s="615">
        <f t="shared" si="2"/>
        <v>62955.342465753427</v>
      </c>
      <c r="D55" s="532">
        <f t="shared" si="4"/>
        <v>44610</v>
      </c>
      <c r="E55" s="534">
        <v>30</v>
      </c>
      <c r="F55" s="601">
        <v>0.39</v>
      </c>
      <c r="G55" s="536" t="s">
        <v>695</v>
      </c>
      <c r="H55">
        <f>SUM(C55:C55)</f>
        <v>62955.342465753427</v>
      </c>
    </row>
    <row r="56" spans="1:21" ht="12.75" customHeight="1">
      <c r="A56" s="532">
        <v>44575</v>
      </c>
      <c r="B56" s="615">
        <v>65000</v>
      </c>
      <c r="C56" s="615">
        <f t="shared" si="2"/>
        <v>73841.859999999986</v>
      </c>
      <c r="D56" s="532">
        <f t="shared" si="4"/>
        <v>44669</v>
      </c>
      <c r="E56" s="534">
        <v>94</v>
      </c>
      <c r="F56" s="601">
        <v>0.52819621931260186</v>
      </c>
      <c r="G56" s="536" t="s">
        <v>686</v>
      </c>
    </row>
    <row r="57" spans="1:21" ht="12.75" hidden="1" customHeight="1">
      <c r="A57" s="532">
        <v>44575</v>
      </c>
      <c r="B57" s="615">
        <v>48800</v>
      </c>
      <c r="C57" s="615">
        <f t="shared" si="2"/>
        <v>55167.919999999991</v>
      </c>
      <c r="D57" s="532">
        <f t="shared" si="4"/>
        <v>44669</v>
      </c>
      <c r="E57" s="534">
        <v>94</v>
      </c>
      <c r="F57" s="601">
        <v>0.5066905301709097</v>
      </c>
      <c r="G57" s="536" t="s">
        <v>699</v>
      </c>
    </row>
    <row r="58" spans="1:21" ht="12.75" hidden="1" customHeight="1">
      <c r="A58" s="532">
        <v>44581</v>
      </c>
      <c r="B58" s="615">
        <v>120000</v>
      </c>
      <c r="C58" s="615">
        <f t="shared" si="2"/>
        <v>124103.01369863014</v>
      </c>
      <c r="D58" s="532">
        <f t="shared" si="4"/>
        <v>44613</v>
      </c>
      <c r="E58" s="534">
        <v>32</v>
      </c>
      <c r="F58" s="601">
        <v>0.39</v>
      </c>
      <c r="G58" s="536" t="s">
        <v>540</v>
      </c>
      <c r="H58">
        <f>SUM(C58:C58)</f>
        <v>124103.01369863014</v>
      </c>
    </row>
    <row r="59" spans="1:21" ht="12.75" hidden="1" customHeight="1">
      <c r="A59" s="532">
        <v>44581</v>
      </c>
      <c r="B59" s="615">
        <v>55000</v>
      </c>
      <c r="C59" s="615">
        <f t="shared" si="2"/>
        <v>56880.547945205479</v>
      </c>
      <c r="D59" s="532">
        <f t="shared" si="4"/>
        <v>44613</v>
      </c>
      <c r="E59" s="534">
        <v>32</v>
      </c>
      <c r="F59" s="601">
        <v>0.39</v>
      </c>
      <c r="G59" s="536" t="s">
        <v>540</v>
      </c>
    </row>
    <row r="60" spans="1:21" ht="12.75" hidden="1" customHeight="1">
      <c r="A60" s="532">
        <v>44585</v>
      </c>
      <c r="B60" s="615">
        <v>9300</v>
      </c>
      <c r="C60" s="615">
        <f t="shared" si="2"/>
        <v>9598.1095890410961</v>
      </c>
      <c r="D60" s="532">
        <f t="shared" si="4"/>
        <v>44615</v>
      </c>
      <c r="E60" s="534">
        <v>30</v>
      </c>
      <c r="F60" s="601">
        <v>0.39</v>
      </c>
      <c r="G60" s="536" t="s">
        <v>697</v>
      </c>
    </row>
    <row r="61" spans="1:21" ht="12.75" hidden="1" customHeight="1">
      <c r="A61" s="532">
        <v>44585</v>
      </c>
      <c r="B61" s="615">
        <v>54000</v>
      </c>
      <c r="C61" s="615">
        <f t="shared" si="2"/>
        <v>55730.95890410959</v>
      </c>
      <c r="D61" s="532">
        <f t="shared" si="4"/>
        <v>44615</v>
      </c>
      <c r="E61" s="534">
        <v>30</v>
      </c>
      <c r="F61" s="601">
        <v>0.39</v>
      </c>
      <c r="G61" s="536" t="s">
        <v>695</v>
      </c>
    </row>
    <row r="62" spans="1:21" ht="12.75" hidden="1" customHeight="1">
      <c r="A62" s="532">
        <v>44585</v>
      </c>
      <c r="B62" s="615">
        <v>20000</v>
      </c>
      <c r="C62" s="615">
        <f t="shared" si="2"/>
        <v>20641.095890410958</v>
      </c>
      <c r="D62" s="532">
        <f t="shared" si="4"/>
        <v>44615</v>
      </c>
      <c r="E62" s="534">
        <v>30</v>
      </c>
      <c r="F62" s="601">
        <v>0.39</v>
      </c>
      <c r="G62" s="536" t="s">
        <v>680</v>
      </c>
      <c r="H62">
        <f>SUM(C62:C62)</f>
        <v>20641.095890410958</v>
      </c>
    </row>
    <row r="63" spans="1:21" ht="12.75" hidden="1" customHeight="1">
      <c r="A63" s="532">
        <v>44580</v>
      </c>
      <c r="B63" s="615">
        <v>159000</v>
      </c>
      <c r="C63" s="615">
        <f t="shared" si="2"/>
        <v>164096.71232876711</v>
      </c>
      <c r="D63" s="532">
        <f t="shared" si="4"/>
        <v>44610</v>
      </c>
      <c r="E63" s="534">
        <v>30</v>
      </c>
      <c r="F63" s="601">
        <v>0.39</v>
      </c>
      <c r="G63" s="536" t="s">
        <v>696</v>
      </c>
      <c r="H63">
        <f>SUM(C63:C63)</f>
        <v>164096.71232876711</v>
      </c>
    </row>
    <row r="64" spans="1:21" ht="12.75" customHeight="1">
      <c r="A64" s="532">
        <v>44580</v>
      </c>
      <c r="B64" s="615">
        <v>51000</v>
      </c>
      <c r="C64" s="615">
        <f t="shared" si="2"/>
        <v>52634.794520547948</v>
      </c>
      <c r="D64" s="532">
        <f t="shared" si="4"/>
        <v>44610</v>
      </c>
      <c r="E64" s="534">
        <v>30</v>
      </c>
      <c r="F64" s="601">
        <v>0.39</v>
      </c>
      <c r="G64" s="536" t="s">
        <v>276</v>
      </c>
    </row>
    <row r="65" spans="1:8" ht="12.75" hidden="1" customHeight="1">
      <c r="A65" s="532">
        <v>44587</v>
      </c>
      <c r="B65" s="615">
        <v>295500</v>
      </c>
      <c r="C65" s="615">
        <f t="shared" si="2"/>
        <v>304972.19178082194</v>
      </c>
      <c r="D65" s="532">
        <f t="shared" si="4"/>
        <v>44617</v>
      </c>
      <c r="E65" s="534">
        <v>30</v>
      </c>
      <c r="F65" s="601">
        <v>0.39</v>
      </c>
      <c r="G65" s="536" t="s">
        <v>695</v>
      </c>
    </row>
    <row r="66" spans="1:8" ht="12.75" hidden="1" customHeight="1">
      <c r="A66" s="532">
        <v>44587</v>
      </c>
      <c r="B66" s="615">
        <v>6600</v>
      </c>
      <c r="C66" s="615">
        <f t="shared" si="2"/>
        <v>6811.5616438356165</v>
      </c>
      <c r="D66" s="532">
        <f t="shared" si="4"/>
        <v>44617</v>
      </c>
      <c r="E66" s="534">
        <v>30</v>
      </c>
      <c r="F66" s="601">
        <v>0.39</v>
      </c>
      <c r="G66" s="536" t="s">
        <v>680</v>
      </c>
    </row>
    <row r="67" spans="1:8" ht="12.75" customHeight="1">
      <c r="A67" s="532">
        <v>44585</v>
      </c>
      <c r="B67" s="615">
        <v>20000</v>
      </c>
      <c r="C67" s="615">
        <f t="shared" si="2"/>
        <v>20641.095890410958</v>
      </c>
      <c r="D67" s="532">
        <f t="shared" si="4"/>
        <v>44615</v>
      </c>
      <c r="E67" s="534">
        <v>30</v>
      </c>
      <c r="F67" s="601">
        <v>0.39</v>
      </c>
      <c r="G67" s="536" t="s">
        <v>276</v>
      </c>
    </row>
    <row r="68" spans="1:8" ht="12.75" hidden="1" customHeight="1">
      <c r="A68" s="532">
        <v>44587</v>
      </c>
      <c r="B68" s="615">
        <v>52600</v>
      </c>
      <c r="C68" s="615">
        <f t="shared" ref="C68:C131" si="5">B68+(B68*F68/365*E68)*1</f>
        <v>54286.082191780821</v>
      </c>
      <c r="D68" s="532">
        <f t="shared" ref="D68:D99" si="6">+A68+E68</f>
        <v>44617</v>
      </c>
      <c r="E68" s="534">
        <v>30</v>
      </c>
      <c r="F68" s="601">
        <v>0.39</v>
      </c>
      <c r="G68" s="536" t="s">
        <v>697</v>
      </c>
    </row>
    <row r="69" spans="1:8" ht="12.75" hidden="1" customHeight="1">
      <c r="A69" s="532">
        <v>44585</v>
      </c>
      <c r="B69" s="615">
        <v>8800</v>
      </c>
      <c r="C69" s="615">
        <f t="shared" si="5"/>
        <v>9082.0821917808225</v>
      </c>
      <c r="D69" s="532">
        <f t="shared" si="6"/>
        <v>44615</v>
      </c>
      <c r="E69" s="534">
        <v>30</v>
      </c>
      <c r="F69" s="601">
        <v>0.39</v>
      </c>
      <c r="G69" s="536" t="s">
        <v>696</v>
      </c>
    </row>
    <row r="70" spans="1:8" ht="12.75" hidden="1" customHeight="1">
      <c r="A70" s="532">
        <v>44587</v>
      </c>
      <c r="B70" s="615">
        <v>70000</v>
      </c>
      <c r="C70" s="615">
        <f t="shared" si="5"/>
        <v>72243.835616438359</v>
      </c>
      <c r="D70" s="532">
        <f t="shared" si="6"/>
        <v>44617</v>
      </c>
      <c r="E70" s="534">
        <v>30</v>
      </c>
      <c r="F70" s="601">
        <v>0.39</v>
      </c>
      <c r="G70" s="536" t="s">
        <v>540</v>
      </c>
    </row>
    <row r="71" spans="1:8" ht="12.75" hidden="1" customHeight="1">
      <c r="A71" s="532">
        <v>44587</v>
      </c>
      <c r="B71" s="615">
        <v>150000</v>
      </c>
      <c r="C71" s="615">
        <f t="shared" si="5"/>
        <v>154808.21917808219</v>
      </c>
      <c r="D71" s="532">
        <f t="shared" si="6"/>
        <v>44617</v>
      </c>
      <c r="E71" s="534">
        <v>30</v>
      </c>
      <c r="F71" s="601">
        <v>0.39</v>
      </c>
      <c r="G71" s="536" t="s">
        <v>120</v>
      </c>
    </row>
    <row r="72" spans="1:8" ht="12.75" hidden="1" customHeight="1">
      <c r="A72" s="532">
        <v>44589</v>
      </c>
      <c r="B72" s="615">
        <v>17400</v>
      </c>
      <c r="C72" s="615">
        <f t="shared" si="5"/>
        <v>18013.528767123287</v>
      </c>
      <c r="D72" s="532">
        <f t="shared" si="6"/>
        <v>44622</v>
      </c>
      <c r="E72" s="534">
        <v>33</v>
      </c>
      <c r="F72" s="601">
        <v>0.39</v>
      </c>
      <c r="G72" s="536" t="s">
        <v>695</v>
      </c>
    </row>
    <row r="73" spans="1:8" ht="12.75" customHeight="1">
      <c r="A73" s="532">
        <v>44587</v>
      </c>
      <c r="B73" s="615">
        <v>144000</v>
      </c>
      <c r="C73" s="615">
        <f t="shared" si="5"/>
        <v>148615.89041095891</v>
      </c>
      <c r="D73" s="532">
        <f t="shared" si="6"/>
        <v>44617</v>
      </c>
      <c r="E73" s="534">
        <v>30</v>
      </c>
      <c r="F73" s="601">
        <v>0.39</v>
      </c>
      <c r="G73" s="536" t="s">
        <v>276</v>
      </c>
    </row>
    <row r="74" spans="1:8" ht="12.75" hidden="1" customHeight="1">
      <c r="A74" s="532">
        <v>44589</v>
      </c>
      <c r="B74" s="615">
        <v>104000</v>
      </c>
      <c r="C74" s="615">
        <f t="shared" si="5"/>
        <v>107667.06849315068</v>
      </c>
      <c r="D74" s="532">
        <f t="shared" si="6"/>
        <v>44622</v>
      </c>
      <c r="E74" s="534">
        <v>33</v>
      </c>
      <c r="F74" s="601">
        <v>0.39</v>
      </c>
      <c r="G74" s="536" t="s">
        <v>120</v>
      </c>
    </row>
    <row r="75" spans="1:8" ht="12.75" hidden="1" customHeight="1">
      <c r="A75" s="532">
        <v>44592</v>
      </c>
      <c r="B75" s="615">
        <v>165000</v>
      </c>
      <c r="C75" s="615">
        <f t="shared" si="5"/>
        <v>170289.0410958904</v>
      </c>
      <c r="D75" s="532">
        <f t="shared" si="6"/>
        <v>44622</v>
      </c>
      <c r="E75" s="534">
        <v>30</v>
      </c>
      <c r="F75" s="601">
        <v>0.39</v>
      </c>
      <c r="G75" s="536" t="s">
        <v>695</v>
      </c>
    </row>
    <row r="76" spans="1:8" ht="12.75" hidden="1" customHeight="1">
      <c r="A76" s="532">
        <v>44592</v>
      </c>
      <c r="B76" s="615">
        <v>67500</v>
      </c>
      <c r="C76" s="615">
        <f t="shared" si="5"/>
        <v>69663.698630136991</v>
      </c>
      <c r="D76" s="532">
        <f t="shared" si="6"/>
        <v>44622</v>
      </c>
      <c r="E76" s="534">
        <v>30</v>
      </c>
      <c r="F76" s="601">
        <v>0.39</v>
      </c>
      <c r="G76" s="536" t="s">
        <v>680</v>
      </c>
    </row>
    <row r="77" spans="1:8" ht="12.75" customHeight="1">
      <c r="A77" s="532">
        <v>44589</v>
      </c>
      <c r="B77" s="615">
        <v>180000</v>
      </c>
      <c r="C77" s="615">
        <f t="shared" si="5"/>
        <v>186346.84931506848</v>
      </c>
      <c r="D77" s="532">
        <f t="shared" si="6"/>
        <v>44622</v>
      </c>
      <c r="E77" s="534">
        <v>33</v>
      </c>
      <c r="F77" s="601">
        <v>0.39</v>
      </c>
      <c r="G77" s="536" t="s">
        <v>276</v>
      </c>
    </row>
    <row r="78" spans="1:8" ht="12.75" hidden="1" customHeight="1">
      <c r="A78" s="532">
        <v>44593</v>
      </c>
      <c r="B78" s="615">
        <v>15000</v>
      </c>
      <c r="C78" s="615">
        <f t="shared" si="5"/>
        <v>15496.849315068494</v>
      </c>
      <c r="D78" s="532">
        <f t="shared" si="6"/>
        <v>44624</v>
      </c>
      <c r="E78" s="534">
        <v>31</v>
      </c>
      <c r="F78" s="601">
        <v>0.39</v>
      </c>
      <c r="G78" s="536" t="s">
        <v>697</v>
      </c>
      <c r="H78">
        <f>SUM(C78:C78)</f>
        <v>15496.849315068494</v>
      </c>
    </row>
    <row r="79" spans="1:8" ht="12.75" hidden="1" customHeight="1">
      <c r="A79" s="532">
        <v>44594</v>
      </c>
      <c r="B79" s="615">
        <v>18700</v>
      </c>
      <c r="C79" s="615">
        <f t="shared" si="5"/>
        <v>19299.424657534248</v>
      </c>
      <c r="D79" s="532">
        <f t="shared" si="6"/>
        <v>44624</v>
      </c>
      <c r="E79" s="534">
        <v>30</v>
      </c>
      <c r="F79" s="601">
        <v>0.39</v>
      </c>
      <c r="G79" s="536" t="s">
        <v>695</v>
      </c>
      <c r="H79">
        <f>SUM(C79:C79)</f>
        <v>19299.424657534248</v>
      </c>
    </row>
    <row r="80" spans="1:8" ht="12.75" hidden="1" customHeight="1">
      <c r="A80" s="532">
        <v>44594</v>
      </c>
      <c r="B80" s="615">
        <v>25000</v>
      </c>
      <c r="C80" s="615">
        <f t="shared" si="5"/>
        <v>25801.369863013701</v>
      </c>
      <c r="D80" s="532">
        <f t="shared" si="6"/>
        <v>44624</v>
      </c>
      <c r="E80" s="534">
        <v>30</v>
      </c>
      <c r="F80" s="601">
        <v>0.39</v>
      </c>
      <c r="G80" s="536" t="s">
        <v>695</v>
      </c>
    </row>
    <row r="81" spans="1:8" ht="12.75" customHeight="1">
      <c r="A81" s="532">
        <v>44592</v>
      </c>
      <c r="B81" s="615">
        <v>800000</v>
      </c>
      <c r="C81" s="615">
        <f t="shared" si="5"/>
        <v>825643.83561643842</v>
      </c>
      <c r="D81" s="532">
        <f t="shared" si="6"/>
        <v>44622</v>
      </c>
      <c r="E81" s="534">
        <v>30</v>
      </c>
      <c r="F81" s="601">
        <v>0.39</v>
      </c>
      <c r="G81" s="536" t="s">
        <v>276</v>
      </c>
    </row>
    <row r="82" spans="1:8" ht="12.75" hidden="1" customHeight="1">
      <c r="A82" s="532">
        <v>44594</v>
      </c>
      <c r="B82" s="615">
        <v>30300</v>
      </c>
      <c r="C82" s="615">
        <f t="shared" si="5"/>
        <v>31271.260273972603</v>
      </c>
      <c r="D82" s="532">
        <f t="shared" si="6"/>
        <v>44624</v>
      </c>
      <c r="E82" s="534">
        <v>30</v>
      </c>
      <c r="F82" s="601">
        <v>0.39</v>
      </c>
      <c r="G82" s="536" t="s">
        <v>697</v>
      </c>
    </row>
    <row r="83" spans="1:8" ht="12.75" hidden="1" customHeight="1">
      <c r="A83" s="532">
        <v>44594</v>
      </c>
      <c r="B83" s="615">
        <v>220000</v>
      </c>
      <c r="C83" s="615">
        <f t="shared" si="5"/>
        <v>227052.05479452055</v>
      </c>
      <c r="D83" s="532">
        <f t="shared" si="6"/>
        <v>44624</v>
      </c>
      <c r="E83" s="534">
        <v>30</v>
      </c>
      <c r="F83" s="601">
        <v>0.39</v>
      </c>
      <c r="G83" s="536" t="s">
        <v>540</v>
      </c>
    </row>
    <row r="84" spans="1:8" ht="12.75" hidden="1" customHeight="1">
      <c r="A84" s="532">
        <v>44596</v>
      </c>
      <c r="B84" s="615">
        <v>22500</v>
      </c>
      <c r="C84" s="615">
        <f t="shared" si="5"/>
        <v>23245.273972602739</v>
      </c>
      <c r="D84" s="532">
        <f t="shared" si="6"/>
        <v>44627</v>
      </c>
      <c r="E84" s="534">
        <v>31</v>
      </c>
      <c r="F84" s="601">
        <v>0.39</v>
      </c>
      <c r="G84" s="536" t="s">
        <v>697</v>
      </c>
    </row>
    <row r="85" spans="1:8" ht="12.75" hidden="1" customHeight="1">
      <c r="A85" s="532">
        <v>44601</v>
      </c>
      <c r="B85" s="615">
        <v>9500</v>
      </c>
      <c r="C85" s="615">
        <f t="shared" si="5"/>
        <v>9804.5205479452052</v>
      </c>
      <c r="D85" s="532">
        <f t="shared" si="6"/>
        <v>44631</v>
      </c>
      <c r="E85" s="534">
        <v>30</v>
      </c>
      <c r="F85" s="601">
        <v>0.39</v>
      </c>
      <c r="G85" s="536" t="s">
        <v>697</v>
      </c>
    </row>
    <row r="86" spans="1:8" ht="12.75" customHeight="1">
      <c r="A86" s="532">
        <v>44594</v>
      </c>
      <c r="B86" s="615">
        <v>85000</v>
      </c>
      <c r="C86" s="615">
        <f t="shared" si="5"/>
        <v>87724.65753424658</v>
      </c>
      <c r="D86" s="532">
        <f t="shared" si="6"/>
        <v>44624</v>
      </c>
      <c r="E86" s="534">
        <v>30</v>
      </c>
      <c r="F86" s="601">
        <v>0.39</v>
      </c>
      <c r="G86" s="536" t="s">
        <v>276</v>
      </c>
      <c r="H86">
        <f>SUM(C86:C86)</f>
        <v>87724.65753424658</v>
      </c>
    </row>
    <row r="87" spans="1:8" ht="12.75" hidden="1" customHeight="1">
      <c r="A87" s="532">
        <v>44587</v>
      </c>
      <c r="B87" s="615">
        <v>192100</v>
      </c>
      <c r="C87" s="615">
        <f t="shared" si="5"/>
        <v>198257.72602739726</v>
      </c>
      <c r="D87" s="532">
        <f t="shared" si="6"/>
        <v>44617</v>
      </c>
      <c r="E87" s="534">
        <v>30</v>
      </c>
      <c r="F87" s="601">
        <v>0.39</v>
      </c>
      <c r="G87" s="536" t="s">
        <v>696</v>
      </c>
    </row>
    <row r="88" spans="1:8" ht="12.75" hidden="1" customHeight="1">
      <c r="A88" s="532">
        <v>44602</v>
      </c>
      <c r="B88" s="615">
        <v>18900</v>
      </c>
      <c r="C88" s="615">
        <f t="shared" si="5"/>
        <v>19546.224657534247</v>
      </c>
      <c r="D88" s="532">
        <f t="shared" si="6"/>
        <v>44634</v>
      </c>
      <c r="E88" s="534">
        <v>32</v>
      </c>
      <c r="F88" s="601">
        <v>0.39</v>
      </c>
      <c r="G88" s="536" t="s">
        <v>696</v>
      </c>
      <c r="H88">
        <f>SUM(C88:C88)</f>
        <v>19546.224657534247</v>
      </c>
    </row>
    <row r="89" spans="1:8" ht="12.75" customHeight="1">
      <c r="A89" s="532">
        <v>44602</v>
      </c>
      <c r="B89" s="615">
        <v>100000</v>
      </c>
      <c r="C89" s="615">
        <f t="shared" si="5"/>
        <v>103419.17808219178</v>
      </c>
      <c r="D89" s="532">
        <f t="shared" si="6"/>
        <v>44634</v>
      </c>
      <c r="E89" s="534">
        <v>32</v>
      </c>
      <c r="F89" s="601">
        <v>0.39</v>
      </c>
      <c r="G89" s="536" t="s">
        <v>276</v>
      </c>
    </row>
    <row r="90" spans="1:8" ht="12.75" hidden="1" customHeight="1">
      <c r="A90" s="532">
        <v>44603</v>
      </c>
      <c r="B90" s="615">
        <v>55000</v>
      </c>
      <c r="C90" s="615">
        <f t="shared" si="5"/>
        <v>56821.780821917811</v>
      </c>
      <c r="D90" s="532">
        <f t="shared" si="6"/>
        <v>44634</v>
      </c>
      <c r="E90" s="534">
        <v>31</v>
      </c>
      <c r="F90" s="601">
        <v>0.39</v>
      </c>
      <c r="G90" s="536" t="s">
        <v>697</v>
      </c>
      <c r="H90">
        <f>SUM(C90:C90)</f>
        <v>56821.780821917811</v>
      </c>
    </row>
    <row r="91" spans="1:8" ht="12.75" hidden="1" customHeight="1">
      <c r="A91" s="532">
        <v>44603</v>
      </c>
      <c r="B91" s="615">
        <v>20000</v>
      </c>
      <c r="C91" s="615">
        <f t="shared" si="5"/>
        <v>20662.465753424658</v>
      </c>
      <c r="D91" s="532">
        <f t="shared" si="6"/>
        <v>44634</v>
      </c>
      <c r="E91" s="534">
        <v>31</v>
      </c>
      <c r="F91" s="601">
        <v>0.39</v>
      </c>
      <c r="G91" s="536" t="s">
        <v>120</v>
      </c>
    </row>
    <row r="92" spans="1:8" ht="12.75" hidden="1" customHeight="1">
      <c r="A92" s="532">
        <v>44608</v>
      </c>
      <c r="B92" s="615">
        <v>110000</v>
      </c>
      <c r="C92" s="615">
        <f t="shared" si="5"/>
        <v>113526.02739726027</v>
      </c>
      <c r="D92" s="532">
        <f t="shared" si="6"/>
        <v>44638</v>
      </c>
      <c r="E92" s="534">
        <v>30</v>
      </c>
      <c r="F92" s="601">
        <v>0.39</v>
      </c>
      <c r="G92" s="536" t="s">
        <v>695</v>
      </c>
    </row>
    <row r="93" spans="1:8" ht="12.75" hidden="1" customHeight="1">
      <c r="A93" s="532">
        <v>44608</v>
      </c>
      <c r="B93" s="615">
        <v>19800</v>
      </c>
      <c r="C93" s="615">
        <f t="shared" si="5"/>
        <v>20434.68493150685</v>
      </c>
      <c r="D93" s="532">
        <f t="shared" si="6"/>
        <v>44638</v>
      </c>
      <c r="E93" s="534">
        <v>30</v>
      </c>
      <c r="F93" s="601">
        <v>0.39</v>
      </c>
      <c r="G93" s="536" t="s">
        <v>697</v>
      </c>
    </row>
    <row r="94" spans="1:8" ht="12.75" customHeight="1">
      <c r="A94" s="532">
        <v>44603</v>
      </c>
      <c r="B94" s="615">
        <v>140000</v>
      </c>
      <c r="C94" s="615">
        <f t="shared" si="5"/>
        <v>144637.26027397261</v>
      </c>
      <c r="D94" s="532">
        <f t="shared" si="6"/>
        <v>44634</v>
      </c>
      <c r="E94" s="534">
        <v>31</v>
      </c>
      <c r="F94" s="601">
        <v>0.39</v>
      </c>
      <c r="G94" s="536" t="s">
        <v>276</v>
      </c>
    </row>
    <row r="95" spans="1:8" ht="12.75" hidden="1" customHeight="1">
      <c r="A95" s="532">
        <v>44602</v>
      </c>
      <c r="B95" s="615">
        <v>4000</v>
      </c>
      <c r="C95" s="615">
        <f t="shared" si="5"/>
        <v>4136.767123287671</v>
      </c>
      <c r="D95" s="532">
        <f t="shared" si="6"/>
        <v>44634</v>
      </c>
      <c r="E95" s="534">
        <v>32</v>
      </c>
      <c r="F95" s="601">
        <v>0.39</v>
      </c>
      <c r="G95" s="536" t="s">
        <v>696</v>
      </c>
    </row>
    <row r="96" spans="1:8" ht="12.75" hidden="1" customHeight="1">
      <c r="A96" s="532">
        <v>44613</v>
      </c>
      <c r="B96" s="615">
        <v>55000</v>
      </c>
      <c r="C96" s="615">
        <f t="shared" si="5"/>
        <v>56876.027397260274</v>
      </c>
      <c r="D96" s="532">
        <f t="shared" si="6"/>
        <v>44643</v>
      </c>
      <c r="E96" s="534">
        <v>30</v>
      </c>
      <c r="F96" s="601">
        <v>0.41499999999999998</v>
      </c>
      <c r="G96" s="536" t="s">
        <v>540</v>
      </c>
    </row>
    <row r="97" spans="1:8" ht="12.75" hidden="1" customHeight="1">
      <c r="A97" s="532">
        <v>44613</v>
      </c>
      <c r="B97" s="615">
        <v>124000</v>
      </c>
      <c r="C97" s="615">
        <f t="shared" si="5"/>
        <v>128229.5890410959</v>
      </c>
      <c r="D97" s="532">
        <f t="shared" si="6"/>
        <v>44643</v>
      </c>
      <c r="E97" s="534">
        <v>30</v>
      </c>
      <c r="F97" s="601">
        <v>0.41499999999999998</v>
      </c>
      <c r="G97" s="536" t="s">
        <v>540</v>
      </c>
    </row>
    <row r="98" spans="1:8" ht="12.75" customHeight="1">
      <c r="A98" s="532">
        <v>44610</v>
      </c>
      <c r="B98" s="615">
        <v>82000</v>
      </c>
      <c r="C98" s="615">
        <f t="shared" si="5"/>
        <v>84890.219178082189</v>
      </c>
      <c r="D98" s="532">
        <f t="shared" si="6"/>
        <v>44641</v>
      </c>
      <c r="E98" s="534">
        <v>31</v>
      </c>
      <c r="F98" s="601">
        <v>0.41499999999999998</v>
      </c>
      <c r="G98" s="536" t="s">
        <v>276</v>
      </c>
    </row>
    <row r="99" spans="1:8" ht="12.75" hidden="1" customHeight="1">
      <c r="A99" s="532">
        <v>44615</v>
      </c>
      <c r="B99" s="615">
        <v>20600</v>
      </c>
      <c r="C99" s="615">
        <f t="shared" si="5"/>
        <v>21302.657534246577</v>
      </c>
      <c r="D99" s="532">
        <f t="shared" si="6"/>
        <v>44645</v>
      </c>
      <c r="E99" s="534">
        <v>30</v>
      </c>
      <c r="F99" s="601">
        <v>0.41499999999999998</v>
      </c>
      <c r="G99" s="536" t="s">
        <v>680</v>
      </c>
    </row>
    <row r="100" spans="1:8" ht="12.75" hidden="1" customHeight="1">
      <c r="A100" s="532">
        <v>44615</v>
      </c>
      <c r="B100" s="615">
        <v>53400</v>
      </c>
      <c r="C100" s="615">
        <f t="shared" si="5"/>
        <v>55221.452054794521</v>
      </c>
      <c r="D100" s="532">
        <f t="shared" ref="D100:D131" si="7">+A100+E100</f>
        <v>44645</v>
      </c>
      <c r="E100" s="534">
        <v>30</v>
      </c>
      <c r="F100" s="601">
        <v>0.41499999999999998</v>
      </c>
      <c r="G100" s="536" t="s">
        <v>695</v>
      </c>
    </row>
    <row r="101" spans="1:8" ht="12.75" hidden="1" customHeight="1">
      <c r="A101" s="532">
        <v>44610</v>
      </c>
      <c r="B101" s="615">
        <v>20000</v>
      </c>
      <c r="C101" s="615">
        <f t="shared" si="5"/>
        <v>20704.931506849316</v>
      </c>
      <c r="D101" s="532">
        <f t="shared" si="7"/>
        <v>44641</v>
      </c>
      <c r="E101" s="534">
        <v>31</v>
      </c>
      <c r="F101" s="601">
        <v>0.41499999999999998</v>
      </c>
      <c r="G101" s="536" t="s">
        <v>696</v>
      </c>
    </row>
    <row r="102" spans="1:8" ht="12.75" hidden="1" customHeight="1">
      <c r="A102" s="532">
        <v>44615</v>
      </c>
      <c r="B102" s="615">
        <v>4190</v>
      </c>
      <c r="C102" s="615">
        <f t="shared" si="5"/>
        <v>4332.919178082192</v>
      </c>
      <c r="D102" s="532">
        <f t="shared" si="7"/>
        <v>44645</v>
      </c>
      <c r="E102" s="534">
        <v>30</v>
      </c>
      <c r="F102" s="601">
        <v>0.41499999999999998</v>
      </c>
      <c r="G102" s="536" t="s">
        <v>697</v>
      </c>
    </row>
    <row r="103" spans="1:8" ht="12.75" customHeight="1">
      <c r="A103" s="532">
        <v>44615</v>
      </c>
      <c r="B103" s="615">
        <v>20000</v>
      </c>
      <c r="C103" s="615">
        <f t="shared" si="5"/>
        <v>20682.191780821919</v>
      </c>
      <c r="D103" s="532">
        <f t="shared" si="7"/>
        <v>44645</v>
      </c>
      <c r="E103" s="534">
        <v>30</v>
      </c>
      <c r="F103" s="601">
        <v>0.41499999999999998</v>
      </c>
      <c r="G103" s="536" t="s">
        <v>276</v>
      </c>
    </row>
    <row r="104" spans="1:8" ht="12.75" hidden="1" customHeight="1">
      <c r="A104" s="532">
        <v>44617</v>
      </c>
      <c r="B104" s="615">
        <v>6800</v>
      </c>
      <c r="C104" s="615">
        <f t="shared" si="5"/>
        <v>7039.6767123287673</v>
      </c>
      <c r="D104" s="532">
        <f t="shared" si="7"/>
        <v>44648</v>
      </c>
      <c r="E104" s="534">
        <v>31</v>
      </c>
      <c r="F104" s="601">
        <v>0.41499999999999998</v>
      </c>
      <c r="G104" s="536" t="s">
        <v>680</v>
      </c>
    </row>
    <row r="105" spans="1:8" ht="12.75" hidden="1" customHeight="1">
      <c r="A105" s="532">
        <v>44617</v>
      </c>
      <c r="B105" s="615">
        <v>321400</v>
      </c>
      <c r="C105" s="615">
        <f t="shared" si="5"/>
        <v>332728.24931506847</v>
      </c>
      <c r="D105" s="532">
        <f t="shared" si="7"/>
        <v>44648</v>
      </c>
      <c r="E105" s="534">
        <v>31</v>
      </c>
      <c r="F105" s="601">
        <v>0.41499999999999998</v>
      </c>
      <c r="G105" s="536" t="s">
        <v>695</v>
      </c>
    </row>
    <row r="106" spans="1:8" ht="12.75" hidden="1" customHeight="1">
      <c r="A106" s="532">
        <v>44615</v>
      </c>
      <c r="B106" s="615">
        <v>9100</v>
      </c>
      <c r="C106" s="615">
        <f t="shared" si="5"/>
        <v>9410.3972602739723</v>
      </c>
      <c r="D106" s="532">
        <f t="shared" si="7"/>
        <v>44645</v>
      </c>
      <c r="E106" s="534">
        <v>30</v>
      </c>
      <c r="F106" s="601">
        <v>0.41499999999999998</v>
      </c>
      <c r="G106" s="536" t="s">
        <v>696</v>
      </c>
    </row>
    <row r="107" spans="1:8" ht="12.75" hidden="1" customHeight="1">
      <c r="A107" s="532">
        <v>44617</v>
      </c>
      <c r="B107" s="615">
        <v>58700</v>
      </c>
      <c r="C107" s="615">
        <f t="shared" si="5"/>
        <v>60768.97397260274</v>
      </c>
      <c r="D107" s="532">
        <f t="shared" si="7"/>
        <v>44648</v>
      </c>
      <c r="E107" s="534">
        <v>31</v>
      </c>
      <c r="F107" s="601">
        <v>0.41499999999999998</v>
      </c>
      <c r="G107" s="536" t="s">
        <v>697</v>
      </c>
    </row>
    <row r="108" spans="1:8" ht="12.75" hidden="1" customHeight="1">
      <c r="A108" s="532">
        <v>44617</v>
      </c>
      <c r="B108" s="615">
        <v>73000</v>
      </c>
      <c r="C108" s="615">
        <f t="shared" si="5"/>
        <v>75573</v>
      </c>
      <c r="D108" s="532">
        <f t="shared" si="7"/>
        <v>44648</v>
      </c>
      <c r="E108" s="534">
        <v>31</v>
      </c>
      <c r="F108" s="601">
        <v>0.41499999999999998</v>
      </c>
      <c r="G108" s="536" t="s">
        <v>540</v>
      </c>
    </row>
    <row r="109" spans="1:8" ht="12.75" hidden="1" customHeight="1">
      <c r="A109" s="532">
        <v>44617</v>
      </c>
      <c r="B109" s="615">
        <v>155000</v>
      </c>
      <c r="C109" s="615">
        <f t="shared" si="5"/>
        <v>160463.21917808219</v>
      </c>
      <c r="D109" s="532">
        <f t="shared" si="7"/>
        <v>44648</v>
      </c>
      <c r="E109" s="534">
        <v>31</v>
      </c>
      <c r="F109" s="601">
        <v>0.41499999999999998</v>
      </c>
      <c r="G109" s="536" t="s">
        <v>540</v>
      </c>
      <c r="H109">
        <f>SUM(C109:C109)</f>
        <v>160463.21917808219</v>
      </c>
    </row>
    <row r="110" spans="1:8" ht="12.75" hidden="1" customHeight="1">
      <c r="A110" s="532">
        <v>44622</v>
      </c>
      <c r="B110" s="615">
        <v>36700</v>
      </c>
      <c r="C110" s="615">
        <f t="shared" si="5"/>
        <v>37951.821917808222</v>
      </c>
      <c r="D110" s="532">
        <f t="shared" si="7"/>
        <v>44652</v>
      </c>
      <c r="E110" s="534">
        <v>30</v>
      </c>
      <c r="F110" s="601">
        <v>0.41499999999999998</v>
      </c>
      <c r="G110" s="536" t="s">
        <v>680</v>
      </c>
    </row>
    <row r="111" spans="1:8" ht="12.75" hidden="1" customHeight="1">
      <c r="A111" s="532">
        <v>44622</v>
      </c>
      <c r="B111" s="615">
        <v>124300</v>
      </c>
      <c r="C111" s="615">
        <f t="shared" si="5"/>
        <v>128539.82191780822</v>
      </c>
      <c r="D111" s="532">
        <f t="shared" si="7"/>
        <v>44652</v>
      </c>
      <c r="E111" s="534">
        <v>30</v>
      </c>
      <c r="F111" s="601">
        <v>0.41499999999999998</v>
      </c>
      <c r="G111" s="536" t="s">
        <v>695</v>
      </c>
    </row>
    <row r="112" spans="1:8" ht="12.75" customHeight="1">
      <c r="A112" s="532">
        <v>44617</v>
      </c>
      <c r="B112" s="615">
        <v>148000</v>
      </c>
      <c r="C112" s="615">
        <f t="shared" si="5"/>
        <v>153216.49315068492</v>
      </c>
      <c r="D112" s="532">
        <f t="shared" si="7"/>
        <v>44648</v>
      </c>
      <c r="E112" s="534">
        <v>31</v>
      </c>
      <c r="F112" s="601">
        <v>0.41499999999999998</v>
      </c>
      <c r="G112" s="536" t="s">
        <v>276</v>
      </c>
    </row>
    <row r="113" spans="1:8" ht="12.75" hidden="1" customHeight="1">
      <c r="A113" s="532">
        <v>44622</v>
      </c>
      <c r="B113" s="615">
        <v>70000</v>
      </c>
      <c r="C113" s="615">
        <f t="shared" si="5"/>
        <v>72387.671232876717</v>
      </c>
      <c r="D113" s="532">
        <f t="shared" si="7"/>
        <v>44652</v>
      </c>
      <c r="E113" s="534">
        <v>30</v>
      </c>
      <c r="F113" s="601">
        <v>0.41499999999999998</v>
      </c>
      <c r="G113" s="536" t="s">
        <v>540</v>
      </c>
    </row>
    <row r="114" spans="1:8" ht="12.75" hidden="1" customHeight="1">
      <c r="A114" s="532">
        <v>44622</v>
      </c>
      <c r="B114" s="615">
        <v>60000</v>
      </c>
      <c r="C114" s="615">
        <f t="shared" si="5"/>
        <v>62046.575342465752</v>
      </c>
      <c r="D114" s="532">
        <f t="shared" si="7"/>
        <v>44652</v>
      </c>
      <c r="E114" s="534">
        <v>30</v>
      </c>
      <c r="F114" s="601">
        <v>0.41499999999999998</v>
      </c>
      <c r="G114" s="536" t="s">
        <v>120</v>
      </c>
    </row>
    <row r="115" spans="1:8" ht="12.75" hidden="1" customHeight="1">
      <c r="A115" s="532">
        <v>44617</v>
      </c>
      <c r="B115" s="615">
        <v>198300</v>
      </c>
      <c r="C115" s="615">
        <f t="shared" si="5"/>
        <v>205289.39589041096</v>
      </c>
      <c r="D115" s="532">
        <f t="shared" si="7"/>
        <v>44648</v>
      </c>
      <c r="E115" s="534">
        <v>31</v>
      </c>
      <c r="F115" s="601">
        <v>0.41499999999999998</v>
      </c>
      <c r="G115" s="536" t="s">
        <v>696</v>
      </c>
    </row>
    <row r="116" spans="1:8" ht="12.75" hidden="1" customHeight="1">
      <c r="A116" s="532">
        <v>44624</v>
      </c>
      <c r="B116" s="615">
        <v>45000</v>
      </c>
      <c r="C116" s="615">
        <f t="shared" si="5"/>
        <v>46586.095890410958</v>
      </c>
      <c r="D116" s="532">
        <f t="shared" si="7"/>
        <v>44655</v>
      </c>
      <c r="E116" s="534">
        <v>31</v>
      </c>
      <c r="F116" s="601">
        <v>0.41499999999999998</v>
      </c>
      <c r="G116" s="536" t="s">
        <v>695</v>
      </c>
    </row>
    <row r="117" spans="1:8" ht="12.75" customHeight="1">
      <c r="A117" s="532">
        <v>44622</v>
      </c>
      <c r="B117" s="615">
        <v>480000</v>
      </c>
      <c r="C117" s="615">
        <f t="shared" si="5"/>
        <v>496372.60273972602</v>
      </c>
      <c r="D117" s="532">
        <f t="shared" si="7"/>
        <v>44652</v>
      </c>
      <c r="E117" s="534">
        <v>30</v>
      </c>
      <c r="F117" s="601">
        <v>0.41499999999999998</v>
      </c>
      <c r="G117" s="536" t="s">
        <v>276</v>
      </c>
    </row>
    <row r="118" spans="1:8" ht="12.75" hidden="1" customHeight="1">
      <c r="A118" s="532">
        <v>44624</v>
      </c>
      <c r="B118" s="615">
        <v>46800</v>
      </c>
      <c r="C118" s="615">
        <f t="shared" si="5"/>
        <v>48449.539726027397</v>
      </c>
      <c r="D118" s="532">
        <f t="shared" si="7"/>
        <v>44655</v>
      </c>
      <c r="E118" s="534">
        <v>31</v>
      </c>
      <c r="F118" s="601">
        <v>0.41499999999999998</v>
      </c>
      <c r="G118" s="536" t="s">
        <v>697</v>
      </c>
    </row>
    <row r="119" spans="1:8" ht="13" hidden="1">
      <c r="A119" s="532">
        <v>44624</v>
      </c>
      <c r="B119" s="615">
        <v>37000</v>
      </c>
      <c r="C119" s="615">
        <f t="shared" si="5"/>
        <v>38304.123287671231</v>
      </c>
      <c r="D119" s="532">
        <f t="shared" si="7"/>
        <v>44655</v>
      </c>
      <c r="E119" s="534">
        <v>31</v>
      </c>
      <c r="F119" s="601">
        <v>0.41499999999999998</v>
      </c>
      <c r="G119" s="536" t="s">
        <v>553</v>
      </c>
    </row>
    <row r="120" spans="1:8" ht="12.75" hidden="1" customHeight="1">
      <c r="A120" s="532">
        <v>44624</v>
      </c>
      <c r="B120" s="615">
        <v>115000</v>
      </c>
      <c r="C120" s="615">
        <f t="shared" si="5"/>
        <v>119053.35616438356</v>
      </c>
      <c r="D120" s="532">
        <f t="shared" si="7"/>
        <v>44655</v>
      </c>
      <c r="E120" s="534">
        <v>31</v>
      </c>
      <c r="F120" s="601">
        <v>0.41499999999999998</v>
      </c>
      <c r="G120" s="536" t="s">
        <v>540</v>
      </c>
    </row>
    <row r="121" spans="1:8" ht="12.75" customHeight="1">
      <c r="A121" s="532">
        <v>44622</v>
      </c>
      <c r="B121" s="615">
        <v>500000</v>
      </c>
      <c r="C121" s="615">
        <f t="shared" si="5"/>
        <v>590318.42999999993</v>
      </c>
      <c r="D121" s="532">
        <f t="shared" si="7"/>
        <v>44712</v>
      </c>
      <c r="E121" s="534">
        <v>90</v>
      </c>
      <c r="F121" s="601">
        <v>0.73258282111111095</v>
      </c>
      <c r="G121" s="536" t="s">
        <v>686</v>
      </c>
      <c r="H121">
        <f>501232.88+89085.55</f>
        <v>590318.43000000005</v>
      </c>
    </row>
    <row r="122" spans="1:8" ht="12.75" hidden="1" customHeight="1">
      <c r="A122" s="532">
        <v>44631</v>
      </c>
      <c r="B122" s="615">
        <v>28800</v>
      </c>
      <c r="C122" s="615">
        <f t="shared" si="5"/>
        <v>29815.101369863012</v>
      </c>
      <c r="D122" s="532">
        <f t="shared" si="7"/>
        <v>44662</v>
      </c>
      <c r="E122" s="534">
        <v>31</v>
      </c>
      <c r="F122" s="601">
        <v>0.41499999999999998</v>
      </c>
      <c r="G122" s="536" t="s">
        <v>697</v>
      </c>
      <c r="H122">
        <f>SUM(C122:C122)</f>
        <v>29815.101369863012</v>
      </c>
    </row>
    <row r="123" spans="1:8" ht="12.75" customHeight="1">
      <c r="A123" s="532">
        <v>44624</v>
      </c>
      <c r="B123" s="615">
        <v>85000</v>
      </c>
      <c r="C123" s="615">
        <f t="shared" si="5"/>
        <v>87995.95890410959</v>
      </c>
      <c r="D123" s="532">
        <f t="shared" si="7"/>
        <v>44655</v>
      </c>
      <c r="E123" s="534">
        <v>31</v>
      </c>
      <c r="F123" s="601">
        <v>0.41499999999999998</v>
      </c>
      <c r="G123" s="536" t="s">
        <v>276</v>
      </c>
    </row>
    <row r="124" spans="1:8" ht="12.75" hidden="1" customHeight="1">
      <c r="A124" s="532">
        <v>44634</v>
      </c>
      <c r="B124" s="615">
        <v>40000</v>
      </c>
      <c r="C124" s="615">
        <f t="shared" si="5"/>
        <v>41364.383561643837</v>
      </c>
      <c r="D124" s="532">
        <f t="shared" si="7"/>
        <v>44664</v>
      </c>
      <c r="E124" s="534">
        <v>30</v>
      </c>
      <c r="F124" s="601">
        <v>0.41499999999999998</v>
      </c>
      <c r="G124" s="536" t="s">
        <v>120</v>
      </c>
      <c r="H124">
        <f>SUM(C124:C124)</f>
        <v>41364.383561643837</v>
      </c>
    </row>
    <row r="125" spans="1:8" ht="12.75" hidden="1" customHeight="1">
      <c r="A125" s="532">
        <v>44623</v>
      </c>
      <c r="B125" s="615">
        <v>19800</v>
      </c>
      <c r="C125" s="615">
        <f t="shared" si="5"/>
        <v>20520.394520547947</v>
      </c>
      <c r="D125" s="532">
        <f t="shared" si="7"/>
        <v>44655</v>
      </c>
      <c r="E125" s="534">
        <v>32</v>
      </c>
      <c r="F125" s="601">
        <v>0.41499999999999998</v>
      </c>
      <c r="G125" s="536" t="s">
        <v>696</v>
      </c>
    </row>
    <row r="126" spans="1:8" ht="12.75" hidden="1" customHeight="1">
      <c r="A126" s="532">
        <v>44575</v>
      </c>
      <c r="B126" s="615">
        <v>43300</v>
      </c>
      <c r="C126" s="615">
        <f t="shared" si="5"/>
        <v>48949.96</v>
      </c>
      <c r="D126" s="532">
        <f t="shared" si="7"/>
        <v>44669</v>
      </c>
      <c r="E126" s="534">
        <v>94</v>
      </c>
      <c r="F126" s="601">
        <v>0.50666684683799335</v>
      </c>
      <c r="G126" s="536" t="s">
        <v>703</v>
      </c>
    </row>
    <row r="127" spans="1:8" ht="12.75" hidden="1" customHeight="1">
      <c r="A127" s="532">
        <v>44575</v>
      </c>
      <c r="B127" s="615">
        <v>115000</v>
      </c>
      <c r="C127" s="615">
        <f t="shared" si="5"/>
        <v>130006.36</v>
      </c>
      <c r="D127" s="532">
        <f t="shared" si="7"/>
        <v>44669</v>
      </c>
      <c r="E127" s="534">
        <v>94</v>
      </c>
      <c r="F127" s="601">
        <v>0.50669023126734503</v>
      </c>
      <c r="G127" s="536" t="s">
        <v>701</v>
      </c>
    </row>
    <row r="128" spans="1:8" ht="12.75" customHeight="1">
      <c r="A128" s="532">
        <v>44627</v>
      </c>
      <c r="B128" s="615">
        <v>62000</v>
      </c>
      <c r="C128" s="615">
        <f t="shared" si="5"/>
        <v>64114.794520547948</v>
      </c>
      <c r="D128" s="532">
        <f t="shared" si="7"/>
        <v>44657</v>
      </c>
      <c r="E128" s="534">
        <v>30</v>
      </c>
      <c r="F128" s="601">
        <v>0.41499999999999998</v>
      </c>
      <c r="G128" s="536" t="s">
        <v>276</v>
      </c>
      <c r="H128">
        <f>SUM(C128:C128)</f>
        <v>64114.794520547948</v>
      </c>
    </row>
    <row r="129" spans="1:8" ht="12.75" hidden="1" customHeight="1">
      <c r="A129" s="532">
        <v>44635</v>
      </c>
      <c r="B129" s="615">
        <v>23600</v>
      </c>
      <c r="C129" s="615">
        <f t="shared" si="5"/>
        <v>24512.317808219177</v>
      </c>
      <c r="D129" s="532">
        <f t="shared" si="7"/>
        <v>44669</v>
      </c>
      <c r="E129" s="534">
        <v>34</v>
      </c>
      <c r="F129" s="601">
        <v>0.41499999999999998</v>
      </c>
      <c r="G129" s="536" t="s">
        <v>696</v>
      </c>
      <c r="H129">
        <f>SUM(C129:C129)</f>
        <v>24512.317808219177</v>
      </c>
    </row>
    <row r="130" spans="1:8" ht="12.75" hidden="1" customHeight="1">
      <c r="A130" s="532">
        <v>44635</v>
      </c>
      <c r="B130" s="615">
        <v>25000</v>
      </c>
      <c r="C130" s="615">
        <f t="shared" si="5"/>
        <v>25966.438356164384</v>
      </c>
      <c r="D130" s="532">
        <f t="shared" si="7"/>
        <v>44669</v>
      </c>
      <c r="E130" s="534">
        <v>34</v>
      </c>
      <c r="F130" s="601">
        <v>0.41499999999999998</v>
      </c>
      <c r="G130" s="536" t="s">
        <v>680</v>
      </c>
      <c r="H130">
        <f>115296.16+14710.2</f>
        <v>130006.36</v>
      </c>
    </row>
    <row r="131" spans="1:8" ht="12.75" hidden="1" customHeight="1">
      <c r="A131" s="532">
        <v>44637</v>
      </c>
      <c r="B131" s="615">
        <v>17500</v>
      </c>
      <c r="C131" s="615">
        <f t="shared" si="5"/>
        <v>18136.712328767124</v>
      </c>
      <c r="D131" s="532">
        <f t="shared" si="7"/>
        <v>44669</v>
      </c>
      <c r="E131" s="534">
        <v>32</v>
      </c>
      <c r="F131" s="601">
        <v>0.41499999999999998</v>
      </c>
      <c r="G131" s="536" t="s">
        <v>696</v>
      </c>
    </row>
    <row r="132" spans="1:8" ht="12.75" hidden="1" customHeight="1">
      <c r="A132" s="532">
        <v>44637</v>
      </c>
      <c r="B132" s="615">
        <v>31000</v>
      </c>
      <c r="C132" s="615">
        <f t="shared" ref="C132:C195" si="8">B132+(B132*F132/365*E132)*1</f>
        <v>32127.890410958906</v>
      </c>
      <c r="D132" s="532">
        <f t="shared" ref="D132:D163" si="9">+A132+E132</f>
        <v>44669</v>
      </c>
      <c r="E132" s="534">
        <v>32</v>
      </c>
      <c r="F132" s="601">
        <v>0.41499999999999998</v>
      </c>
      <c r="G132" s="536" t="s">
        <v>695</v>
      </c>
      <c r="H132">
        <f>SUM(C132:C132)</f>
        <v>32127.890410958906</v>
      </c>
    </row>
    <row r="133" spans="1:8" ht="12.75" hidden="1" customHeight="1">
      <c r="A133" s="532">
        <v>44638</v>
      </c>
      <c r="B133" s="615">
        <v>47000</v>
      </c>
      <c r="C133" s="615">
        <f t="shared" si="8"/>
        <v>48656.589041095889</v>
      </c>
      <c r="D133" s="532">
        <f t="shared" si="9"/>
        <v>44669</v>
      </c>
      <c r="E133" s="534">
        <v>31</v>
      </c>
      <c r="F133" s="601">
        <v>0.41499999999999998</v>
      </c>
      <c r="G133" s="536" t="s">
        <v>695</v>
      </c>
      <c r="H133">
        <f>SUM(C133:C133)</f>
        <v>48656.589041095889</v>
      </c>
    </row>
    <row r="134" spans="1:8" ht="12.75" customHeight="1">
      <c r="A134" s="532">
        <v>44634</v>
      </c>
      <c r="B134" s="615">
        <v>140000</v>
      </c>
      <c r="C134" s="615">
        <f t="shared" si="8"/>
        <v>144775.34246575343</v>
      </c>
      <c r="D134" s="532">
        <f t="shared" si="9"/>
        <v>44664</v>
      </c>
      <c r="E134" s="534">
        <v>30</v>
      </c>
      <c r="F134" s="601">
        <v>0.41499999999999998</v>
      </c>
      <c r="G134" s="536" t="s">
        <v>276</v>
      </c>
      <c r="H134">
        <f>SUM(C134:C134)</f>
        <v>144775.34246575343</v>
      </c>
    </row>
    <row r="135" spans="1:8" ht="12.75" customHeight="1">
      <c r="A135" s="532">
        <v>44634</v>
      </c>
      <c r="B135" s="615">
        <v>135000</v>
      </c>
      <c r="C135" s="615">
        <f t="shared" si="8"/>
        <v>159623.82000000004</v>
      </c>
      <c r="D135" s="532">
        <f t="shared" si="9"/>
        <v>44725</v>
      </c>
      <c r="E135" s="534">
        <v>91</v>
      </c>
      <c r="F135" s="601">
        <v>0.73159904761904859</v>
      </c>
      <c r="G135" s="536" t="s">
        <v>686</v>
      </c>
      <c r="H135">
        <f>25061.04+4378.01</f>
        <v>29439.050000000003</v>
      </c>
    </row>
    <row r="136" spans="1:8" ht="12.75" hidden="1" customHeight="1">
      <c r="A136" s="532">
        <v>44637</v>
      </c>
      <c r="B136" s="615">
        <v>17500</v>
      </c>
      <c r="C136" s="615">
        <f t="shared" si="8"/>
        <v>20706.05</v>
      </c>
      <c r="D136" s="532">
        <f t="shared" si="9"/>
        <v>44727</v>
      </c>
      <c r="E136" s="534">
        <v>90</v>
      </c>
      <c r="F136" s="601">
        <v>0.74298936507936486</v>
      </c>
      <c r="G136" s="536" t="s">
        <v>699</v>
      </c>
      <c r="H136">
        <v>20706.05</v>
      </c>
    </row>
    <row r="137" spans="1:8" ht="12.75" hidden="1" customHeight="1">
      <c r="A137" s="532">
        <v>44643</v>
      </c>
      <c r="B137" s="615">
        <v>30000</v>
      </c>
      <c r="C137" s="615">
        <f t="shared" si="8"/>
        <v>31072.602739726026</v>
      </c>
      <c r="D137" s="532">
        <f t="shared" si="9"/>
        <v>44673</v>
      </c>
      <c r="E137" s="534">
        <v>30</v>
      </c>
      <c r="F137" s="601">
        <v>0.435</v>
      </c>
      <c r="G137" s="536" t="s">
        <v>540</v>
      </c>
    </row>
    <row r="138" spans="1:8" ht="12.75" hidden="1" customHeight="1">
      <c r="A138" s="532">
        <v>44643</v>
      </c>
      <c r="B138" s="615">
        <v>60000</v>
      </c>
      <c r="C138" s="615">
        <f t="shared" si="8"/>
        <v>62145.205479452052</v>
      </c>
      <c r="D138" s="532">
        <f t="shared" si="9"/>
        <v>44673</v>
      </c>
      <c r="E138" s="534">
        <v>30</v>
      </c>
      <c r="F138" s="601">
        <v>0.435</v>
      </c>
      <c r="G138" s="536" t="s">
        <v>540</v>
      </c>
    </row>
    <row r="139" spans="1:8" ht="12.75" hidden="1" customHeight="1">
      <c r="A139" s="532">
        <v>44645</v>
      </c>
      <c r="B139" s="615">
        <v>39300</v>
      </c>
      <c r="C139" s="615">
        <f t="shared" si="8"/>
        <v>40751.946575342467</v>
      </c>
      <c r="D139" s="532">
        <f t="shared" si="9"/>
        <v>44676</v>
      </c>
      <c r="E139" s="534">
        <v>31</v>
      </c>
      <c r="F139" s="601">
        <v>0.435</v>
      </c>
      <c r="G139" s="536" t="s">
        <v>697</v>
      </c>
    </row>
    <row r="140" spans="1:8" ht="12.75" hidden="1" customHeight="1">
      <c r="A140" s="532">
        <v>44641</v>
      </c>
      <c r="B140" s="615">
        <v>10000</v>
      </c>
      <c r="C140" s="615">
        <f t="shared" si="8"/>
        <v>10341.095890410959</v>
      </c>
      <c r="D140" s="532">
        <f t="shared" si="9"/>
        <v>44671</v>
      </c>
      <c r="E140" s="534">
        <v>30</v>
      </c>
      <c r="F140" s="601">
        <v>0.41499999999999998</v>
      </c>
      <c r="G140" s="536" t="s">
        <v>696</v>
      </c>
    </row>
    <row r="141" spans="1:8" ht="12.75" hidden="1" customHeight="1">
      <c r="A141" s="532">
        <v>44645</v>
      </c>
      <c r="B141" s="615">
        <v>10300</v>
      </c>
      <c r="C141" s="615">
        <f t="shared" si="8"/>
        <v>10680.535616438356</v>
      </c>
      <c r="D141" s="532">
        <f t="shared" si="9"/>
        <v>44676</v>
      </c>
      <c r="E141" s="534">
        <v>31</v>
      </c>
      <c r="F141" s="601">
        <v>0.435</v>
      </c>
      <c r="G141" s="536" t="s">
        <v>680</v>
      </c>
    </row>
    <row r="142" spans="1:8" ht="12.75" hidden="1" customHeight="1">
      <c r="A142" s="532">
        <v>44645</v>
      </c>
      <c r="B142" s="615">
        <v>25200</v>
      </c>
      <c r="C142" s="615">
        <f t="shared" si="8"/>
        <v>26131.019178082192</v>
      </c>
      <c r="D142" s="532">
        <f t="shared" si="9"/>
        <v>44676</v>
      </c>
      <c r="E142" s="534">
        <v>31</v>
      </c>
      <c r="F142" s="601">
        <v>0.435</v>
      </c>
      <c r="G142" s="536" t="s">
        <v>695</v>
      </c>
    </row>
    <row r="143" spans="1:8" ht="12.75" customHeight="1">
      <c r="A143" s="532">
        <v>44638</v>
      </c>
      <c r="B143" s="615">
        <v>30000</v>
      </c>
      <c r="C143" s="615">
        <f t="shared" si="8"/>
        <v>31057.397260273974</v>
      </c>
      <c r="D143" s="532">
        <f t="shared" si="9"/>
        <v>44669</v>
      </c>
      <c r="E143" s="534">
        <v>31</v>
      </c>
      <c r="F143" s="601">
        <v>0.41499999999999998</v>
      </c>
      <c r="G143" s="536" t="s">
        <v>276</v>
      </c>
      <c r="H143">
        <f>65167.4+8314.46</f>
        <v>73481.86</v>
      </c>
    </row>
    <row r="144" spans="1:8" ht="12.75" hidden="1" customHeight="1">
      <c r="A144" s="532">
        <v>44645</v>
      </c>
      <c r="B144" s="615">
        <v>14000</v>
      </c>
      <c r="C144" s="615">
        <f t="shared" si="8"/>
        <v>14517.232876712329</v>
      </c>
      <c r="D144" s="532">
        <f t="shared" si="9"/>
        <v>44676</v>
      </c>
      <c r="E144" s="534">
        <v>31</v>
      </c>
      <c r="F144" s="601">
        <v>0.435</v>
      </c>
      <c r="G144" s="536" t="s">
        <v>120</v>
      </c>
    </row>
    <row r="145" spans="1:8" ht="12.75" hidden="1" customHeight="1">
      <c r="A145" s="532">
        <v>44641</v>
      </c>
      <c r="B145" s="615">
        <v>10700</v>
      </c>
      <c r="C145" s="615">
        <f t="shared" si="8"/>
        <v>12667.209999999997</v>
      </c>
      <c r="D145" s="532">
        <f t="shared" si="9"/>
        <v>44733</v>
      </c>
      <c r="E145" s="534">
        <v>92</v>
      </c>
      <c r="F145" s="601">
        <v>0.72941045306785779</v>
      </c>
      <c r="G145" s="536" t="s">
        <v>699</v>
      </c>
      <c r="H145">
        <v>76036.78</v>
      </c>
    </row>
    <row r="146" spans="1:8" ht="12.75" hidden="1" customHeight="1">
      <c r="A146" s="532">
        <v>44648</v>
      </c>
      <c r="B146" s="615">
        <v>20800</v>
      </c>
      <c r="C146" s="615">
        <f t="shared" si="8"/>
        <v>21543.671232876713</v>
      </c>
      <c r="D146" s="532">
        <f t="shared" si="9"/>
        <v>44678</v>
      </c>
      <c r="E146" s="534">
        <v>30</v>
      </c>
      <c r="F146" s="601">
        <v>0.435</v>
      </c>
      <c r="G146" s="536" t="s">
        <v>697</v>
      </c>
    </row>
    <row r="147" spans="1:8" ht="12.75" hidden="1" customHeight="1">
      <c r="A147" s="532">
        <v>44648</v>
      </c>
      <c r="B147" s="615">
        <v>7000</v>
      </c>
      <c r="C147" s="615">
        <f t="shared" si="8"/>
        <v>7250.2739726027394</v>
      </c>
      <c r="D147" s="532">
        <f t="shared" si="9"/>
        <v>44678</v>
      </c>
      <c r="E147" s="534">
        <v>30</v>
      </c>
      <c r="F147" s="601">
        <v>0.435</v>
      </c>
      <c r="G147" s="536" t="s">
        <v>680</v>
      </c>
    </row>
    <row r="148" spans="1:8" ht="12.75" hidden="1" customHeight="1">
      <c r="A148" s="532">
        <v>44648</v>
      </c>
      <c r="B148" s="615">
        <v>60000</v>
      </c>
      <c r="C148" s="615">
        <f t="shared" si="8"/>
        <v>62145.205479452052</v>
      </c>
      <c r="D148" s="532">
        <f t="shared" si="9"/>
        <v>44678</v>
      </c>
      <c r="E148" s="534">
        <v>30</v>
      </c>
      <c r="F148" s="601">
        <v>0.435</v>
      </c>
      <c r="G148" s="536" t="s">
        <v>540</v>
      </c>
    </row>
    <row r="149" spans="1:8" ht="12.75" hidden="1" customHeight="1">
      <c r="A149" s="532">
        <v>44648</v>
      </c>
      <c r="B149" s="615">
        <v>57000</v>
      </c>
      <c r="C149" s="615">
        <f t="shared" si="8"/>
        <v>59105.876712328769</v>
      </c>
      <c r="D149" s="532">
        <f t="shared" si="9"/>
        <v>44679</v>
      </c>
      <c r="E149" s="534">
        <v>31</v>
      </c>
      <c r="F149" s="601">
        <v>0.435</v>
      </c>
      <c r="G149" s="536" t="s">
        <v>695</v>
      </c>
    </row>
    <row r="150" spans="1:8" ht="12.75" hidden="1" customHeight="1">
      <c r="A150" s="532">
        <v>44649</v>
      </c>
      <c r="B150" s="615">
        <v>13000</v>
      </c>
      <c r="C150" s="615">
        <f t="shared" si="8"/>
        <v>13464.794520547945</v>
      </c>
      <c r="D150" s="532">
        <f t="shared" si="9"/>
        <v>44679</v>
      </c>
      <c r="E150" s="534">
        <v>30</v>
      </c>
      <c r="F150" s="601">
        <v>0.435</v>
      </c>
      <c r="G150" s="536" t="s">
        <v>553</v>
      </c>
    </row>
    <row r="151" spans="1:8" ht="12.75" customHeight="1">
      <c r="A151" s="532">
        <v>44641</v>
      </c>
      <c r="B151" s="615">
        <v>39000</v>
      </c>
      <c r="C151" s="615">
        <f t="shared" si="8"/>
        <v>40330.273972602743</v>
      </c>
      <c r="D151" s="532">
        <f t="shared" si="9"/>
        <v>44671</v>
      </c>
      <c r="E151" s="534">
        <v>30</v>
      </c>
      <c r="F151" s="601">
        <v>0.41499999999999998</v>
      </c>
      <c r="G151" s="536" t="s">
        <v>276</v>
      </c>
    </row>
    <row r="152" spans="1:8" ht="12.75" hidden="1" customHeight="1">
      <c r="A152" s="532">
        <v>44649</v>
      </c>
      <c r="B152" s="615">
        <v>10000</v>
      </c>
      <c r="C152" s="615">
        <f t="shared" si="8"/>
        <v>10357.534246575342</v>
      </c>
      <c r="D152" s="532">
        <f t="shared" si="9"/>
        <v>44679</v>
      </c>
      <c r="E152" s="534">
        <v>30</v>
      </c>
      <c r="F152" s="601">
        <v>0.435</v>
      </c>
      <c r="G152" s="536" t="s">
        <v>540</v>
      </c>
    </row>
    <row r="153" spans="1:8" ht="12.75" customHeight="1">
      <c r="A153" s="532">
        <v>44641</v>
      </c>
      <c r="B153" s="615">
        <v>50000</v>
      </c>
      <c r="C153" s="615">
        <f t="shared" si="8"/>
        <v>59192.569999999992</v>
      </c>
      <c r="D153" s="532">
        <f t="shared" si="9"/>
        <v>44733</v>
      </c>
      <c r="E153" s="534">
        <v>92</v>
      </c>
      <c r="F153" s="601">
        <v>0.72941044565217372</v>
      </c>
      <c r="G153" s="536" t="s">
        <v>686</v>
      </c>
      <c r="H153">
        <v>12667.21</v>
      </c>
    </row>
    <row r="154" spans="1:8" ht="12.75" hidden="1" customHeight="1">
      <c r="A154" s="532">
        <v>44650</v>
      </c>
      <c r="B154" s="615">
        <v>25000</v>
      </c>
      <c r="C154" s="615">
        <f t="shared" si="8"/>
        <v>25893.835616438355</v>
      </c>
      <c r="D154" s="532">
        <f t="shared" si="9"/>
        <v>44680</v>
      </c>
      <c r="E154" s="534">
        <v>30</v>
      </c>
      <c r="F154" s="601">
        <v>0.435</v>
      </c>
      <c r="G154" s="536" t="s">
        <v>120</v>
      </c>
    </row>
    <row r="155" spans="1:8" ht="12.75" hidden="1" customHeight="1">
      <c r="A155" s="532">
        <v>44652</v>
      </c>
      <c r="B155" s="615">
        <v>29300</v>
      </c>
      <c r="C155" s="615">
        <f t="shared" si="8"/>
        <v>30382.494520547945</v>
      </c>
      <c r="D155" s="532">
        <f t="shared" si="9"/>
        <v>44683</v>
      </c>
      <c r="E155" s="534">
        <v>31</v>
      </c>
      <c r="F155" s="601">
        <v>0.435</v>
      </c>
      <c r="G155" s="536" t="s">
        <v>695</v>
      </c>
    </row>
    <row r="156" spans="1:8" ht="12.75" customHeight="1">
      <c r="A156" s="532">
        <v>44645</v>
      </c>
      <c r="B156" s="615">
        <v>20000</v>
      </c>
      <c r="C156" s="615">
        <f t="shared" si="8"/>
        <v>20738.904109589042</v>
      </c>
      <c r="D156" s="532">
        <f t="shared" si="9"/>
        <v>44676</v>
      </c>
      <c r="E156" s="534">
        <v>31</v>
      </c>
      <c r="F156" s="601">
        <v>0.435</v>
      </c>
      <c r="G156" s="536" t="s">
        <v>276</v>
      </c>
    </row>
    <row r="157" spans="1:8" ht="12.75" hidden="1" customHeight="1">
      <c r="A157" s="532">
        <v>44652</v>
      </c>
      <c r="B157" s="615">
        <v>30000</v>
      </c>
      <c r="C157" s="615">
        <f t="shared" si="8"/>
        <v>31108.35616438356</v>
      </c>
      <c r="D157" s="532">
        <f t="shared" si="9"/>
        <v>44683</v>
      </c>
      <c r="E157" s="534">
        <v>31</v>
      </c>
      <c r="F157" s="601">
        <v>0.435</v>
      </c>
      <c r="G157" s="536" t="s">
        <v>540</v>
      </c>
    </row>
    <row r="158" spans="1:8" ht="12.75" hidden="1" customHeight="1">
      <c r="A158" s="532">
        <v>44652</v>
      </c>
      <c r="B158" s="615">
        <v>10000</v>
      </c>
      <c r="C158" s="615">
        <f t="shared" si="8"/>
        <v>10369.452054794521</v>
      </c>
      <c r="D158" s="532">
        <f t="shared" si="9"/>
        <v>44683</v>
      </c>
      <c r="E158" s="534">
        <v>31</v>
      </c>
      <c r="F158" s="601">
        <v>0.435</v>
      </c>
      <c r="G158" s="536" t="s">
        <v>120</v>
      </c>
    </row>
    <row r="159" spans="1:8" ht="12.75" hidden="1" customHeight="1">
      <c r="A159" s="532">
        <v>44652</v>
      </c>
      <c r="B159" s="615">
        <v>75000</v>
      </c>
      <c r="C159" s="615">
        <f t="shared" si="8"/>
        <v>77770.890410958906</v>
      </c>
      <c r="D159" s="532">
        <f t="shared" si="9"/>
        <v>44683</v>
      </c>
      <c r="E159" s="534">
        <v>31</v>
      </c>
      <c r="F159" s="601">
        <v>0.435</v>
      </c>
      <c r="G159" s="536" t="s">
        <v>540</v>
      </c>
    </row>
    <row r="160" spans="1:8" ht="12.75" hidden="1" customHeight="1">
      <c r="A160" s="532">
        <v>44655</v>
      </c>
      <c r="B160" s="615">
        <v>21600</v>
      </c>
      <c r="C160" s="615">
        <f t="shared" si="8"/>
        <v>22372.273972602739</v>
      </c>
      <c r="D160" s="532">
        <f t="shared" si="9"/>
        <v>44685</v>
      </c>
      <c r="E160" s="534">
        <v>30</v>
      </c>
      <c r="F160" s="601">
        <v>0.435</v>
      </c>
      <c r="G160" s="536" t="s">
        <v>695</v>
      </c>
    </row>
    <row r="161" spans="1:8" ht="12.75" customHeight="1">
      <c r="A161" s="532">
        <v>44649</v>
      </c>
      <c r="B161" s="615">
        <v>95000</v>
      </c>
      <c r="C161" s="615">
        <f t="shared" si="8"/>
        <v>98396.57534246576</v>
      </c>
      <c r="D161" s="532">
        <f t="shared" si="9"/>
        <v>44679</v>
      </c>
      <c r="E161" s="534">
        <v>30</v>
      </c>
      <c r="F161" s="601">
        <v>0.435</v>
      </c>
      <c r="G161" s="536" t="s">
        <v>276</v>
      </c>
    </row>
    <row r="162" spans="1:8" ht="12.75" hidden="1" customHeight="1">
      <c r="A162" s="532">
        <v>44655</v>
      </c>
      <c r="B162" s="615">
        <v>42000</v>
      </c>
      <c r="C162" s="615">
        <f t="shared" si="8"/>
        <v>43501.643835616436</v>
      </c>
      <c r="D162" s="532">
        <f t="shared" si="9"/>
        <v>44685</v>
      </c>
      <c r="E162" s="534">
        <v>30</v>
      </c>
      <c r="F162" s="601">
        <v>0.435</v>
      </c>
      <c r="G162" s="536" t="s">
        <v>697</v>
      </c>
    </row>
    <row r="163" spans="1:8" ht="12.75" hidden="1" customHeight="1">
      <c r="A163" s="532">
        <v>44655</v>
      </c>
      <c r="B163" s="615">
        <v>60000</v>
      </c>
      <c r="C163" s="615">
        <f t="shared" si="8"/>
        <v>62145.205479452052</v>
      </c>
      <c r="D163" s="532">
        <f t="shared" si="9"/>
        <v>44685</v>
      </c>
      <c r="E163" s="534">
        <v>30</v>
      </c>
      <c r="F163" s="601">
        <v>0.435</v>
      </c>
      <c r="G163" s="536" t="s">
        <v>540</v>
      </c>
    </row>
    <row r="164" spans="1:8" ht="12.75" customHeight="1">
      <c r="A164" s="532">
        <v>44649</v>
      </c>
      <c r="B164" s="615">
        <v>100000</v>
      </c>
      <c r="C164" s="615">
        <f t="shared" si="8"/>
        <v>118194.57</v>
      </c>
      <c r="D164" s="532">
        <f t="shared" ref="D164:D188" si="10">+A164+E164</f>
        <v>44739</v>
      </c>
      <c r="E164" s="534">
        <v>90</v>
      </c>
      <c r="F164" s="601">
        <v>0.73789089444444489</v>
      </c>
      <c r="G164" s="536" t="s">
        <v>686</v>
      </c>
      <c r="H164">
        <v>189296.5</v>
      </c>
    </row>
    <row r="165" spans="1:8" ht="12.75" hidden="1" customHeight="1">
      <c r="A165" s="532">
        <v>44656</v>
      </c>
      <c r="B165" s="615">
        <v>10000</v>
      </c>
      <c r="C165" s="615">
        <f t="shared" si="8"/>
        <v>10357.534246575342</v>
      </c>
      <c r="D165" s="532">
        <f t="shared" si="10"/>
        <v>44686</v>
      </c>
      <c r="E165" s="534">
        <v>30</v>
      </c>
      <c r="F165" s="601">
        <v>0.435</v>
      </c>
      <c r="G165" s="536" t="s">
        <v>697</v>
      </c>
    </row>
    <row r="166" spans="1:8" ht="12.75" customHeight="1">
      <c r="A166" s="532">
        <v>44650</v>
      </c>
      <c r="B166" s="615">
        <v>25000</v>
      </c>
      <c r="C166" s="615">
        <f t="shared" si="8"/>
        <v>25893.835616438355</v>
      </c>
      <c r="D166" s="532">
        <f t="shared" si="10"/>
        <v>44680</v>
      </c>
      <c r="E166" s="534">
        <v>30</v>
      </c>
      <c r="F166" s="601">
        <v>0.435</v>
      </c>
      <c r="G166" s="536" t="s">
        <v>276</v>
      </c>
    </row>
    <row r="167" spans="1:8" ht="12.75" customHeight="1">
      <c r="A167" s="532">
        <v>44652</v>
      </c>
      <c r="B167" s="615">
        <v>150000</v>
      </c>
      <c r="C167" s="615">
        <f t="shared" si="8"/>
        <v>155541.78082191781</v>
      </c>
      <c r="D167" s="532">
        <f t="shared" si="10"/>
        <v>44683</v>
      </c>
      <c r="E167" s="534">
        <v>31</v>
      </c>
      <c r="F167" s="601">
        <v>0.435</v>
      </c>
      <c r="G167" s="536" t="s">
        <v>276</v>
      </c>
    </row>
    <row r="168" spans="1:8" ht="12.75" customHeight="1">
      <c r="A168" s="532">
        <v>44652</v>
      </c>
      <c r="B168" s="615">
        <v>300000</v>
      </c>
      <c r="C168" s="615">
        <f t="shared" si="8"/>
        <v>355946.12</v>
      </c>
      <c r="D168" s="532">
        <f t="shared" si="10"/>
        <v>44742</v>
      </c>
      <c r="E168" s="534">
        <v>90</v>
      </c>
      <c r="F168" s="601">
        <v>0.75630865925925961</v>
      </c>
      <c r="G168" s="536" t="s">
        <v>686</v>
      </c>
      <c r="H168">
        <f>300739.73+55206.39</f>
        <v>355946.12</v>
      </c>
    </row>
    <row r="169" spans="1:8" ht="12.75" hidden="1" customHeight="1">
      <c r="A169" s="532">
        <v>44669</v>
      </c>
      <c r="B169" s="615">
        <v>6000</v>
      </c>
      <c r="C169" s="615">
        <f t="shared" si="8"/>
        <v>6234.41095890411</v>
      </c>
      <c r="D169" s="532">
        <f t="shared" si="10"/>
        <v>44700</v>
      </c>
      <c r="E169" s="534">
        <v>31</v>
      </c>
      <c r="F169" s="601">
        <v>0.46</v>
      </c>
      <c r="G169" s="536" t="s">
        <v>680</v>
      </c>
    </row>
    <row r="170" spans="1:8" ht="12.75" hidden="1" customHeight="1">
      <c r="A170" s="532">
        <v>44645</v>
      </c>
      <c r="B170" s="615">
        <v>9900</v>
      </c>
      <c r="C170" s="615">
        <f t="shared" si="8"/>
        <v>10265.757534246575</v>
      </c>
      <c r="D170" s="532">
        <f t="shared" si="10"/>
        <v>44676</v>
      </c>
      <c r="E170" s="534">
        <v>31</v>
      </c>
      <c r="F170" s="601">
        <v>0.435</v>
      </c>
      <c r="G170" s="536" t="s">
        <v>696</v>
      </c>
    </row>
    <row r="171" spans="1:8" ht="12.75" hidden="1" customHeight="1">
      <c r="A171" s="532">
        <v>44676</v>
      </c>
      <c r="B171" s="615">
        <v>6000</v>
      </c>
      <c r="C171" s="615">
        <f t="shared" si="8"/>
        <v>6234.41095890411</v>
      </c>
      <c r="D171" s="532">
        <f t="shared" si="10"/>
        <v>44707</v>
      </c>
      <c r="E171" s="534">
        <v>31</v>
      </c>
      <c r="F171" s="601">
        <v>0.46</v>
      </c>
      <c r="G171" s="536" t="s">
        <v>120</v>
      </c>
    </row>
    <row r="172" spans="1:8" ht="12.75" customHeight="1">
      <c r="A172" s="532">
        <v>44655</v>
      </c>
      <c r="B172" s="615">
        <v>40000</v>
      </c>
      <c r="C172" s="615">
        <f t="shared" si="8"/>
        <v>41430.136986301368</v>
      </c>
      <c r="D172" s="532">
        <f t="shared" si="10"/>
        <v>44685</v>
      </c>
      <c r="E172" s="534">
        <v>30</v>
      </c>
      <c r="F172" s="601">
        <v>0.435</v>
      </c>
      <c r="G172" s="536" t="s">
        <v>276</v>
      </c>
    </row>
    <row r="173" spans="1:8" ht="12.75" hidden="1" customHeight="1">
      <c r="A173" s="532">
        <v>44648</v>
      </c>
      <c r="B173" s="615">
        <v>55200</v>
      </c>
      <c r="C173" s="615">
        <f t="shared" si="8"/>
        <v>57173.589041095889</v>
      </c>
      <c r="D173" s="532">
        <f t="shared" si="10"/>
        <v>44678</v>
      </c>
      <c r="E173" s="534">
        <v>30</v>
      </c>
      <c r="F173" s="601">
        <v>0.435</v>
      </c>
      <c r="G173" s="536" t="s">
        <v>696</v>
      </c>
    </row>
    <row r="174" spans="1:8" ht="12.75" hidden="1" customHeight="1">
      <c r="A174" s="532">
        <v>44622</v>
      </c>
      <c r="B174" s="615">
        <v>33000</v>
      </c>
      <c r="C174" s="615">
        <f t="shared" si="8"/>
        <v>38961.01</v>
      </c>
      <c r="D174" s="532">
        <f t="shared" si="10"/>
        <v>44712</v>
      </c>
      <c r="E174" s="534">
        <v>90</v>
      </c>
      <c r="F174" s="601">
        <v>0.73258203703703728</v>
      </c>
      <c r="G174" s="536" t="s">
        <v>701</v>
      </c>
      <c r="H174">
        <f>33081.37+5879.64</f>
        <v>38961.01</v>
      </c>
    </row>
    <row r="175" spans="1:8" ht="12.75" hidden="1" customHeight="1">
      <c r="A175" s="532">
        <v>44622</v>
      </c>
      <c r="B175" s="615">
        <v>120000</v>
      </c>
      <c r="C175" s="615">
        <f t="shared" si="8"/>
        <v>141676.41999999998</v>
      </c>
      <c r="D175" s="532">
        <f t="shared" si="10"/>
        <v>44712</v>
      </c>
      <c r="E175" s="534">
        <v>90</v>
      </c>
      <c r="F175" s="601">
        <v>0.73258271296296262</v>
      </c>
      <c r="G175" s="536" t="s">
        <v>698</v>
      </c>
      <c r="H175">
        <f>120295.89+21380.53</f>
        <v>141676.41999999998</v>
      </c>
    </row>
    <row r="176" spans="1:8" ht="12.75" customHeight="1">
      <c r="A176" s="532">
        <v>44655</v>
      </c>
      <c r="B176" s="615">
        <v>60000</v>
      </c>
      <c r="C176" s="615">
        <f t="shared" si="8"/>
        <v>71323.69</v>
      </c>
      <c r="D176" s="532">
        <f t="shared" si="10"/>
        <v>44746</v>
      </c>
      <c r="E176" s="534">
        <v>91</v>
      </c>
      <c r="F176" s="601">
        <v>0.75698660256410322</v>
      </c>
      <c r="G176" s="536" t="s">
        <v>686</v>
      </c>
      <c r="H176">
        <f>12631.11+31.08</f>
        <v>12662.19</v>
      </c>
    </row>
    <row r="177" spans="1:8" ht="12.75" hidden="1" customHeight="1">
      <c r="A177" s="532">
        <v>44622</v>
      </c>
      <c r="B177" s="615">
        <v>50000</v>
      </c>
      <c r="C177" s="615">
        <f t="shared" si="8"/>
        <v>59032.359999999993</v>
      </c>
      <c r="D177" s="532">
        <f t="shared" si="10"/>
        <v>44712</v>
      </c>
      <c r="E177" s="534">
        <v>90</v>
      </c>
      <c r="F177" s="601">
        <v>0.73262475555555495</v>
      </c>
      <c r="G177" s="536" t="s">
        <v>687</v>
      </c>
      <c r="H177">
        <v>59032.36</v>
      </c>
    </row>
    <row r="178" spans="1:8" ht="12.75" hidden="1" customHeight="1">
      <c r="A178" s="532">
        <v>44624</v>
      </c>
      <c r="B178" s="615">
        <v>115000</v>
      </c>
      <c r="C178" s="615">
        <f t="shared" si="8"/>
        <v>135178</v>
      </c>
      <c r="D178" s="532">
        <f t="shared" si="10"/>
        <v>44714</v>
      </c>
      <c r="E178" s="534">
        <v>90</v>
      </c>
      <c r="F178" s="601">
        <v>0.71159130434782569</v>
      </c>
      <c r="G178" s="536" t="s">
        <v>704</v>
      </c>
      <c r="H178">
        <v>135178</v>
      </c>
    </row>
    <row r="179" spans="1:8" ht="12.75" customHeight="1">
      <c r="A179" s="532">
        <v>44656</v>
      </c>
      <c r="B179" s="615">
        <v>30000</v>
      </c>
      <c r="C179" s="615">
        <f t="shared" si="8"/>
        <v>31072.602739726026</v>
      </c>
      <c r="D179" s="532">
        <f t="shared" si="10"/>
        <v>44686</v>
      </c>
      <c r="E179" s="534">
        <v>30</v>
      </c>
      <c r="F179" s="601">
        <v>0.435</v>
      </c>
      <c r="G179" s="536" t="s">
        <v>276</v>
      </c>
    </row>
    <row r="180" spans="1:8" ht="12.75" hidden="1" customHeight="1">
      <c r="A180" s="532">
        <v>44635</v>
      </c>
      <c r="B180" s="615">
        <v>25000</v>
      </c>
      <c r="C180" s="615">
        <f t="shared" si="8"/>
        <v>29439.049999999996</v>
      </c>
      <c r="D180" s="532">
        <f t="shared" si="10"/>
        <v>44725</v>
      </c>
      <c r="E180" s="534">
        <v>90</v>
      </c>
      <c r="F180" s="601">
        <v>0.72011255555555487</v>
      </c>
      <c r="G180" s="536" t="s">
        <v>701</v>
      </c>
      <c r="H180">
        <f>135336.58+24287.24</f>
        <v>159623.81999999998</v>
      </c>
    </row>
    <row r="181" spans="1:8" ht="12.75" hidden="1" customHeight="1">
      <c r="A181" s="532">
        <v>44648</v>
      </c>
      <c r="B181" s="615">
        <v>150000</v>
      </c>
      <c r="C181" s="615">
        <f t="shared" si="8"/>
        <v>178083.96</v>
      </c>
      <c r="D181" s="532">
        <f t="shared" si="10"/>
        <v>44739</v>
      </c>
      <c r="E181" s="534">
        <v>91</v>
      </c>
      <c r="F181" s="601">
        <v>0.75096303296703293</v>
      </c>
      <c r="G181" s="536" t="s">
        <v>699</v>
      </c>
      <c r="H181">
        <v>178083.96</v>
      </c>
    </row>
    <row r="182" spans="1:8" ht="12.75" hidden="1" customHeight="1">
      <c r="A182" s="532">
        <v>44637</v>
      </c>
      <c r="B182" s="615">
        <v>31900</v>
      </c>
      <c r="C182" s="615">
        <f t="shared" si="8"/>
        <v>37744.169999999984</v>
      </c>
      <c r="D182" s="532">
        <f t="shared" si="10"/>
        <v>44727</v>
      </c>
      <c r="E182" s="534">
        <v>90</v>
      </c>
      <c r="F182" s="601">
        <v>0.74298921978404575</v>
      </c>
      <c r="G182" s="536" t="s">
        <v>698</v>
      </c>
      <c r="H182">
        <f>31978.66+5765.51</f>
        <v>37744.17</v>
      </c>
    </row>
    <row r="183" spans="1:8" ht="12.75" hidden="1" customHeight="1">
      <c r="A183" s="532">
        <v>44638</v>
      </c>
      <c r="B183" s="615">
        <v>80700</v>
      </c>
      <c r="C183" s="615">
        <f t="shared" si="8"/>
        <v>95151.53</v>
      </c>
      <c r="D183" s="532">
        <f t="shared" si="10"/>
        <v>44728</v>
      </c>
      <c r="E183" s="534">
        <v>90</v>
      </c>
      <c r="F183" s="601">
        <v>0.72625753132314441</v>
      </c>
      <c r="G183" s="536" t="s">
        <v>698</v>
      </c>
      <c r="H183">
        <f>80898.89+14616.64</f>
        <v>95515.53</v>
      </c>
    </row>
    <row r="184" spans="1:8" ht="12.75" hidden="1" customHeight="1">
      <c r="A184" s="532">
        <v>44655</v>
      </c>
      <c r="B184" s="615">
        <v>20600</v>
      </c>
      <c r="C184" s="615">
        <f t="shared" si="8"/>
        <v>24487.800000000003</v>
      </c>
      <c r="D184" s="532">
        <f t="shared" si="10"/>
        <v>44746</v>
      </c>
      <c r="E184" s="534">
        <v>91</v>
      </c>
      <c r="F184" s="601">
        <v>0.75698655713218854</v>
      </c>
      <c r="G184" s="536" t="s">
        <v>699</v>
      </c>
      <c r="H184">
        <v>24487.8</v>
      </c>
    </row>
    <row r="185" spans="1:8" ht="12.75" customHeight="1">
      <c r="A185" s="532">
        <v>44656</v>
      </c>
      <c r="B185" s="615">
        <v>30000</v>
      </c>
      <c r="C185" s="615">
        <f t="shared" si="8"/>
        <v>35501.589999999997</v>
      </c>
      <c r="D185" s="532">
        <f t="shared" si="10"/>
        <v>44746</v>
      </c>
      <c r="E185" s="534">
        <v>90</v>
      </c>
      <c r="F185" s="601">
        <v>0.74373346296296283</v>
      </c>
      <c r="G185" s="536" t="s">
        <v>686</v>
      </c>
      <c r="H185">
        <f>50124.66+9311.75</f>
        <v>59436.41</v>
      </c>
    </row>
    <row r="186" spans="1:8" ht="12.75" hidden="1" customHeight="1">
      <c r="A186" s="636">
        <v>44643</v>
      </c>
      <c r="B186" s="637">
        <v>65000</v>
      </c>
      <c r="C186" s="637">
        <f t="shared" si="8"/>
        <v>76036.78</v>
      </c>
      <c r="D186" s="636">
        <f t="shared" si="10"/>
        <v>44733</v>
      </c>
      <c r="E186" s="638">
        <v>90</v>
      </c>
      <c r="F186" s="639">
        <v>0.68861960683760726</v>
      </c>
      <c r="G186" s="640" t="s">
        <v>704</v>
      </c>
      <c r="H186">
        <f>50126.03+9066.54</f>
        <v>59192.57</v>
      </c>
    </row>
    <row r="187" spans="1:8" ht="12.75" hidden="1" customHeight="1">
      <c r="A187" s="532">
        <v>44645</v>
      </c>
      <c r="B187" s="615">
        <v>11000</v>
      </c>
      <c r="C187" s="615">
        <f t="shared" si="8"/>
        <v>13055.529999999999</v>
      </c>
      <c r="D187" s="532">
        <f t="shared" si="10"/>
        <v>44735</v>
      </c>
      <c r="E187" s="534">
        <v>90</v>
      </c>
      <c r="F187" s="601">
        <v>0.75784691919191838</v>
      </c>
      <c r="G187" s="536" t="s">
        <v>701</v>
      </c>
      <c r="H187">
        <f>11027.72+2027.81</f>
        <v>13055.529999999999</v>
      </c>
    </row>
    <row r="188" spans="1:8" ht="12.75" hidden="1" customHeight="1">
      <c r="A188" s="532">
        <v>44645</v>
      </c>
      <c r="B188" s="615">
        <v>30000</v>
      </c>
      <c r="C188" s="615">
        <f t="shared" si="8"/>
        <v>35604.36</v>
      </c>
      <c r="D188" s="532">
        <f t="shared" si="10"/>
        <v>44735</v>
      </c>
      <c r="E188" s="534">
        <v>90</v>
      </c>
      <c r="F188" s="601">
        <v>0.75762644444444416</v>
      </c>
      <c r="G188" s="536" t="s">
        <v>698</v>
      </c>
      <c r="H188">
        <f>30073.97+5530.39</f>
        <v>35604.36</v>
      </c>
    </row>
    <row r="189" spans="1:8" ht="12.75" hidden="1" customHeight="1">
      <c r="A189" s="532">
        <f>+D189-E189</f>
        <v>44657</v>
      </c>
      <c r="B189" s="615">
        <v>22500</v>
      </c>
      <c r="C189" s="615">
        <f t="shared" si="8"/>
        <v>26720.869999999995</v>
      </c>
      <c r="D189" s="532">
        <v>44747</v>
      </c>
      <c r="E189" s="534">
        <v>90</v>
      </c>
      <c r="F189" s="601">
        <v>0.76079879012345608</v>
      </c>
      <c r="G189" s="536" t="s">
        <v>699</v>
      </c>
      <c r="H189">
        <v>26720.87</v>
      </c>
    </row>
    <row r="190" spans="1:8" ht="12.75" hidden="1" customHeight="1">
      <c r="A190" s="532">
        <v>44648</v>
      </c>
      <c r="B190" s="615">
        <v>40000</v>
      </c>
      <c r="C190" s="615">
        <f t="shared" si="8"/>
        <v>47489.02</v>
      </c>
      <c r="D190" s="532">
        <f t="shared" ref="D190:D253" si="11">+A190+E190</f>
        <v>44739</v>
      </c>
      <c r="E190" s="534">
        <v>91</v>
      </c>
      <c r="F190" s="601">
        <v>0.75095942307692265</v>
      </c>
      <c r="G190" s="536" t="s">
        <v>681</v>
      </c>
      <c r="H190">
        <f>47371.24+117.78</f>
        <v>47489.02</v>
      </c>
    </row>
    <row r="191" spans="1:8" ht="12.75" hidden="1" customHeight="1">
      <c r="A191" s="532">
        <v>44648</v>
      </c>
      <c r="B191" s="615">
        <v>300000</v>
      </c>
      <c r="C191" s="615">
        <f t="shared" si="8"/>
        <v>356167.92</v>
      </c>
      <c r="D191" s="532">
        <f t="shared" si="11"/>
        <v>44739</v>
      </c>
      <c r="E191" s="534">
        <v>91</v>
      </c>
      <c r="F191" s="601">
        <v>0.75096303296703293</v>
      </c>
      <c r="G191" s="536" t="s">
        <v>698</v>
      </c>
      <c r="H191">
        <v>15364.98</v>
      </c>
    </row>
    <row r="192" spans="1:8" ht="12.75" hidden="1" customHeight="1">
      <c r="A192" s="532">
        <v>44648</v>
      </c>
      <c r="B192" s="615">
        <v>160000</v>
      </c>
      <c r="C192" s="615">
        <f t="shared" si="8"/>
        <v>189296.5</v>
      </c>
      <c r="D192" s="532">
        <f t="shared" si="11"/>
        <v>44739</v>
      </c>
      <c r="E192" s="534">
        <v>91</v>
      </c>
      <c r="F192" s="601">
        <v>0.73442462225274718</v>
      </c>
      <c r="G192" s="536" t="s">
        <v>687</v>
      </c>
      <c r="H192">
        <f>300747.95+55419.97</f>
        <v>356167.92000000004</v>
      </c>
    </row>
    <row r="193" spans="1:8" ht="12.75" hidden="1" customHeight="1">
      <c r="A193" s="532">
        <v>44649</v>
      </c>
      <c r="B193" s="615">
        <v>13000</v>
      </c>
      <c r="C193" s="615">
        <f t="shared" si="8"/>
        <v>15364.98</v>
      </c>
      <c r="D193" s="532">
        <f t="shared" si="11"/>
        <v>44739</v>
      </c>
      <c r="E193" s="534">
        <v>90</v>
      </c>
      <c r="F193" s="601">
        <v>0.73779290598290603</v>
      </c>
      <c r="G193" s="536" t="s">
        <v>703</v>
      </c>
      <c r="H193">
        <f>100246.58+17947.99</f>
        <v>118194.57</v>
      </c>
    </row>
    <row r="194" spans="1:8" ht="12.75" customHeight="1">
      <c r="A194" s="532">
        <v>44657</v>
      </c>
      <c r="B194" s="615">
        <v>30000</v>
      </c>
      <c r="C194" s="615">
        <f t="shared" si="8"/>
        <v>31072.602739726026</v>
      </c>
      <c r="D194" s="532">
        <f t="shared" si="11"/>
        <v>44687</v>
      </c>
      <c r="E194" s="534">
        <v>30</v>
      </c>
      <c r="F194" s="601">
        <v>0.435</v>
      </c>
      <c r="G194" s="536" t="s">
        <v>276</v>
      </c>
    </row>
    <row r="195" spans="1:8" ht="12.75" customHeight="1">
      <c r="A195" s="532">
        <v>44662</v>
      </c>
      <c r="B195" s="615">
        <v>30000</v>
      </c>
      <c r="C195" s="615">
        <f t="shared" si="8"/>
        <v>31072.602739726026</v>
      </c>
      <c r="D195" s="532">
        <f t="shared" si="11"/>
        <v>44692</v>
      </c>
      <c r="E195" s="534">
        <v>30</v>
      </c>
      <c r="F195" s="601">
        <v>0.435</v>
      </c>
      <c r="G195" s="536" t="s">
        <v>276</v>
      </c>
    </row>
    <row r="196" spans="1:8" ht="12.75" hidden="1" customHeight="1">
      <c r="A196" s="532">
        <v>44652</v>
      </c>
      <c r="B196" s="615">
        <v>75000</v>
      </c>
      <c r="C196" s="615">
        <f t="shared" ref="C196:C259" si="12">B196+(B196*F196/365*E196)*1</f>
        <v>88986.48000000001</v>
      </c>
      <c r="D196" s="532">
        <f t="shared" si="11"/>
        <v>44742</v>
      </c>
      <c r="E196" s="534">
        <v>90</v>
      </c>
      <c r="F196" s="601">
        <v>0.7563059555555558</v>
      </c>
      <c r="G196" s="536" t="s">
        <v>704</v>
      </c>
      <c r="H196">
        <v>88986.48</v>
      </c>
    </row>
    <row r="197" spans="1:8" ht="12.75" hidden="1" customHeight="1">
      <c r="A197" s="532">
        <v>44652</v>
      </c>
      <c r="B197" s="615">
        <v>30000</v>
      </c>
      <c r="C197" s="615">
        <f t="shared" si="12"/>
        <v>35595.1</v>
      </c>
      <c r="D197" s="532">
        <f t="shared" si="11"/>
        <v>44742</v>
      </c>
      <c r="E197" s="534">
        <v>90</v>
      </c>
      <c r="F197" s="601">
        <v>0.75637462962962976</v>
      </c>
      <c r="G197" s="536" t="s">
        <v>704</v>
      </c>
      <c r="H197">
        <v>35595.1</v>
      </c>
    </row>
    <row r="198" spans="1:8" ht="12.75" hidden="1" customHeight="1">
      <c r="A198" s="532">
        <v>44652</v>
      </c>
      <c r="B198" s="615">
        <v>38000</v>
      </c>
      <c r="C198" s="615">
        <f t="shared" si="12"/>
        <v>45086.5</v>
      </c>
      <c r="D198" s="532">
        <f t="shared" si="11"/>
        <v>44742</v>
      </c>
      <c r="E198" s="534">
        <v>90</v>
      </c>
      <c r="F198" s="601">
        <v>0.75630774853801142</v>
      </c>
      <c r="G198" s="536" t="s">
        <v>701</v>
      </c>
      <c r="H198">
        <f>38093.7+6992.8</f>
        <v>45086.5</v>
      </c>
    </row>
    <row r="199" spans="1:8" ht="12.75" hidden="1" customHeight="1">
      <c r="A199" s="532">
        <v>44652</v>
      </c>
      <c r="B199" s="615">
        <v>52400</v>
      </c>
      <c r="C199" s="615">
        <f t="shared" si="12"/>
        <v>62171.919999999991</v>
      </c>
      <c r="D199" s="532">
        <f t="shared" si="11"/>
        <v>44742</v>
      </c>
      <c r="E199" s="534">
        <v>90</v>
      </c>
      <c r="F199" s="601">
        <v>0.75630848176420606</v>
      </c>
      <c r="G199" s="536" t="s">
        <v>701</v>
      </c>
      <c r="H199">
        <f>52529.21+9642.71</f>
        <v>62171.92</v>
      </c>
    </row>
    <row r="200" spans="1:8" ht="12.75" hidden="1" customHeight="1">
      <c r="A200" s="532">
        <v>44652</v>
      </c>
      <c r="B200" s="615">
        <v>100000</v>
      </c>
      <c r="C200" s="615">
        <f t="shared" si="12"/>
        <v>118648.69999999998</v>
      </c>
      <c r="D200" s="532">
        <f t="shared" si="11"/>
        <v>44742</v>
      </c>
      <c r="E200" s="534">
        <v>90</v>
      </c>
      <c r="F200" s="601">
        <v>0.75630838888888807</v>
      </c>
      <c r="G200" s="536" t="s">
        <v>698</v>
      </c>
      <c r="H200">
        <f>100246.58+18402.12</f>
        <v>118648.7</v>
      </c>
    </row>
    <row r="201" spans="1:8" ht="12.75" hidden="1" customHeight="1">
      <c r="A201" s="532">
        <v>44663</v>
      </c>
      <c r="B201" s="615">
        <v>4800</v>
      </c>
      <c r="C201" s="615">
        <f t="shared" si="12"/>
        <v>5687.82</v>
      </c>
      <c r="D201" s="532">
        <f t="shared" si="11"/>
        <v>44753</v>
      </c>
      <c r="E201" s="534">
        <v>90</v>
      </c>
      <c r="F201" s="601">
        <v>0.75012569444444455</v>
      </c>
      <c r="G201" s="536" t="s">
        <v>699</v>
      </c>
      <c r="H201">
        <v>5687.82</v>
      </c>
    </row>
    <row r="202" spans="1:8" ht="12.75" hidden="1" customHeight="1">
      <c r="A202" s="532">
        <v>44655</v>
      </c>
      <c r="B202" s="615">
        <v>38300</v>
      </c>
      <c r="C202" s="615">
        <f t="shared" si="12"/>
        <v>45527.94</v>
      </c>
      <c r="D202" s="532">
        <f t="shared" si="11"/>
        <v>44746</v>
      </c>
      <c r="E202" s="534">
        <v>91</v>
      </c>
      <c r="F202" s="601">
        <v>0.75695007603362685</v>
      </c>
      <c r="G202" s="536" t="s">
        <v>703</v>
      </c>
      <c r="H202">
        <v>45527.94</v>
      </c>
    </row>
    <row r="203" spans="1:8" ht="12.75" hidden="1" customHeight="1">
      <c r="A203" s="532">
        <v>44655</v>
      </c>
      <c r="B203" s="615">
        <v>50000</v>
      </c>
      <c r="C203" s="615">
        <f t="shared" si="12"/>
        <v>59227.679999999993</v>
      </c>
      <c r="D203" s="532">
        <f t="shared" si="11"/>
        <v>44746</v>
      </c>
      <c r="E203" s="534">
        <v>91</v>
      </c>
      <c r="F203" s="601">
        <v>0.74024246153846107</v>
      </c>
      <c r="G203" s="536" t="s">
        <v>704</v>
      </c>
      <c r="H203">
        <v>59227.68</v>
      </c>
    </row>
    <row r="204" spans="1:8" ht="12.75" customHeight="1">
      <c r="A204" s="532">
        <v>44663</v>
      </c>
      <c r="B204" s="615">
        <v>15000</v>
      </c>
      <c r="C204" s="615">
        <f t="shared" si="12"/>
        <v>15536.301369863013</v>
      </c>
      <c r="D204" s="532">
        <f t="shared" si="11"/>
        <v>44693</v>
      </c>
      <c r="E204" s="534">
        <v>30</v>
      </c>
      <c r="F204" s="601">
        <v>0.435</v>
      </c>
      <c r="G204" s="536" t="s">
        <v>276</v>
      </c>
    </row>
    <row r="205" spans="1:8" ht="12.75" hidden="1" customHeight="1">
      <c r="A205" s="532">
        <v>44655</v>
      </c>
      <c r="B205" s="615">
        <v>50000</v>
      </c>
      <c r="C205" s="615">
        <f t="shared" si="12"/>
        <v>59436.409999999996</v>
      </c>
      <c r="D205" s="532">
        <f t="shared" si="11"/>
        <v>44746</v>
      </c>
      <c r="E205" s="534">
        <v>91</v>
      </c>
      <c r="F205" s="601">
        <v>0.75698673626373614</v>
      </c>
      <c r="G205" s="536" t="s">
        <v>698</v>
      </c>
      <c r="H205">
        <f>30073.97+5427.62</f>
        <v>35501.590000000004</v>
      </c>
    </row>
    <row r="206" spans="1:8" ht="12.75" hidden="1" customHeight="1">
      <c r="A206" s="532">
        <v>44656</v>
      </c>
      <c r="B206" s="615">
        <v>10700</v>
      </c>
      <c r="C206" s="615">
        <f t="shared" si="12"/>
        <v>12662.189999999999</v>
      </c>
      <c r="D206" s="532">
        <f t="shared" si="11"/>
        <v>44746</v>
      </c>
      <c r="E206" s="534">
        <v>90</v>
      </c>
      <c r="F206" s="601">
        <v>0.74371687435098621</v>
      </c>
      <c r="G206" s="536" t="s">
        <v>681</v>
      </c>
      <c r="H206">
        <f>60149.59+11174.1</f>
        <v>71323.69</v>
      </c>
    </row>
    <row r="207" spans="1:8" ht="12.75" customHeight="1">
      <c r="A207" s="532">
        <v>44664</v>
      </c>
      <c r="B207" s="615">
        <v>146000</v>
      </c>
      <c r="C207" s="615">
        <f t="shared" si="12"/>
        <v>173596.5</v>
      </c>
      <c r="D207" s="532">
        <f t="shared" si="11"/>
        <v>44754</v>
      </c>
      <c r="E207" s="534">
        <v>90</v>
      </c>
      <c r="F207" s="601">
        <v>0.76656944444444419</v>
      </c>
      <c r="G207" s="536" t="s">
        <v>686</v>
      </c>
      <c r="H207">
        <f>146360+27236.5</f>
        <v>173596.5</v>
      </c>
    </row>
    <row r="208" spans="1:8" ht="12.75" hidden="1" customHeight="1">
      <c r="A208" s="532">
        <v>44657</v>
      </c>
      <c r="B208" s="615">
        <v>37000</v>
      </c>
      <c r="C208" s="615">
        <f t="shared" si="12"/>
        <v>43940.680000000015</v>
      </c>
      <c r="D208" s="532">
        <f t="shared" si="11"/>
        <v>44747</v>
      </c>
      <c r="E208" s="534">
        <v>90</v>
      </c>
      <c r="F208" s="601">
        <v>0.76076522522522649</v>
      </c>
      <c r="G208" s="536" t="s">
        <v>703</v>
      </c>
      <c r="H208">
        <v>43940.68</v>
      </c>
    </row>
    <row r="209" spans="1:8" ht="12.75" hidden="1" customHeight="1">
      <c r="A209" s="532">
        <v>44669</v>
      </c>
      <c r="B209" s="615">
        <v>97800</v>
      </c>
      <c r="C209" s="615">
        <f t="shared" si="12"/>
        <v>116897.73999999999</v>
      </c>
      <c r="D209" s="532">
        <f t="shared" si="11"/>
        <v>44760</v>
      </c>
      <c r="E209" s="534">
        <v>91</v>
      </c>
      <c r="F209" s="601">
        <v>0.78323952223645443</v>
      </c>
      <c r="G209" s="536" t="s">
        <v>699</v>
      </c>
      <c r="H209">
        <v>37495.79</v>
      </c>
    </row>
    <row r="210" spans="1:8" ht="12.75" hidden="1" customHeight="1">
      <c r="A210" s="532">
        <v>44659</v>
      </c>
      <c r="B210" s="615">
        <v>56000</v>
      </c>
      <c r="C210" s="615">
        <f t="shared" si="12"/>
        <v>66525.149999999994</v>
      </c>
      <c r="D210" s="532">
        <f t="shared" si="11"/>
        <v>44749</v>
      </c>
      <c r="E210" s="534">
        <v>90</v>
      </c>
      <c r="F210" s="601">
        <v>0.7622380456349197</v>
      </c>
      <c r="G210" s="536" t="s">
        <v>698</v>
      </c>
      <c r="H210">
        <f>56138.08+10387.07</f>
        <v>66525.149999999994</v>
      </c>
    </row>
    <row r="211" spans="1:8" ht="12.75" hidden="1" customHeight="1">
      <c r="A211" s="532">
        <v>44662</v>
      </c>
      <c r="B211" s="615">
        <v>55000</v>
      </c>
      <c r="C211" s="615">
        <f t="shared" si="12"/>
        <v>65464.08</v>
      </c>
      <c r="D211" s="532">
        <f t="shared" si="11"/>
        <v>44753</v>
      </c>
      <c r="E211" s="534">
        <v>91</v>
      </c>
      <c r="F211" s="601">
        <v>0.76311472527472546</v>
      </c>
      <c r="G211" s="536" t="s">
        <v>701</v>
      </c>
      <c r="H211">
        <f>55137.12+10326.96</f>
        <v>65464.08</v>
      </c>
    </row>
    <row r="212" spans="1:8" ht="12.75" hidden="1" customHeight="1">
      <c r="A212" s="532">
        <v>44663</v>
      </c>
      <c r="B212" s="615">
        <v>38000</v>
      </c>
      <c r="C212" s="615">
        <f t="shared" si="12"/>
        <v>45028.28</v>
      </c>
      <c r="D212" s="532">
        <f t="shared" si="11"/>
        <v>44753</v>
      </c>
      <c r="E212" s="534">
        <v>90</v>
      </c>
      <c r="F212" s="601">
        <v>0.75009421052631531</v>
      </c>
      <c r="G212" s="536" t="s">
        <v>703</v>
      </c>
      <c r="H212">
        <v>45028.28</v>
      </c>
    </row>
    <row r="213" spans="1:8" ht="12.75" hidden="1" customHeight="1">
      <c r="A213" s="532">
        <v>44670</v>
      </c>
      <c r="B213" s="615">
        <v>31670</v>
      </c>
      <c r="C213" s="615">
        <f t="shared" si="12"/>
        <v>37495.789999999994</v>
      </c>
      <c r="D213" s="532">
        <f t="shared" si="11"/>
        <v>44760</v>
      </c>
      <c r="E213" s="534">
        <v>90</v>
      </c>
      <c r="F213" s="601">
        <v>0.74603141774550008</v>
      </c>
      <c r="G213" s="536" t="s">
        <v>699</v>
      </c>
      <c r="H213">
        <v>58568.07</v>
      </c>
    </row>
    <row r="214" spans="1:8" ht="12.75" hidden="1" customHeight="1">
      <c r="A214" s="532">
        <v>44664</v>
      </c>
      <c r="B214" s="615">
        <v>6500</v>
      </c>
      <c r="C214" s="615">
        <f t="shared" si="12"/>
        <v>7728.34</v>
      </c>
      <c r="D214" s="532">
        <f t="shared" si="11"/>
        <v>44754</v>
      </c>
      <c r="E214" s="534">
        <v>90</v>
      </c>
      <c r="F214" s="601">
        <v>0.76640017094017121</v>
      </c>
      <c r="G214" s="536" t="s">
        <v>703</v>
      </c>
      <c r="H214">
        <v>7728.34</v>
      </c>
    </row>
    <row r="215" spans="1:8" ht="12.75" hidden="1" customHeight="1">
      <c r="A215" s="532">
        <v>44664</v>
      </c>
      <c r="B215" s="615">
        <v>40000</v>
      </c>
      <c r="C215" s="615">
        <f t="shared" si="12"/>
        <v>47561.5</v>
      </c>
      <c r="D215" s="532">
        <f t="shared" si="11"/>
        <v>44754</v>
      </c>
      <c r="E215" s="534">
        <v>90</v>
      </c>
      <c r="F215" s="601">
        <v>0.76665208333333301</v>
      </c>
      <c r="G215" s="536" t="s">
        <v>704</v>
      </c>
      <c r="H215">
        <v>47561.5</v>
      </c>
    </row>
    <row r="216" spans="1:8" ht="12.75" customHeight="1">
      <c r="A216" s="532">
        <v>44669</v>
      </c>
      <c r="B216" s="615">
        <v>103000</v>
      </c>
      <c r="C216" s="615">
        <f t="shared" si="12"/>
        <v>123113.13999999998</v>
      </c>
      <c r="D216" s="532">
        <f t="shared" si="11"/>
        <v>44760</v>
      </c>
      <c r="E216" s="534">
        <v>91</v>
      </c>
      <c r="F216" s="601">
        <v>0.78323867491731491</v>
      </c>
      <c r="G216" s="536" t="s">
        <v>686</v>
      </c>
      <c r="H216">
        <f>85211.92+16386.31</f>
        <v>101598.23</v>
      </c>
    </row>
    <row r="217" spans="1:8" ht="12.75" hidden="1" customHeight="1">
      <c r="A217" s="532">
        <v>44671</v>
      </c>
      <c r="B217" s="615">
        <v>40300</v>
      </c>
      <c r="C217" s="615">
        <f t="shared" si="12"/>
        <v>47848.542624999995</v>
      </c>
      <c r="D217" s="532">
        <f t="shared" si="11"/>
        <v>44761</v>
      </c>
      <c r="E217" s="534">
        <v>90</v>
      </c>
      <c r="F217" s="601">
        <v>0.75964104166666613</v>
      </c>
      <c r="G217" s="536" t="s">
        <v>699</v>
      </c>
      <c r="H217">
        <v>47848.54</v>
      </c>
    </row>
    <row r="218" spans="1:8" ht="12.75" hidden="1" customHeight="1">
      <c r="A218" s="532">
        <v>44669</v>
      </c>
      <c r="B218" s="615">
        <v>85000</v>
      </c>
      <c r="C218" s="615">
        <f t="shared" si="12"/>
        <v>101598.23000000001</v>
      </c>
      <c r="D218" s="532">
        <f t="shared" si="11"/>
        <v>44760</v>
      </c>
      <c r="E218" s="534">
        <v>91</v>
      </c>
      <c r="F218" s="601">
        <v>0.78323903684550822</v>
      </c>
      <c r="G218" s="536" t="s">
        <v>698</v>
      </c>
      <c r="H218">
        <v>116897.74</v>
      </c>
    </row>
    <row r="219" spans="1:8" ht="12.75" customHeight="1">
      <c r="A219" s="532">
        <v>44671</v>
      </c>
      <c r="B219" s="615">
        <v>40000</v>
      </c>
      <c r="C219" s="615">
        <f t="shared" si="12"/>
        <v>47492.349999999991</v>
      </c>
      <c r="D219" s="532">
        <f t="shared" si="11"/>
        <v>44761</v>
      </c>
      <c r="E219" s="534">
        <v>90</v>
      </c>
      <c r="F219" s="601">
        <v>0.75964104166666613</v>
      </c>
      <c r="G219" s="536" t="s">
        <v>686</v>
      </c>
      <c r="H219">
        <f>40098.63+7393.72</f>
        <v>47492.35</v>
      </c>
    </row>
    <row r="220" spans="1:8" ht="12.75" hidden="1" customHeight="1">
      <c r="A220" s="532">
        <v>44669</v>
      </c>
      <c r="B220" s="615">
        <v>200000</v>
      </c>
      <c r="C220" s="615">
        <f t="shared" si="12"/>
        <v>239054.66999999998</v>
      </c>
      <c r="D220" s="532">
        <f t="shared" si="11"/>
        <v>44760</v>
      </c>
      <c r="E220" s="534">
        <v>91</v>
      </c>
      <c r="F220" s="601">
        <v>0.78323926098901098</v>
      </c>
      <c r="G220" s="536" t="s">
        <v>701</v>
      </c>
      <c r="H220">
        <f>2004.93+362.97</f>
        <v>2367.9</v>
      </c>
    </row>
    <row r="221" spans="1:8" ht="12.75" hidden="1" customHeight="1">
      <c r="A221" s="532">
        <v>44669</v>
      </c>
      <c r="B221" s="615">
        <v>49000</v>
      </c>
      <c r="C221" s="615">
        <f t="shared" si="12"/>
        <v>58568.070000000014</v>
      </c>
      <c r="D221" s="532">
        <f t="shared" si="11"/>
        <v>44760</v>
      </c>
      <c r="E221" s="534">
        <v>91</v>
      </c>
      <c r="F221" s="601">
        <v>0.7832127270688507</v>
      </c>
      <c r="G221" s="536" t="s">
        <v>703</v>
      </c>
      <c r="H221">
        <f>103256.79+19856.35</f>
        <v>123113.13999999998</v>
      </c>
    </row>
    <row r="222" spans="1:8" ht="12.75" hidden="1" customHeight="1">
      <c r="A222" s="532">
        <v>44669</v>
      </c>
      <c r="B222" s="615">
        <v>9900</v>
      </c>
      <c r="C222" s="615">
        <f t="shared" si="12"/>
        <v>11849.54</v>
      </c>
      <c r="D222" s="532">
        <f t="shared" si="11"/>
        <v>44760</v>
      </c>
      <c r="E222" s="534">
        <v>91</v>
      </c>
      <c r="F222" s="601">
        <v>0.78985692085692139</v>
      </c>
      <c r="G222" s="536" t="s">
        <v>681</v>
      </c>
      <c r="H222">
        <f>200498.63+38556.04</f>
        <v>239054.67</v>
      </c>
    </row>
    <row r="223" spans="1:8" ht="12.75" hidden="1" customHeight="1">
      <c r="A223" s="532">
        <v>44672</v>
      </c>
      <c r="B223" s="615">
        <v>5000</v>
      </c>
      <c r="C223" s="615">
        <f t="shared" si="12"/>
        <v>5201.6438356164381</v>
      </c>
      <c r="D223" s="532">
        <f t="shared" si="11"/>
        <v>44704</v>
      </c>
      <c r="E223" s="534">
        <v>32</v>
      </c>
      <c r="F223" s="601">
        <v>0.46</v>
      </c>
      <c r="G223" s="536" t="s">
        <v>699</v>
      </c>
    </row>
    <row r="224" spans="1:8" ht="12.75" hidden="1" customHeight="1">
      <c r="A224" s="532">
        <v>44670</v>
      </c>
      <c r="B224" s="615">
        <v>2000</v>
      </c>
      <c r="C224" s="615">
        <f t="shared" si="12"/>
        <v>2367.8999999999996</v>
      </c>
      <c r="D224" s="532">
        <f t="shared" si="11"/>
        <v>44760</v>
      </c>
      <c r="E224" s="534">
        <v>90</v>
      </c>
      <c r="F224" s="601">
        <v>0.7460194444444439</v>
      </c>
      <c r="G224" s="536" t="s">
        <v>698</v>
      </c>
      <c r="H224">
        <f>11820.38+29.16</f>
        <v>11849.539999999999</v>
      </c>
    </row>
    <row r="225" spans="1:8" ht="12.75" customHeight="1">
      <c r="A225" s="532">
        <v>44673</v>
      </c>
      <c r="B225" s="615">
        <v>160000</v>
      </c>
      <c r="C225" s="615">
        <f t="shared" si="12"/>
        <v>189770.12</v>
      </c>
      <c r="D225" s="532">
        <f t="shared" si="11"/>
        <v>44763</v>
      </c>
      <c r="E225" s="534">
        <v>90</v>
      </c>
      <c r="F225" s="601">
        <v>0.75458984722222178</v>
      </c>
      <c r="G225" s="536" t="s">
        <v>686</v>
      </c>
      <c r="H225">
        <f>160394.52+29375.6</f>
        <v>189770.12</v>
      </c>
    </row>
    <row r="226" spans="1:8" ht="12.75" hidden="1" customHeight="1">
      <c r="A226" s="532">
        <v>44676</v>
      </c>
      <c r="B226" s="615">
        <v>10300</v>
      </c>
      <c r="C226" s="615">
        <f t="shared" si="12"/>
        <v>12231.922159624412</v>
      </c>
      <c r="D226" s="532">
        <f t="shared" si="11"/>
        <v>44767</v>
      </c>
      <c r="E226" s="534">
        <v>91</v>
      </c>
      <c r="F226" s="601">
        <v>0.75232218954754115</v>
      </c>
      <c r="G226" s="536" t="s">
        <v>699</v>
      </c>
      <c r="H226">
        <v>12231.93</v>
      </c>
    </row>
    <row r="227" spans="1:8" ht="12.75" hidden="1" customHeight="1">
      <c r="A227" s="532">
        <v>44673</v>
      </c>
      <c r="B227" s="615">
        <v>4000</v>
      </c>
      <c r="C227" s="615">
        <f t="shared" si="12"/>
        <v>4744.9299999999994</v>
      </c>
      <c r="D227" s="532">
        <f t="shared" si="11"/>
        <v>44763</v>
      </c>
      <c r="E227" s="534">
        <v>90</v>
      </c>
      <c r="F227" s="601">
        <v>0.75527624999999954</v>
      </c>
      <c r="G227" s="536" t="s">
        <v>681</v>
      </c>
      <c r="H227">
        <f>4732.9+12.03</f>
        <v>4744.9299999999994</v>
      </c>
    </row>
    <row r="228" spans="1:8" ht="12.75" hidden="1" customHeight="1">
      <c r="A228" s="532">
        <v>44673</v>
      </c>
      <c r="B228" s="615">
        <v>42000</v>
      </c>
      <c r="C228" s="615">
        <f t="shared" si="12"/>
        <v>49814.66</v>
      </c>
      <c r="D228" s="532">
        <f t="shared" si="11"/>
        <v>44763</v>
      </c>
      <c r="E228" s="534">
        <v>90</v>
      </c>
      <c r="F228" s="601">
        <v>0.75459018518518572</v>
      </c>
      <c r="G228" s="536" t="s">
        <v>698</v>
      </c>
      <c r="H228">
        <f>42103.56+7711.1</f>
        <v>49814.659999999996</v>
      </c>
    </row>
    <row r="229" spans="1:8" ht="12.75" customHeight="1">
      <c r="A229" s="532">
        <v>44676</v>
      </c>
      <c r="B229" s="615">
        <v>24000</v>
      </c>
      <c r="C229" s="615">
        <f t="shared" si="12"/>
        <v>24937.64383561644</v>
      </c>
      <c r="D229" s="532">
        <f t="shared" si="11"/>
        <v>44707</v>
      </c>
      <c r="E229" s="534">
        <v>31</v>
      </c>
      <c r="F229" s="601">
        <v>0.46</v>
      </c>
      <c r="G229" s="536" t="s">
        <v>276</v>
      </c>
    </row>
    <row r="230" spans="1:8" ht="12.75" hidden="1" customHeight="1">
      <c r="A230" s="532">
        <v>44673</v>
      </c>
      <c r="B230" s="615">
        <v>30000</v>
      </c>
      <c r="C230" s="615">
        <f t="shared" si="12"/>
        <v>35581.629999999997</v>
      </c>
      <c r="D230" s="532">
        <f t="shared" si="11"/>
        <v>44763</v>
      </c>
      <c r="E230" s="534">
        <v>90</v>
      </c>
      <c r="F230" s="601">
        <v>0.75455368518518517</v>
      </c>
      <c r="G230" s="536" t="s">
        <v>687</v>
      </c>
      <c r="H230">
        <v>35581.629999999997</v>
      </c>
    </row>
    <row r="231" spans="1:8" ht="12.75" hidden="1" customHeight="1">
      <c r="A231" s="532">
        <v>44673</v>
      </c>
      <c r="B231" s="615">
        <v>60000</v>
      </c>
      <c r="C231" s="615">
        <f t="shared" si="12"/>
        <v>71163.259999999995</v>
      </c>
      <c r="D231" s="532">
        <f t="shared" si="11"/>
        <v>44763</v>
      </c>
      <c r="E231" s="534">
        <v>90</v>
      </c>
      <c r="F231" s="601">
        <v>0.75455368518518517</v>
      </c>
      <c r="G231" s="536" t="s">
        <v>704</v>
      </c>
      <c r="H231">
        <v>71163.259999999995</v>
      </c>
    </row>
    <row r="232" spans="1:8" ht="12.75" hidden="1" customHeight="1">
      <c r="A232" s="532">
        <v>44676</v>
      </c>
      <c r="B232" s="615">
        <v>10650</v>
      </c>
      <c r="C232" s="615">
        <f t="shared" si="12"/>
        <v>12647.57</v>
      </c>
      <c r="D232" s="532">
        <f t="shared" si="11"/>
        <v>44767</v>
      </c>
      <c r="E232" s="534">
        <v>91</v>
      </c>
      <c r="F232" s="601">
        <v>0.75232218954754115</v>
      </c>
      <c r="G232" s="536" t="s">
        <v>701</v>
      </c>
      <c r="H232">
        <f>10676.55+1971.02</f>
        <v>12647.57</v>
      </c>
    </row>
    <row r="233" spans="1:8" ht="12.75" hidden="1" customHeight="1">
      <c r="A233" s="532">
        <v>44676</v>
      </c>
      <c r="B233" s="615">
        <v>16800</v>
      </c>
      <c r="C233" s="615">
        <f t="shared" si="12"/>
        <v>19951.096338028168</v>
      </c>
      <c r="D233" s="532">
        <f t="shared" si="11"/>
        <v>44767</v>
      </c>
      <c r="E233" s="534">
        <v>91</v>
      </c>
      <c r="F233" s="601">
        <v>0.75232218954754115</v>
      </c>
      <c r="G233" s="536" t="s">
        <v>698</v>
      </c>
      <c r="H233">
        <f>16841.88+3109.22</f>
        <v>19951.100000000002</v>
      </c>
    </row>
    <row r="234" spans="1:8" ht="12.75" hidden="1" customHeight="1">
      <c r="A234" s="532">
        <v>44677</v>
      </c>
      <c r="B234" s="615">
        <v>6000</v>
      </c>
      <c r="C234" s="615">
        <f t="shared" si="12"/>
        <v>6226.8493150684935</v>
      </c>
      <c r="D234" s="532">
        <f t="shared" si="11"/>
        <v>44707</v>
      </c>
      <c r="E234" s="534">
        <v>30</v>
      </c>
      <c r="F234" s="601">
        <v>0.46</v>
      </c>
      <c r="G234" s="536" t="s">
        <v>696</v>
      </c>
    </row>
    <row r="235" spans="1:8" ht="12.75" hidden="1" customHeight="1">
      <c r="A235" s="532">
        <v>44676</v>
      </c>
      <c r="B235" s="615">
        <v>40750</v>
      </c>
      <c r="C235" s="615">
        <f t="shared" si="12"/>
        <v>48393.59</v>
      </c>
      <c r="D235" s="532">
        <f t="shared" si="11"/>
        <v>44767</v>
      </c>
      <c r="E235" s="534">
        <v>91</v>
      </c>
      <c r="F235" s="601">
        <v>0.75235228207375404</v>
      </c>
      <c r="G235" s="536" t="s">
        <v>681</v>
      </c>
      <c r="H235">
        <f>48272.89+120.7</f>
        <v>48393.59</v>
      </c>
    </row>
    <row r="236" spans="1:8" ht="12.75" hidden="1" customHeight="1">
      <c r="A236" s="532">
        <v>44676</v>
      </c>
      <c r="B236" s="615">
        <v>15000</v>
      </c>
      <c r="C236" s="615">
        <f t="shared" si="12"/>
        <v>17750.95</v>
      </c>
      <c r="D236" s="532">
        <f t="shared" si="11"/>
        <v>44767</v>
      </c>
      <c r="E236" s="534">
        <v>91</v>
      </c>
      <c r="F236" s="601">
        <v>0.7356020146520148</v>
      </c>
      <c r="G236" s="536" t="s">
        <v>687</v>
      </c>
      <c r="H236">
        <v>17750.95</v>
      </c>
    </row>
    <row r="237" spans="1:8" ht="12.75" hidden="1" customHeight="1">
      <c r="A237" s="532">
        <v>44678</v>
      </c>
      <c r="B237" s="615">
        <v>65000</v>
      </c>
      <c r="C237" s="615">
        <f t="shared" si="12"/>
        <v>76902.77</v>
      </c>
      <c r="D237" s="532">
        <f t="shared" si="11"/>
        <v>44768</v>
      </c>
      <c r="E237" s="534">
        <v>90</v>
      </c>
      <c r="F237" s="601">
        <v>0.74265146153846184</v>
      </c>
      <c r="G237" s="536" t="s">
        <v>704</v>
      </c>
      <c r="H237">
        <v>76902.77</v>
      </c>
    </row>
    <row r="238" spans="1:8" ht="12.75" hidden="1" customHeight="1">
      <c r="A238" s="532">
        <v>44678</v>
      </c>
      <c r="B238" s="615">
        <v>7250</v>
      </c>
      <c r="C238" s="615">
        <f t="shared" si="12"/>
        <v>8577.6200000000026</v>
      </c>
      <c r="D238" s="532">
        <f t="shared" si="11"/>
        <v>44768</v>
      </c>
      <c r="E238" s="534">
        <v>90</v>
      </c>
      <c r="F238" s="601">
        <v>0.7426533333333345</v>
      </c>
      <c r="G238" s="536" t="s">
        <v>701</v>
      </c>
      <c r="H238">
        <f>7267.88+1309.74</f>
        <v>8577.6200000000008</v>
      </c>
    </row>
    <row r="239" spans="1:8" ht="12.75" customHeight="1">
      <c r="A239" s="532">
        <v>44678</v>
      </c>
      <c r="B239" s="615">
        <v>35000</v>
      </c>
      <c r="C239" s="615">
        <f t="shared" si="12"/>
        <v>41409.199999999997</v>
      </c>
      <c r="D239" s="532">
        <f t="shared" si="11"/>
        <v>44768</v>
      </c>
      <c r="E239" s="534">
        <v>90</v>
      </c>
      <c r="F239" s="601">
        <v>0.74265333333333328</v>
      </c>
      <c r="G239" s="536" t="s">
        <v>686</v>
      </c>
      <c r="H239">
        <f>35086.3+6322.9</f>
        <v>41409.200000000004</v>
      </c>
    </row>
    <row r="240" spans="1:8" ht="12.75" hidden="1" customHeight="1">
      <c r="A240" s="532">
        <v>44678</v>
      </c>
      <c r="B240" s="615">
        <v>21500</v>
      </c>
      <c r="C240" s="615">
        <f t="shared" si="12"/>
        <v>25488.338182943815</v>
      </c>
      <c r="D240" s="532">
        <f t="shared" si="11"/>
        <v>44768</v>
      </c>
      <c r="E240" s="534">
        <v>90</v>
      </c>
      <c r="F240" s="601">
        <v>0.75232218954754115</v>
      </c>
      <c r="G240" s="536" t="s">
        <v>681</v>
      </c>
      <c r="H240">
        <f>25375.03+62</f>
        <v>25437.03</v>
      </c>
    </row>
    <row r="241" spans="1:8" ht="12.75" hidden="1" customHeight="1">
      <c r="A241" s="532">
        <v>44678</v>
      </c>
      <c r="B241" s="615">
        <v>57100</v>
      </c>
      <c r="C241" s="615">
        <f t="shared" si="12"/>
        <v>67556.17</v>
      </c>
      <c r="D241" s="532">
        <f t="shared" si="11"/>
        <v>44768</v>
      </c>
      <c r="E241" s="534">
        <v>90</v>
      </c>
      <c r="F241" s="601">
        <v>0.7426546117921774</v>
      </c>
      <c r="G241" s="536" t="s">
        <v>699</v>
      </c>
      <c r="H241">
        <v>67556.17</v>
      </c>
    </row>
    <row r="242" spans="1:8" ht="12.75" customHeight="1">
      <c r="A242" s="532">
        <v>44679</v>
      </c>
      <c r="B242" s="615">
        <v>96000</v>
      </c>
      <c r="C242" s="615">
        <f t="shared" si="12"/>
        <v>113534.76</v>
      </c>
      <c r="D242" s="532">
        <f t="shared" si="11"/>
        <v>44769</v>
      </c>
      <c r="E242" s="534">
        <v>90</v>
      </c>
      <c r="F242" s="601">
        <v>0.74076243055555524</v>
      </c>
      <c r="G242" s="536" t="s">
        <v>686</v>
      </c>
      <c r="H242">
        <f>96236.71+17298.05</f>
        <v>113534.76000000001</v>
      </c>
    </row>
    <row r="243" spans="1:8" ht="12.75" hidden="1" customHeight="1">
      <c r="A243" s="532">
        <v>44679</v>
      </c>
      <c r="B243" s="615">
        <v>59100</v>
      </c>
      <c r="C243" s="615">
        <f t="shared" si="12"/>
        <v>69894.840000000011</v>
      </c>
      <c r="D243" s="532">
        <f t="shared" si="11"/>
        <v>44769</v>
      </c>
      <c r="E243" s="534">
        <v>90</v>
      </c>
      <c r="F243" s="601">
        <v>0.74076266215454067</v>
      </c>
      <c r="G243" s="536" t="s">
        <v>698</v>
      </c>
      <c r="H243">
        <f>59245.73+10649.11</f>
        <v>69894.84</v>
      </c>
    </row>
    <row r="244" spans="1:8" ht="12.75" hidden="1" customHeight="1">
      <c r="A244" s="532">
        <v>44679</v>
      </c>
      <c r="B244" s="615">
        <v>13450</v>
      </c>
      <c r="C244" s="615">
        <f t="shared" si="12"/>
        <v>15906.460000000001</v>
      </c>
      <c r="D244" s="532">
        <f t="shared" si="11"/>
        <v>44769</v>
      </c>
      <c r="E244" s="534">
        <v>90</v>
      </c>
      <c r="F244" s="601">
        <v>0.74069219330855052</v>
      </c>
      <c r="G244" s="536" t="s">
        <v>703</v>
      </c>
      <c r="H244">
        <v>15906.46</v>
      </c>
    </row>
    <row r="245" spans="1:8" ht="12.75" hidden="1" customHeight="1">
      <c r="A245" s="532">
        <v>44679</v>
      </c>
      <c r="B245" s="615">
        <v>10000</v>
      </c>
      <c r="C245" s="615">
        <f t="shared" si="12"/>
        <v>11826.869999999999</v>
      </c>
      <c r="D245" s="532">
        <f t="shared" si="11"/>
        <v>44769</v>
      </c>
      <c r="E245" s="534">
        <v>90</v>
      </c>
      <c r="F245" s="601">
        <v>0.74089727777777759</v>
      </c>
      <c r="G245" s="536" t="s">
        <v>704</v>
      </c>
      <c r="H245">
        <v>11826.87</v>
      </c>
    </row>
    <row r="246" spans="1:8" ht="12.75" customHeight="1">
      <c r="A246" s="532">
        <v>44680</v>
      </c>
      <c r="B246" s="615">
        <v>27000</v>
      </c>
      <c r="C246" s="615">
        <f t="shared" si="12"/>
        <v>31913.96</v>
      </c>
      <c r="D246" s="532">
        <f t="shared" si="11"/>
        <v>44770</v>
      </c>
      <c r="E246" s="534">
        <v>90</v>
      </c>
      <c r="F246" s="601">
        <v>0.73810510288065845</v>
      </c>
      <c r="G246" s="536" t="s">
        <v>686</v>
      </c>
      <c r="H246">
        <f>27066.58+4847.38</f>
        <v>31913.960000000003</v>
      </c>
    </row>
    <row r="247" spans="1:8" ht="12.75" hidden="1" customHeight="1">
      <c r="A247" s="532">
        <v>44680</v>
      </c>
      <c r="B247" s="615">
        <v>66200</v>
      </c>
      <c r="C247" s="615">
        <f t="shared" si="12"/>
        <v>78248.301925925931</v>
      </c>
      <c r="D247" s="532">
        <f t="shared" si="11"/>
        <v>44770</v>
      </c>
      <c r="E247" s="534">
        <v>90</v>
      </c>
      <c r="F247" s="601">
        <v>0.73810510288065845</v>
      </c>
      <c r="G247" s="536" t="s">
        <v>701</v>
      </c>
      <c r="H247">
        <f>66363.23+11885.08</f>
        <v>78248.31</v>
      </c>
    </row>
    <row r="248" spans="1:8" ht="12.75" hidden="1" customHeight="1">
      <c r="A248" s="532">
        <v>44680</v>
      </c>
      <c r="B248" s="615">
        <v>30000</v>
      </c>
      <c r="C248" s="615">
        <f t="shared" si="12"/>
        <v>35459.955555555556</v>
      </c>
      <c r="D248" s="532">
        <f t="shared" si="11"/>
        <v>44770</v>
      </c>
      <c r="E248" s="534">
        <v>90</v>
      </c>
      <c r="F248" s="601">
        <v>0.73810510288065845</v>
      </c>
      <c r="G248" s="536" t="s">
        <v>701</v>
      </c>
      <c r="H248">
        <f>30073.97+5385.99</f>
        <v>35459.96</v>
      </c>
    </row>
    <row r="249" spans="1:8" ht="12.75" hidden="1" customHeight="1">
      <c r="A249" s="532">
        <v>44680</v>
      </c>
      <c r="B249" s="615">
        <v>26000</v>
      </c>
      <c r="C249" s="615">
        <f t="shared" si="12"/>
        <v>30732.37</v>
      </c>
      <c r="D249" s="532">
        <f t="shared" si="11"/>
        <v>44770</v>
      </c>
      <c r="E249" s="534">
        <v>90</v>
      </c>
      <c r="F249" s="601">
        <v>0.73816882478632462</v>
      </c>
      <c r="G249" s="536" t="s">
        <v>704</v>
      </c>
      <c r="H249">
        <v>30732.37</v>
      </c>
    </row>
    <row r="250" spans="1:8" ht="12.75" customHeight="1">
      <c r="A250" s="532">
        <v>44683</v>
      </c>
      <c r="B250" s="615">
        <v>118000</v>
      </c>
      <c r="C250" s="615">
        <f t="shared" si="12"/>
        <v>139639.41999999995</v>
      </c>
      <c r="D250" s="532">
        <f t="shared" si="11"/>
        <v>44774</v>
      </c>
      <c r="E250" s="534">
        <v>91</v>
      </c>
      <c r="F250" s="601">
        <v>0.73555487986589574</v>
      </c>
      <c r="G250" s="536" t="s">
        <v>686</v>
      </c>
      <c r="H250">
        <f>118294.19+21345.23</f>
        <v>139639.42000000001</v>
      </c>
    </row>
    <row r="251" spans="1:8" ht="12.75" hidden="1" customHeight="1">
      <c r="A251" s="532">
        <v>44683</v>
      </c>
      <c r="B251" s="615">
        <v>150000</v>
      </c>
      <c r="C251" s="615">
        <f t="shared" si="12"/>
        <v>177507.45</v>
      </c>
      <c r="D251" s="532">
        <f t="shared" si="11"/>
        <v>44774</v>
      </c>
      <c r="E251" s="534">
        <v>91</v>
      </c>
      <c r="F251" s="601">
        <v>0.73554719780219768</v>
      </c>
      <c r="G251" s="536" t="s">
        <v>704</v>
      </c>
      <c r="H251">
        <v>177507.45</v>
      </c>
    </row>
    <row r="252" spans="1:8" ht="12.75" hidden="1" customHeight="1">
      <c r="A252" s="532">
        <v>44683</v>
      </c>
      <c r="B252" s="615">
        <v>40000</v>
      </c>
      <c r="C252" s="615">
        <f t="shared" si="12"/>
        <v>47336.06</v>
      </c>
      <c r="D252" s="532">
        <f t="shared" si="11"/>
        <v>44774</v>
      </c>
      <c r="E252" s="534">
        <v>91</v>
      </c>
      <c r="F252" s="601">
        <v>0.73562140109890051</v>
      </c>
      <c r="G252" s="536" t="s">
        <v>704</v>
      </c>
      <c r="H252">
        <v>47336.06</v>
      </c>
    </row>
    <row r="253" spans="1:8" ht="12.75" hidden="1" customHeight="1">
      <c r="A253" s="532">
        <v>44683</v>
      </c>
      <c r="B253" s="615">
        <v>30300</v>
      </c>
      <c r="C253" s="615">
        <f t="shared" si="12"/>
        <v>35856.559999999998</v>
      </c>
      <c r="D253" s="532">
        <f t="shared" si="11"/>
        <v>44774</v>
      </c>
      <c r="E253" s="534">
        <v>91</v>
      </c>
      <c r="F253" s="601">
        <v>0.7355544917129071</v>
      </c>
      <c r="G253" s="536" t="s">
        <v>698</v>
      </c>
      <c r="H253">
        <f>30375.54+5481.02</f>
        <v>35856.559999999998</v>
      </c>
    </row>
    <row r="254" spans="1:8" ht="12.75" hidden="1" customHeight="1">
      <c r="A254" s="532">
        <v>44684</v>
      </c>
      <c r="B254" s="615">
        <v>24000</v>
      </c>
      <c r="C254" s="615">
        <f t="shared" si="12"/>
        <v>28216.03</v>
      </c>
      <c r="D254" s="532">
        <f t="shared" ref="D254:D317" si="13">+A254+E254</f>
        <v>44774</v>
      </c>
      <c r="E254" s="534">
        <v>90</v>
      </c>
      <c r="F254" s="601">
        <v>0.71243099537037036</v>
      </c>
      <c r="G254" s="536" t="s">
        <v>687</v>
      </c>
      <c r="H254" s="193">
        <v>28216.03</v>
      </c>
    </row>
    <row r="255" spans="1:8" ht="12.75" customHeight="1">
      <c r="A255" s="532">
        <v>44684</v>
      </c>
      <c r="B255" s="615">
        <v>10000</v>
      </c>
      <c r="C255" s="615">
        <f t="shared" si="12"/>
        <v>11756.81</v>
      </c>
      <c r="D255" s="532">
        <f t="shared" si="13"/>
        <v>44774</v>
      </c>
      <c r="E255" s="534">
        <v>90</v>
      </c>
      <c r="F255" s="601">
        <v>0.71248405555555561</v>
      </c>
      <c r="G255" s="536" t="s">
        <v>686</v>
      </c>
      <c r="H255">
        <f>10024.66+1732.15</f>
        <v>11756.81</v>
      </c>
    </row>
    <row r="256" spans="1:8" ht="12.75" customHeight="1">
      <c r="A256" s="532">
        <v>44685</v>
      </c>
      <c r="B256" s="615">
        <v>40000</v>
      </c>
      <c r="C256" s="615">
        <f t="shared" si="12"/>
        <v>47161.02</v>
      </c>
      <c r="D256" s="532">
        <f t="shared" si="13"/>
        <v>44775</v>
      </c>
      <c r="E256" s="534">
        <v>90</v>
      </c>
      <c r="F256" s="601">
        <v>0.72604786111111053</v>
      </c>
      <c r="G256" s="536" t="s">
        <v>686</v>
      </c>
      <c r="H256">
        <f>40098.63+7062.39</f>
        <v>47161.02</v>
      </c>
    </row>
    <row r="257" spans="1:21" ht="12.75" hidden="1" customHeight="1">
      <c r="A257" s="532">
        <v>44685</v>
      </c>
      <c r="B257" s="615">
        <v>47400</v>
      </c>
      <c r="C257" s="615">
        <f t="shared" si="12"/>
        <v>55885.819999999992</v>
      </c>
      <c r="D257" s="532">
        <f t="shared" si="13"/>
        <v>44775</v>
      </c>
      <c r="E257" s="534">
        <v>90</v>
      </c>
      <c r="F257" s="601">
        <v>0.72604882794186532</v>
      </c>
      <c r="G257" s="536" t="s">
        <v>698</v>
      </c>
      <c r="H257">
        <f>47516.88+8368.94</f>
        <v>55885.82</v>
      </c>
    </row>
    <row r="258" spans="1:21" ht="12.75" hidden="1" customHeight="1">
      <c r="A258" s="532">
        <v>44685</v>
      </c>
      <c r="B258" s="615">
        <v>37000</v>
      </c>
      <c r="C258" s="615">
        <f t="shared" si="12"/>
        <v>43623.51</v>
      </c>
      <c r="D258" s="532">
        <f t="shared" si="13"/>
        <v>44775</v>
      </c>
      <c r="E258" s="534">
        <v>90</v>
      </c>
      <c r="F258" s="601">
        <v>0.72600034534534552</v>
      </c>
      <c r="G258" s="536" t="s">
        <v>703</v>
      </c>
      <c r="H258">
        <v>43623.51</v>
      </c>
    </row>
    <row r="259" spans="1:21" ht="12.75" hidden="1" customHeight="1">
      <c r="A259" s="532">
        <v>44685</v>
      </c>
      <c r="B259" s="615">
        <v>43500</v>
      </c>
      <c r="C259" s="615">
        <f t="shared" si="12"/>
        <v>51287.720000000008</v>
      </c>
      <c r="D259" s="532">
        <f t="shared" si="13"/>
        <v>44775</v>
      </c>
      <c r="E259" s="534">
        <v>90</v>
      </c>
      <c r="F259" s="601">
        <v>0.72605818646232501</v>
      </c>
      <c r="G259" s="536" t="s">
        <v>681</v>
      </c>
      <c r="H259">
        <f>51160.91+126.81</f>
        <v>51287.72</v>
      </c>
    </row>
    <row r="260" spans="1:21" ht="12.75" hidden="1" customHeight="1">
      <c r="A260" s="532">
        <v>44685</v>
      </c>
      <c r="B260" s="615">
        <v>60000</v>
      </c>
      <c r="C260" s="615">
        <f t="shared" ref="C260:C323" si="14">B260+(B260*F260/365*E260)*1</f>
        <v>70742.210000000006</v>
      </c>
      <c r="D260" s="532">
        <f t="shared" si="13"/>
        <v>44775</v>
      </c>
      <c r="E260" s="534">
        <v>90</v>
      </c>
      <c r="F260" s="601">
        <v>0.72609382407407486</v>
      </c>
      <c r="G260" s="536" t="s">
        <v>704</v>
      </c>
      <c r="H260">
        <v>70742.210000000006</v>
      </c>
    </row>
    <row r="261" spans="1:21" ht="12.75" hidden="1" customHeight="1">
      <c r="A261" s="532">
        <v>44685</v>
      </c>
      <c r="B261" s="615">
        <v>40000</v>
      </c>
      <c r="C261" s="615">
        <f t="shared" si="14"/>
        <v>47161.47</v>
      </c>
      <c r="D261" s="532">
        <f t="shared" si="13"/>
        <v>44775</v>
      </c>
      <c r="E261" s="534">
        <v>90</v>
      </c>
      <c r="F261" s="601">
        <v>0.72609348611111091</v>
      </c>
      <c r="G261" s="536" t="s">
        <v>704</v>
      </c>
      <c r="H261">
        <v>47161.47</v>
      </c>
    </row>
    <row r="262" spans="1:21" ht="12.75" customHeight="1">
      <c r="A262" s="532">
        <v>44686</v>
      </c>
      <c r="B262" s="615">
        <v>40000</v>
      </c>
      <c r="C262" s="615">
        <f t="shared" si="14"/>
        <v>47138.92</v>
      </c>
      <c r="D262" s="532">
        <f t="shared" si="13"/>
        <v>44776</v>
      </c>
      <c r="E262" s="534">
        <v>90</v>
      </c>
      <c r="F262" s="601">
        <v>0.72380716666666622</v>
      </c>
      <c r="G262" s="536" t="s">
        <v>686</v>
      </c>
      <c r="H262">
        <f>40098.63+7040.29</f>
        <v>47138.92</v>
      </c>
    </row>
    <row r="263" spans="1:21" ht="12.75" hidden="1" customHeight="1">
      <c r="A263" s="532">
        <v>44686</v>
      </c>
      <c r="B263" s="615">
        <v>4400</v>
      </c>
      <c r="C263" s="615">
        <f t="shared" si="14"/>
        <v>5184.96</v>
      </c>
      <c r="D263" s="532">
        <f t="shared" si="13"/>
        <v>44776</v>
      </c>
      <c r="E263" s="534">
        <v>90</v>
      </c>
      <c r="F263" s="601">
        <v>0.72351111111111099</v>
      </c>
      <c r="G263" s="536" t="s">
        <v>681</v>
      </c>
      <c r="H263">
        <f>5172.67+12.29</f>
        <v>5184.96</v>
      </c>
    </row>
    <row r="264" spans="1:21" ht="12.75" hidden="1" customHeight="1">
      <c r="A264" s="532">
        <v>44686</v>
      </c>
      <c r="B264" s="615">
        <v>40000</v>
      </c>
      <c r="C264" s="615">
        <f t="shared" si="14"/>
        <v>47138.569999999992</v>
      </c>
      <c r="D264" s="532">
        <f t="shared" si="13"/>
        <v>44776</v>
      </c>
      <c r="E264" s="534">
        <v>90</v>
      </c>
      <c r="F264" s="601">
        <v>0.72377168055555519</v>
      </c>
      <c r="G264" s="536" t="s">
        <v>687</v>
      </c>
      <c r="H264">
        <v>47138.57</v>
      </c>
      <c r="U264">
        <v>49314</v>
      </c>
    </row>
    <row r="265" spans="1:21" ht="12.75" customHeight="1">
      <c r="A265" s="532">
        <v>44687</v>
      </c>
      <c r="B265" s="615">
        <v>30000</v>
      </c>
      <c r="C265" s="615">
        <f t="shared" si="14"/>
        <v>35337.69</v>
      </c>
      <c r="D265" s="532">
        <f t="shared" si="13"/>
        <v>44777</v>
      </c>
      <c r="E265" s="534">
        <v>90</v>
      </c>
      <c r="F265" s="601">
        <v>0.72157661111111171</v>
      </c>
      <c r="G265" s="536" t="s">
        <v>686</v>
      </c>
      <c r="H265">
        <f>30073.97+5263.72</f>
        <v>35337.69</v>
      </c>
    </row>
    <row r="266" spans="1:21" ht="12.75" customHeight="1">
      <c r="A266" s="532">
        <v>44690</v>
      </c>
      <c r="B266" s="615">
        <v>30000</v>
      </c>
      <c r="C266" s="615">
        <f t="shared" si="14"/>
        <v>35378.98000000001</v>
      </c>
      <c r="D266" s="532">
        <f t="shared" si="13"/>
        <v>44781</v>
      </c>
      <c r="E266" s="534">
        <v>91</v>
      </c>
      <c r="F266" s="601">
        <v>0.71916765567765661</v>
      </c>
      <c r="G266" s="536" t="s">
        <v>686</v>
      </c>
      <c r="H266">
        <f>30074.79+5304.19</f>
        <v>35378.980000000003</v>
      </c>
    </row>
    <row r="267" spans="1:21" ht="12.75" hidden="1" customHeight="1">
      <c r="A267" s="532">
        <v>44691</v>
      </c>
      <c r="B267" s="615">
        <v>55000</v>
      </c>
      <c r="C267" s="615">
        <f t="shared" si="14"/>
        <v>64439.900000000009</v>
      </c>
      <c r="D267" s="532">
        <f t="shared" si="13"/>
        <v>44781</v>
      </c>
      <c r="E267" s="534">
        <v>90</v>
      </c>
      <c r="F267" s="601">
        <v>0.69607343434343494</v>
      </c>
      <c r="G267" s="536" t="s">
        <v>701</v>
      </c>
      <c r="H267">
        <f>55135.62+9304.28</f>
        <v>64439.9</v>
      </c>
      <c r="U267">
        <v>49314</v>
      </c>
    </row>
    <row r="268" spans="1:21" ht="12.75" customHeight="1">
      <c r="A268" s="532">
        <v>44692</v>
      </c>
      <c r="B268" s="615">
        <v>30000</v>
      </c>
      <c r="C268" s="615">
        <f t="shared" si="14"/>
        <v>35250.67</v>
      </c>
      <c r="D268" s="532">
        <f t="shared" si="13"/>
        <v>44782</v>
      </c>
      <c r="E268" s="534">
        <v>90</v>
      </c>
      <c r="F268" s="601">
        <v>0.70981279629629634</v>
      </c>
      <c r="G268" s="536" t="s">
        <v>686</v>
      </c>
      <c r="H268">
        <f>30073.97+5176.7</f>
        <v>35250.67</v>
      </c>
    </row>
    <row r="269" spans="1:21" ht="12.75" customHeight="1">
      <c r="A269" s="532">
        <v>44693</v>
      </c>
      <c r="B269" s="615">
        <v>20000</v>
      </c>
      <c r="C269" s="615">
        <f t="shared" si="14"/>
        <v>23487.75</v>
      </c>
      <c r="D269" s="532">
        <f t="shared" si="13"/>
        <v>44783</v>
      </c>
      <c r="E269" s="534">
        <v>90</v>
      </c>
      <c r="F269" s="601">
        <v>0.70723819444444413</v>
      </c>
      <c r="G269" s="536" t="s">
        <v>686</v>
      </c>
      <c r="H269">
        <f>20049.32+3438.43</f>
        <v>23487.75</v>
      </c>
    </row>
    <row r="270" spans="1:21" ht="12.75" hidden="1" customHeight="1">
      <c r="A270" s="532">
        <v>44693</v>
      </c>
      <c r="B270" s="615">
        <v>8000</v>
      </c>
      <c r="C270" s="615">
        <f t="shared" si="14"/>
        <v>9372.0499999999975</v>
      </c>
      <c r="D270" s="532">
        <f t="shared" si="13"/>
        <v>44783</v>
      </c>
      <c r="E270" s="534">
        <v>90</v>
      </c>
      <c r="F270" s="601">
        <v>0.695553124999999</v>
      </c>
      <c r="G270" s="536" t="s">
        <v>687</v>
      </c>
      <c r="H270">
        <v>9372.0499999999993</v>
      </c>
    </row>
    <row r="271" spans="1:21" ht="12.75" hidden="1" customHeight="1">
      <c r="A271" s="532">
        <v>44694</v>
      </c>
      <c r="B271" s="615">
        <v>55000</v>
      </c>
      <c r="C271" s="615">
        <f t="shared" si="14"/>
        <v>64561.650000000009</v>
      </c>
      <c r="D271" s="532">
        <f t="shared" si="13"/>
        <v>44784</v>
      </c>
      <c r="E271" s="534">
        <v>90</v>
      </c>
      <c r="F271" s="601">
        <v>0.7050509595959602</v>
      </c>
      <c r="G271" s="536" t="s">
        <v>703</v>
      </c>
      <c r="H271">
        <v>64561.65</v>
      </c>
    </row>
    <row r="272" spans="1:21" ht="12.75" hidden="1" customHeight="1">
      <c r="A272" s="532">
        <v>44694</v>
      </c>
      <c r="B272" s="615">
        <v>6500</v>
      </c>
      <c r="C272" s="615">
        <f t="shared" si="14"/>
        <v>7629.09</v>
      </c>
      <c r="D272" s="532">
        <f t="shared" si="13"/>
        <v>44784</v>
      </c>
      <c r="E272" s="534">
        <v>90</v>
      </c>
      <c r="F272" s="601">
        <v>0.70447495726495746</v>
      </c>
      <c r="G272" s="536" t="s">
        <v>703</v>
      </c>
      <c r="H272">
        <v>7629.09</v>
      </c>
    </row>
    <row r="273" spans="1:8" ht="12.75" hidden="1" customHeight="1">
      <c r="A273" s="532">
        <v>44697</v>
      </c>
      <c r="B273" s="615">
        <v>84000</v>
      </c>
      <c r="C273" s="615">
        <f t="shared" si="14"/>
        <v>98719.710000000021</v>
      </c>
      <c r="D273" s="532">
        <f t="shared" si="13"/>
        <v>44789</v>
      </c>
      <c r="E273" s="534">
        <v>92</v>
      </c>
      <c r="F273" s="601">
        <v>0.69522439829192662</v>
      </c>
      <c r="G273" s="536" t="s">
        <v>699</v>
      </c>
      <c r="H273">
        <v>98719.71</v>
      </c>
    </row>
    <row r="274" spans="1:8" ht="12.75" hidden="1" customHeight="1">
      <c r="A274" s="532">
        <v>44697</v>
      </c>
      <c r="B274" s="615">
        <v>3000</v>
      </c>
      <c r="C274" s="615">
        <f t="shared" si="14"/>
        <v>3524.77</v>
      </c>
      <c r="D274" s="532">
        <f t="shared" si="13"/>
        <v>44789</v>
      </c>
      <c r="E274" s="534">
        <v>92</v>
      </c>
      <c r="F274" s="601">
        <v>0.69398931159420307</v>
      </c>
      <c r="G274" s="536" t="s">
        <v>681</v>
      </c>
      <c r="H274">
        <v>51037.56</v>
      </c>
    </row>
    <row r="275" spans="1:8" ht="12.75" hidden="1" customHeight="1">
      <c r="A275" s="532">
        <v>44698</v>
      </c>
      <c r="B275" s="615">
        <v>43700</v>
      </c>
      <c r="C275" s="615">
        <f t="shared" si="14"/>
        <v>51037.55999999999</v>
      </c>
      <c r="D275" s="532">
        <f t="shared" si="13"/>
        <v>44789</v>
      </c>
      <c r="E275" s="534">
        <v>91</v>
      </c>
      <c r="F275" s="601">
        <v>0.67347534387808927</v>
      </c>
      <c r="G275" s="536" t="s">
        <v>699</v>
      </c>
      <c r="H275">
        <f>3516.44+8.33</f>
        <v>3524.77</v>
      </c>
    </row>
    <row r="276" spans="1:8" ht="12.75" hidden="1" customHeight="1">
      <c r="A276" s="532">
        <v>44698</v>
      </c>
      <c r="B276" s="615">
        <v>2700</v>
      </c>
      <c r="C276" s="615">
        <f t="shared" si="14"/>
        <v>3153.34</v>
      </c>
      <c r="D276" s="532">
        <f t="shared" si="13"/>
        <v>44789</v>
      </c>
      <c r="E276" s="534">
        <v>91</v>
      </c>
      <c r="F276" s="601">
        <v>0.67345991045991049</v>
      </c>
      <c r="G276" s="536" t="s">
        <v>698</v>
      </c>
      <c r="H276">
        <f>2706.73+446.61</f>
        <v>3153.34</v>
      </c>
    </row>
    <row r="277" spans="1:8" ht="12.75" hidden="1" customHeight="1">
      <c r="A277" s="532">
        <v>44700</v>
      </c>
      <c r="B277" s="615">
        <v>6200</v>
      </c>
      <c r="C277" s="615">
        <f t="shared" si="14"/>
        <v>7280.57</v>
      </c>
      <c r="D277" s="532">
        <f t="shared" si="13"/>
        <v>44790</v>
      </c>
      <c r="E277" s="534">
        <v>90</v>
      </c>
      <c r="F277" s="601">
        <v>0.70682446236559104</v>
      </c>
      <c r="G277" s="536" t="s">
        <v>701</v>
      </c>
      <c r="H277">
        <f>6215.29+1065.28</f>
        <v>7280.57</v>
      </c>
    </row>
    <row r="278" spans="1:8" ht="12.75" hidden="1" customHeight="1">
      <c r="A278" s="532">
        <v>44701</v>
      </c>
      <c r="B278" s="615">
        <v>45000</v>
      </c>
      <c r="C278" s="615">
        <f t="shared" si="14"/>
        <v>52768.079999999994</v>
      </c>
      <c r="D278" s="532">
        <f t="shared" si="13"/>
        <v>44791</v>
      </c>
      <c r="E278" s="534">
        <v>90</v>
      </c>
      <c r="F278" s="601">
        <v>0.70008622222222194</v>
      </c>
      <c r="G278" s="536" t="s">
        <v>699</v>
      </c>
      <c r="H278">
        <v>52768.08</v>
      </c>
    </row>
    <row r="279" spans="1:8" ht="12.75" hidden="1" customHeight="1">
      <c r="A279" s="532">
        <v>44705</v>
      </c>
      <c r="B279" s="615">
        <v>50000</v>
      </c>
      <c r="C279" s="615">
        <f t="shared" si="14"/>
        <v>58455.73</v>
      </c>
      <c r="D279" s="532">
        <f t="shared" si="13"/>
        <v>44795</v>
      </c>
      <c r="E279" s="534">
        <v>90</v>
      </c>
      <c r="F279" s="601">
        <v>0.685853655555556</v>
      </c>
      <c r="G279" s="536" t="s">
        <v>698</v>
      </c>
      <c r="H279">
        <f>50123.29+8332.44</f>
        <v>58455.73</v>
      </c>
    </row>
    <row r="280" spans="1:8" ht="12.75" hidden="1" customHeight="1">
      <c r="A280" s="532">
        <v>44708</v>
      </c>
      <c r="B280" s="615">
        <v>6250</v>
      </c>
      <c r="C280" s="615">
        <f t="shared" si="14"/>
        <v>7350.1400000000012</v>
      </c>
      <c r="D280" s="532">
        <f t="shared" si="13"/>
        <v>44798</v>
      </c>
      <c r="E280" s="534">
        <v>90</v>
      </c>
      <c r="F280" s="601">
        <v>0.71386862222222258</v>
      </c>
      <c r="G280" s="536" t="s">
        <v>699</v>
      </c>
      <c r="H280">
        <v>7350.14</v>
      </c>
    </row>
    <row r="281" spans="1:8" ht="12.75" customHeight="1">
      <c r="A281" s="532">
        <v>44708</v>
      </c>
      <c r="B281" s="615">
        <v>25000</v>
      </c>
      <c r="C281" s="615">
        <f t="shared" si="14"/>
        <v>29399.93</v>
      </c>
      <c r="D281" s="532">
        <f t="shared" si="13"/>
        <v>44798</v>
      </c>
      <c r="E281" s="534">
        <v>90</v>
      </c>
      <c r="F281" s="601">
        <v>0.71376642222222242</v>
      </c>
      <c r="G281" s="536" t="s">
        <v>686</v>
      </c>
      <c r="H281">
        <f>25061.04+4338.89</f>
        <v>29399.93</v>
      </c>
    </row>
    <row r="282" spans="1:8" ht="12.75" hidden="1" customHeight="1">
      <c r="A282" s="532">
        <v>44708</v>
      </c>
      <c r="B282" s="615">
        <v>60000</v>
      </c>
      <c r="C282" s="615">
        <f t="shared" si="14"/>
        <v>70561.73000000001</v>
      </c>
      <c r="D282" s="532">
        <f t="shared" si="13"/>
        <v>44798</v>
      </c>
      <c r="E282" s="534">
        <v>90</v>
      </c>
      <c r="F282" s="601">
        <v>0.71389471296296403</v>
      </c>
      <c r="G282" s="536" t="s">
        <v>687</v>
      </c>
      <c r="H282">
        <v>70561.73</v>
      </c>
    </row>
    <row r="283" spans="1:8" ht="12.75" hidden="1" customHeight="1">
      <c r="A283" s="532">
        <v>44711</v>
      </c>
      <c r="B283" s="615">
        <v>70000</v>
      </c>
      <c r="C283" s="615">
        <f t="shared" si="14"/>
        <v>82547.48000000001</v>
      </c>
      <c r="D283" s="532">
        <f t="shared" si="13"/>
        <v>44802</v>
      </c>
      <c r="E283" s="534">
        <v>91</v>
      </c>
      <c r="F283" s="601">
        <v>0.71896863422292057</v>
      </c>
      <c r="G283" s="536" t="s">
        <v>687</v>
      </c>
      <c r="H283">
        <f>586442.47+99521.98</f>
        <v>685964.45</v>
      </c>
    </row>
    <row r="284" spans="1:8" ht="12.75" customHeight="1">
      <c r="A284" s="532">
        <v>44712</v>
      </c>
      <c r="B284" s="615">
        <v>585000</v>
      </c>
      <c r="C284" s="615">
        <f t="shared" si="14"/>
        <v>685964.45</v>
      </c>
      <c r="D284" s="532">
        <f t="shared" si="13"/>
        <v>44802</v>
      </c>
      <c r="E284" s="534">
        <v>90</v>
      </c>
      <c r="F284" s="601">
        <v>0.69994348053181343</v>
      </c>
      <c r="G284" s="536" t="s">
        <v>686</v>
      </c>
      <c r="H284">
        <f>142049.4+24106.26</f>
        <v>166155.66</v>
      </c>
    </row>
    <row r="285" spans="1:8" ht="12.75" hidden="1" customHeight="1">
      <c r="A285" s="532">
        <v>44712</v>
      </c>
      <c r="B285" s="615">
        <v>141700</v>
      </c>
      <c r="C285" s="615">
        <f t="shared" si="14"/>
        <v>166155.66000000003</v>
      </c>
      <c r="D285" s="532">
        <f t="shared" si="13"/>
        <v>44802</v>
      </c>
      <c r="E285" s="534">
        <v>90</v>
      </c>
      <c r="F285" s="601">
        <v>0.69993851642750782</v>
      </c>
      <c r="G285" s="536" t="s">
        <v>698</v>
      </c>
      <c r="H285">
        <f>39096.16+6634.75</f>
        <v>45730.91</v>
      </c>
    </row>
    <row r="286" spans="1:8" ht="12.75" hidden="1" customHeight="1">
      <c r="A286" s="532">
        <v>44712</v>
      </c>
      <c r="B286" s="615">
        <v>39000</v>
      </c>
      <c r="C286" s="615">
        <f t="shared" si="14"/>
        <v>45730.91</v>
      </c>
      <c r="D286" s="532">
        <f t="shared" si="13"/>
        <v>44802</v>
      </c>
      <c r="E286" s="534">
        <v>90</v>
      </c>
      <c r="F286" s="601">
        <v>0.69993793447293517</v>
      </c>
      <c r="G286" s="536" t="s">
        <v>701</v>
      </c>
      <c r="H286">
        <v>70356</v>
      </c>
    </row>
    <row r="287" spans="1:8" ht="12.75" hidden="1" customHeight="1">
      <c r="A287" s="532">
        <v>44712</v>
      </c>
      <c r="B287" s="615">
        <v>60000</v>
      </c>
      <c r="C287" s="615">
        <f t="shared" si="14"/>
        <v>70356.000000000015</v>
      </c>
      <c r="D287" s="532">
        <f t="shared" si="13"/>
        <v>44802</v>
      </c>
      <c r="E287" s="534">
        <v>90</v>
      </c>
      <c r="F287" s="601">
        <v>0.6999888888888901</v>
      </c>
      <c r="G287" s="536" t="s">
        <v>687</v>
      </c>
      <c r="H287">
        <v>82547.48</v>
      </c>
    </row>
    <row r="288" spans="1:8" ht="12.75" hidden="1" customHeight="1">
      <c r="A288" s="532">
        <v>44712</v>
      </c>
      <c r="B288" s="615">
        <v>10000</v>
      </c>
      <c r="C288" s="615">
        <f t="shared" si="14"/>
        <v>11726.239999999998</v>
      </c>
      <c r="D288" s="532">
        <f t="shared" si="13"/>
        <v>44802</v>
      </c>
      <c r="E288" s="534">
        <v>90</v>
      </c>
      <c r="F288" s="601">
        <v>0.70008622222222172</v>
      </c>
      <c r="G288" s="536" t="s">
        <v>704</v>
      </c>
      <c r="H288">
        <v>11726.24</v>
      </c>
    </row>
    <row r="289" spans="1:8" ht="12.75" hidden="1" customHeight="1">
      <c r="A289" s="532">
        <v>44713</v>
      </c>
      <c r="B289" s="615">
        <v>20000</v>
      </c>
      <c r="C289" s="615">
        <f t="shared" si="14"/>
        <v>23569.629999999997</v>
      </c>
      <c r="D289" s="532">
        <f t="shared" si="13"/>
        <v>44803</v>
      </c>
      <c r="E289" s="534">
        <v>90</v>
      </c>
      <c r="F289" s="601">
        <v>0.72384163888888864</v>
      </c>
      <c r="G289" s="536" t="s">
        <v>699</v>
      </c>
      <c r="H289">
        <v>23569.63</v>
      </c>
    </row>
    <row r="290" spans="1:8" ht="12.75" hidden="1" customHeight="1">
      <c r="A290" s="532">
        <v>44713</v>
      </c>
      <c r="B290" s="615">
        <v>100000</v>
      </c>
      <c r="C290" s="615">
        <f t="shared" si="14"/>
        <v>117848.39</v>
      </c>
      <c r="D290" s="532">
        <f t="shared" si="13"/>
        <v>44803</v>
      </c>
      <c r="E290" s="534">
        <v>90</v>
      </c>
      <c r="F290" s="601">
        <v>0.72385137222222229</v>
      </c>
      <c r="G290" s="536" t="s">
        <v>704</v>
      </c>
      <c r="H290">
        <v>117848.39</v>
      </c>
    </row>
    <row r="291" spans="1:8" ht="12.75" hidden="1" customHeight="1">
      <c r="A291" s="532">
        <v>44714</v>
      </c>
      <c r="B291" s="615">
        <v>100000</v>
      </c>
      <c r="C291" s="615">
        <f t="shared" si="14"/>
        <v>117905.29</v>
      </c>
      <c r="D291" s="532">
        <f t="shared" si="13"/>
        <v>44804</v>
      </c>
      <c r="E291" s="534">
        <v>90</v>
      </c>
      <c r="F291" s="601">
        <v>0.72615898333333317</v>
      </c>
      <c r="G291" s="536" t="s">
        <v>704</v>
      </c>
      <c r="H291">
        <v>117905.29</v>
      </c>
    </row>
    <row r="292" spans="1:8" ht="12.75" hidden="1" customHeight="1">
      <c r="A292" s="532">
        <v>44715</v>
      </c>
      <c r="B292" s="615">
        <v>37000</v>
      </c>
      <c r="C292" s="615">
        <f t="shared" si="14"/>
        <v>43642.46</v>
      </c>
      <c r="D292" s="532">
        <f t="shared" si="13"/>
        <v>44805</v>
      </c>
      <c r="E292" s="534">
        <v>90</v>
      </c>
      <c r="F292" s="601">
        <v>0.7280774474474474</v>
      </c>
      <c r="G292" s="536" t="s">
        <v>703</v>
      </c>
      <c r="H292">
        <v>43642.46</v>
      </c>
    </row>
    <row r="293" spans="1:8" ht="12.75" hidden="1" customHeight="1">
      <c r="A293" s="532">
        <v>44715</v>
      </c>
      <c r="B293" s="615">
        <v>15000</v>
      </c>
      <c r="C293" s="615">
        <f t="shared" si="14"/>
        <v>17693.020000000004</v>
      </c>
      <c r="D293" s="532">
        <f t="shared" si="13"/>
        <v>44805</v>
      </c>
      <c r="E293" s="534">
        <v>90</v>
      </c>
      <c r="F293" s="601">
        <v>0.72811281481481638</v>
      </c>
      <c r="G293" s="536" t="s">
        <v>699</v>
      </c>
      <c r="H293">
        <v>17693.02</v>
      </c>
    </row>
    <row r="294" spans="1:8" ht="12.75" hidden="1" customHeight="1">
      <c r="A294" s="532">
        <v>44715</v>
      </c>
      <c r="B294" s="615">
        <v>40000</v>
      </c>
      <c r="C294" s="615">
        <f t="shared" si="14"/>
        <v>47180.909999999996</v>
      </c>
      <c r="D294" s="532">
        <f t="shared" si="13"/>
        <v>44805</v>
      </c>
      <c r="E294" s="534">
        <v>90</v>
      </c>
      <c r="F294" s="601">
        <v>0.72806448611111096</v>
      </c>
      <c r="G294" s="536" t="s">
        <v>687</v>
      </c>
      <c r="H294">
        <v>47180.91</v>
      </c>
    </row>
    <row r="295" spans="1:8" ht="12.75" hidden="1" customHeight="1">
      <c r="A295" s="532">
        <v>44718</v>
      </c>
      <c r="B295" s="615">
        <v>90000</v>
      </c>
      <c r="C295" s="615">
        <f t="shared" si="14"/>
        <v>106453.59</v>
      </c>
      <c r="D295" s="532">
        <f t="shared" si="13"/>
        <v>44809</v>
      </c>
      <c r="E295" s="534">
        <v>91</v>
      </c>
      <c r="F295" s="601">
        <v>0.73327965201465217</v>
      </c>
      <c r="G295" s="536" t="s">
        <v>687</v>
      </c>
      <c r="H295">
        <v>106453.59</v>
      </c>
    </row>
    <row r="296" spans="1:8" ht="12.75" customHeight="1">
      <c r="A296" s="532">
        <v>44720</v>
      </c>
      <c r="B296" s="615">
        <v>60000</v>
      </c>
      <c r="C296" s="615">
        <f t="shared" si="14"/>
        <v>70924.62</v>
      </c>
      <c r="D296" s="532">
        <f t="shared" si="13"/>
        <v>44810</v>
      </c>
      <c r="E296" s="534">
        <v>90</v>
      </c>
      <c r="F296" s="601">
        <v>0.73842338888888903</v>
      </c>
      <c r="G296" s="536" t="s">
        <v>686</v>
      </c>
      <c r="H296">
        <f>60147.95+10776.67</f>
        <v>70924.62</v>
      </c>
    </row>
    <row r="297" spans="1:8" ht="12.75" hidden="1" customHeight="1">
      <c r="A297" s="532">
        <v>44721</v>
      </c>
      <c r="B297" s="615">
        <v>55000</v>
      </c>
      <c r="C297" s="615">
        <f t="shared" si="14"/>
        <v>65040.27</v>
      </c>
      <c r="D297" s="532">
        <f t="shared" si="13"/>
        <v>44811</v>
      </c>
      <c r="E297" s="534">
        <v>90</v>
      </c>
      <c r="F297" s="601">
        <v>0.74034314141414126</v>
      </c>
      <c r="G297" s="536" t="s">
        <v>701</v>
      </c>
      <c r="H297">
        <f>55135.62+9904.65</f>
        <v>65040.270000000004</v>
      </c>
    </row>
    <row r="298" spans="1:8" ht="12.75" hidden="1" customHeight="1">
      <c r="A298" s="532">
        <v>44721</v>
      </c>
      <c r="B298" s="615">
        <v>35000</v>
      </c>
      <c r="C298" s="615">
        <f t="shared" si="14"/>
        <v>41388.449999999997</v>
      </c>
      <c r="D298" s="532">
        <f t="shared" si="13"/>
        <v>44811</v>
      </c>
      <c r="E298" s="534">
        <v>90</v>
      </c>
      <c r="F298" s="601">
        <v>0.74024896825396813</v>
      </c>
      <c r="G298" s="536" t="s">
        <v>687</v>
      </c>
      <c r="H298">
        <v>41388.449999999997</v>
      </c>
    </row>
    <row r="299" spans="1:8" ht="12.75" hidden="1" customHeight="1">
      <c r="A299" s="532">
        <v>44725</v>
      </c>
      <c r="B299" s="615">
        <v>29400</v>
      </c>
      <c r="C299" s="615">
        <f t="shared" si="14"/>
        <v>34877.75</v>
      </c>
      <c r="D299" s="532">
        <f t="shared" si="13"/>
        <v>44816</v>
      </c>
      <c r="E299" s="534">
        <v>91</v>
      </c>
      <c r="F299" s="601">
        <v>0.74731955969200847</v>
      </c>
      <c r="G299" s="536" t="s">
        <v>701</v>
      </c>
      <c r="H299">
        <f>29473.3+5404.45</f>
        <v>34877.75</v>
      </c>
    </row>
    <row r="300" spans="1:8" ht="12.75" customHeight="1">
      <c r="A300" s="532">
        <v>44725</v>
      </c>
      <c r="B300" s="615">
        <v>150000</v>
      </c>
      <c r="C300" s="615">
        <f t="shared" si="14"/>
        <v>177947.74</v>
      </c>
      <c r="D300" s="532">
        <f t="shared" si="13"/>
        <v>44816</v>
      </c>
      <c r="E300" s="534">
        <v>91</v>
      </c>
      <c r="F300" s="601">
        <v>0.74732052014651951</v>
      </c>
      <c r="G300" s="536" t="s">
        <v>686</v>
      </c>
      <c r="H300">
        <f>150373.97+27573.77</f>
        <v>177947.74</v>
      </c>
    </row>
    <row r="301" spans="1:8" ht="12.75" hidden="1" customHeight="1">
      <c r="A301" s="532">
        <v>44727</v>
      </c>
      <c r="B301" s="615">
        <v>21500</v>
      </c>
      <c r="C301" s="615">
        <f t="shared" si="14"/>
        <v>25489.02</v>
      </c>
      <c r="D301" s="532">
        <f t="shared" si="13"/>
        <v>44817</v>
      </c>
      <c r="E301" s="534">
        <v>90</v>
      </c>
      <c r="F301" s="601">
        <v>0.75245080103359152</v>
      </c>
      <c r="G301" s="536" t="s">
        <v>699</v>
      </c>
      <c r="H301">
        <v>25489.02</v>
      </c>
    </row>
    <row r="302" spans="1:8" ht="12.75" hidden="1" customHeight="1">
      <c r="A302" s="532">
        <v>44728</v>
      </c>
      <c r="B302" s="615">
        <v>95500</v>
      </c>
      <c r="C302" s="615">
        <f t="shared" si="14"/>
        <v>113270.28</v>
      </c>
      <c r="D302" s="532">
        <f t="shared" si="13"/>
        <v>44818</v>
      </c>
      <c r="E302" s="534">
        <v>90</v>
      </c>
      <c r="F302" s="601">
        <v>0.75464248981966242</v>
      </c>
      <c r="G302" s="536" t="s">
        <v>698</v>
      </c>
      <c r="H302">
        <f>95735.48+17534.8</f>
        <v>113270.28</v>
      </c>
    </row>
    <row r="303" spans="1:8" ht="12.75" hidden="1" customHeight="1">
      <c r="A303" s="532">
        <v>44728</v>
      </c>
      <c r="B303" s="615">
        <v>58700</v>
      </c>
      <c r="C303" s="615">
        <f t="shared" si="14"/>
        <v>69622.679999999993</v>
      </c>
      <c r="D303" s="532">
        <f t="shared" si="13"/>
        <v>44818</v>
      </c>
      <c r="E303" s="534">
        <v>90</v>
      </c>
      <c r="F303" s="601">
        <v>0.75464285443876589</v>
      </c>
      <c r="G303" s="536" t="s">
        <v>699</v>
      </c>
      <c r="H303">
        <v>69622.679999999993</v>
      </c>
    </row>
    <row r="304" spans="1:8" ht="12.75" hidden="1" customHeight="1">
      <c r="A304" s="532">
        <v>44733</v>
      </c>
      <c r="B304" s="615">
        <v>39000</v>
      </c>
      <c r="C304" s="615">
        <f t="shared" si="14"/>
        <v>46498.510000000009</v>
      </c>
      <c r="D304" s="532">
        <f t="shared" si="13"/>
        <v>44823</v>
      </c>
      <c r="E304" s="534">
        <v>90</v>
      </c>
      <c r="F304" s="601">
        <v>0.77975958689458791</v>
      </c>
      <c r="G304" s="536" t="s">
        <v>703</v>
      </c>
      <c r="H304">
        <v>46498.51</v>
      </c>
    </row>
    <row r="305" spans="1:8" ht="12.75" hidden="1" customHeight="1">
      <c r="A305" s="532">
        <v>44733</v>
      </c>
      <c r="B305" s="615">
        <v>10200</v>
      </c>
      <c r="C305" s="615">
        <f t="shared" si="14"/>
        <v>12161.23</v>
      </c>
      <c r="D305" s="532">
        <f t="shared" si="13"/>
        <v>44823</v>
      </c>
      <c r="E305" s="534">
        <v>90</v>
      </c>
      <c r="F305" s="601">
        <v>0.77979188453158987</v>
      </c>
      <c r="G305" s="536" t="s">
        <v>699</v>
      </c>
      <c r="H305">
        <v>12161.23</v>
      </c>
    </row>
    <row r="306" spans="1:8" ht="12.75" hidden="1" customHeight="1">
      <c r="A306" s="532">
        <v>44733</v>
      </c>
      <c r="B306" s="615">
        <v>75000</v>
      </c>
      <c r="C306" s="615">
        <f t="shared" si="14"/>
        <v>89419.81</v>
      </c>
      <c r="D306" s="532">
        <f t="shared" si="13"/>
        <v>44823</v>
      </c>
      <c r="E306" s="534">
        <v>90</v>
      </c>
      <c r="F306" s="601">
        <v>0.77973787407407413</v>
      </c>
      <c r="G306" s="536" t="s">
        <v>704</v>
      </c>
      <c r="H306">
        <v>89419.81</v>
      </c>
    </row>
    <row r="307" spans="1:8" ht="12.75" customHeight="1">
      <c r="A307" s="532">
        <v>44734</v>
      </c>
      <c r="B307" s="615">
        <v>26000</v>
      </c>
      <c r="C307" s="615">
        <f t="shared" si="14"/>
        <v>30952.400000000005</v>
      </c>
      <c r="D307" s="532">
        <f t="shared" si="13"/>
        <v>44824</v>
      </c>
      <c r="E307" s="534">
        <v>90</v>
      </c>
      <c r="F307" s="601">
        <v>0.77248974358974432</v>
      </c>
      <c r="G307" s="536" t="s">
        <v>686</v>
      </c>
      <c r="H307">
        <f>26064.11+4888.29</f>
        <v>30952.400000000001</v>
      </c>
    </row>
    <row r="308" spans="1:8" ht="12.75" hidden="1" customHeight="1">
      <c r="A308" s="532">
        <v>44734</v>
      </c>
      <c r="B308" s="615">
        <v>26000</v>
      </c>
      <c r="C308" s="615">
        <f t="shared" si="14"/>
        <v>30951.360000000004</v>
      </c>
      <c r="D308" s="532">
        <f t="shared" si="13"/>
        <v>44824</v>
      </c>
      <c r="E308" s="534">
        <v>90</v>
      </c>
      <c r="F308" s="601">
        <v>0.77232752136752203</v>
      </c>
      <c r="G308" s="536" t="s">
        <v>687</v>
      </c>
      <c r="H308">
        <v>30951.360000000001</v>
      </c>
    </row>
    <row r="309" spans="1:8" ht="12.75" hidden="1" customHeight="1">
      <c r="A309" s="532">
        <v>44735</v>
      </c>
      <c r="B309" s="615">
        <v>30400</v>
      </c>
      <c r="C309" s="615">
        <f t="shared" si="14"/>
        <v>36209.019999999997</v>
      </c>
      <c r="D309" s="532">
        <f t="shared" si="13"/>
        <v>44825</v>
      </c>
      <c r="E309" s="534">
        <v>90</v>
      </c>
      <c r="F309" s="601">
        <v>0.77496063596491205</v>
      </c>
      <c r="G309" s="536" t="s">
        <v>681</v>
      </c>
      <c r="H309">
        <f>36119.57+89.45</f>
        <v>36209.019999999997</v>
      </c>
    </row>
    <row r="310" spans="1:8" ht="12.75" hidden="1" customHeight="1">
      <c r="A310" s="532">
        <v>44736</v>
      </c>
      <c r="B310" s="615">
        <v>13100</v>
      </c>
      <c r="C310" s="615">
        <f t="shared" si="14"/>
        <v>15612.650000000001</v>
      </c>
      <c r="D310" s="532">
        <f t="shared" si="13"/>
        <v>44826</v>
      </c>
      <c r="E310" s="534">
        <v>90</v>
      </c>
      <c r="F310" s="601">
        <v>0.77787722646310464</v>
      </c>
      <c r="G310" s="536" t="s">
        <v>701</v>
      </c>
      <c r="H310">
        <f>13132.3+2480.35</f>
        <v>15612.65</v>
      </c>
    </row>
    <row r="311" spans="1:8" ht="12.75" hidden="1" customHeight="1">
      <c r="A311" s="532">
        <v>44736</v>
      </c>
      <c r="B311" s="615">
        <v>23600</v>
      </c>
      <c r="C311" s="615">
        <f t="shared" si="14"/>
        <v>28126.599999999995</v>
      </c>
      <c r="D311" s="532">
        <f t="shared" si="13"/>
        <v>44826</v>
      </c>
      <c r="E311" s="534">
        <v>90</v>
      </c>
      <c r="F311" s="601">
        <v>0.77787617702448142</v>
      </c>
      <c r="G311" s="536" t="s">
        <v>698</v>
      </c>
      <c r="H311">
        <f>23658.19+4468.41</f>
        <v>28126.6</v>
      </c>
    </row>
    <row r="312" spans="1:8" ht="12.75" hidden="1" customHeight="1">
      <c r="A312" s="532">
        <v>44739</v>
      </c>
      <c r="B312" s="615">
        <v>356000</v>
      </c>
      <c r="C312" s="615">
        <f t="shared" si="14"/>
        <v>425521.91999999998</v>
      </c>
      <c r="D312" s="532">
        <f t="shared" si="13"/>
        <v>44830</v>
      </c>
      <c r="E312" s="534">
        <v>91</v>
      </c>
      <c r="F312" s="601">
        <v>0.78329117174959828</v>
      </c>
      <c r="G312" s="536" t="s">
        <v>698</v>
      </c>
      <c r="H312">
        <f>356887.56+68634.36</f>
        <v>425521.91999999998</v>
      </c>
    </row>
    <row r="313" spans="1:8" ht="12.75" customHeight="1">
      <c r="A313" s="532">
        <v>44739</v>
      </c>
      <c r="B313" s="615">
        <v>185000</v>
      </c>
      <c r="C313" s="615">
        <f t="shared" si="14"/>
        <v>221127.96000000002</v>
      </c>
      <c r="D313" s="532">
        <f t="shared" si="13"/>
        <v>44830</v>
      </c>
      <c r="E313" s="534">
        <v>91</v>
      </c>
      <c r="F313" s="601">
        <v>0.78329108405108416</v>
      </c>
      <c r="G313" s="536" t="s">
        <v>686</v>
      </c>
      <c r="H313">
        <f>185461.23+35666.73</f>
        <v>221127.96000000002</v>
      </c>
    </row>
    <row r="314" spans="1:8" ht="12.75" hidden="1" customHeight="1">
      <c r="A314" s="532">
        <v>44739</v>
      </c>
      <c r="B314" s="615">
        <v>15200</v>
      </c>
      <c r="C314" s="615">
        <f t="shared" si="14"/>
        <v>18168.040000000005</v>
      </c>
      <c r="D314" s="532">
        <f t="shared" si="13"/>
        <v>44830</v>
      </c>
      <c r="E314" s="534">
        <v>91</v>
      </c>
      <c r="F314" s="601">
        <v>0.78320893580104201</v>
      </c>
      <c r="G314" s="536" t="s">
        <v>703</v>
      </c>
      <c r="H314">
        <v>18168.04</v>
      </c>
    </row>
    <row r="315" spans="1:8" ht="12.75" hidden="1" customHeight="1">
      <c r="A315" s="532">
        <v>44739</v>
      </c>
      <c r="B315" s="615">
        <v>47500</v>
      </c>
      <c r="C315" s="615">
        <f t="shared" si="14"/>
        <v>56777.5</v>
      </c>
      <c r="D315" s="532">
        <f t="shared" si="13"/>
        <v>44830</v>
      </c>
      <c r="E315" s="534">
        <v>91</v>
      </c>
      <c r="F315" s="601">
        <v>0.78340948525159049</v>
      </c>
      <c r="G315" s="536" t="s">
        <v>681</v>
      </c>
      <c r="H315">
        <f>56635.54+141.96</f>
        <v>56777.5</v>
      </c>
    </row>
    <row r="316" spans="1:8" ht="12.75" hidden="1" customHeight="1">
      <c r="A316" s="532">
        <v>44739</v>
      </c>
      <c r="B316" s="615">
        <v>190000</v>
      </c>
      <c r="C316" s="615">
        <f t="shared" si="14"/>
        <v>227103.92</v>
      </c>
      <c r="D316" s="532">
        <f t="shared" si="13"/>
        <v>44830</v>
      </c>
      <c r="E316" s="534">
        <v>91</v>
      </c>
      <c r="F316" s="601">
        <v>0.78328113360323903</v>
      </c>
      <c r="G316" s="536" t="s">
        <v>687</v>
      </c>
      <c r="H316">
        <v>11417.35</v>
      </c>
    </row>
    <row r="317" spans="1:8" ht="12.75" hidden="1" customHeight="1">
      <c r="A317" s="532">
        <v>44740</v>
      </c>
      <c r="B317" s="615">
        <v>9600</v>
      </c>
      <c r="C317" s="615">
        <f t="shared" si="14"/>
        <v>11417.349999999999</v>
      </c>
      <c r="D317" s="532">
        <f t="shared" si="13"/>
        <v>44830</v>
      </c>
      <c r="E317" s="534">
        <v>90</v>
      </c>
      <c r="F317" s="601">
        <v>0.76774623842592549</v>
      </c>
      <c r="G317" s="536" t="s">
        <v>699</v>
      </c>
      <c r="H317">
        <v>227103.92</v>
      </c>
    </row>
    <row r="318" spans="1:8" ht="12.75" hidden="1" customHeight="1">
      <c r="A318" s="532">
        <v>44741</v>
      </c>
      <c r="B318" s="615">
        <v>25000</v>
      </c>
      <c r="C318" s="615">
        <f t="shared" si="14"/>
        <v>29886.149999999994</v>
      </c>
      <c r="D318" s="532">
        <f t="shared" ref="D318:D381" si="15">+A318+E318</f>
        <v>44831</v>
      </c>
      <c r="E318" s="534">
        <v>90</v>
      </c>
      <c r="F318" s="601">
        <v>0.79264211111111049</v>
      </c>
      <c r="G318" s="536" t="s">
        <v>687</v>
      </c>
      <c r="H318">
        <v>29886.15</v>
      </c>
    </row>
    <row r="319" spans="1:8" ht="12.75" hidden="1" customHeight="1">
      <c r="A319" s="532">
        <v>44742</v>
      </c>
      <c r="B319" s="615">
        <v>107200</v>
      </c>
      <c r="C319" s="615">
        <f t="shared" si="14"/>
        <v>128227.87999999999</v>
      </c>
      <c r="D319" s="532">
        <f t="shared" si="15"/>
        <v>44832</v>
      </c>
      <c r="E319" s="534">
        <v>90</v>
      </c>
      <c r="F319" s="601">
        <v>0.79551992122719706</v>
      </c>
      <c r="G319" s="536" t="s">
        <v>701</v>
      </c>
      <c r="H319">
        <f>107464.33+20763.55</f>
        <v>128227.88</v>
      </c>
    </row>
    <row r="320" spans="1:8" ht="12.75" hidden="1" customHeight="1">
      <c r="A320" s="532">
        <v>44742</v>
      </c>
      <c r="B320" s="615">
        <v>61200</v>
      </c>
      <c r="C320" s="615">
        <f t="shared" si="14"/>
        <v>73204.720000000016</v>
      </c>
      <c r="D320" s="532">
        <f t="shared" si="15"/>
        <v>44832</v>
      </c>
      <c r="E320" s="534">
        <v>90</v>
      </c>
      <c r="F320" s="601">
        <v>0.79551975308642042</v>
      </c>
      <c r="G320" s="536" t="s">
        <v>698</v>
      </c>
      <c r="H320">
        <f>61350.9+11853.82</f>
        <v>73204.72</v>
      </c>
    </row>
    <row r="321" spans="1:8" ht="12.75" customHeight="1">
      <c r="A321" s="532">
        <v>44742</v>
      </c>
      <c r="B321" s="615">
        <v>190000</v>
      </c>
      <c r="C321" s="615">
        <f t="shared" si="14"/>
        <v>227269.56999999998</v>
      </c>
      <c r="D321" s="532">
        <f t="shared" si="15"/>
        <v>44832</v>
      </c>
      <c r="E321" s="534">
        <v>90</v>
      </c>
      <c r="F321" s="601">
        <v>0.79552006140350817</v>
      </c>
      <c r="G321" s="536" t="s">
        <v>686</v>
      </c>
      <c r="H321">
        <f>190468.49+36801.08</f>
        <v>227269.57</v>
      </c>
    </row>
    <row r="322" spans="1:8" ht="12.75" hidden="1" customHeight="1">
      <c r="A322" s="532">
        <v>44742</v>
      </c>
      <c r="B322" s="615">
        <v>30000</v>
      </c>
      <c r="C322" s="615">
        <f t="shared" si="14"/>
        <v>35883.540000000008</v>
      </c>
      <c r="D322" s="532">
        <f t="shared" si="15"/>
        <v>44832</v>
      </c>
      <c r="E322" s="534">
        <v>90</v>
      </c>
      <c r="F322" s="601">
        <v>0.79536744444444507</v>
      </c>
      <c r="G322" s="536" t="s">
        <v>704</v>
      </c>
      <c r="H322">
        <v>35883.54</v>
      </c>
    </row>
    <row r="323" spans="1:8" ht="12.75" hidden="1" customHeight="1">
      <c r="A323" s="532">
        <v>44743</v>
      </c>
      <c r="B323" s="615">
        <v>180000</v>
      </c>
      <c r="C323" s="615">
        <f t="shared" si="14"/>
        <v>215429.51999999996</v>
      </c>
      <c r="D323" s="532">
        <f t="shared" si="15"/>
        <v>44833</v>
      </c>
      <c r="E323" s="534">
        <v>90</v>
      </c>
      <c r="F323" s="601">
        <v>0.79825770370370297</v>
      </c>
      <c r="G323" s="536" t="s">
        <v>704</v>
      </c>
      <c r="H323">
        <v>215429.52</v>
      </c>
    </row>
    <row r="324" spans="1:8" ht="12.75" hidden="1" customHeight="1">
      <c r="A324" s="532">
        <v>44746</v>
      </c>
      <c r="B324" s="615">
        <v>57000</v>
      </c>
      <c r="C324" s="615">
        <f t="shared" ref="C324:C387" si="16">B324+(B324*F324/365*E324)*1</f>
        <v>68419.62999999999</v>
      </c>
      <c r="D324" s="532">
        <f t="shared" si="15"/>
        <v>44837</v>
      </c>
      <c r="E324" s="534">
        <v>91</v>
      </c>
      <c r="F324" s="601">
        <v>0.80357913051860352</v>
      </c>
      <c r="G324" s="536" t="s">
        <v>698</v>
      </c>
      <c r="H324">
        <f>57142.11+11277.52</f>
        <v>68419.63</v>
      </c>
    </row>
    <row r="325" spans="1:8" ht="12.75" hidden="1" customHeight="1">
      <c r="A325" s="532">
        <v>44746</v>
      </c>
      <c r="B325" s="615">
        <v>82700</v>
      </c>
      <c r="C325" s="615">
        <f t="shared" si="16"/>
        <v>99268.19</v>
      </c>
      <c r="D325" s="532">
        <f t="shared" si="15"/>
        <v>44837</v>
      </c>
      <c r="E325" s="534">
        <v>91</v>
      </c>
      <c r="F325" s="601">
        <v>0.80356503049550265</v>
      </c>
      <c r="G325" s="536" t="s">
        <v>703</v>
      </c>
      <c r="H325">
        <v>99268.19</v>
      </c>
    </row>
    <row r="326" spans="1:8" ht="12.75" hidden="1" customHeight="1">
      <c r="A326" s="532">
        <v>44746</v>
      </c>
      <c r="B326" s="615">
        <v>2000</v>
      </c>
      <c r="C326" s="615">
        <f t="shared" si="16"/>
        <v>2400.69</v>
      </c>
      <c r="D326" s="532">
        <f t="shared" si="15"/>
        <v>44837</v>
      </c>
      <c r="E326" s="534">
        <v>91</v>
      </c>
      <c r="F326" s="601">
        <v>0.80358159340659352</v>
      </c>
      <c r="G326" s="536" t="s">
        <v>699</v>
      </c>
      <c r="H326">
        <v>52430.3</v>
      </c>
    </row>
    <row r="327" spans="1:8" ht="12.75" hidden="1" customHeight="1">
      <c r="A327" s="532">
        <v>44746</v>
      </c>
      <c r="B327" s="615">
        <v>22500</v>
      </c>
      <c r="C327" s="615">
        <f t="shared" si="16"/>
        <v>27007.762500000001</v>
      </c>
      <c r="D327" s="532">
        <f t="shared" si="15"/>
        <v>44837</v>
      </c>
      <c r="E327" s="534">
        <v>91</v>
      </c>
      <c r="F327" s="601">
        <v>0.80358159340659352</v>
      </c>
      <c r="G327" s="536" t="s">
        <v>699</v>
      </c>
      <c r="H327">
        <v>2400.69</v>
      </c>
    </row>
    <row r="328" spans="1:8" ht="12.75" hidden="1" customHeight="1">
      <c r="A328" s="532">
        <v>44746</v>
      </c>
      <c r="B328" s="615">
        <v>12700</v>
      </c>
      <c r="C328" s="615">
        <f t="shared" si="16"/>
        <v>15123.980000000001</v>
      </c>
      <c r="D328" s="532">
        <f t="shared" si="15"/>
        <v>44837</v>
      </c>
      <c r="E328" s="534">
        <v>91</v>
      </c>
      <c r="F328" s="601">
        <v>0.76555568053993273</v>
      </c>
      <c r="G328" s="536" t="s">
        <v>681</v>
      </c>
      <c r="H328">
        <v>27007.75</v>
      </c>
    </row>
    <row r="329" spans="1:8" ht="12.75" customHeight="1">
      <c r="A329" s="532">
        <v>44746</v>
      </c>
      <c r="B329" s="615">
        <v>65000</v>
      </c>
      <c r="C329" s="615">
        <f t="shared" si="16"/>
        <v>78022.38</v>
      </c>
      <c r="D329" s="532">
        <f t="shared" si="15"/>
        <v>44837</v>
      </c>
      <c r="E329" s="534">
        <v>91</v>
      </c>
      <c r="F329" s="601">
        <v>0.80357881656804719</v>
      </c>
      <c r="G329" s="536" t="s">
        <v>686</v>
      </c>
      <c r="H329">
        <f>15086.76+37.22</f>
        <v>15123.98</v>
      </c>
    </row>
    <row r="330" spans="1:8" ht="12.75" hidden="1" customHeight="1">
      <c r="A330" s="532">
        <v>44746</v>
      </c>
      <c r="B330" s="615">
        <v>57000</v>
      </c>
      <c r="C330" s="615">
        <f t="shared" si="16"/>
        <v>68419.989999999991</v>
      </c>
      <c r="D330" s="532">
        <f t="shared" si="15"/>
        <v>44837</v>
      </c>
      <c r="E330" s="534">
        <v>91</v>
      </c>
      <c r="F330" s="601">
        <v>0.80360446308077826</v>
      </c>
      <c r="G330" s="536" t="s">
        <v>704</v>
      </c>
      <c r="H330">
        <f>5012.33+959.25</f>
        <v>5971.58</v>
      </c>
    </row>
    <row r="331" spans="1:8" ht="12.75" hidden="1" customHeight="1">
      <c r="A331" s="532">
        <v>44747</v>
      </c>
      <c r="B331" s="615">
        <v>43900</v>
      </c>
      <c r="C331" s="615">
        <f t="shared" si="16"/>
        <v>52430.3</v>
      </c>
      <c r="D331" s="532">
        <f t="shared" si="15"/>
        <v>44837</v>
      </c>
      <c r="E331" s="534">
        <v>90</v>
      </c>
      <c r="F331" s="601">
        <v>0.7880434067324732</v>
      </c>
      <c r="G331" s="536" t="s">
        <v>703</v>
      </c>
      <c r="H331">
        <f>65162.05+12860.33</f>
        <v>78022.38</v>
      </c>
    </row>
    <row r="332" spans="1:8" ht="12.75" customHeight="1">
      <c r="A332" s="532">
        <v>44747</v>
      </c>
      <c r="B332" s="615">
        <v>5000</v>
      </c>
      <c r="C332" s="615">
        <f t="shared" si="16"/>
        <v>5971.58</v>
      </c>
      <c r="D332" s="532">
        <f t="shared" si="15"/>
        <v>44837</v>
      </c>
      <c r="E332" s="534">
        <v>90</v>
      </c>
      <c r="F332" s="601">
        <v>0.78805933333333322</v>
      </c>
      <c r="G332" s="536" t="s">
        <v>686</v>
      </c>
      <c r="H332">
        <v>29857.17</v>
      </c>
    </row>
    <row r="333" spans="1:8" ht="12.75" hidden="1" customHeight="1">
      <c r="A333" s="532">
        <v>44747</v>
      </c>
      <c r="B333" s="615">
        <v>25000</v>
      </c>
      <c r="C333" s="615">
        <f t="shared" si="16"/>
        <v>29857.169999999995</v>
      </c>
      <c r="D333" s="532">
        <f t="shared" si="15"/>
        <v>44837</v>
      </c>
      <c r="E333" s="534">
        <v>90</v>
      </c>
      <c r="F333" s="601">
        <v>0.78794091111110998</v>
      </c>
      <c r="G333" s="536" t="s">
        <v>687</v>
      </c>
      <c r="H333">
        <v>68419.990000000005</v>
      </c>
    </row>
    <row r="334" spans="1:8" ht="12.75" hidden="1" customHeight="1">
      <c r="A334" s="532">
        <v>44748</v>
      </c>
      <c r="B334" s="615">
        <v>38700</v>
      </c>
      <c r="C334" s="615">
        <f t="shared" si="16"/>
        <v>46454.520000000004</v>
      </c>
      <c r="D334" s="532">
        <f t="shared" si="15"/>
        <v>44838</v>
      </c>
      <c r="E334" s="534">
        <v>90</v>
      </c>
      <c r="F334" s="601">
        <v>0.81263273040482353</v>
      </c>
      <c r="G334" s="536" t="s">
        <v>698</v>
      </c>
      <c r="H334">
        <f>38795.42+7659.1</f>
        <v>46454.52</v>
      </c>
    </row>
    <row r="335" spans="1:8" ht="12.75" customHeight="1">
      <c r="A335" s="532">
        <v>44748</v>
      </c>
      <c r="B335" s="615">
        <v>70000</v>
      </c>
      <c r="C335" s="615">
        <f t="shared" si="16"/>
        <v>84026.263565891481</v>
      </c>
      <c r="D335" s="532">
        <f t="shared" si="15"/>
        <v>44838</v>
      </c>
      <c r="E335" s="534">
        <v>90</v>
      </c>
      <c r="F335" s="601">
        <v>0.81263273040482353</v>
      </c>
      <c r="G335" s="536" t="s">
        <v>686</v>
      </c>
      <c r="H335">
        <f>70172.6+13853.68</f>
        <v>84026.28</v>
      </c>
    </row>
    <row r="336" spans="1:8" ht="12.75" hidden="1" customHeight="1">
      <c r="A336" s="532">
        <v>44748</v>
      </c>
      <c r="B336" s="615">
        <v>25000</v>
      </c>
      <c r="C336" s="615">
        <f t="shared" si="16"/>
        <v>30011.009999999991</v>
      </c>
      <c r="D336" s="532">
        <f t="shared" si="15"/>
        <v>44838</v>
      </c>
      <c r="E336" s="534">
        <v>90</v>
      </c>
      <c r="F336" s="601">
        <v>0.81289717777777648</v>
      </c>
      <c r="G336" s="536" t="s">
        <v>687</v>
      </c>
      <c r="H336">
        <v>30011.01</v>
      </c>
    </row>
    <row r="337" spans="1:8" ht="12.75" hidden="1" customHeight="1">
      <c r="A337" s="532">
        <v>44749</v>
      </c>
      <c r="B337" s="615">
        <v>28000</v>
      </c>
      <c r="C337" s="615">
        <f t="shared" si="16"/>
        <v>33631.69000000001</v>
      </c>
      <c r="D337" s="532">
        <f t="shared" si="15"/>
        <v>44839</v>
      </c>
      <c r="E337" s="534">
        <v>90</v>
      </c>
      <c r="F337" s="601">
        <v>0.81570113095238228</v>
      </c>
      <c r="G337" s="536" t="s">
        <v>698</v>
      </c>
      <c r="H337">
        <f>28069.04+5562.65</f>
        <v>33631.69</v>
      </c>
    </row>
    <row r="338" spans="1:8" ht="12.75" hidden="1" customHeight="1">
      <c r="A338" s="532">
        <v>44750</v>
      </c>
      <c r="B338" s="615">
        <v>30000</v>
      </c>
      <c r="C338" s="615">
        <f t="shared" si="16"/>
        <v>36056.11</v>
      </c>
      <c r="D338" s="532">
        <f t="shared" si="15"/>
        <v>44840</v>
      </c>
      <c r="E338" s="534">
        <v>90</v>
      </c>
      <c r="F338" s="601">
        <v>0.81869635185185241</v>
      </c>
      <c r="G338" s="536" t="s">
        <v>698</v>
      </c>
      <c r="H338">
        <f>30073.97+5982.14</f>
        <v>36056.11</v>
      </c>
    </row>
    <row r="339" spans="1:8" ht="12.75" customHeight="1">
      <c r="A339" s="532">
        <v>44750</v>
      </c>
      <c r="B339" s="615">
        <v>60000</v>
      </c>
      <c r="C339" s="615">
        <f t="shared" si="16"/>
        <v>72112.240000000005</v>
      </c>
      <c r="D339" s="532">
        <f t="shared" si="15"/>
        <v>44840</v>
      </c>
      <c r="E339" s="534">
        <v>90</v>
      </c>
      <c r="F339" s="601">
        <v>0.81869770370370454</v>
      </c>
      <c r="G339" s="536" t="s">
        <v>686</v>
      </c>
      <c r="H339">
        <f>60147.95+11964.29</f>
        <v>72112.239999999991</v>
      </c>
    </row>
    <row r="340" spans="1:8" ht="12.75" hidden="1" customHeight="1">
      <c r="A340" s="532">
        <v>44750</v>
      </c>
      <c r="B340" s="615">
        <v>20000</v>
      </c>
      <c r="C340" s="615">
        <f t="shared" si="16"/>
        <v>24037.33</v>
      </c>
      <c r="D340" s="532">
        <f t="shared" si="15"/>
        <v>44840</v>
      </c>
      <c r="E340" s="534">
        <v>90</v>
      </c>
      <c r="F340" s="601">
        <v>0.81868080555555589</v>
      </c>
      <c r="G340" s="536" t="s">
        <v>687</v>
      </c>
      <c r="H340">
        <v>24037.33</v>
      </c>
    </row>
    <row r="341" spans="1:8" ht="12.75" hidden="1" customHeight="1">
      <c r="A341" s="532">
        <v>44753</v>
      </c>
      <c r="B341" s="615">
        <v>45000</v>
      </c>
      <c r="C341" s="615">
        <f t="shared" si="16"/>
        <v>54116.46</v>
      </c>
      <c r="D341" s="532">
        <f t="shared" si="15"/>
        <v>44845</v>
      </c>
      <c r="E341" s="534">
        <v>92</v>
      </c>
      <c r="F341" s="601">
        <v>0.8037458695652171</v>
      </c>
      <c r="G341" s="536" t="s">
        <v>703</v>
      </c>
      <c r="H341">
        <v>54116.46</v>
      </c>
    </row>
    <row r="342" spans="1:8" ht="12.75" hidden="1" customHeight="1">
      <c r="A342" s="532">
        <v>44753</v>
      </c>
      <c r="B342" s="615">
        <v>32400</v>
      </c>
      <c r="C342" s="615">
        <f t="shared" si="16"/>
        <v>38964.11</v>
      </c>
      <c r="D342" s="532">
        <f t="shared" si="15"/>
        <v>44845</v>
      </c>
      <c r="E342" s="534">
        <v>92</v>
      </c>
      <c r="F342" s="601">
        <v>0.80377755971551279</v>
      </c>
      <c r="G342" s="536" t="s">
        <v>699</v>
      </c>
      <c r="H342">
        <v>9333.3700000000008</v>
      </c>
    </row>
    <row r="343" spans="1:8" ht="12.75" hidden="1" customHeight="1">
      <c r="A343" s="532">
        <v>44753</v>
      </c>
      <c r="B343" s="615">
        <v>83400</v>
      </c>
      <c r="C343" s="615">
        <f t="shared" si="16"/>
        <v>100296.50999999998</v>
      </c>
      <c r="D343" s="532">
        <f t="shared" si="15"/>
        <v>44845</v>
      </c>
      <c r="E343" s="534">
        <v>92</v>
      </c>
      <c r="F343" s="601">
        <v>0.80377777994995248</v>
      </c>
      <c r="G343" s="536" t="s">
        <v>701</v>
      </c>
      <c r="H343">
        <v>38964.11</v>
      </c>
    </row>
    <row r="344" spans="1:8" ht="12.75" hidden="1" customHeight="1">
      <c r="A344" s="532">
        <v>44754</v>
      </c>
      <c r="B344" s="615">
        <v>7800</v>
      </c>
      <c r="C344" s="615">
        <f t="shared" si="16"/>
        <v>9333.3700000000008</v>
      </c>
      <c r="D344" s="532">
        <f t="shared" si="15"/>
        <v>44845</v>
      </c>
      <c r="E344" s="534">
        <v>91</v>
      </c>
      <c r="F344" s="601">
        <v>0.78850387433079772</v>
      </c>
      <c r="G344" s="536" t="s">
        <v>703</v>
      </c>
      <c r="H344">
        <f>83610.21+16686.3</f>
        <v>100296.51000000001</v>
      </c>
    </row>
    <row r="345" spans="1:8" ht="12.75" customHeight="1">
      <c r="A345" s="532">
        <v>44754</v>
      </c>
      <c r="B345" s="615">
        <v>170000</v>
      </c>
      <c r="C345" s="615">
        <f t="shared" si="16"/>
        <v>203426.63</v>
      </c>
      <c r="D345" s="532">
        <f t="shared" si="15"/>
        <v>44845</v>
      </c>
      <c r="E345" s="534">
        <v>91</v>
      </c>
      <c r="F345" s="601">
        <v>0.78866968002585625</v>
      </c>
      <c r="G345" s="536" t="s">
        <v>686</v>
      </c>
      <c r="H345">
        <f>170423.84+33002.79</f>
        <v>203426.63</v>
      </c>
    </row>
    <row r="346" spans="1:8" ht="12.75" hidden="1" customHeight="1">
      <c r="A346" s="532">
        <v>44754</v>
      </c>
      <c r="B346" s="615">
        <v>45000</v>
      </c>
      <c r="C346" s="615">
        <f t="shared" si="16"/>
        <v>53848.30000000001</v>
      </c>
      <c r="D346" s="532">
        <f t="shared" si="15"/>
        <v>44845</v>
      </c>
      <c r="E346" s="534">
        <v>91</v>
      </c>
      <c r="F346" s="601">
        <v>0.78867631257631354</v>
      </c>
      <c r="G346" s="536" t="s">
        <v>687</v>
      </c>
      <c r="H346">
        <v>53848.3</v>
      </c>
    </row>
    <row r="347" spans="1:8" ht="12.75" hidden="1" customHeight="1">
      <c r="A347" s="532">
        <v>44756</v>
      </c>
      <c r="B347" s="615">
        <v>8000</v>
      </c>
      <c r="C347" s="615">
        <f t="shared" si="16"/>
        <v>9648.619999999999</v>
      </c>
      <c r="D347" s="532">
        <f t="shared" si="15"/>
        <v>44846</v>
      </c>
      <c r="E347" s="534">
        <v>90</v>
      </c>
      <c r="F347" s="601">
        <v>0.83575874999999944</v>
      </c>
      <c r="G347" s="536" t="s">
        <v>703</v>
      </c>
      <c r="H347">
        <v>9648.6200000000008</v>
      </c>
    </row>
    <row r="348" spans="1:8" ht="12.75" hidden="1" customHeight="1">
      <c r="A348" s="532">
        <v>44756</v>
      </c>
      <c r="B348" s="615">
        <v>33600</v>
      </c>
      <c r="C348" s="615">
        <f t="shared" si="16"/>
        <v>40525.469999999994</v>
      </c>
      <c r="D348" s="532">
        <f t="shared" si="15"/>
        <v>44846</v>
      </c>
      <c r="E348" s="534">
        <v>90</v>
      </c>
      <c r="F348" s="601">
        <v>0.8359115575396816</v>
      </c>
      <c r="G348" s="536" t="s">
        <v>698</v>
      </c>
      <c r="H348">
        <f>33682.85+6842.62</f>
        <v>40525.47</v>
      </c>
    </row>
    <row r="349" spans="1:8" ht="12.75" hidden="1" customHeight="1">
      <c r="A349" s="532">
        <v>44756</v>
      </c>
      <c r="B349" s="615">
        <v>40000</v>
      </c>
      <c r="C349" s="615">
        <f t="shared" si="16"/>
        <v>48244.62</v>
      </c>
      <c r="D349" s="532">
        <f t="shared" si="15"/>
        <v>44846</v>
      </c>
      <c r="E349" s="534">
        <v>90</v>
      </c>
      <c r="F349" s="601">
        <v>0.8359128611111114</v>
      </c>
      <c r="G349" s="536" t="s">
        <v>699</v>
      </c>
      <c r="H349">
        <v>48244.62</v>
      </c>
    </row>
    <row r="350" spans="1:8" ht="12.75" hidden="1" customHeight="1">
      <c r="A350" s="532">
        <v>44757</v>
      </c>
      <c r="B350" s="615">
        <v>11900</v>
      </c>
      <c r="C350" s="615">
        <f t="shared" si="16"/>
        <v>14361.100000000002</v>
      </c>
      <c r="D350" s="532">
        <f t="shared" si="15"/>
        <v>44847</v>
      </c>
      <c r="E350" s="534">
        <v>90</v>
      </c>
      <c r="F350" s="601">
        <v>0.83875023342670507</v>
      </c>
      <c r="G350" s="536" t="s">
        <v>681</v>
      </c>
      <c r="H350">
        <f>14326.05+35.05</f>
        <v>14361.099999999999</v>
      </c>
    </row>
    <row r="351" spans="1:8" ht="12.75" hidden="1" customHeight="1">
      <c r="A351" s="532">
        <v>44760</v>
      </c>
      <c r="B351" s="615">
        <v>190800</v>
      </c>
      <c r="C351" s="615">
        <f t="shared" si="16"/>
        <v>230927.6</v>
      </c>
      <c r="D351" s="532">
        <f t="shared" si="15"/>
        <v>44851</v>
      </c>
      <c r="E351" s="534">
        <v>91</v>
      </c>
      <c r="F351" s="601">
        <v>0.84356060082475193</v>
      </c>
      <c r="G351" s="536" t="s">
        <v>699</v>
      </c>
      <c r="H351">
        <v>230927.6</v>
      </c>
    </row>
    <row r="352" spans="1:8" ht="12.75" hidden="1" customHeight="1">
      <c r="A352" s="532">
        <v>44760</v>
      </c>
      <c r="B352" s="615">
        <v>159100</v>
      </c>
      <c r="C352" s="615">
        <f t="shared" si="16"/>
        <v>192560.69</v>
      </c>
      <c r="D352" s="532">
        <f t="shared" si="15"/>
        <v>44851</v>
      </c>
      <c r="E352" s="534">
        <v>91</v>
      </c>
      <c r="F352" s="601">
        <v>0.84356040157202905</v>
      </c>
      <c r="G352" s="536" t="s">
        <v>701</v>
      </c>
      <c r="H352">
        <v>117778.9</v>
      </c>
    </row>
    <row r="353" spans="1:8" ht="12.75" hidden="1" customHeight="1">
      <c r="A353" s="532">
        <v>44760</v>
      </c>
      <c r="B353" s="615">
        <v>86500</v>
      </c>
      <c r="C353" s="615">
        <f t="shared" si="16"/>
        <v>104692.02</v>
      </c>
      <c r="D353" s="532">
        <f t="shared" si="15"/>
        <v>44851</v>
      </c>
      <c r="E353" s="534">
        <v>91</v>
      </c>
      <c r="F353" s="601">
        <v>0.84356060471320637</v>
      </c>
      <c r="G353" s="536" t="s">
        <v>698</v>
      </c>
      <c r="H353">
        <v>12042.83</v>
      </c>
    </row>
    <row r="354" spans="1:8" ht="12.75" hidden="1" customHeight="1">
      <c r="A354" s="532">
        <v>44760</v>
      </c>
      <c r="B354" s="615">
        <v>58500</v>
      </c>
      <c r="C354" s="615">
        <f t="shared" si="16"/>
        <v>70802.98</v>
      </c>
      <c r="D354" s="532">
        <f t="shared" si="15"/>
        <v>44851</v>
      </c>
      <c r="E354" s="534">
        <v>91</v>
      </c>
      <c r="F354" s="601">
        <v>0.84354047149431732</v>
      </c>
      <c r="G354" s="536" t="s">
        <v>703</v>
      </c>
      <c r="H354">
        <f>159496.66+33064.03</f>
        <v>192560.69</v>
      </c>
    </row>
    <row r="355" spans="1:8" ht="12.75" hidden="1" customHeight="1">
      <c r="A355" s="532">
        <v>44760</v>
      </c>
      <c r="B355" s="615">
        <v>11800</v>
      </c>
      <c r="C355" s="615">
        <f t="shared" si="16"/>
        <v>14249.940000000002</v>
      </c>
      <c r="D355" s="532">
        <f t="shared" si="15"/>
        <v>44851</v>
      </c>
      <c r="E355" s="534">
        <v>91</v>
      </c>
      <c r="F355" s="601">
        <v>0.83276969640529019</v>
      </c>
      <c r="G355" s="536" t="s">
        <v>681</v>
      </c>
      <c r="H355">
        <f>86715.66+17976.36</f>
        <v>104692.02</v>
      </c>
    </row>
    <row r="356" spans="1:8" ht="12.75" customHeight="1">
      <c r="A356" s="532">
        <v>44760</v>
      </c>
      <c r="B356" s="615">
        <v>203000</v>
      </c>
      <c r="C356" s="615">
        <f t="shared" si="16"/>
        <v>245693.39999999997</v>
      </c>
      <c r="D356" s="532">
        <f t="shared" si="15"/>
        <v>44851</v>
      </c>
      <c r="E356" s="534">
        <v>91</v>
      </c>
      <c r="F356" s="601">
        <v>0.84356038542737999</v>
      </c>
      <c r="G356" s="536" t="s">
        <v>686</v>
      </c>
      <c r="H356">
        <v>70802.98</v>
      </c>
    </row>
    <row r="357" spans="1:8" ht="12.75" hidden="1" customHeight="1">
      <c r="A357" s="532">
        <v>44761</v>
      </c>
      <c r="B357" s="615">
        <v>97800</v>
      </c>
      <c r="C357" s="615">
        <f t="shared" si="16"/>
        <v>117778.9</v>
      </c>
      <c r="D357" s="532">
        <f t="shared" si="15"/>
        <v>44851</v>
      </c>
      <c r="E357" s="534">
        <v>90</v>
      </c>
      <c r="F357" s="601">
        <v>0.82848199272892487</v>
      </c>
      <c r="G357" s="536" t="s">
        <v>699</v>
      </c>
      <c r="H357">
        <f>14214.71+35.13</f>
        <v>14249.839999999998</v>
      </c>
    </row>
    <row r="358" spans="1:8" ht="12.75" hidden="1" customHeight="1">
      <c r="A358" s="532">
        <v>44761</v>
      </c>
      <c r="B358" s="615">
        <v>10000</v>
      </c>
      <c r="C358" s="615">
        <f t="shared" si="16"/>
        <v>12042.830000000002</v>
      </c>
      <c r="D358" s="532">
        <f t="shared" si="15"/>
        <v>44851</v>
      </c>
      <c r="E358" s="534">
        <v>90</v>
      </c>
      <c r="F358" s="601">
        <v>0.82848105555555618</v>
      </c>
      <c r="G358" s="536" t="s">
        <v>699</v>
      </c>
      <c r="H358">
        <f>203506.11+42187.29</f>
        <v>245693.4</v>
      </c>
    </row>
    <row r="359" spans="1:8" ht="12.75" customHeight="1">
      <c r="A359" s="532">
        <v>44761</v>
      </c>
      <c r="B359" s="615">
        <v>50000</v>
      </c>
      <c r="C359" s="615">
        <f t="shared" si="16"/>
        <v>60214.16</v>
      </c>
      <c r="D359" s="532">
        <f t="shared" si="15"/>
        <v>44851</v>
      </c>
      <c r="E359" s="534">
        <v>90</v>
      </c>
      <c r="F359" s="601">
        <v>0.82848186666666712</v>
      </c>
      <c r="G359" s="536" t="s">
        <v>686</v>
      </c>
      <c r="H359">
        <f>50123.29+10090.87</f>
        <v>60214.16</v>
      </c>
    </row>
    <row r="360" spans="1:8" ht="12.75" hidden="1" customHeight="1">
      <c r="A360" s="532">
        <v>44761</v>
      </c>
      <c r="B360" s="615">
        <v>30000</v>
      </c>
      <c r="C360" s="615">
        <f t="shared" si="16"/>
        <v>36047.75</v>
      </c>
      <c r="D360" s="532">
        <f t="shared" si="15"/>
        <v>44851</v>
      </c>
      <c r="E360" s="534">
        <v>90</v>
      </c>
      <c r="F360" s="601">
        <v>0.81756620370370414</v>
      </c>
      <c r="G360" s="536" t="s">
        <v>687</v>
      </c>
      <c r="H360">
        <v>36047.75</v>
      </c>
    </row>
    <row r="361" spans="1:8" ht="12.75" customHeight="1">
      <c r="A361" s="532">
        <v>44763</v>
      </c>
      <c r="B361" s="615">
        <v>170000</v>
      </c>
      <c r="C361" s="615">
        <f t="shared" si="16"/>
        <v>205711.73000000004</v>
      </c>
      <c r="D361" s="532">
        <f t="shared" si="15"/>
        <v>44853</v>
      </c>
      <c r="E361" s="534">
        <v>90</v>
      </c>
      <c r="F361" s="601">
        <v>0.85194650000000127</v>
      </c>
      <c r="G361" s="536" t="s">
        <v>686</v>
      </c>
      <c r="H361">
        <f>170419.18+35292.55</f>
        <v>205711.72999999998</v>
      </c>
    </row>
    <row r="362" spans="1:8" ht="12.75" hidden="1" customHeight="1">
      <c r="A362" s="532">
        <v>44763</v>
      </c>
      <c r="B362" s="615">
        <v>95200</v>
      </c>
      <c r="C362" s="615">
        <f t="shared" si="16"/>
        <v>115198.56</v>
      </c>
      <c r="D362" s="532">
        <f t="shared" si="15"/>
        <v>44853</v>
      </c>
      <c r="E362" s="534">
        <v>90</v>
      </c>
      <c r="F362" s="601">
        <v>0.85194612511671297</v>
      </c>
      <c r="G362" s="536" t="s">
        <v>698</v>
      </c>
      <c r="H362">
        <f>95434.74+19763.82</f>
        <v>115198.56</v>
      </c>
    </row>
    <row r="363" spans="1:8" ht="12.75" hidden="1" customHeight="1">
      <c r="A363" s="532">
        <v>44763</v>
      </c>
      <c r="B363" s="615">
        <v>9900</v>
      </c>
      <c r="C363" s="615">
        <f t="shared" si="16"/>
        <v>11979.499999999998</v>
      </c>
      <c r="D363" s="532">
        <f t="shared" si="15"/>
        <v>44853</v>
      </c>
      <c r="E363" s="534">
        <v>90</v>
      </c>
      <c r="F363" s="601">
        <v>0.85187149270482543</v>
      </c>
      <c r="G363" s="536" t="s">
        <v>681</v>
      </c>
      <c r="H363">
        <f>11950.46+29.04</f>
        <v>11979.5</v>
      </c>
    </row>
    <row r="364" spans="1:8" ht="12.75" hidden="1" customHeight="1">
      <c r="A364" s="532">
        <v>44763</v>
      </c>
      <c r="B364" s="615">
        <v>57000</v>
      </c>
      <c r="C364" s="615">
        <f t="shared" si="16"/>
        <v>68973.579999999987</v>
      </c>
      <c r="D364" s="532">
        <f t="shared" si="15"/>
        <v>44853</v>
      </c>
      <c r="E364" s="534">
        <v>90</v>
      </c>
      <c r="F364" s="601">
        <v>0.85192138401559403</v>
      </c>
      <c r="G364" s="536" t="s">
        <v>703</v>
      </c>
      <c r="H364">
        <v>68973.58</v>
      </c>
    </row>
    <row r="365" spans="1:8" ht="12.75" hidden="1" customHeight="1">
      <c r="A365" s="532">
        <v>44763</v>
      </c>
      <c r="B365" s="615">
        <v>32000</v>
      </c>
      <c r="C365" s="615">
        <f t="shared" si="16"/>
        <v>38721.599999999991</v>
      </c>
      <c r="D365" s="532">
        <f t="shared" si="15"/>
        <v>44853</v>
      </c>
      <c r="E365" s="534">
        <v>90</v>
      </c>
      <c r="F365" s="601">
        <v>0.85186944444444357</v>
      </c>
      <c r="G365" s="536" t="s">
        <v>687</v>
      </c>
      <c r="H365">
        <v>38721.599999999999</v>
      </c>
    </row>
    <row r="366" spans="1:8" ht="12.75" hidden="1" customHeight="1">
      <c r="A366" s="532">
        <v>44763</v>
      </c>
      <c r="B366" s="615">
        <v>73000</v>
      </c>
      <c r="C366" s="615">
        <f t="shared" si="16"/>
        <v>88335.25999999998</v>
      </c>
      <c r="D366" s="532">
        <f t="shared" si="15"/>
        <v>44853</v>
      </c>
      <c r="E366" s="534">
        <v>90</v>
      </c>
      <c r="F366" s="601">
        <v>0.85195888888888827</v>
      </c>
      <c r="G366" s="536" t="s">
        <v>704</v>
      </c>
      <c r="H366">
        <v>88335.26</v>
      </c>
    </row>
    <row r="367" spans="1:8" ht="12.75" hidden="1" customHeight="1">
      <c r="A367" s="532">
        <v>44764</v>
      </c>
      <c r="B367" s="615">
        <v>20000</v>
      </c>
      <c r="C367" s="615">
        <f t="shared" si="16"/>
        <v>24205.9</v>
      </c>
      <c r="D367" s="532">
        <f t="shared" si="15"/>
        <v>44854</v>
      </c>
      <c r="E367" s="534">
        <v>90</v>
      </c>
      <c r="F367" s="601">
        <v>0.85286305555555619</v>
      </c>
      <c r="G367" s="536" t="s">
        <v>703</v>
      </c>
      <c r="H367">
        <v>24205.9</v>
      </c>
    </row>
    <row r="368" spans="1:8" ht="12.75" hidden="1" customHeight="1">
      <c r="A368" s="532">
        <v>44768</v>
      </c>
      <c r="B368" s="615">
        <v>3000</v>
      </c>
      <c r="C368" s="615">
        <f t="shared" si="16"/>
        <v>3620.47</v>
      </c>
      <c r="D368" s="532">
        <f t="shared" si="15"/>
        <v>44858</v>
      </c>
      <c r="E368" s="534">
        <v>90</v>
      </c>
      <c r="F368" s="601">
        <v>0.83878351851851818</v>
      </c>
      <c r="G368" s="536" t="s">
        <v>681</v>
      </c>
      <c r="H368">
        <f>3612.36+8.11</f>
        <v>3620.4700000000003</v>
      </c>
    </row>
    <row r="369" spans="1:8" ht="12.75" hidden="1" customHeight="1">
      <c r="A369" s="532">
        <v>44769</v>
      </c>
      <c r="B369" s="615">
        <v>10000</v>
      </c>
      <c r="C369" s="615">
        <f t="shared" si="16"/>
        <v>12119.830000000002</v>
      </c>
      <c r="D369" s="532">
        <f t="shared" si="15"/>
        <v>44859</v>
      </c>
      <c r="E369" s="534">
        <v>90</v>
      </c>
      <c r="F369" s="601">
        <v>0.85970883333333359</v>
      </c>
      <c r="G369" s="536" t="s">
        <v>704</v>
      </c>
      <c r="H369">
        <v>12119.83</v>
      </c>
    </row>
    <row r="370" spans="1:8" ht="12.75" hidden="1" customHeight="1">
      <c r="A370" s="532">
        <v>44769</v>
      </c>
      <c r="B370" s="615">
        <v>32000</v>
      </c>
      <c r="C370" s="615">
        <f t="shared" si="16"/>
        <v>38783.439999999995</v>
      </c>
      <c r="D370" s="532">
        <f t="shared" si="15"/>
        <v>44859</v>
      </c>
      <c r="E370" s="534">
        <v>90</v>
      </c>
      <c r="F370" s="601">
        <v>0.85970680555555501</v>
      </c>
      <c r="G370" s="536" t="s">
        <v>704</v>
      </c>
      <c r="H370">
        <v>38783.440000000002</v>
      </c>
    </row>
    <row r="371" spans="1:8" ht="12.75" hidden="1" customHeight="1">
      <c r="A371" s="532">
        <v>44770</v>
      </c>
      <c r="B371" s="615">
        <v>53700</v>
      </c>
      <c r="C371" s="615">
        <f t="shared" si="16"/>
        <v>65106.04</v>
      </c>
      <c r="D371" s="532">
        <f t="shared" si="15"/>
        <v>44860</v>
      </c>
      <c r="E371" s="534">
        <v>90</v>
      </c>
      <c r="F371" s="601">
        <v>0.86141208359197197</v>
      </c>
      <c r="G371" s="536" t="s">
        <v>701</v>
      </c>
      <c r="H371">
        <f>53832.41+11273.63</f>
        <v>65106.04</v>
      </c>
    </row>
    <row r="372" spans="1:8" ht="12.75" customHeight="1">
      <c r="A372" s="532">
        <v>44770</v>
      </c>
      <c r="B372" s="615">
        <v>93000</v>
      </c>
      <c r="C372" s="615">
        <f t="shared" si="16"/>
        <v>112753.49</v>
      </c>
      <c r="D372" s="532">
        <f t="shared" si="15"/>
        <v>44860</v>
      </c>
      <c r="E372" s="534">
        <v>90</v>
      </c>
      <c r="F372" s="601">
        <v>0.86141264635603387</v>
      </c>
      <c r="G372" s="536" t="s">
        <v>686</v>
      </c>
      <c r="H372">
        <f>93229.32+19524.17</f>
        <v>112753.49</v>
      </c>
    </row>
    <row r="373" spans="1:8" ht="12.75" customHeight="1">
      <c r="A373" s="532">
        <v>44770</v>
      </c>
      <c r="B373" s="615">
        <v>20000</v>
      </c>
      <c r="C373" s="615">
        <f t="shared" si="16"/>
        <v>24248.060000000005</v>
      </c>
      <c r="D373" s="532">
        <f t="shared" si="15"/>
        <v>44860</v>
      </c>
      <c r="E373" s="534">
        <v>90</v>
      </c>
      <c r="F373" s="601">
        <v>0.86141216666666731</v>
      </c>
      <c r="G373" s="536" t="s">
        <v>686</v>
      </c>
      <c r="H373">
        <f>20049.32+4198.74</f>
        <v>24248.059999999998</v>
      </c>
    </row>
    <row r="374" spans="1:8" ht="12.75" hidden="1" customHeight="1">
      <c r="A374" s="532">
        <v>44770</v>
      </c>
      <c r="B374" s="615">
        <v>30000</v>
      </c>
      <c r="C374" s="615">
        <f t="shared" si="16"/>
        <v>36371.880000000005</v>
      </c>
      <c r="D374" s="532">
        <f t="shared" si="15"/>
        <v>44860</v>
      </c>
      <c r="E374" s="534">
        <v>90</v>
      </c>
      <c r="F374" s="601">
        <v>0.8613837777777783</v>
      </c>
      <c r="G374" s="536" t="s">
        <v>687</v>
      </c>
      <c r="H374">
        <v>36371.879999999997</v>
      </c>
    </row>
    <row r="375" spans="1:8" ht="12.75" hidden="1" customHeight="1">
      <c r="A375" s="532">
        <v>44771</v>
      </c>
      <c r="B375" s="615">
        <v>2500</v>
      </c>
      <c r="C375" s="615">
        <f t="shared" si="16"/>
        <v>3033.05</v>
      </c>
      <c r="D375" s="532">
        <f t="shared" si="15"/>
        <v>44861</v>
      </c>
      <c r="E375" s="534">
        <v>90</v>
      </c>
      <c r="F375" s="601">
        <v>0.86472555555555619</v>
      </c>
      <c r="G375" s="536" t="s">
        <v>681</v>
      </c>
      <c r="H375">
        <f>3024.86+8.19</f>
        <v>3033.05</v>
      </c>
    </row>
    <row r="376" spans="1:8" ht="12.75" customHeight="1">
      <c r="A376" s="532">
        <v>44771</v>
      </c>
      <c r="B376" s="615">
        <v>45000</v>
      </c>
      <c r="C376" s="615">
        <f t="shared" si="16"/>
        <v>54568.73000000001</v>
      </c>
      <c r="D376" s="532">
        <f t="shared" si="15"/>
        <v>44861</v>
      </c>
      <c r="E376" s="534">
        <v>90</v>
      </c>
      <c r="F376" s="601">
        <v>0.86236702469135884</v>
      </c>
      <c r="G376" s="536" t="s">
        <v>686</v>
      </c>
      <c r="H376">
        <f>45110.96+9457.77</f>
        <v>54568.729999999996</v>
      </c>
    </row>
    <row r="377" spans="1:8" ht="12.75" hidden="1" customHeight="1">
      <c r="A377" s="532">
        <v>44774</v>
      </c>
      <c r="B377" s="615">
        <v>35800</v>
      </c>
      <c r="C377" s="615">
        <f t="shared" si="16"/>
        <v>43512.54</v>
      </c>
      <c r="D377" s="532">
        <f t="shared" si="15"/>
        <v>44865</v>
      </c>
      <c r="E377" s="534">
        <v>91</v>
      </c>
      <c r="F377" s="601">
        <v>0.86410372030204441</v>
      </c>
      <c r="G377" s="536" t="s">
        <v>698</v>
      </c>
      <c r="H377">
        <f>35889.25+7623.29</f>
        <v>43512.54</v>
      </c>
    </row>
    <row r="378" spans="1:8" ht="12.75" customHeight="1">
      <c r="A378" s="532">
        <v>44774</v>
      </c>
      <c r="B378" s="615">
        <v>100000</v>
      </c>
      <c r="C378" s="615">
        <f t="shared" si="16"/>
        <v>121543.43</v>
      </c>
      <c r="D378" s="532">
        <f t="shared" si="15"/>
        <v>44865</v>
      </c>
      <c r="E378" s="534">
        <v>91</v>
      </c>
      <c r="F378" s="601">
        <v>0.86410460989010984</v>
      </c>
      <c r="G378" s="536" t="s">
        <v>686</v>
      </c>
      <c r="H378">
        <f>56037.84+11564.28</f>
        <v>67602.12</v>
      </c>
    </row>
    <row r="379" spans="1:8" ht="12.75" hidden="1" customHeight="1">
      <c r="A379" s="532">
        <v>44774</v>
      </c>
      <c r="B379" s="615">
        <v>105000</v>
      </c>
      <c r="C379" s="615">
        <f t="shared" si="16"/>
        <v>127620.76000000001</v>
      </c>
      <c r="D379" s="532">
        <f t="shared" si="15"/>
        <v>44865</v>
      </c>
      <c r="E379" s="534">
        <v>91</v>
      </c>
      <c r="F379" s="601">
        <v>0.86411066457352204</v>
      </c>
      <c r="G379" s="536" t="s">
        <v>687</v>
      </c>
      <c r="H379">
        <f>100249.32+21294.11</f>
        <v>121543.43000000001</v>
      </c>
    </row>
    <row r="380" spans="1:8" ht="12.75" hidden="1" customHeight="1">
      <c r="A380" s="532">
        <v>44774</v>
      </c>
      <c r="B380" s="615">
        <v>340000</v>
      </c>
      <c r="C380" s="615">
        <f t="shared" si="16"/>
        <v>413248.73</v>
      </c>
      <c r="D380" s="532">
        <f t="shared" si="15"/>
        <v>44865</v>
      </c>
      <c r="E380" s="534">
        <v>91</v>
      </c>
      <c r="F380" s="601">
        <v>0.86411720911441436</v>
      </c>
      <c r="G380" s="536" t="s">
        <v>704</v>
      </c>
      <c r="H380">
        <f>68167.67+14067.45</f>
        <v>82235.12</v>
      </c>
    </row>
    <row r="381" spans="1:8" ht="12.75" hidden="1" customHeight="1">
      <c r="A381" s="532">
        <v>44775</v>
      </c>
      <c r="B381" s="615">
        <v>55900</v>
      </c>
      <c r="C381" s="615">
        <f t="shared" si="16"/>
        <v>67602.119999999981</v>
      </c>
      <c r="D381" s="532">
        <f t="shared" si="15"/>
        <v>44865</v>
      </c>
      <c r="E381" s="534">
        <v>90</v>
      </c>
      <c r="F381" s="601">
        <v>0.84899101570264257</v>
      </c>
      <c r="G381" s="536" t="s">
        <v>698</v>
      </c>
      <c r="H381">
        <f>95664.97+235.24</f>
        <v>95900.21</v>
      </c>
    </row>
    <row r="382" spans="1:8" ht="12.75" customHeight="1">
      <c r="A382" s="532">
        <v>44775</v>
      </c>
      <c r="B382" s="615">
        <v>68000</v>
      </c>
      <c r="C382" s="615">
        <f t="shared" si="16"/>
        <v>82235.12</v>
      </c>
      <c r="D382" s="532">
        <f t="shared" ref="D382:D445" si="17">+A382+E382</f>
        <v>44865</v>
      </c>
      <c r="E382" s="534">
        <v>90</v>
      </c>
      <c r="F382" s="601">
        <v>0.84899000000000013</v>
      </c>
      <c r="G382" s="536" t="s">
        <v>686</v>
      </c>
      <c r="H382">
        <v>97593.38</v>
      </c>
    </row>
    <row r="383" spans="1:8" ht="12.75" hidden="1" customHeight="1">
      <c r="A383" s="532">
        <v>44775</v>
      </c>
      <c r="B383" s="615">
        <v>79300</v>
      </c>
      <c r="C383" s="615">
        <f t="shared" si="16"/>
        <v>95900.210000000021</v>
      </c>
      <c r="D383" s="532">
        <f t="shared" si="17"/>
        <v>44865</v>
      </c>
      <c r="E383" s="534">
        <v>90</v>
      </c>
      <c r="F383" s="601">
        <v>0.84896688384475338</v>
      </c>
      <c r="G383" s="536" t="s">
        <v>681</v>
      </c>
      <c r="H383">
        <v>127620.76</v>
      </c>
    </row>
    <row r="384" spans="1:8" ht="12.75" hidden="1" customHeight="1">
      <c r="A384" s="532">
        <v>44775</v>
      </c>
      <c r="B384" s="615">
        <v>80700</v>
      </c>
      <c r="C384" s="615">
        <f t="shared" si="16"/>
        <v>97593.38</v>
      </c>
      <c r="D384" s="532">
        <f t="shared" si="17"/>
        <v>44865</v>
      </c>
      <c r="E384" s="534">
        <v>90</v>
      </c>
      <c r="F384" s="601">
        <v>0.84897200881178581</v>
      </c>
      <c r="G384" s="536" t="s">
        <v>703</v>
      </c>
      <c r="H384">
        <v>413248.73</v>
      </c>
    </row>
    <row r="385" spans="1:8" ht="12.75" hidden="1" customHeight="1">
      <c r="A385" s="532">
        <v>44775</v>
      </c>
      <c r="B385" s="615">
        <v>15000</v>
      </c>
      <c r="C385" s="615">
        <f t="shared" si="16"/>
        <v>18139.409999999996</v>
      </c>
      <c r="D385" s="532">
        <f t="shared" si="17"/>
        <v>44865</v>
      </c>
      <c r="E385" s="534">
        <v>90</v>
      </c>
      <c r="F385" s="601">
        <v>0.84880344444444356</v>
      </c>
      <c r="G385" s="536" t="s">
        <v>704</v>
      </c>
      <c r="H385">
        <v>18139.41</v>
      </c>
    </row>
    <row r="386" spans="1:8" ht="12.75" hidden="1" customHeight="1">
      <c r="A386" s="532">
        <v>44775</v>
      </c>
      <c r="B386" s="615">
        <v>10000</v>
      </c>
      <c r="C386" s="615">
        <f t="shared" si="16"/>
        <v>12094.040000000003</v>
      </c>
      <c r="D386" s="532">
        <f t="shared" si="17"/>
        <v>44865</v>
      </c>
      <c r="E386" s="534">
        <v>90</v>
      </c>
      <c r="F386" s="601">
        <v>0.84924955555555637</v>
      </c>
      <c r="G386" s="536" t="s">
        <v>704</v>
      </c>
      <c r="H386">
        <v>12094.04</v>
      </c>
    </row>
    <row r="387" spans="1:8" ht="12.75" hidden="1" customHeight="1">
      <c r="A387" s="532">
        <v>44776</v>
      </c>
      <c r="B387" s="615">
        <v>5100</v>
      </c>
      <c r="C387" s="615">
        <f t="shared" si="16"/>
        <v>6193.170000000001</v>
      </c>
      <c r="D387" s="532">
        <f t="shared" si="17"/>
        <v>44866</v>
      </c>
      <c r="E387" s="534">
        <v>90</v>
      </c>
      <c r="F387" s="601">
        <v>0.86929640522875895</v>
      </c>
      <c r="G387" s="536" t="s">
        <v>681</v>
      </c>
      <c r="H387">
        <f>6178.28+14.89</f>
        <v>6193.17</v>
      </c>
    </row>
    <row r="388" spans="1:8" ht="12.75" hidden="1" customHeight="1">
      <c r="A388" s="532">
        <v>44776</v>
      </c>
      <c r="B388" s="615">
        <v>65600</v>
      </c>
      <c r="C388" s="615">
        <f t="shared" ref="C388:C451" si="18">B388+(B388*F388/365*E388)*1</f>
        <v>79661.310000000012</v>
      </c>
      <c r="D388" s="532">
        <f t="shared" si="17"/>
        <v>44866</v>
      </c>
      <c r="E388" s="534">
        <v>90</v>
      </c>
      <c r="F388" s="601">
        <v>0.86930524220867267</v>
      </c>
      <c r="G388" s="536" t="s">
        <v>698</v>
      </c>
      <c r="H388">
        <f>65761.75+13899.56</f>
        <v>79661.31</v>
      </c>
    </row>
    <row r="389" spans="1:8" ht="12.75" customHeight="1">
      <c r="A389" s="532">
        <v>44776</v>
      </c>
      <c r="B389" s="615">
        <v>45000</v>
      </c>
      <c r="C389" s="615">
        <f t="shared" si="18"/>
        <v>54645.720000000008</v>
      </c>
      <c r="D389" s="532">
        <f t="shared" si="17"/>
        <v>44866</v>
      </c>
      <c r="E389" s="534">
        <v>90</v>
      </c>
      <c r="F389" s="601">
        <v>0.86930562962963032</v>
      </c>
      <c r="G389" s="536" t="s">
        <v>686</v>
      </c>
      <c r="H389">
        <f>45110.96+9534.76</f>
        <v>54645.72</v>
      </c>
    </row>
    <row r="390" spans="1:8" ht="12.75" hidden="1" customHeight="1">
      <c r="A390" s="532">
        <v>44776</v>
      </c>
      <c r="B390" s="615">
        <v>102000</v>
      </c>
      <c r="C390" s="615">
        <f t="shared" si="18"/>
        <v>123863.36000000002</v>
      </c>
      <c r="D390" s="532">
        <f t="shared" si="17"/>
        <v>44866</v>
      </c>
      <c r="E390" s="534">
        <v>90</v>
      </c>
      <c r="F390" s="601">
        <v>0.8692948148148153</v>
      </c>
      <c r="G390" s="536" t="s">
        <v>687</v>
      </c>
      <c r="H390">
        <v>123863.36</v>
      </c>
    </row>
    <row r="391" spans="1:8" ht="12.75" customHeight="1">
      <c r="A391" s="532">
        <v>44777</v>
      </c>
      <c r="B391" s="615">
        <v>98000</v>
      </c>
      <c r="C391" s="615">
        <f t="shared" si="18"/>
        <v>119035.94999999998</v>
      </c>
      <c r="D391" s="532">
        <f t="shared" si="17"/>
        <v>44867</v>
      </c>
      <c r="E391" s="534">
        <v>90</v>
      </c>
      <c r="F391" s="601">
        <v>0.87053534580498815</v>
      </c>
      <c r="G391" s="536" t="s">
        <v>686</v>
      </c>
      <c r="H391">
        <f>20794.31+98241.64</f>
        <v>119035.95</v>
      </c>
    </row>
    <row r="392" spans="1:8" ht="12.75" hidden="1" customHeight="1">
      <c r="A392" s="532">
        <v>44781</v>
      </c>
      <c r="B392" s="615">
        <v>45600</v>
      </c>
      <c r="C392" s="615">
        <f t="shared" si="18"/>
        <v>55531.130000000012</v>
      </c>
      <c r="D392" s="532">
        <f t="shared" si="17"/>
        <v>44872</v>
      </c>
      <c r="E392" s="534">
        <v>91</v>
      </c>
      <c r="F392" s="601">
        <v>0.87354502843647674</v>
      </c>
      <c r="G392" s="536" t="s">
        <v>701</v>
      </c>
      <c r="H392">
        <f>11965.98+30.02</f>
        <v>11996</v>
      </c>
    </row>
    <row r="393" spans="1:8" ht="12.75" hidden="1" customHeight="1">
      <c r="A393" s="532">
        <v>44781</v>
      </c>
      <c r="B393" s="615">
        <v>25000</v>
      </c>
      <c r="C393" s="615">
        <f t="shared" si="18"/>
        <v>30443.560000000005</v>
      </c>
      <c r="D393" s="532">
        <f t="shared" si="17"/>
        <v>44872</v>
      </c>
      <c r="E393" s="534">
        <v>91</v>
      </c>
      <c r="F393" s="601">
        <v>0.87336237362637403</v>
      </c>
      <c r="G393" s="536" t="s">
        <v>687</v>
      </c>
      <c r="H393">
        <f>45713.69+9817.44</f>
        <v>55531.130000000005</v>
      </c>
    </row>
    <row r="394" spans="1:8" ht="12.75" hidden="1" customHeight="1">
      <c r="A394" s="532">
        <v>44782</v>
      </c>
      <c r="B394" s="615">
        <v>9900</v>
      </c>
      <c r="C394" s="615">
        <f t="shared" si="18"/>
        <v>11995.999999999998</v>
      </c>
      <c r="D394" s="532">
        <f t="shared" si="17"/>
        <v>44872</v>
      </c>
      <c r="E394" s="534">
        <v>90</v>
      </c>
      <c r="F394" s="601">
        <v>0.85863075196408467</v>
      </c>
      <c r="G394" s="536" t="s">
        <v>681</v>
      </c>
      <c r="H394">
        <f>65160.27+13597.88</f>
        <v>78758.149999999994</v>
      </c>
    </row>
    <row r="395" spans="1:8" ht="12.75" customHeight="1">
      <c r="A395" s="532">
        <v>44782</v>
      </c>
      <c r="B395" s="615">
        <v>65000</v>
      </c>
      <c r="C395" s="615">
        <f t="shared" si="18"/>
        <v>78758.149999999994</v>
      </c>
      <c r="D395" s="532">
        <f t="shared" si="17"/>
        <v>44872</v>
      </c>
      <c r="E395" s="534">
        <v>90</v>
      </c>
      <c r="F395" s="601">
        <v>0.85841448717948676</v>
      </c>
      <c r="G395" s="536" t="s">
        <v>686</v>
      </c>
      <c r="H395">
        <v>30443.56</v>
      </c>
    </row>
    <row r="396" spans="1:8" ht="12.75" hidden="1" customHeight="1">
      <c r="A396" s="532">
        <v>44782</v>
      </c>
      <c r="B396" s="615">
        <v>65000</v>
      </c>
      <c r="C396" s="615">
        <f t="shared" si="18"/>
        <v>78757.710000000006</v>
      </c>
      <c r="D396" s="532">
        <f t="shared" si="17"/>
        <v>44872</v>
      </c>
      <c r="E396" s="534">
        <v>90</v>
      </c>
      <c r="F396" s="601">
        <v>0.85838703418803464</v>
      </c>
      <c r="G396" s="536" t="s">
        <v>687</v>
      </c>
      <c r="H396">
        <v>78757.710000000006</v>
      </c>
    </row>
    <row r="397" spans="1:8" ht="12.75" hidden="1" customHeight="1">
      <c r="A397" s="532">
        <v>44783</v>
      </c>
      <c r="B397" s="615">
        <v>65000</v>
      </c>
      <c r="C397" s="615">
        <f t="shared" si="18"/>
        <v>79084.45</v>
      </c>
      <c r="D397" s="532">
        <f t="shared" si="17"/>
        <v>44873</v>
      </c>
      <c r="E397" s="534">
        <v>90</v>
      </c>
      <c r="F397" s="601">
        <v>0.8787733760683758</v>
      </c>
      <c r="G397" s="536" t="s">
        <v>701</v>
      </c>
      <c r="H397">
        <f>65160.27+13924.18</f>
        <v>79084.45</v>
      </c>
    </row>
    <row r="398" spans="1:8" ht="12.75" customHeight="1">
      <c r="A398" s="532">
        <v>44783</v>
      </c>
      <c r="B398" s="615">
        <v>23000</v>
      </c>
      <c r="C398" s="615">
        <f t="shared" si="18"/>
        <v>27983.719999999998</v>
      </c>
      <c r="D398" s="532">
        <f t="shared" si="17"/>
        <v>44873</v>
      </c>
      <c r="E398" s="534">
        <v>90</v>
      </c>
      <c r="F398" s="601">
        <v>0.8787718840579708</v>
      </c>
      <c r="G398" s="536" t="s">
        <v>686</v>
      </c>
      <c r="H398">
        <f>23056.71+4927.01</f>
        <v>27983.72</v>
      </c>
    </row>
    <row r="399" spans="1:8" ht="12.75" hidden="1" customHeight="1">
      <c r="A399" s="532">
        <v>44784</v>
      </c>
      <c r="B399" s="615">
        <v>72100</v>
      </c>
      <c r="C399" s="615">
        <f t="shared" si="18"/>
        <v>87749.11</v>
      </c>
      <c r="D399" s="532">
        <f t="shared" si="17"/>
        <v>44874</v>
      </c>
      <c r="E399" s="534">
        <v>90</v>
      </c>
      <c r="F399" s="601">
        <v>0.88024736477115129</v>
      </c>
      <c r="G399" s="536" t="s">
        <v>703</v>
      </c>
      <c r="H399">
        <v>87749.11</v>
      </c>
    </row>
    <row r="400" spans="1:8" ht="12.75" hidden="1" customHeight="1">
      <c r="A400" s="532">
        <v>44785</v>
      </c>
      <c r="B400" s="615">
        <v>12000</v>
      </c>
      <c r="C400" s="615">
        <f t="shared" si="18"/>
        <v>14608.65</v>
      </c>
      <c r="D400" s="532">
        <f t="shared" si="17"/>
        <v>44875</v>
      </c>
      <c r="E400" s="534">
        <v>90</v>
      </c>
      <c r="F400" s="601">
        <v>0.88162708333333295</v>
      </c>
      <c r="G400" s="536" t="s">
        <v>687</v>
      </c>
      <c r="H400">
        <v>14608.65</v>
      </c>
    </row>
    <row r="401" spans="1:8" ht="12.75" hidden="1" customHeight="1">
      <c r="A401" s="532">
        <v>44789</v>
      </c>
      <c r="B401" s="615">
        <v>8000</v>
      </c>
      <c r="C401" s="615">
        <f t="shared" si="18"/>
        <v>9760.4199999999983</v>
      </c>
      <c r="D401" s="532">
        <f t="shared" si="17"/>
        <v>44879</v>
      </c>
      <c r="E401" s="534">
        <v>90</v>
      </c>
      <c r="F401" s="601">
        <v>0.89243513888888792</v>
      </c>
      <c r="G401" s="536" t="s">
        <v>703</v>
      </c>
      <c r="H401">
        <v>9760.42</v>
      </c>
    </row>
    <row r="402" spans="1:8" ht="12.75" hidden="1" customHeight="1">
      <c r="A402" s="532">
        <v>44789</v>
      </c>
      <c r="B402" s="615">
        <v>149700</v>
      </c>
      <c r="C402" s="615">
        <f t="shared" si="18"/>
        <v>182648.20999999996</v>
      </c>
      <c r="D402" s="532">
        <f t="shared" si="17"/>
        <v>44879</v>
      </c>
      <c r="E402" s="534">
        <v>90</v>
      </c>
      <c r="F402" s="601">
        <v>0.8926071884509752</v>
      </c>
      <c r="G402" s="536" t="s">
        <v>699</v>
      </c>
      <c r="H402">
        <v>182648.21</v>
      </c>
    </row>
    <row r="403" spans="1:8" ht="12.75" hidden="1" customHeight="1">
      <c r="A403" s="532">
        <v>44789</v>
      </c>
      <c r="B403" s="615">
        <v>30000</v>
      </c>
      <c r="C403" s="615">
        <f t="shared" si="18"/>
        <v>36602.840000000004</v>
      </c>
      <c r="D403" s="532">
        <f t="shared" si="17"/>
        <v>44879</v>
      </c>
      <c r="E403" s="534">
        <v>90</v>
      </c>
      <c r="F403" s="601">
        <v>0.89260614814814865</v>
      </c>
      <c r="G403" s="536" t="s">
        <v>698</v>
      </c>
      <c r="H403">
        <f>30073.97+6528.87</f>
        <v>36602.840000000004</v>
      </c>
    </row>
    <row r="404" spans="1:8" ht="12.75" hidden="1" customHeight="1">
      <c r="A404" s="532">
        <v>44789</v>
      </c>
      <c r="B404" s="615">
        <v>62000</v>
      </c>
      <c r="C404" s="615">
        <f t="shared" si="18"/>
        <v>75645.99000000002</v>
      </c>
      <c r="D404" s="532">
        <f t="shared" si="17"/>
        <v>44879</v>
      </c>
      <c r="E404" s="534">
        <v>90</v>
      </c>
      <c r="F404" s="601">
        <v>0.89261404121863896</v>
      </c>
      <c r="G404" s="536" t="s">
        <v>687</v>
      </c>
      <c r="H404">
        <f>26064.11+5611.51</f>
        <v>31675.620000000003</v>
      </c>
    </row>
    <row r="405" spans="1:8" ht="12.75" hidden="1" customHeight="1">
      <c r="A405" s="532">
        <v>44790</v>
      </c>
      <c r="B405" s="615">
        <v>26000</v>
      </c>
      <c r="C405" s="615">
        <f t="shared" si="18"/>
        <v>31675.619999999995</v>
      </c>
      <c r="D405" s="532">
        <f t="shared" si="17"/>
        <v>44880</v>
      </c>
      <c r="E405" s="534">
        <v>90</v>
      </c>
      <c r="F405" s="601">
        <v>0.88529970085470022</v>
      </c>
      <c r="G405" s="536" t="s">
        <v>698</v>
      </c>
      <c r="H405">
        <f>7318+1575.54</f>
        <v>8893.5400000000009</v>
      </c>
    </row>
    <row r="406" spans="1:8" ht="13.5" hidden="1" customHeight="1">
      <c r="A406" s="532">
        <v>44790</v>
      </c>
      <c r="B406" s="615">
        <v>7300</v>
      </c>
      <c r="C406" s="615">
        <f t="shared" si="18"/>
        <v>8893.5400000000027</v>
      </c>
      <c r="D406" s="532">
        <f t="shared" si="17"/>
        <v>44880</v>
      </c>
      <c r="E406" s="534">
        <v>90</v>
      </c>
      <c r="F406" s="601">
        <v>0.8853000000000012</v>
      </c>
      <c r="G406" s="536" t="s">
        <v>701</v>
      </c>
      <c r="H406">
        <v>44345.88</v>
      </c>
    </row>
    <row r="407" spans="1:8" ht="13.5" hidden="1" customHeight="1">
      <c r="A407" s="532">
        <v>44790</v>
      </c>
      <c r="B407" s="615">
        <v>36400</v>
      </c>
      <c r="C407" s="615">
        <f t="shared" si="18"/>
        <v>44345.87999999999</v>
      </c>
      <c r="D407" s="532">
        <f t="shared" si="17"/>
        <v>44880</v>
      </c>
      <c r="E407" s="534">
        <v>90</v>
      </c>
      <c r="F407" s="601">
        <v>0.88530103785103664</v>
      </c>
      <c r="G407" s="536" t="s">
        <v>699</v>
      </c>
      <c r="H407">
        <v>75645.990000000005</v>
      </c>
    </row>
    <row r="408" spans="1:8" ht="13.5" hidden="1" customHeight="1">
      <c r="A408" s="532">
        <v>44791</v>
      </c>
      <c r="B408" s="615">
        <v>52800</v>
      </c>
      <c r="C408" s="615">
        <f t="shared" si="18"/>
        <v>64299.07</v>
      </c>
      <c r="D408" s="532">
        <f t="shared" si="17"/>
        <v>44881</v>
      </c>
      <c r="E408" s="534">
        <v>90</v>
      </c>
      <c r="F408" s="601">
        <v>0.88324085648148143</v>
      </c>
      <c r="G408" s="536" t="s">
        <v>699</v>
      </c>
      <c r="H408">
        <v>64299.07</v>
      </c>
    </row>
    <row r="409" spans="1:8" ht="13.5" hidden="1" customHeight="1">
      <c r="A409" s="532">
        <v>44791</v>
      </c>
      <c r="B409" s="615">
        <v>70000</v>
      </c>
      <c r="C409" s="615">
        <f t="shared" si="18"/>
        <v>85244.96</v>
      </c>
      <c r="D409" s="532">
        <f t="shared" si="17"/>
        <v>44881</v>
      </c>
      <c r="E409" s="534">
        <v>90</v>
      </c>
      <c r="F409" s="601">
        <v>0.88323974603174638</v>
      </c>
      <c r="G409" s="536" t="s">
        <v>698</v>
      </c>
      <c r="H409">
        <f>70172.6+15072.36</f>
        <v>85244.96</v>
      </c>
    </row>
    <row r="410" spans="1:8" ht="13.5" hidden="1" customHeight="1">
      <c r="A410" s="532">
        <v>44798</v>
      </c>
      <c r="B410" s="615">
        <v>7350</v>
      </c>
      <c r="C410" s="615">
        <f t="shared" si="18"/>
        <v>8934.3500000000022</v>
      </c>
      <c r="D410" s="532">
        <f t="shared" si="17"/>
        <v>44888</v>
      </c>
      <c r="E410" s="534">
        <v>90</v>
      </c>
      <c r="F410" s="601">
        <v>0.87420672713529923</v>
      </c>
      <c r="G410" s="536" t="s">
        <v>699</v>
      </c>
      <c r="H410">
        <v>8934.31</v>
      </c>
    </row>
    <row r="411" spans="1:8" ht="13.5" customHeight="1">
      <c r="A411" s="532">
        <v>44798</v>
      </c>
      <c r="B411" s="615">
        <v>28000</v>
      </c>
      <c r="C411" s="615">
        <f t="shared" si="18"/>
        <v>34036.030000000006</v>
      </c>
      <c r="D411" s="532">
        <f t="shared" si="17"/>
        <v>44888</v>
      </c>
      <c r="E411" s="534">
        <v>90</v>
      </c>
      <c r="F411" s="601">
        <v>0.87426625000000047</v>
      </c>
      <c r="G411" s="536" t="s">
        <v>686</v>
      </c>
      <c r="H411">
        <f>28069.64+5966.39</f>
        <v>34036.03</v>
      </c>
    </row>
    <row r="412" spans="1:8" ht="13.5" hidden="1" customHeight="1">
      <c r="A412" s="532">
        <v>44798</v>
      </c>
      <c r="B412" s="615">
        <v>65000</v>
      </c>
      <c r="C412" s="615">
        <f t="shared" si="18"/>
        <v>79009.95</v>
      </c>
      <c r="D412" s="532">
        <f t="shared" si="17"/>
        <v>44888</v>
      </c>
      <c r="E412" s="534">
        <v>90</v>
      </c>
      <c r="F412" s="601">
        <v>0.87412508547008527</v>
      </c>
      <c r="G412" s="536" t="s">
        <v>687</v>
      </c>
      <c r="H412">
        <v>79009.95</v>
      </c>
    </row>
    <row r="413" spans="1:8" ht="13.5" hidden="1" customHeight="1">
      <c r="A413" s="532">
        <v>44799</v>
      </c>
      <c r="B413" s="615">
        <v>30000</v>
      </c>
      <c r="C413" s="615">
        <f t="shared" si="18"/>
        <v>36458.47</v>
      </c>
      <c r="D413" s="532">
        <f t="shared" si="17"/>
        <v>44889</v>
      </c>
      <c r="E413" s="534">
        <v>90</v>
      </c>
      <c r="F413" s="601">
        <v>0.8730894629629633</v>
      </c>
      <c r="G413" s="536" t="s">
        <v>687</v>
      </c>
      <c r="H413">
        <v>36458.47</v>
      </c>
    </row>
    <row r="414" spans="1:8" ht="13.5" hidden="1" customHeight="1">
      <c r="A414" s="532">
        <v>44802</v>
      </c>
      <c r="B414" s="615">
        <v>45700</v>
      </c>
      <c r="C414" s="615">
        <f t="shared" si="18"/>
        <v>55636.33</v>
      </c>
      <c r="D414" s="532">
        <f t="shared" si="17"/>
        <v>44893</v>
      </c>
      <c r="E414" s="534">
        <v>91</v>
      </c>
      <c r="F414" s="601">
        <v>0.87208994397287676</v>
      </c>
      <c r="G414" s="536" t="s">
        <v>701</v>
      </c>
      <c r="H414">
        <f>45813.94+9821.39</f>
        <v>55635.33</v>
      </c>
    </row>
    <row r="415" spans="1:8" ht="13.5" hidden="1" customHeight="1">
      <c r="A415" s="532">
        <v>44802</v>
      </c>
      <c r="B415" s="615">
        <v>138500</v>
      </c>
      <c r="C415" s="615">
        <f t="shared" si="18"/>
        <v>168610.32999999996</v>
      </c>
      <c r="D415" s="532">
        <f t="shared" si="17"/>
        <v>44893</v>
      </c>
      <c r="E415" s="534">
        <v>91</v>
      </c>
      <c r="F415" s="601">
        <v>0.87200146387908017</v>
      </c>
      <c r="G415" s="536" t="s">
        <v>698</v>
      </c>
      <c r="H415">
        <f>138845.3+29765.03</f>
        <v>168610.33</v>
      </c>
    </row>
    <row r="416" spans="1:8" ht="13.5" customHeight="1">
      <c r="A416" s="532">
        <v>44802</v>
      </c>
      <c r="B416" s="615">
        <v>280000</v>
      </c>
      <c r="C416" s="615">
        <f t="shared" si="18"/>
        <v>340872.87000000011</v>
      </c>
      <c r="D416" s="532">
        <f t="shared" si="17"/>
        <v>44893</v>
      </c>
      <c r="E416" s="534">
        <v>91</v>
      </c>
      <c r="F416" s="601">
        <v>0.87200147370486802</v>
      </c>
      <c r="G416" s="536" t="s">
        <v>686</v>
      </c>
      <c r="H416">
        <f>20049.32+4130.86</f>
        <v>24180.18</v>
      </c>
    </row>
    <row r="417" spans="1:8" ht="13.5" hidden="1" customHeight="1">
      <c r="A417" s="532">
        <v>44802</v>
      </c>
      <c r="B417" s="615">
        <v>10000</v>
      </c>
      <c r="C417" s="615">
        <f t="shared" si="18"/>
        <v>12172.98</v>
      </c>
      <c r="D417" s="532">
        <f t="shared" si="17"/>
        <v>44893</v>
      </c>
      <c r="E417" s="534">
        <v>91</v>
      </c>
      <c r="F417" s="601">
        <v>0.87157989010988979</v>
      </c>
      <c r="G417" s="536" t="s">
        <v>704</v>
      </c>
      <c r="H417">
        <f>280698.08+60174.79</f>
        <v>340872.87</v>
      </c>
    </row>
    <row r="418" spans="1:8" ht="13.5" customHeight="1">
      <c r="A418" s="532">
        <v>44803</v>
      </c>
      <c r="B418" s="615">
        <v>20000</v>
      </c>
      <c r="C418" s="615">
        <f t="shared" si="18"/>
        <v>24180.18</v>
      </c>
      <c r="D418" s="532">
        <f t="shared" si="17"/>
        <v>44893</v>
      </c>
      <c r="E418" s="534">
        <v>90</v>
      </c>
      <c r="F418" s="601">
        <v>0.84764761111111142</v>
      </c>
      <c r="G418" s="536" t="s">
        <v>686</v>
      </c>
      <c r="H418">
        <v>28411.71</v>
      </c>
    </row>
    <row r="419" spans="1:8" ht="13.5" hidden="1" customHeight="1">
      <c r="A419" s="532">
        <v>44803</v>
      </c>
      <c r="B419" s="615">
        <v>23500</v>
      </c>
      <c r="C419" s="615">
        <f t="shared" si="18"/>
        <v>28411.710000000003</v>
      </c>
      <c r="D419" s="532">
        <f t="shared" si="17"/>
        <v>44893</v>
      </c>
      <c r="E419" s="534">
        <v>90</v>
      </c>
      <c r="F419" s="601">
        <v>0.84764735224586341</v>
      </c>
      <c r="G419" s="536" t="s">
        <v>699</v>
      </c>
      <c r="H419">
        <v>12172.98</v>
      </c>
    </row>
    <row r="420" spans="1:8" ht="13.5" hidden="1" customHeight="1">
      <c r="A420" s="532">
        <v>44803</v>
      </c>
      <c r="B420" s="615">
        <v>120000</v>
      </c>
      <c r="C420" s="615">
        <f t="shared" si="18"/>
        <v>145081.29000000004</v>
      </c>
      <c r="D420" s="532">
        <f t="shared" si="17"/>
        <v>44893</v>
      </c>
      <c r="E420" s="534">
        <v>90</v>
      </c>
      <c r="F420" s="601">
        <v>0.84765470833333434</v>
      </c>
      <c r="G420" s="536" t="s">
        <v>704</v>
      </c>
      <c r="H420">
        <v>145081.29</v>
      </c>
    </row>
    <row r="421" spans="1:8" ht="13.5" customHeight="1">
      <c r="A421" s="532">
        <v>44804</v>
      </c>
      <c r="B421" s="615">
        <v>40000</v>
      </c>
      <c r="C421" s="615">
        <f t="shared" si="18"/>
        <v>48543.510000000009</v>
      </c>
      <c r="D421" s="532">
        <f t="shared" si="17"/>
        <v>44894</v>
      </c>
      <c r="E421" s="534">
        <v>90</v>
      </c>
      <c r="F421" s="601">
        <v>0.86621698611111198</v>
      </c>
      <c r="G421" s="536" t="s">
        <v>686</v>
      </c>
      <c r="H421">
        <f>40098.63+8444.88</f>
        <v>48543.509999999995</v>
      </c>
    </row>
    <row r="422" spans="1:8" ht="13.5" hidden="1" customHeight="1">
      <c r="A422" s="532">
        <v>44804</v>
      </c>
      <c r="B422" s="615">
        <v>118000</v>
      </c>
      <c r="C422" s="615">
        <f t="shared" si="18"/>
        <v>143203.51</v>
      </c>
      <c r="D422" s="532">
        <f t="shared" si="17"/>
        <v>44894</v>
      </c>
      <c r="E422" s="534">
        <v>90</v>
      </c>
      <c r="F422" s="601">
        <v>0.86622233050847486</v>
      </c>
      <c r="G422" s="536" t="s">
        <v>704</v>
      </c>
      <c r="H422">
        <v>78501.100000000006</v>
      </c>
    </row>
    <row r="423" spans="1:8" ht="13.5" hidden="1" customHeight="1">
      <c r="A423" s="532">
        <v>44804</v>
      </c>
      <c r="B423" s="615">
        <v>10000</v>
      </c>
      <c r="C423" s="615">
        <f t="shared" si="18"/>
        <v>12135.950000000003</v>
      </c>
      <c r="D423" s="532">
        <f t="shared" si="17"/>
        <v>44894</v>
      </c>
      <c r="E423" s="534">
        <v>90</v>
      </c>
      <c r="F423" s="601">
        <v>0.86624638888888983</v>
      </c>
      <c r="G423" s="536" t="s">
        <v>687</v>
      </c>
      <c r="H423">
        <v>21475.66</v>
      </c>
    </row>
    <row r="424" spans="1:8" ht="13.5" hidden="1" customHeight="1">
      <c r="A424" s="532">
        <v>44805</v>
      </c>
      <c r="B424" s="615">
        <v>64700</v>
      </c>
      <c r="C424" s="615">
        <f t="shared" si="18"/>
        <v>78501.10000000002</v>
      </c>
      <c r="D424" s="532">
        <f t="shared" si="17"/>
        <v>44895</v>
      </c>
      <c r="E424" s="534">
        <v>90</v>
      </c>
      <c r="F424" s="601">
        <v>0.86508698265499029</v>
      </c>
      <c r="G424" s="536" t="s">
        <v>703</v>
      </c>
      <c r="H424">
        <v>24266.29</v>
      </c>
    </row>
    <row r="425" spans="1:8" ht="13.5" hidden="1" customHeight="1">
      <c r="A425" s="532">
        <v>44805</v>
      </c>
      <c r="B425" s="615">
        <v>17700</v>
      </c>
      <c r="C425" s="615">
        <f t="shared" si="18"/>
        <v>21475.660000000003</v>
      </c>
      <c r="D425" s="532">
        <f t="shared" si="17"/>
        <v>44895</v>
      </c>
      <c r="E425" s="534">
        <v>90</v>
      </c>
      <c r="F425" s="601">
        <v>0.86510728185812968</v>
      </c>
      <c r="G425" s="536" t="s">
        <v>699</v>
      </c>
      <c r="H425">
        <v>143203.51</v>
      </c>
    </row>
    <row r="426" spans="1:8" ht="13.5" hidden="1" customHeight="1">
      <c r="A426" s="532">
        <v>44805</v>
      </c>
      <c r="B426" s="615">
        <v>20000</v>
      </c>
      <c r="C426" s="615">
        <f t="shared" si="18"/>
        <v>24266.29</v>
      </c>
      <c r="D426" s="532">
        <f t="shared" si="17"/>
        <v>44895</v>
      </c>
      <c r="E426" s="534">
        <v>90</v>
      </c>
      <c r="F426" s="601">
        <v>0.86510880555555614</v>
      </c>
      <c r="G426" s="536" t="s">
        <v>699</v>
      </c>
      <c r="H426">
        <v>12135.95</v>
      </c>
    </row>
    <row r="427" spans="1:8" ht="13.5" hidden="1" customHeight="1">
      <c r="A427" s="532">
        <v>44805</v>
      </c>
      <c r="B427" s="615">
        <v>80000</v>
      </c>
      <c r="C427" s="615">
        <f t="shared" si="18"/>
        <v>97064.800000000017</v>
      </c>
      <c r="D427" s="532">
        <f t="shared" si="17"/>
        <v>44895</v>
      </c>
      <c r="E427" s="534">
        <v>90</v>
      </c>
      <c r="F427" s="601">
        <v>0.86509055555555603</v>
      </c>
      <c r="G427" s="536" t="s">
        <v>704</v>
      </c>
      <c r="H427">
        <v>97064.8</v>
      </c>
    </row>
    <row r="428" spans="1:8" ht="13.5" hidden="1" customHeight="1">
      <c r="A428" s="532">
        <v>44805</v>
      </c>
      <c r="B428" s="615">
        <v>45000</v>
      </c>
      <c r="C428" s="615">
        <f t="shared" si="18"/>
        <v>54599.73000000001</v>
      </c>
      <c r="D428" s="532">
        <f t="shared" si="17"/>
        <v>44895</v>
      </c>
      <c r="E428" s="534">
        <v>90</v>
      </c>
      <c r="F428" s="601">
        <v>0.86516085185185265</v>
      </c>
      <c r="G428" s="536" t="s">
        <v>687</v>
      </c>
      <c r="H428">
        <v>54599.73</v>
      </c>
    </row>
    <row r="429" spans="1:8" ht="13.5" customHeight="1">
      <c r="A429" s="532">
        <v>44809</v>
      </c>
      <c r="B429" s="615">
        <v>30000</v>
      </c>
      <c r="C429" s="615">
        <f t="shared" si="18"/>
        <v>36453.97</v>
      </c>
      <c r="D429" s="532">
        <f t="shared" si="17"/>
        <v>44900</v>
      </c>
      <c r="E429" s="534">
        <v>91</v>
      </c>
      <c r="F429" s="601">
        <v>0.86289342490842535</v>
      </c>
      <c r="G429" s="536" t="s">
        <v>686</v>
      </c>
      <c r="H429">
        <f>72177.53+14706.47</f>
        <v>86884</v>
      </c>
    </row>
    <row r="430" spans="1:8" ht="13.5" hidden="1" customHeight="1">
      <c r="A430" s="532">
        <v>44809</v>
      </c>
      <c r="B430" s="615">
        <v>20000</v>
      </c>
      <c r="C430" s="615">
        <f t="shared" si="18"/>
        <v>24302.65</v>
      </c>
      <c r="D430" s="532">
        <f t="shared" si="17"/>
        <v>44900</v>
      </c>
      <c r="E430" s="534">
        <v>91</v>
      </c>
      <c r="F430" s="601">
        <v>0.86289409340659351</v>
      </c>
      <c r="G430" s="536" t="s">
        <v>698</v>
      </c>
      <c r="H430">
        <f>30074.79+6379.18</f>
        <v>36453.97</v>
      </c>
    </row>
    <row r="431" spans="1:8" ht="13.5" hidden="1" customHeight="1">
      <c r="A431" s="532">
        <v>44809</v>
      </c>
      <c r="B431" s="615">
        <v>105000</v>
      </c>
      <c r="C431" s="615">
        <f t="shared" si="18"/>
        <v>127589.23000000001</v>
      </c>
      <c r="D431" s="532">
        <f t="shared" si="17"/>
        <v>44900</v>
      </c>
      <c r="E431" s="534">
        <v>91</v>
      </c>
      <c r="F431" s="601">
        <v>0.86290622187336508</v>
      </c>
      <c r="G431" s="536" t="s">
        <v>687</v>
      </c>
      <c r="H431">
        <f>41168.91+102.28</f>
        <v>41271.19</v>
      </c>
    </row>
    <row r="432" spans="1:8" ht="13.5" customHeight="1">
      <c r="A432" s="532">
        <v>44810</v>
      </c>
      <c r="B432" s="615">
        <v>72000</v>
      </c>
      <c r="C432" s="615">
        <f t="shared" si="18"/>
        <v>86884.000000000015</v>
      </c>
      <c r="D432" s="532">
        <f t="shared" si="17"/>
        <v>44900</v>
      </c>
      <c r="E432" s="534">
        <v>90</v>
      </c>
      <c r="F432" s="601">
        <v>0.83837345679012398</v>
      </c>
      <c r="G432" s="536" t="s">
        <v>686</v>
      </c>
      <c r="H432">
        <f>20049.86+4252.79</f>
        <v>24302.65</v>
      </c>
    </row>
    <row r="433" spans="1:8" ht="13.5" hidden="1" customHeight="1">
      <c r="A433" s="532">
        <v>44810</v>
      </c>
      <c r="B433" s="615">
        <v>34200</v>
      </c>
      <c r="C433" s="615">
        <f t="shared" si="18"/>
        <v>41271.19</v>
      </c>
      <c r="D433" s="532">
        <f t="shared" si="17"/>
        <v>44900</v>
      </c>
      <c r="E433" s="534">
        <v>90</v>
      </c>
      <c r="F433" s="601">
        <v>0.83852642949967582</v>
      </c>
      <c r="G433" s="536" t="s">
        <v>681</v>
      </c>
      <c r="H433">
        <v>127589.23</v>
      </c>
    </row>
    <row r="434" spans="1:8" ht="13.5" hidden="1" customHeight="1">
      <c r="A434" s="532">
        <v>44810</v>
      </c>
      <c r="B434" s="615">
        <v>45000</v>
      </c>
      <c r="C434" s="615">
        <f t="shared" si="18"/>
        <v>54303.48000000001</v>
      </c>
      <c r="D434" s="532">
        <f t="shared" si="17"/>
        <v>44900</v>
      </c>
      <c r="E434" s="534">
        <v>90</v>
      </c>
      <c r="F434" s="601">
        <v>0.83846177777777842</v>
      </c>
      <c r="G434" s="536" t="s">
        <v>687</v>
      </c>
      <c r="H434">
        <v>54303.48</v>
      </c>
    </row>
    <row r="435" spans="1:8" ht="13.5" hidden="1" customHeight="1">
      <c r="A435" s="532">
        <v>44811</v>
      </c>
      <c r="B435" s="615">
        <v>15000</v>
      </c>
      <c r="C435" s="615">
        <f t="shared" si="18"/>
        <v>18170.759999999998</v>
      </c>
      <c r="D435" s="532">
        <f t="shared" si="17"/>
        <v>44901</v>
      </c>
      <c r="E435" s="534">
        <v>90</v>
      </c>
      <c r="F435" s="601">
        <v>0.85727955555555535</v>
      </c>
      <c r="G435" s="536" t="s">
        <v>701</v>
      </c>
      <c r="H435">
        <f>15036.99+3133.77</f>
        <v>18170.759999999998</v>
      </c>
    </row>
    <row r="436" spans="1:8" ht="13.5" hidden="1" customHeight="1">
      <c r="A436" s="532">
        <v>44811</v>
      </c>
      <c r="B436" s="615">
        <v>40000</v>
      </c>
      <c r="C436" s="615">
        <f t="shared" si="18"/>
        <v>48455.350000000006</v>
      </c>
      <c r="D436" s="532">
        <f t="shared" si="17"/>
        <v>44901</v>
      </c>
      <c r="E436" s="534">
        <v>90</v>
      </c>
      <c r="F436" s="601">
        <v>0.85727854166666706</v>
      </c>
      <c r="G436" s="536" t="s">
        <v>698</v>
      </c>
      <c r="H436">
        <f>40098.63+8356.72</f>
        <v>48455.35</v>
      </c>
    </row>
    <row r="437" spans="1:8" ht="13.5" customHeight="1">
      <c r="A437" s="532">
        <v>44811</v>
      </c>
      <c r="B437" s="615">
        <v>50000</v>
      </c>
      <c r="C437" s="615">
        <f t="shared" si="18"/>
        <v>60569.1875</v>
      </c>
      <c r="D437" s="532">
        <f t="shared" si="17"/>
        <v>44901</v>
      </c>
      <c r="E437" s="534">
        <v>90</v>
      </c>
      <c r="F437" s="601">
        <v>0.85727854166666706</v>
      </c>
      <c r="G437" s="536" t="s">
        <v>686</v>
      </c>
      <c r="H437">
        <f>50123.29+10445.9</f>
        <v>60569.19</v>
      </c>
    </row>
    <row r="438" spans="1:8" ht="13.5" hidden="1" customHeight="1">
      <c r="A438" s="532">
        <v>44811</v>
      </c>
      <c r="B438" s="615">
        <v>40000</v>
      </c>
      <c r="C438" s="615">
        <f t="shared" si="18"/>
        <v>48454.37000000001</v>
      </c>
      <c r="D438" s="532">
        <f t="shared" si="17"/>
        <v>44901</v>
      </c>
      <c r="E438" s="534">
        <v>90</v>
      </c>
      <c r="F438" s="601">
        <v>0.8571791805555562</v>
      </c>
      <c r="G438" s="536" t="s">
        <v>687</v>
      </c>
      <c r="H438">
        <v>48454.37</v>
      </c>
    </row>
    <row r="439" spans="1:8" ht="13.5" customHeight="1">
      <c r="A439" s="532">
        <v>44812</v>
      </c>
      <c r="B439" s="615">
        <v>60000</v>
      </c>
      <c r="C439" s="615">
        <f t="shared" si="18"/>
        <v>72662.250000000015</v>
      </c>
      <c r="D439" s="532">
        <f t="shared" si="17"/>
        <v>44902</v>
      </c>
      <c r="E439" s="534">
        <v>90</v>
      </c>
      <c r="F439" s="601">
        <v>0.85587430555555633</v>
      </c>
      <c r="G439" s="536" t="s">
        <v>686</v>
      </c>
      <c r="H439">
        <f>60147.95+12514.3</f>
        <v>72662.25</v>
      </c>
    </row>
    <row r="440" spans="1:8" ht="13.5" hidden="1" customHeight="1">
      <c r="A440" s="532">
        <v>44813</v>
      </c>
      <c r="B440" s="615">
        <v>29500</v>
      </c>
      <c r="C440" s="615">
        <f t="shared" si="18"/>
        <v>35719.33</v>
      </c>
      <c r="D440" s="532">
        <f t="shared" si="17"/>
        <v>44907</v>
      </c>
      <c r="E440" s="534">
        <v>94</v>
      </c>
      <c r="F440" s="601">
        <v>0.81862800216372189</v>
      </c>
      <c r="G440" s="536" t="s">
        <v>699</v>
      </c>
      <c r="H440">
        <v>35719.33</v>
      </c>
    </row>
    <row r="441" spans="1:8" ht="13.5" hidden="1" customHeight="1">
      <c r="A441" s="532">
        <v>44813</v>
      </c>
      <c r="B441" s="615">
        <v>30000</v>
      </c>
      <c r="C441" s="615">
        <f t="shared" si="18"/>
        <v>36234.81</v>
      </c>
      <c r="D441" s="532">
        <f t="shared" si="17"/>
        <v>44907</v>
      </c>
      <c r="E441" s="534">
        <v>94</v>
      </c>
      <c r="F441" s="601">
        <v>0.80698781914893558</v>
      </c>
      <c r="G441" s="536" t="s">
        <v>687</v>
      </c>
      <c r="H441">
        <v>24590.82</v>
      </c>
    </row>
    <row r="442" spans="1:8" ht="13.5" customHeight="1">
      <c r="A442" s="532">
        <v>44816</v>
      </c>
      <c r="B442" s="615">
        <v>160000</v>
      </c>
      <c r="C442" s="615">
        <f t="shared" si="18"/>
        <v>193270.63</v>
      </c>
      <c r="D442" s="532">
        <f t="shared" si="17"/>
        <v>44907</v>
      </c>
      <c r="E442" s="534">
        <v>91</v>
      </c>
      <c r="F442" s="601">
        <v>0.83405082074175818</v>
      </c>
      <c r="G442" s="536" t="s">
        <v>686</v>
      </c>
      <c r="H442">
        <f>160398.9+32871.73</f>
        <v>193270.63</v>
      </c>
    </row>
    <row r="443" spans="1:8" ht="13.5" hidden="1" customHeight="1">
      <c r="A443" s="532">
        <v>44816</v>
      </c>
      <c r="B443" s="615">
        <v>78700</v>
      </c>
      <c r="C443" s="615">
        <f t="shared" si="18"/>
        <v>95064.99000000002</v>
      </c>
      <c r="D443" s="532">
        <f t="shared" si="17"/>
        <v>44907</v>
      </c>
      <c r="E443" s="534">
        <v>91</v>
      </c>
      <c r="F443" s="601">
        <v>0.83405076308697723</v>
      </c>
      <c r="G443" s="536" t="s">
        <v>701</v>
      </c>
      <c r="H443">
        <f>78896.21+16168.78</f>
        <v>95064.99</v>
      </c>
    </row>
    <row r="444" spans="1:8" ht="13.5" hidden="1" customHeight="1">
      <c r="A444" s="532">
        <v>44816</v>
      </c>
      <c r="B444" s="615">
        <v>20000</v>
      </c>
      <c r="C444" s="615">
        <f t="shared" si="18"/>
        <v>24158.93</v>
      </c>
      <c r="D444" s="532">
        <f t="shared" si="17"/>
        <v>44907</v>
      </c>
      <c r="E444" s="534">
        <v>91</v>
      </c>
      <c r="F444" s="601">
        <v>0.83407112637362624</v>
      </c>
      <c r="G444" s="536" t="s">
        <v>687</v>
      </c>
      <c r="H444">
        <v>36324.81</v>
      </c>
    </row>
    <row r="445" spans="1:8" ht="13.5" hidden="1" customHeight="1">
      <c r="A445" s="532">
        <v>44817</v>
      </c>
      <c r="B445" s="615">
        <v>20500</v>
      </c>
      <c r="C445" s="615">
        <f t="shared" si="18"/>
        <v>24590.82</v>
      </c>
      <c r="D445" s="532">
        <f t="shared" si="17"/>
        <v>44907</v>
      </c>
      <c r="E445" s="534">
        <v>90</v>
      </c>
      <c r="F445" s="601">
        <v>0.80929501355013533</v>
      </c>
      <c r="G445" s="536" t="s">
        <v>699</v>
      </c>
      <c r="H445">
        <v>35986.33</v>
      </c>
    </row>
    <row r="446" spans="1:8" ht="13.5" hidden="1" customHeight="1">
      <c r="A446" s="532">
        <v>44817</v>
      </c>
      <c r="B446" s="615">
        <v>30000</v>
      </c>
      <c r="C446" s="615">
        <f t="shared" si="18"/>
        <v>35986.330000000009</v>
      </c>
      <c r="D446" s="532">
        <f t="shared" ref="D446:D509" si="19">+A446+E446</f>
        <v>44907</v>
      </c>
      <c r="E446" s="534">
        <v>90</v>
      </c>
      <c r="F446" s="601">
        <v>0.80926312962963043</v>
      </c>
      <c r="G446" s="536" t="s">
        <v>687</v>
      </c>
      <c r="H446">
        <v>24158.93</v>
      </c>
    </row>
    <row r="447" spans="1:8" ht="13.5" hidden="1" customHeight="1">
      <c r="A447" s="532">
        <v>44818</v>
      </c>
      <c r="B447" s="615">
        <v>8000</v>
      </c>
      <c r="C447" s="615">
        <f t="shared" si="18"/>
        <v>9672.5499999999975</v>
      </c>
      <c r="D447" s="532">
        <f t="shared" si="19"/>
        <v>44908</v>
      </c>
      <c r="E447" s="534">
        <v>90</v>
      </c>
      <c r="F447" s="601">
        <v>0.84788993055555451</v>
      </c>
      <c r="G447" s="536" t="s">
        <v>703</v>
      </c>
      <c r="H447">
        <v>9672.5499999999993</v>
      </c>
    </row>
    <row r="448" spans="1:8" ht="13.5" hidden="1" customHeight="1">
      <c r="A448" s="532">
        <v>44818</v>
      </c>
      <c r="B448" s="615">
        <v>69600</v>
      </c>
      <c r="C448" s="615">
        <f t="shared" si="18"/>
        <v>84154.239999999991</v>
      </c>
      <c r="D448" s="532">
        <f t="shared" si="19"/>
        <v>44908</v>
      </c>
      <c r="E448" s="534">
        <v>90</v>
      </c>
      <c r="F448" s="601">
        <v>0.84806794380587436</v>
      </c>
      <c r="G448" s="536" t="s">
        <v>699</v>
      </c>
      <c r="H448">
        <v>84154.240000000005</v>
      </c>
    </row>
    <row r="449" spans="1:8" ht="13.5" hidden="1" customHeight="1">
      <c r="A449" s="532">
        <v>44818</v>
      </c>
      <c r="B449" s="615">
        <v>38000</v>
      </c>
      <c r="C449" s="615">
        <f t="shared" si="18"/>
        <v>45946.28</v>
      </c>
      <c r="D449" s="532">
        <f t="shared" si="19"/>
        <v>44908</v>
      </c>
      <c r="E449" s="534">
        <v>90</v>
      </c>
      <c r="F449" s="601">
        <v>0.84806789473684163</v>
      </c>
      <c r="G449" s="536" t="s">
        <v>698</v>
      </c>
      <c r="H449">
        <f>38093.7+7852.58</f>
        <v>45946.28</v>
      </c>
    </row>
    <row r="450" spans="1:8" ht="13.5" hidden="1" customHeight="1">
      <c r="A450" s="532">
        <v>44820</v>
      </c>
      <c r="B450" s="615">
        <v>59000</v>
      </c>
      <c r="C450" s="615">
        <f t="shared" si="18"/>
        <v>71297.350000000006</v>
      </c>
      <c r="D450" s="532">
        <f t="shared" si="19"/>
        <v>44910</v>
      </c>
      <c r="E450" s="534">
        <v>90</v>
      </c>
      <c r="F450" s="601">
        <v>0.84529806967985011</v>
      </c>
      <c r="G450" s="536" t="s">
        <v>699</v>
      </c>
      <c r="H450">
        <v>71297.350000000006</v>
      </c>
    </row>
    <row r="451" spans="1:8" ht="13.5" hidden="1" customHeight="1">
      <c r="A451" s="532">
        <v>44823</v>
      </c>
      <c r="B451" s="615">
        <v>12100</v>
      </c>
      <c r="C451" s="615">
        <f t="shared" si="18"/>
        <v>14641.769999999999</v>
      </c>
      <c r="D451" s="532">
        <f t="shared" si="19"/>
        <v>44914</v>
      </c>
      <c r="E451" s="534">
        <v>91</v>
      </c>
      <c r="F451" s="601">
        <v>0.84256293706293672</v>
      </c>
      <c r="G451" s="536" t="s">
        <v>699</v>
      </c>
      <c r="H451">
        <f>32479.88+6460.76</f>
        <v>38940.639999999999</v>
      </c>
    </row>
    <row r="452" spans="1:8" ht="13.5" hidden="1" customHeight="1">
      <c r="A452" s="532">
        <v>44823</v>
      </c>
      <c r="B452" s="615">
        <v>46500</v>
      </c>
      <c r="C452" s="615">
        <f t="shared" ref="C452:C515" si="20">B452+(B452*F452/365*E452)*1</f>
        <v>56267.57</v>
      </c>
      <c r="D452" s="532">
        <f t="shared" si="19"/>
        <v>44914</v>
      </c>
      <c r="E452" s="534">
        <v>91</v>
      </c>
      <c r="F452" s="601">
        <v>0.84252937492614899</v>
      </c>
      <c r="G452" s="536" t="s">
        <v>703</v>
      </c>
      <c r="H452">
        <f>35086.3+6979.22</f>
        <v>42065.520000000004</v>
      </c>
    </row>
    <row r="453" spans="1:8" ht="13.5" hidden="1" customHeight="1">
      <c r="A453" s="532">
        <v>44823</v>
      </c>
      <c r="B453" s="615">
        <v>85000</v>
      </c>
      <c r="C453" s="615">
        <f t="shared" si="20"/>
        <v>102854.72</v>
      </c>
      <c r="D453" s="532">
        <f t="shared" si="19"/>
        <v>44914</v>
      </c>
      <c r="E453" s="534">
        <v>91</v>
      </c>
      <c r="F453" s="601">
        <v>0.84253042016806678</v>
      </c>
      <c r="G453" s="536" t="s">
        <v>704</v>
      </c>
      <c r="H453">
        <v>14641.77</v>
      </c>
    </row>
    <row r="454" spans="1:8" ht="13.5" hidden="1" customHeight="1">
      <c r="A454" s="532">
        <v>44823</v>
      </c>
      <c r="B454" s="615">
        <v>150000</v>
      </c>
      <c r="C454" s="615">
        <f t="shared" si="20"/>
        <v>181510.55</v>
      </c>
      <c r="D454" s="532">
        <f t="shared" si="19"/>
        <v>44914</v>
      </c>
      <c r="E454" s="534">
        <v>91</v>
      </c>
      <c r="F454" s="601">
        <v>0.84258979853479832</v>
      </c>
      <c r="G454" s="536" t="s">
        <v>687</v>
      </c>
      <c r="H454">
        <v>56267.57</v>
      </c>
    </row>
    <row r="455" spans="1:8" ht="13.5" hidden="1" customHeight="1">
      <c r="A455" s="532">
        <v>44824</v>
      </c>
      <c r="B455" s="615">
        <v>32400</v>
      </c>
      <c r="C455" s="615">
        <f t="shared" si="20"/>
        <v>38940.639999999999</v>
      </c>
      <c r="D455" s="532">
        <f t="shared" si="19"/>
        <v>44914</v>
      </c>
      <c r="E455" s="534">
        <v>90</v>
      </c>
      <c r="F455" s="601">
        <v>0.81870150891632387</v>
      </c>
      <c r="G455" s="536" t="s">
        <v>698</v>
      </c>
      <c r="H455">
        <f>44225.41+109.32</f>
        <v>44334.73</v>
      </c>
    </row>
    <row r="456" spans="1:8" ht="13.5" customHeight="1">
      <c r="A456" s="532">
        <v>44824</v>
      </c>
      <c r="B456" s="615">
        <v>35000</v>
      </c>
      <c r="C456" s="615">
        <f t="shared" si="20"/>
        <v>42065.51999999999</v>
      </c>
      <c r="D456" s="532">
        <f t="shared" si="19"/>
        <v>44914</v>
      </c>
      <c r="E456" s="534">
        <v>90</v>
      </c>
      <c r="F456" s="601">
        <v>0.81870311111111027</v>
      </c>
      <c r="G456" s="536" t="s">
        <v>686</v>
      </c>
      <c r="H456">
        <v>102854.72</v>
      </c>
    </row>
    <row r="457" spans="1:8" ht="13.5" hidden="1" customHeight="1">
      <c r="A457" s="532">
        <v>44824</v>
      </c>
      <c r="B457" s="615">
        <v>30000</v>
      </c>
      <c r="C457" s="615">
        <f t="shared" si="20"/>
        <v>36056.180000000008</v>
      </c>
      <c r="D457" s="532">
        <f t="shared" si="19"/>
        <v>44914</v>
      </c>
      <c r="E457" s="534">
        <v>90</v>
      </c>
      <c r="F457" s="601">
        <v>0.81870581481481575</v>
      </c>
      <c r="G457" s="536" t="s">
        <v>687</v>
      </c>
      <c r="H457">
        <v>181510.55</v>
      </c>
    </row>
    <row r="458" spans="1:8" ht="13.5" hidden="1" customHeight="1">
      <c r="A458" s="532">
        <v>44825</v>
      </c>
      <c r="B458" s="615">
        <v>36800</v>
      </c>
      <c r="C458" s="615">
        <f t="shared" si="20"/>
        <v>44334.73</v>
      </c>
      <c r="D458" s="532">
        <f t="shared" si="19"/>
        <v>44915</v>
      </c>
      <c r="E458" s="534">
        <v>90</v>
      </c>
      <c r="F458" s="601">
        <v>0.83036728562801931</v>
      </c>
      <c r="G458" s="536" t="s">
        <v>681</v>
      </c>
      <c r="H458">
        <v>36056.18</v>
      </c>
    </row>
    <row r="459" spans="1:8" ht="13.5" hidden="1" customHeight="1">
      <c r="A459" s="532">
        <v>44830</v>
      </c>
      <c r="B459" s="615">
        <v>289500</v>
      </c>
      <c r="C459" s="615">
        <f t="shared" si="20"/>
        <v>348574.14</v>
      </c>
      <c r="D459" s="532">
        <f t="shared" si="19"/>
        <v>44921</v>
      </c>
      <c r="E459" s="534">
        <v>91</v>
      </c>
      <c r="F459" s="601">
        <v>0.81846537607470271</v>
      </c>
      <c r="G459" s="536" t="s">
        <v>698</v>
      </c>
      <c r="H459">
        <f>290221.77+58352.37</f>
        <v>348574.14</v>
      </c>
    </row>
    <row r="460" spans="1:8" ht="13.5" hidden="1" customHeight="1">
      <c r="A460" s="532">
        <v>44830</v>
      </c>
      <c r="B460" s="615">
        <v>56800</v>
      </c>
      <c r="C460" s="615">
        <f t="shared" si="20"/>
        <v>68391.260000000009</v>
      </c>
      <c r="D460" s="532">
        <f t="shared" si="19"/>
        <v>44921</v>
      </c>
      <c r="E460" s="534">
        <v>91</v>
      </c>
      <c r="F460" s="601">
        <v>0.81852845921683959</v>
      </c>
      <c r="G460" s="536" t="s">
        <v>681</v>
      </c>
      <c r="H460">
        <f>68220.76+170.5</f>
        <v>68391.259999999995</v>
      </c>
    </row>
    <row r="461" spans="1:8" ht="13.5" hidden="1" customHeight="1">
      <c r="A461" s="532">
        <v>44830</v>
      </c>
      <c r="B461" s="615">
        <v>18100</v>
      </c>
      <c r="C461" s="615">
        <f t="shared" si="20"/>
        <v>21793.08</v>
      </c>
      <c r="D461" s="532">
        <f t="shared" si="19"/>
        <v>44921</v>
      </c>
      <c r="E461" s="534">
        <v>91</v>
      </c>
      <c r="F461" s="601">
        <v>0.81839244733167427</v>
      </c>
      <c r="G461" s="536" t="s">
        <v>703</v>
      </c>
      <c r="H461">
        <v>21793.08</v>
      </c>
    </row>
    <row r="462" spans="1:8" ht="13.5" hidden="1" customHeight="1">
      <c r="A462" s="532">
        <v>44831</v>
      </c>
      <c r="B462" s="615">
        <v>30000</v>
      </c>
      <c r="C462" s="615">
        <f t="shared" si="20"/>
        <v>35875.08</v>
      </c>
      <c r="D462" s="532">
        <f t="shared" si="19"/>
        <v>44921</v>
      </c>
      <c r="E462" s="534">
        <v>90</v>
      </c>
      <c r="F462" s="601">
        <v>0.79422377777777853</v>
      </c>
      <c r="G462" s="536" t="s">
        <v>687</v>
      </c>
      <c r="H462">
        <f>73430.62+14379.09</f>
        <v>87809.709999999992</v>
      </c>
    </row>
    <row r="463" spans="1:8" ht="13.5" hidden="1" customHeight="1">
      <c r="A463" s="532">
        <v>44832</v>
      </c>
      <c r="B463" s="615">
        <v>73250</v>
      </c>
      <c r="C463" s="615">
        <f t="shared" si="20"/>
        <v>87809.71</v>
      </c>
      <c r="D463" s="532">
        <f t="shared" si="19"/>
        <v>44922</v>
      </c>
      <c r="E463" s="534">
        <v>90</v>
      </c>
      <c r="F463" s="601">
        <v>0.80611211983314401</v>
      </c>
      <c r="G463" s="536" t="s">
        <v>698</v>
      </c>
      <c r="H463">
        <v>35875.86</v>
      </c>
    </row>
    <row r="464" spans="1:8" ht="13.5" hidden="1" customHeight="1">
      <c r="A464" s="532">
        <v>44832</v>
      </c>
      <c r="B464" s="615">
        <v>128200</v>
      </c>
      <c r="C464" s="615">
        <f t="shared" si="20"/>
        <v>153682.41</v>
      </c>
      <c r="D464" s="532">
        <f t="shared" si="19"/>
        <v>44922</v>
      </c>
      <c r="E464" s="534">
        <v>90</v>
      </c>
      <c r="F464" s="601">
        <v>0.80612581469925504</v>
      </c>
      <c r="G464" s="536" t="s">
        <v>701</v>
      </c>
      <c r="H464">
        <f>128516.55+25165.86</f>
        <v>153682.41</v>
      </c>
    </row>
    <row r="465" spans="1:8" ht="13.5" hidden="1" customHeight="1">
      <c r="A465" s="532">
        <v>44832</v>
      </c>
      <c r="B465" s="615">
        <v>2400</v>
      </c>
      <c r="C465" s="615">
        <f t="shared" si="20"/>
        <v>2876.89</v>
      </c>
      <c r="D465" s="532">
        <f t="shared" si="19"/>
        <v>44922</v>
      </c>
      <c r="E465" s="534">
        <v>90</v>
      </c>
      <c r="F465" s="601">
        <v>0.80585578703703664</v>
      </c>
      <c r="G465" s="536" t="s">
        <v>681</v>
      </c>
      <c r="H465">
        <f>2869.52+7.37</f>
        <v>2876.89</v>
      </c>
    </row>
    <row r="466" spans="1:8" ht="13.5" customHeight="1">
      <c r="A466" s="532">
        <v>44832</v>
      </c>
      <c r="B466" s="615">
        <v>230000</v>
      </c>
      <c r="C466" s="615">
        <f t="shared" si="20"/>
        <v>275716.46999999997</v>
      </c>
      <c r="D466" s="532">
        <f t="shared" si="19"/>
        <v>44922</v>
      </c>
      <c r="E466" s="534">
        <v>90</v>
      </c>
      <c r="F466" s="601">
        <v>0.80611166908212539</v>
      </c>
      <c r="G466" s="536" t="s">
        <v>686</v>
      </c>
      <c r="H466">
        <f>230567.12+45149.35</f>
        <v>275716.46999999997</v>
      </c>
    </row>
    <row r="467" spans="1:8" ht="13.5" customHeight="1">
      <c r="A467" s="532">
        <v>44833</v>
      </c>
      <c r="B467" s="615">
        <v>55000</v>
      </c>
      <c r="C467" s="615">
        <f t="shared" si="20"/>
        <v>65882.73</v>
      </c>
      <c r="D467" s="532">
        <f t="shared" si="19"/>
        <v>44923</v>
      </c>
      <c r="E467" s="534">
        <v>90</v>
      </c>
      <c r="F467" s="601">
        <v>0.80246392929292876</v>
      </c>
      <c r="G467" s="536" t="s">
        <v>686</v>
      </c>
      <c r="H467">
        <f>55135.62+10747.11</f>
        <v>65882.73000000001</v>
      </c>
    </row>
    <row r="468" spans="1:8" ht="13.5" hidden="1" customHeight="1">
      <c r="A468" s="532">
        <v>44833</v>
      </c>
      <c r="B468" s="615">
        <v>250000</v>
      </c>
      <c r="C468" s="615">
        <f t="shared" si="20"/>
        <v>299467.15000000002</v>
      </c>
      <c r="D468" s="532">
        <f t="shared" si="19"/>
        <v>44923</v>
      </c>
      <c r="E468" s="534">
        <v>90</v>
      </c>
      <c r="F468" s="601">
        <v>0.80246710000000021</v>
      </c>
      <c r="G468" s="536" t="s">
        <v>704</v>
      </c>
      <c r="H468">
        <v>299467.15000000002</v>
      </c>
    </row>
    <row r="469" spans="1:8" ht="13.5" hidden="1" customHeight="1">
      <c r="A469" s="532">
        <v>44833</v>
      </c>
      <c r="B469" s="615">
        <v>820000</v>
      </c>
      <c r="C469" s="615">
        <f t="shared" si="20"/>
        <v>982251.3899999999</v>
      </c>
      <c r="D469" s="532">
        <f t="shared" si="19"/>
        <v>44923</v>
      </c>
      <c r="E469" s="534">
        <v>90</v>
      </c>
      <c r="F469" s="601">
        <v>0.80246283672086705</v>
      </c>
      <c r="G469" s="536" t="s">
        <v>687</v>
      </c>
      <c r="H469">
        <v>982251.39</v>
      </c>
    </row>
    <row r="470" spans="1:8" ht="13.5" hidden="1" customHeight="1">
      <c r="A470" s="532">
        <v>44833</v>
      </c>
      <c r="B470" s="615">
        <v>70000</v>
      </c>
      <c r="C470" s="615">
        <f t="shared" si="20"/>
        <v>83851.44</v>
      </c>
      <c r="D470" s="532">
        <f t="shared" si="19"/>
        <v>44923</v>
      </c>
      <c r="E470" s="534">
        <v>90</v>
      </c>
      <c r="F470" s="601">
        <v>0.80250406349206382</v>
      </c>
      <c r="G470" s="536" t="s">
        <v>687</v>
      </c>
      <c r="H470">
        <v>83851.44</v>
      </c>
    </row>
    <row r="471" spans="1:8" ht="13.5" hidden="1" customHeight="1">
      <c r="A471" s="532">
        <v>44837</v>
      </c>
      <c r="B471" s="615">
        <v>151700</v>
      </c>
      <c r="C471" s="615">
        <f t="shared" si="20"/>
        <v>181744.24</v>
      </c>
      <c r="D471" s="532">
        <f t="shared" si="19"/>
        <v>44928</v>
      </c>
      <c r="E471" s="534">
        <v>91</v>
      </c>
      <c r="F471" s="601">
        <v>0.79437782784124233</v>
      </c>
      <c r="G471" s="536" t="s">
        <v>703</v>
      </c>
      <c r="H471">
        <f>130320.55+24374.57</f>
        <v>154695.12</v>
      </c>
    </row>
    <row r="472" spans="1:8" ht="13.5" hidden="1" customHeight="1">
      <c r="A472" s="532">
        <v>44837</v>
      </c>
      <c r="B472" s="615">
        <v>68400</v>
      </c>
      <c r="C472" s="615">
        <f t="shared" si="20"/>
        <v>81946.800000000017</v>
      </c>
      <c r="D472" s="532">
        <f t="shared" si="19"/>
        <v>44928</v>
      </c>
      <c r="E472" s="534">
        <v>91</v>
      </c>
      <c r="F472" s="601">
        <v>0.79438692886061368</v>
      </c>
      <c r="G472" s="536" t="s">
        <v>698</v>
      </c>
      <c r="H472">
        <v>181744.24</v>
      </c>
    </row>
    <row r="473" spans="1:8" ht="13.5" hidden="1" customHeight="1">
      <c r="A473" s="532">
        <v>44837</v>
      </c>
      <c r="B473" s="615">
        <v>15100</v>
      </c>
      <c r="C473" s="615">
        <f t="shared" si="20"/>
        <v>18090.939999999999</v>
      </c>
      <c r="D473" s="532">
        <f t="shared" si="19"/>
        <v>44928</v>
      </c>
      <c r="E473" s="534">
        <v>91</v>
      </c>
      <c r="F473" s="601">
        <v>0.79447864056473338</v>
      </c>
      <c r="G473" s="536" t="s">
        <v>681</v>
      </c>
      <c r="H473">
        <v>44028.11</v>
      </c>
    </row>
    <row r="474" spans="1:8" ht="13.5" hidden="1" customHeight="1">
      <c r="A474" s="532">
        <v>44837</v>
      </c>
      <c r="B474" s="615">
        <v>29400</v>
      </c>
      <c r="C474" s="615">
        <f t="shared" si="20"/>
        <v>35222.75</v>
      </c>
      <c r="D474" s="532">
        <f t="shared" si="19"/>
        <v>44928</v>
      </c>
      <c r="E474" s="534">
        <v>91</v>
      </c>
      <c r="F474" s="601">
        <v>0.79438728788218593</v>
      </c>
      <c r="G474" s="536" t="s">
        <v>699</v>
      </c>
      <c r="H474">
        <f>68570.53+13376.27</f>
        <v>81946.8</v>
      </c>
    </row>
    <row r="475" spans="1:8" ht="13.5" hidden="1" customHeight="1">
      <c r="A475" s="532">
        <v>44837</v>
      </c>
      <c r="B475" s="615">
        <v>140000</v>
      </c>
      <c r="C475" s="615">
        <f t="shared" si="20"/>
        <v>167727.6</v>
      </c>
      <c r="D475" s="532">
        <f t="shared" si="19"/>
        <v>44928</v>
      </c>
      <c r="E475" s="534">
        <v>91</v>
      </c>
      <c r="F475" s="601">
        <v>0.79439356357927793</v>
      </c>
      <c r="G475" s="536" t="s">
        <v>704</v>
      </c>
      <c r="H475">
        <f>113579.37+21243.38</f>
        <v>134822.75</v>
      </c>
    </row>
    <row r="476" spans="1:8" ht="13.5" customHeight="1">
      <c r="A476" s="532">
        <v>44838</v>
      </c>
      <c r="B476" s="615">
        <v>130000</v>
      </c>
      <c r="C476" s="615">
        <f t="shared" si="20"/>
        <v>154695.12000000017</v>
      </c>
      <c r="D476" s="532">
        <f t="shared" si="19"/>
        <v>44928</v>
      </c>
      <c r="E476" s="534">
        <v>90</v>
      </c>
      <c r="F476" s="601">
        <v>0.77040331623932168</v>
      </c>
      <c r="G476" s="536" t="s">
        <v>686</v>
      </c>
      <c r="H476">
        <f>18046.46+44.48</f>
        <v>18090.939999999999</v>
      </c>
    </row>
    <row r="477" spans="1:8" ht="13.5" hidden="1" customHeight="1">
      <c r="A477" s="532">
        <v>44838</v>
      </c>
      <c r="B477" s="615">
        <v>37000</v>
      </c>
      <c r="C477" s="615">
        <f t="shared" si="20"/>
        <v>44028.11</v>
      </c>
      <c r="D477" s="532">
        <f t="shared" si="19"/>
        <v>44928</v>
      </c>
      <c r="E477" s="534">
        <v>90</v>
      </c>
      <c r="F477" s="601">
        <v>0.77034839339339323</v>
      </c>
      <c r="G477" s="536" t="s">
        <v>703</v>
      </c>
      <c r="H477">
        <v>35222.75</v>
      </c>
    </row>
    <row r="478" spans="1:8" ht="13.5" hidden="1" customHeight="1">
      <c r="A478" s="532">
        <v>44838</v>
      </c>
      <c r="B478" s="615">
        <v>113300</v>
      </c>
      <c r="C478" s="615">
        <f t="shared" si="20"/>
        <v>134822.7500000002</v>
      </c>
      <c r="D478" s="532">
        <f t="shared" si="19"/>
        <v>44928</v>
      </c>
      <c r="E478" s="534">
        <v>90</v>
      </c>
      <c r="F478" s="601">
        <v>0.77040342747867707</v>
      </c>
      <c r="G478" s="536" t="s">
        <v>698</v>
      </c>
      <c r="H478">
        <v>35698.879999999997</v>
      </c>
    </row>
    <row r="479" spans="1:8" ht="13.5" hidden="1" customHeight="1">
      <c r="A479" s="532">
        <v>44838</v>
      </c>
      <c r="B479" s="615">
        <v>30000</v>
      </c>
      <c r="C479" s="615">
        <f t="shared" si="20"/>
        <v>35698.879999999997</v>
      </c>
      <c r="D479" s="532">
        <f t="shared" si="19"/>
        <v>44928</v>
      </c>
      <c r="E479" s="534">
        <v>90</v>
      </c>
      <c r="F479" s="601">
        <v>0.77040414814814817</v>
      </c>
      <c r="G479" s="536" t="s">
        <v>699</v>
      </c>
      <c r="H479">
        <v>128517.59</v>
      </c>
    </row>
    <row r="480" spans="1:8" ht="13.5" hidden="1" customHeight="1">
      <c r="A480" s="532">
        <v>44838</v>
      </c>
      <c r="B480" s="615">
        <v>108000</v>
      </c>
      <c r="C480" s="615">
        <f t="shared" si="20"/>
        <v>128517.59000000011</v>
      </c>
      <c r="D480" s="532">
        <f t="shared" si="19"/>
        <v>44928</v>
      </c>
      <c r="E480" s="534">
        <v>90</v>
      </c>
      <c r="F480" s="601">
        <v>0.77046505658436659</v>
      </c>
      <c r="G480" s="536" t="s">
        <v>687</v>
      </c>
      <c r="H480">
        <v>167727.6</v>
      </c>
    </row>
    <row r="481" spans="1:8" ht="13.5" customHeight="1">
      <c r="A481" s="532">
        <v>44839</v>
      </c>
      <c r="B481" s="615">
        <v>75000</v>
      </c>
      <c r="C481" s="615">
        <f t="shared" si="20"/>
        <v>89460.780000000042</v>
      </c>
      <c r="D481" s="532">
        <f t="shared" si="19"/>
        <v>44929</v>
      </c>
      <c r="E481" s="534">
        <v>90</v>
      </c>
      <c r="F481" s="601">
        <v>0.78195328888889126</v>
      </c>
      <c r="G481" s="536" t="s">
        <v>686</v>
      </c>
      <c r="H481">
        <f>75184.93+14275.85</f>
        <v>89460.78</v>
      </c>
    </row>
    <row r="482" spans="1:8" ht="13.5" hidden="1" customHeight="1">
      <c r="A482" s="532">
        <v>44840</v>
      </c>
      <c r="B482" s="615">
        <v>15000</v>
      </c>
      <c r="C482" s="615">
        <f t="shared" si="20"/>
        <v>17878.89</v>
      </c>
      <c r="D482" s="532">
        <f t="shared" si="19"/>
        <v>44930</v>
      </c>
      <c r="E482" s="534">
        <v>90</v>
      </c>
      <c r="F482" s="601">
        <v>0.77836655555555578</v>
      </c>
      <c r="G482" s="536" t="s">
        <v>698</v>
      </c>
      <c r="H482">
        <f>15036.99+2841.9</f>
        <v>17878.89</v>
      </c>
    </row>
    <row r="483" spans="1:8" ht="13.5" hidden="1" customHeight="1">
      <c r="A483" s="532">
        <v>44840</v>
      </c>
      <c r="B483" s="615">
        <v>10000</v>
      </c>
      <c r="C483" s="615">
        <f t="shared" si="20"/>
        <v>11919.26</v>
      </c>
      <c r="D483" s="532">
        <f t="shared" si="19"/>
        <v>44930</v>
      </c>
      <c r="E483" s="534">
        <v>90</v>
      </c>
      <c r="F483" s="601">
        <v>0.77836655555555556</v>
      </c>
      <c r="G483" s="536" t="s">
        <v>699</v>
      </c>
      <c r="H483">
        <v>11919.26</v>
      </c>
    </row>
    <row r="484" spans="1:8" ht="13.5" customHeight="1">
      <c r="A484" s="532">
        <v>44840</v>
      </c>
      <c r="B484" s="615">
        <v>70000</v>
      </c>
      <c r="C484" s="615">
        <f t="shared" si="20"/>
        <v>83434.830000000075</v>
      </c>
      <c r="D484" s="532">
        <f t="shared" si="19"/>
        <v>44930</v>
      </c>
      <c r="E484" s="534">
        <v>90</v>
      </c>
      <c r="F484" s="601">
        <v>0.77836713492063925</v>
      </c>
      <c r="G484" s="536" t="s">
        <v>686</v>
      </c>
      <c r="H484">
        <f>70172.6+13262.23</f>
        <v>83434.83</v>
      </c>
    </row>
    <row r="485" spans="1:8" ht="13.5" hidden="1" customHeight="1">
      <c r="A485" s="532">
        <v>44840</v>
      </c>
      <c r="B485" s="615">
        <v>22000</v>
      </c>
      <c r="C485" s="615">
        <f t="shared" si="20"/>
        <v>26223.26</v>
      </c>
      <c r="D485" s="532">
        <f t="shared" si="19"/>
        <v>44930</v>
      </c>
      <c r="E485" s="534">
        <v>90</v>
      </c>
      <c r="F485" s="601">
        <v>0.77853025252525254</v>
      </c>
      <c r="G485" s="536" t="s">
        <v>687</v>
      </c>
      <c r="H485">
        <v>26223.26</v>
      </c>
    </row>
    <row r="486" spans="1:8" ht="13.5" hidden="1" customHeight="1">
      <c r="A486" s="532">
        <v>44840</v>
      </c>
      <c r="B486" s="615">
        <v>25000</v>
      </c>
      <c r="C486" s="615">
        <f t="shared" si="20"/>
        <v>29797.9</v>
      </c>
      <c r="D486" s="532">
        <f t="shared" si="19"/>
        <v>44930</v>
      </c>
      <c r="E486" s="534">
        <v>90</v>
      </c>
      <c r="F486" s="601">
        <v>0.77832600000000041</v>
      </c>
      <c r="G486" s="536" t="s">
        <v>687</v>
      </c>
      <c r="H486">
        <v>29797.9</v>
      </c>
    </row>
    <row r="487" spans="1:8" ht="13.5" hidden="1" customHeight="1">
      <c r="A487" s="532">
        <v>44845</v>
      </c>
      <c r="B487" s="615">
        <v>63500</v>
      </c>
      <c r="C487" s="615">
        <f t="shared" si="20"/>
        <v>75866.59</v>
      </c>
      <c r="D487" s="532">
        <f t="shared" si="19"/>
        <v>44935</v>
      </c>
      <c r="E487" s="534">
        <v>90</v>
      </c>
      <c r="F487" s="601">
        <v>0.78981720909886199</v>
      </c>
      <c r="G487" s="536" t="s">
        <v>703</v>
      </c>
      <c r="H487">
        <v>75866.59</v>
      </c>
    </row>
    <row r="488" spans="1:8" ht="13.5" hidden="1" customHeight="1">
      <c r="A488" s="532">
        <v>44845</v>
      </c>
      <c r="B488" s="615">
        <v>79400</v>
      </c>
      <c r="C488" s="615">
        <f t="shared" si="20"/>
        <v>94863.700000000041</v>
      </c>
      <c r="D488" s="532">
        <f t="shared" si="19"/>
        <v>44935</v>
      </c>
      <c r="E488" s="534">
        <v>90</v>
      </c>
      <c r="F488" s="601">
        <v>0.78984753708368571</v>
      </c>
      <c r="G488" s="536" t="s">
        <v>701</v>
      </c>
      <c r="H488">
        <f>79595.78+15267.92</f>
        <v>94863.7</v>
      </c>
    </row>
    <row r="489" spans="1:8" ht="13.5" hidden="1" customHeight="1">
      <c r="A489" s="532">
        <v>44845</v>
      </c>
      <c r="B489" s="615">
        <v>7200</v>
      </c>
      <c r="C489" s="615">
        <f t="shared" si="20"/>
        <v>8602.2499999999945</v>
      </c>
      <c r="D489" s="532">
        <f t="shared" si="19"/>
        <v>44935</v>
      </c>
      <c r="E489" s="534">
        <v>90</v>
      </c>
      <c r="F489" s="601">
        <v>0.78984760802468856</v>
      </c>
      <c r="G489" s="536" t="s">
        <v>699</v>
      </c>
      <c r="H489">
        <v>8602.25</v>
      </c>
    </row>
    <row r="490" spans="1:8" ht="13.5" hidden="1" customHeight="1">
      <c r="A490" s="532">
        <v>44845</v>
      </c>
      <c r="B490" s="615">
        <v>39000</v>
      </c>
      <c r="C490" s="615">
        <f t="shared" si="20"/>
        <v>46595.520000000004</v>
      </c>
      <c r="D490" s="532">
        <f t="shared" si="19"/>
        <v>44935</v>
      </c>
      <c r="E490" s="534">
        <v>90</v>
      </c>
      <c r="F490" s="601">
        <v>0.78984752136752157</v>
      </c>
      <c r="G490" s="536" t="s">
        <v>699</v>
      </c>
      <c r="H490">
        <v>46595.519999999997</v>
      </c>
    </row>
    <row r="491" spans="1:8" ht="13.5" customHeight="1">
      <c r="A491" s="532">
        <v>44845</v>
      </c>
      <c r="B491" s="615">
        <v>165000</v>
      </c>
      <c r="C491" s="615">
        <f t="shared" si="20"/>
        <v>197134.9</v>
      </c>
      <c r="D491" s="532">
        <f t="shared" si="19"/>
        <v>44935</v>
      </c>
      <c r="E491" s="534">
        <v>90</v>
      </c>
      <c r="F491" s="601">
        <v>0.78984771043771018</v>
      </c>
      <c r="G491" s="536" t="s">
        <v>686</v>
      </c>
      <c r="H491">
        <f>165406.85+31728.05</f>
        <v>197134.9</v>
      </c>
    </row>
    <row r="492" spans="1:8" ht="13.5" hidden="1" customHeight="1">
      <c r="A492" s="532">
        <v>44846</v>
      </c>
      <c r="B492" s="615">
        <v>75000</v>
      </c>
      <c r="C492" s="615">
        <f t="shared" si="20"/>
        <v>89014.87</v>
      </c>
      <c r="D492" s="532">
        <f t="shared" si="19"/>
        <v>44936</v>
      </c>
      <c r="E492" s="534">
        <v>90</v>
      </c>
      <c r="F492" s="601">
        <v>0.75784111851851865</v>
      </c>
      <c r="G492" s="536" t="s">
        <v>701</v>
      </c>
      <c r="H492">
        <f>75184.93+13829.94</f>
        <v>89014.87</v>
      </c>
    </row>
    <row r="493" spans="1:8" ht="13.5" hidden="1" customHeight="1">
      <c r="A493" s="532">
        <v>44846</v>
      </c>
      <c r="B493" s="615">
        <v>30000</v>
      </c>
      <c r="C493" s="615">
        <f t="shared" si="20"/>
        <v>35605.94</v>
      </c>
      <c r="D493" s="532">
        <f t="shared" si="19"/>
        <v>44936</v>
      </c>
      <c r="E493" s="534">
        <v>90</v>
      </c>
      <c r="F493" s="601">
        <v>0.75784003703703717</v>
      </c>
      <c r="G493" s="536" t="s">
        <v>698</v>
      </c>
      <c r="H493">
        <f>30073.97+5531.97</f>
        <v>35605.94</v>
      </c>
    </row>
    <row r="494" spans="1:8" ht="13.5" hidden="1" customHeight="1">
      <c r="A494" s="532">
        <v>44846</v>
      </c>
      <c r="B494" s="615">
        <v>48200</v>
      </c>
      <c r="C494" s="615">
        <f t="shared" si="20"/>
        <v>57206.89</v>
      </c>
      <c r="D494" s="532">
        <f t="shared" si="19"/>
        <v>44936</v>
      </c>
      <c r="E494" s="534">
        <v>90</v>
      </c>
      <c r="F494" s="601">
        <v>0.75784113646841833</v>
      </c>
      <c r="G494" s="536" t="s">
        <v>699</v>
      </c>
      <c r="H494">
        <v>57206.89</v>
      </c>
    </row>
    <row r="495" spans="1:8" ht="13.5" hidden="1" customHeight="1">
      <c r="A495" s="532">
        <v>44846</v>
      </c>
      <c r="B495" s="615">
        <v>9600</v>
      </c>
      <c r="C495" s="615">
        <f t="shared" si="20"/>
        <v>11393.55</v>
      </c>
      <c r="D495" s="532">
        <f t="shared" si="19"/>
        <v>44936</v>
      </c>
      <c r="E495" s="534">
        <v>90</v>
      </c>
      <c r="F495" s="601">
        <v>0.75769184027777725</v>
      </c>
      <c r="G495" s="536" t="s">
        <v>703</v>
      </c>
      <c r="H495">
        <v>11393.55</v>
      </c>
    </row>
    <row r="496" spans="1:8" ht="13.5" hidden="1" customHeight="1">
      <c r="A496" s="532">
        <v>44847</v>
      </c>
      <c r="B496" s="615">
        <v>8500</v>
      </c>
      <c r="C496" s="615">
        <f t="shared" si="20"/>
        <v>10080.73</v>
      </c>
      <c r="D496" s="532">
        <f t="shared" si="19"/>
        <v>44937</v>
      </c>
      <c r="E496" s="534">
        <v>90</v>
      </c>
      <c r="F496" s="601">
        <v>0.75420450980392151</v>
      </c>
      <c r="G496" s="536" t="s">
        <v>703</v>
      </c>
      <c r="H496">
        <v>10080.73</v>
      </c>
    </row>
    <row r="497" spans="1:8" ht="13.5" hidden="1" customHeight="1">
      <c r="A497" s="532">
        <v>44847</v>
      </c>
      <c r="B497" s="615">
        <v>18200</v>
      </c>
      <c r="C497" s="615">
        <f t="shared" si="20"/>
        <v>21585.87</v>
      </c>
      <c r="D497" s="532">
        <f t="shared" si="19"/>
        <v>44937</v>
      </c>
      <c r="E497" s="534">
        <v>90</v>
      </c>
      <c r="F497" s="601">
        <v>0.75448263125763082</v>
      </c>
      <c r="G497" s="536" t="s">
        <v>681</v>
      </c>
      <c r="H497">
        <f>21533.09+52.78</f>
        <v>21585.87</v>
      </c>
    </row>
    <row r="498" spans="1:8" ht="13.5" hidden="1" customHeight="1">
      <c r="A498" s="532">
        <v>44847</v>
      </c>
      <c r="B498" s="615">
        <v>57000</v>
      </c>
      <c r="C498" s="615">
        <f t="shared" si="20"/>
        <v>67601.94</v>
      </c>
      <c r="D498" s="532">
        <f t="shared" si="19"/>
        <v>44937</v>
      </c>
      <c r="E498" s="534">
        <v>90</v>
      </c>
      <c r="F498" s="601">
        <v>0.75432906432748525</v>
      </c>
      <c r="G498" s="536" t="s">
        <v>687</v>
      </c>
      <c r="H498">
        <v>67601.94</v>
      </c>
    </row>
    <row r="499" spans="1:8" ht="13.5" hidden="1" customHeight="1">
      <c r="A499" s="532">
        <v>44848</v>
      </c>
      <c r="B499" s="615">
        <v>43600</v>
      </c>
      <c r="C499" s="615">
        <f t="shared" si="20"/>
        <v>51672.74</v>
      </c>
      <c r="D499" s="532">
        <f t="shared" si="19"/>
        <v>44938</v>
      </c>
      <c r="E499" s="534">
        <v>90</v>
      </c>
      <c r="F499" s="601">
        <v>0.75090471457696217</v>
      </c>
      <c r="G499" s="536" t="s">
        <v>698</v>
      </c>
      <c r="H499">
        <f>43707.51+7965.23</f>
        <v>51672.740000000005</v>
      </c>
    </row>
    <row r="500" spans="1:8" ht="13.5" hidden="1" customHeight="1">
      <c r="A500" s="532">
        <v>44851</v>
      </c>
      <c r="B500" s="615">
        <v>24800</v>
      </c>
      <c r="C500" s="615">
        <f t="shared" si="20"/>
        <v>29418.630000000005</v>
      </c>
      <c r="D500" s="532">
        <f t="shared" si="19"/>
        <v>44942</v>
      </c>
      <c r="E500" s="534">
        <v>91</v>
      </c>
      <c r="F500" s="601">
        <v>0.74698686192839503</v>
      </c>
      <c r="G500" s="536" t="s">
        <v>681</v>
      </c>
      <c r="H500">
        <f>29344.78+73.85</f>
        <v>29418.629999999997</v>
      </c>
    </row>
    <row r="501" spans="1:8" ht="13.5" hidden="1" customHeight="1">
      <c r="A501" s="532">
        <v>44851</v>
      </c>
      <c r="B501" s="615">
        <v>70800</v>
      </c>
      <c r="C501" s="615">
        <f t="shared" si="20"/>
        <v>83983.760000000038</v>
      </c>
      <c r="D501" s="532">
        <f t="shared" si="19"/>
        <v>44942</v>
      </c>
      <c r="E501" s="534">
        <v>91</v>
      </c>
      <c r="F501" s="601">
        <v>0.74689147575588455</v>
      </c>
      <c r="G501" s="536" t="s">
        <v>703</v>
      </c>
      <c r="H501">
        <v>83983.76</v>
      </c>
    </row>
    <row r="502" spans="1:8" ht="13.5" hidden="1" customHeight="1">
      <c r="A502" s="532">
        <v>44851</v>
      </c>
      <c r="B502" s="615">
        <v>30000</v>
      </c>
      <c r="C502" s="615">
        <f t="shared" si="20"/>
        <v>35586.580000000009</v>
      </c>
      <c r="D502" s="532">
        <f t="shared" si="19"/>
        <v>44942</v>
      </c>
      <c r="E502" s="534">
        <v>91</v>
      </c>
      <c r="F502" s="601">
        <v>0.74692369963370064</v>
      </c>
      <c r="G502" s="536" t="s">
        <v>698</v>
      </c>
      <c r="H502">
        <f>30074.79+5511.79</f>
        <v>35586.58</v>
      </c>
    </row>
    <row r="503" spans="1:8" ht="13.5" customHeight="1">
      <c r="A503" s="532">
        <v>44851</v>
      </c>
      <c r="B503" s="615">
        <v>25000</v>
      </c>
      <c r="C503" s="615">
        <f t="shared" si="20"/>
        <v>29655.410000000018</v>
      </c>
      <c r="D503" s="532">
        <f t="shared" si="19"/>
        <v>44942</v>
      </c>
      <c r="E503" s="534">
        <v>91</v>
      </c>
      <c r="F503" s="601">
        <v>0.7469119340659367</v>
      </c>
      <c r="G503" s="536" t="s">
        <v>686</v>
      </c>
      <c r="H503">
        <f>33081.37+5822.05</f>
        <v>38903.420000000006</v>
      </c>
    </row>
    <row r="504" spans="1:8" ht="13.5" hidden="1" customHeight="1">
      <c r="A504" s="532">
        <v>44852</v>
      </c>
      <c r="B504" s="615">
        <v>33000</v>
      </c>
      <c r="C504" s="615">
        <f t="shared" si="20"/>
        <v>38903.420000000006</v>
      </c>
      <c r="D504" s="532">
        <f t="shared" si="19"/>
        <v>44942</v>
      </c>
      <c r="E504" s="534">
        <v>90</v>
      </c>
      <c r="F504" s="601">
        <v>0.72550447811447882</v>
      </c>
      <c r="G504" s="536" t="s">
        <v>698</v>
      </c>
      <c r="H504">
        <f>25062.33+4593.08</f>
        <v>29655.410000000003</v>
      </c>
    </row>
    <row r="505" spans="1:8" ht="13.5" hidden="1" customHeight="1">
      <c r="A505" s="532">
        <v>44853</v>
      </c>
      <c r="B505" s="615">
        <v>69000</v>
      </c>
      <c r="C505" s="615">
        <f t="shared" si="20"/>
        <v>81568.560000000041</v>
      </c>
      <c r="D505" s="532">
        <f t="shared" si="19"/>
        <v>44943</v>
      </c>
      <c r="E505" s="534">
        <v>90</v>
      </c>
      <c r="F505" s="601">
        <v>0.73873178743961587</v>
      </c>
      <c r="G505" s="536" t="s">
        <v>703</v>
      </c>
      <c r="H505">
        <v>81568.56</v>
      </c>
    </row>
    <row r="506" spans="1:8" ht="13.5" hidden="1" customHeight="1">
      <c r="A506" s="532">
        <v>44853</v>
      </c>
      <c r="B506" s="615">
        <v>7100</v>
      </c>
      <c r="C506" s="615">
        <f t="shared" si="20"/>
        <v>8394.2700000000023</v>
      </c>
      <c r="D506" s="532">
        <f t="shared" si="19"/>
        <v>44943</v>
      </c>
      <c r="E506" s="534">
        <v>90</v>
      </c>
      <c r="F506" s="601">
        <v>0.73929350547730943</v>
      </c>
      <c r="G506" s="536" t="s">
        <v>681</v>
      </c>
      <c r="H506">
        <f>8373.34+20.93</f>
        <v>8394.27</v>
      </c>
    </row>
    <row r="507" spans="1:8" ht="13.5" hidden="1" customHeight="1">
      <c r="A507" s="532">
        <v>44853</v>
      </c>
      <c r="B507" s="615">
        <v>62000</v>
      </c>
      <c r="C507" s="615">
        <f t="shared" si="20"/>
        <v>73293.699999999968</v>
      </c>
      <c r="D507" s="532">
        <f t="shared" si="19"/>
        <v>44943</v>
      </c>
      <c r="E507" s="534">
        <v>90</v>
      </c>
      <c r="F507" s="601">
        <v>0.73874560931899469</v>
      </c>
      <c r="G507" s="536" t="s">
        <v>698</v>
      </c>
      <c r="H507">
        <f>62152.88+11140.82</f>
        <v>73293.7</v>
      </c>
    </row>
    <row r="508" spans="1:8" ht="13.5" customHeight="1">
      <c r="A508" s="532">
        <v>44853</v>
      </c>
      <c r="B508" s="615">
        <v>205000</v>
      </c>
      <c r="C508" s="615">
        <f t="shared" si="20"/>
        <v>242342.09</v>
      </c>
      <c r="D508" s="532">
        <f t="shared" si="19"/>
        <v>44943</v>
      </c>
      <c r="E508" s="534">
        <v>90</v>
      </c>
      <c r="F508" s="601">
        <v>0.73874595392953935</v>
      </c>
      <c r="G508" s="536" t="s">
        <v>686</v>
      </c>
      <c r="H508">
        <f>205505.48+36836.61</f>
        <v>242342.09000000003</v>
      </c>
    </row>
    <row r="509" spans="1:8" ht="13.5" hidden="1" customHeight="1">
      <c r="A509" s="532">
        <v>44853</v>
      </c>
      <c r="B509" s="615">
        <v>40000</v>
      </c>
      <c r="C509" s="615">
        <f t="shared" si="20"/>
        <v>47285.33</v>
      </c>
      <c r="D509" s="532">
        <f t="shared" si="19"/>
        <v>44943</v>
      </c>
      <c r="E509" s="534">
        <v>90</v>
      </c>
      <c r="F509" s="601">
        <v>0.73865151388888883</v>
      </c>
      <c r="G509" s="536" t="s">
        <v>704</v>
      </c>
      <c r="H509">
        <v>47285.33</v>
      </c>
    </row>
    <row r="510" spans="1:8" ht="13.5" hidden="1" customHeight="1">
      <c r="A510" s="532">
        <v>44853</v>
      </c>
      <c r="B510" s="615">
        <v>90000</v>
      </c>
      <c r="C510" s="615">
        <f t="shared" si="20"/>
        <v>106395.29999999997</v>
      </c>
      <c r="D510" s="532">
        <f t="shared" ref="D510:D573" si="21">+A510+E510</f>
        <v>44943</v>
      </c>
      <c r="E510" s="534">
        <v>90</v>
      </c>
      <c r="F510" s="601">
        <v>0.73880055555555457</v>
      </c>
      <c r="G510" s="536" t="s">
        <v>704</v>
      </c>
      <c r="H510">
        <v>106395.3</v>
      </c>
    </row>
    <row r="511" spans="1:8" ht="13.5" hidden="1" customHeight="1">
      <c r="A511" s="532">
        <v>44854</v>
      </c>
      <c r="B511" s="615">
        <v>24200</v>
      </c>
      <c r="C511" s="615">
        <f t="shared" si="20"/>
        <v>28598.009999999987</v>
      </c>
      <c r="D511" s="532">
        <f t="shared" si="21"/>
        <v>44944</v>
      </c>
      <c r="E511" s="534">
        <v>90</v>
      </c>
      <c r="F511" s="601">
        <v>0.73704024334251439</v>
      </c>
      <c r="G511" s="536" t="s">
        <v>703</v>
      </c>
      <c r="H511">
        <v>28598.01</v>
      </c>
    </row>
    <row r="512" spans="1:8" ht="13.5" hidden="1" customHeight="1">
      <c r="A512" s="532">
        <v>44855</v>
      </c>
      <c r="B512" s="615">
        <v>205500</v>
      </c>
      <c r="C512" s="615">
        <f t="shared" si="20"/>
        <v>242764.08999999997</v>
      </c>
      <c r="D512" s="532">
        <f t="shared" si="21"/>
        <v>44945</v>
      </c>
      <c r="E512" s="534">
        <v>90</v>
      </c>
      <c r="F512" s="601">
        <v>0.73540918356312446</v>
      </c>
      <c r="G512" s="536" t="s">
        <v>699</v>
      </c>
      <c r="H512">
        <v>242764.09</v>
      </c>
    </row>
    <row r="513" spans="1:8" ht="13.5" hidden="1" customHeight="1">
      <c r="A513" s="532">
        <v>44855</v>
      </c>
      <c r="B513" s="615">
        <v>50700</v>
      </c>
      <c r="C513" s="615">
        <f t="shared" si="20"/>
        <v>59893.619999999995</v>
      </c>
      <c r="D513" s="532">
        <f t="shared" si="21"/>
        <v>44945</v>
      </c>
      <c r="E513" s="534">
        <v>90</v>
      </c>
      <c r="F513" s="601">
        <v>0.73540900723208413</v>
      </c>
      <c r="G513" s="536" t="s">
        <v>698</v>
      </c>
      <c r="H513">
        <f>50825.01+9068.61</f>
        <v>59893.62</v>
      </c>
    </row>
    <row r="514" spans="1:8" ht="13.5" hidden="1" customHeight="1">
      <c r="A514" s="532">
        <v>44858</v>
      </c>
      <c r="B514" s="615">
        <v>3600</v>
      </c>
      <c r="C514" s="615">
        <f t="shared" si="20"/>
        <v>4258.5200000000004</v>
      </c>
      <c r="D514" s="532">
        <f t="shared" si="21"/>
        <v>44949</v>
      </c>
      <c r="E514" s="534">
        <v>91</v>
      </c>
      <c r="F514" s="601">
        <v>0.73369902319902358</v>
      </c>
      <c r="G514" s="536" t="s">
        <v>681</v>
      </c>
      <c r="H514">
        <f>4247.03+11.49</f>
        <v>4258.5199999999995</v>
      </c>
    </row>
    <row r="515" spans="1:8" ht="13.5" customHeight="1">
      <c r="A515" s="532">
        <v>44858</v>
      </c>
      <c r="B515" s="615">
        <v>15000</v>
      </c>
      <c r="C515" s="615">
        <f t="shared" si="20"/>
        <v>17743.16</v>
      </c>
      <c r="D515" s="532">
        <f t="shared" si="21"/>
        <v>44949</v>
      </c>
      <c r="E515" s="534">
        <v>91</v>
      </c>
      <c r="F515" s="601">
        <v>0.73351897435897473</v>
      </c>
      <c r="G515" s="536" t="s">
        <v>686</v>
      </c>
      <c r="H515">
        <f>15037.4+2705.76</f>
        <v>17743.16</v>
      </c>
    </row>
    <row r="516" spans="1:8" ht="13.5" hidden="1" customHeight="1">
      <c r="A516" s="532">
        <v>44858</v>
      </c>
      <c r="B516" s="615">
        <v>24000</v>
      </c>
      <c r="C516" s="615">
        <f t="shared" ref="C516:C579" si="22">B516+(B516*F516/365*E516)*1</f>
        <v>28389.069999999992</v>
      </c>
      <c r="D516" s="532">
        <f t="shared" si="21"/>
        <v>44949</v>
      </c>
      <c r="E516" s="534">
        <v>91</v>
      </c>
      <c r="F516" s="601">
        <v>0.73352131410256283</v>
      </c>
      <c r="G516" s="536" t="s">
        <v>698</v>
      </c>
      <c r="H516">
        <f>24059.84+4329.23</f>
        <v>28389.07</v>
      </c>
    </row>
    <row r="517" spans="1:8" ht="13.5" hidden="1" customHeight="1">
      <c r="A517" s="532">
        <v>44859</v>
      </c>
      <c r="B517" s="615">
        <v>12000</v>
      </c>
      <c r="C517" s="615">
        <f t="shared" si="22"/>
        <v>14112.07</v>
      </c>
      <c r="D517" s="532">
        <f t="shared" si="21"/>
        <v>44949</v>
      </c>
      <c r="E517" s="534">
        <v>90</v>
      </c>
      <c r="F517" s="601">
        <v>0.71380143518518546</v>
      </c>
      <c r="G517" s="536" t="s">
        <v>704</v>
      </c>
      <c r="H517">
        <v>11112.07</v>
      </c>
    </row>
    <row r="518" spans="1:8" ht="13.5" hidden="1" customHeight="1">
      <c r="A518" s="532">
        <v>44859</v>
      </c>
      <c r="B518" s="615">
        <v>36000</v>
      </c>
      <c r="C518" s="615">
        <f t="shared" si="22"/>
        <v>42334.3</v>
      </c>
      <c r="D518" s="532">
        <f t="shared" si="21"/>
        <v>44949</v>
      </c>
      <c r="E518" s="534">
        <v>90</v>
      </c>
      <c r="F518" s="601">
        <v>0.71358626543209902</v>
      </c>
      <c r="G518" s="536" t="s">
        <v>704</v>
      </c>
      <c r="H518">
        <v>42334.3</v>
      </c>
    </row>
    <row r="519" spans="1:8" ht="13.5" hidden="1" customHeight="1">
      <c r="A519" s="532">
        <v>44860</v>
      </c>
      <c r="B519" s="615">
        <v>20000</v>
      </c>
      <c r="C519" s="615">
        <f t="shared" si="22"/>
        <v>23567.21</v>
      </c>
      <c r="D519" s="532">
        <f t="shared" si="21"/>
        <v>44950</v>
      </c>
      <c r="E519" s="534">
        <v>90</v>
      </c>
      <c r="F519" s="601">
        <v>0.72335091666666618</v>
      </c>
      <c r="G519" s="536" t="s">
        <v>698</v>
      </c>
      <c r="H519">
        <f>20049.32+3537.89</f>
        <v>23587.21</v>
      </c>
    </row>
    <row r="520" spans="1:8" ht="13.5" hidden="1" customHeight="1">
      <c r="A520" s="532">
        <v>44860</v>
      </c>
      <c r="B520" s="615">
        <v>65100</v>
      </c>
      <c r="C520" s="615">
        <f t="shared" si="22"/>
        <v>76776.38</v>
      </c>
      <c r="D520" s="532">
        <f t="shared" si="21"/>
        <v>44950</v>
      </c>
      <c r="E520" s="534">
        <v>90</v>
      </c>
      <c r="F520" s="601">
        <v>0.72740718552654071</v>
      </c>
      <c r="G520" s="536" t="s">
        <v>701</v>
      </c>
      <c r="H520">
        <f>65260.52+11515.86</f>
        <v>76776.38</v>
      </c>
    </row>
    <row r="521" spans="1:8" ht="13.5" customHeight="1">
      <c r="A521" s="532">
        <v>44860</v>
      </c>
      <c r="B521" s="615">
        <v>132000</v>
      </c>
      <c r="C521" s="615">
        <f t="shared" si="22"/>
        <v>155675.59999999998</v>
      </c>
      <c r="D521" s="532">
        <f t="shared" si="21"/>
        <v>44950</v>
      </c>
      <c r="E521" s="534">
        <v>90</v>
      </c>
      <c r="F521" s="601">
        <v>0.72740690235690197</v>
      </c>
      <c r="G521" s="536" t="s">
        <v>686</v>
      </c>
      <c r="H521">
        <f>132325.48+23350.12</f>
        <v>155675.6</v>
      </c>
    </row>
    <row r="522" spans="1:8" ht="13.5" hidden="1" customHeight="1">
      <c r="A522" s="532">
        <v>44860</v>
      </c>
      <c r="B522" s="615">
        <v>36000</v>
      </c>
      <c r="C522" s="615">
        <f t="shared" si="22"/>
        <v>42457.19</v>
      </c>
      <c r="D522" s="532">
        <f t="shared" si="21"/>
        <v>44950</v>
      </c>
      <c r="E522" s="534">
        <v>90</v>
      </c>
      <c r="F522" s="601">
        <v>0.72743035493827191</v>
      </c>
      <c r="G522" s="536" t="s">
        <v>687</v>
      </c>
      <c r="H522">
        <v>42457.19</v>
      </c>
    </row>
    <row r="523" spans="1:8" ht="13.5" customHeight="1">
      <c r="A523" s="532">
        <v>44861</v>
      </c>
      <c r="B523" s="615">
        <v>70000</v>
      </c>
      <c r="C523" s="615">
        <f t="shared" si="22"/>
        <v>82531.810000000012</v>
      </c>
      <c r="D523" s="532">
        <f t="shared" si="21"/>
        <v>44951</v>
      </c>
      <c r="E523" s="534">
        <v>90</v>
      </c>
      <c r="F523" s="601">
        <v>0.72604930952381019</v>
      </c>
      <c r="G523" s="536" t="s">
        <v>686</v>
      </c>
      <c r="H523">
        <f>70172.6+12359.21</f>
        <v>82531.81</v>
      </c>
    </row>
    <row r="524" spans="1:8" ht="13.5" hidden="1" customHeight="1">
      <c r="A524" s="532">
        <v>44861</v>
      </c>
      <c r="B524" s="615">
        <v>3100</v>
      </c>
      <c r="C524" s="615">
        <f t="shared" si="22"/>
        <v>3655.71</v>
      </c>
      <c r="D524" s="532">
        <f t="shared" si="21"/>
        <v>44951</v>
      </c>
      <c r="E524" s="534">
        <v>90</v>
      </c>
      <c r="F524" s="601">
        <v>0.72700412186379892</v>
      </c>
      <c r="G524" s="536" t="s">
        <v>681</v>
      </c>
      <c r="H524">
        <f>3646.26+9.64</f>
        <v>3655.9</v>
      </c>
    </row>
    <row r="525" spans="1:8" ht="13.5" hidden="1" customHeight="1">
      <c r="A525" s="532">
        <v>44921</v>
      </c>
      <c r="B525" s="615">
        <v>370500</v>
      </c>
      <c r="C525" s="615">
        <f t="shared" si="22"/>
        <v>393339.0410958904</v>
      </c>
      <c r="D525" s="532">
        <f t="shared" si="21"/>
        <v>44951</v>
      </c>
      <c r="E525" s="534">
        <v>30</v>
      </c>
      <c r="F525" s="601">
        <v>0.75</v>
      </c>
      <c r="G525" s="536" t="s">
        <v>695</v>
      </c>
    </row>
    <row r="526" spans="1:8" ht="13.5" hidden="1" customHeight="1">
      <c r="A526" s="532">
        <v>44921</v>
      </c>
      <c r="B526" s="615">
        <v>21800</v>
      </c>
      <c r="C526" s="615">
        <f t="shared" si="22"/>
        <v>23143.835616438355</v>
      </c>
      <c r="D526" s="532">
        <f t="shared" si="21"/>
        <v>44951</v>
      </c>
      <c r="E526" s="534">
        <v>30</v>
      </c>
      <c r="F526" s="601">
        <v>0.75</v>
      </c>
      <c r="G526" s="536" t="s">
        <v>553</v>
      </c>
      <c r="H526">
        <v>23143.84</v>
      </c>
    </row>
    <row r="527" spans="1:8" ht="13.5" hidden="1" customHeight="1">
      <c r="A527" s="532">
        <v>44921</v>
      </c>
      <c r="B527" s="615">
        <v>68400</v>
      </c>
      <c r="C527" s="615">
        <f t="shared" si="22"/>
        <v>72616.438356164377</v>
      </c>
      <c r="D527" s="532">
        <f t="shared" si="21"/>
        <v>44951</v>
      </c>
      <c r="E527" s="534">
        <v>30</v>
      </c>
      <c r="F527" s="601">
        <v>0.75</v>
      </c>
      <c r="G527" s="536" t="s">
        <v>697</v>
      </c>
      <c r="H527" t="s">
        <v>712</v>
      </c>
    </row>
    <row r="528" spans="1:8" ht="13.5" hidden="1" customHeight="1">
      <c r="A528" s="532">
        <v>44921</v>
      </c>
      <c r="B528" s="615">
        <v>30000</v>
      </c>
      <c r="C528" s="615">
        <f t="shared" si="22"/>
        <v>31849.31506849315</v>
      </c>
      <c r="D528" s="532">
        <f t="shared" si="21"/>
        <v>44951</v>
      </c>
      <c r="E528" s="534">
        <v>30</v>
      </c>
      <c r="F528" s="601">
        <v>0.75</v>
      </c>
      <c r="G528" s="536" t="s">
        <v>120</v>
      </c>
      <c r="H528">
        <v>31849.32</v>
      </c>
    </row>
    <row r="529" spans="1:8" ht="13.5" hidden="1" customHeight="1">
      <c r="A529" s="532">
        <v>44922</v>
      </c>
      <c r="B529" s="615">
        <v>30000</v>
      </c>
      <c r="C529" s="615">
        <f t="shared" si="22"/>
        <v>31849.31506849315</v>
      </c>
      <c r="D529" s="532">
        <f t="shared" si="21"/>
        <v>44952</v>
      </c>
      <c r="E529" s="534">
        <v>30</v>
      </c>
      <c r="F529" s="601">
        <v>0.75</v>
      </c>
      <c r="G529" s="536" t="s">
        <v>695</v>
      </c>
      <c r="H529">
        <f>IF(E529&gt;89,(C529-B529)/3,(C529-B529))</f>
        <v>1849.3150684931497</v>
      </c>
    </row>
    <row r="530" spans="1:8" ht="13.5" hidden="1" customHeight="1">
      <c r="A530" s="532">
        <v>44922</v>
      </c>
      <c r="B530" s="615">
        <v>104600</v>
      </c>
      <c r="C530" s="615">
        <f t="shared" si="22"/>
        <v>111047.94520547945</v>
      </c>
      <c r="D530" s="532">
        <f t="shared" si="21"/>
        <v>44952</v>
      </c>
      <c r="E530" s="534">
        <v>30</v>
      </c>
      <c r="F530" s="601">
        <v>0.75</v>
      </c>
      <c r="G530" s="536" t="s">
        <v>680</v>
      </c>
      <c r="H530">
        <f>IF(E530&gt;89,(C530-B530)/3,(C530-B530))</f>
        <v>6447.9452054794529</v>
      </c>
    </row>
    <row r="531" spans="1:8" ht="13.5" customHeight="1">
      <c r="A531" s="532">
        <v>44865</v>
      </c>
      <c r="B531" s="615">
        <v>205000</v>
      </c>
      <c r="C531" s="615">
        <f t="shared" si="22"/>
        <v>241928.41</v>
      </c>
      <c r="D531" s="532">
        <f t="shared" si="21"/>
        <v>44956</v>
      </c>
      <c r="E531" s="534">
        <v>91</v>
      </c>
      <c r="F531" s="601">
        <v>0.72253388635754501</v>
      </c>
      <c r="G531" s="536" t="s">
        <v>686</v>
      </c>
      <c r="H531">
        <f>7256.06+17.43</f>
        <v>7273.4900000000007</v>
      </c>
    </row>
    <row r="532" spans="1:8" ht="13.5" customHeight="1">
      <c r="A532" s="532">
        <v>44867</v>
      </c>
      <c r="B532" s="615">
        <v>175000</v>
      </c>
      <c r="C532" s="615">
        <f t="shared" si="22"/>
        <v>205908.2</v>
      </c>
      <c r="D532" s="532">
        <f t="shared" si="21"/>
        <v>44957</v>
      </c>
      <c r="E532" s="534">
        <v>90</v>
      </c>
      <c r="F532" s="601">
        <v>0.71628526984127017</v>
      </c>
      <c r="G532" s="536" t="s">
        <v>686</v>
      </c>
      <c r="H532">
        <f>175431.51+30476.69</f>
        <v>205908.2</v>
      </c>
    </row>
    <row r="533" spans="1:8" ht="13.5" customHeight="1">
      <c r="A533" s="532">
        <v>44869</v>
      </c>
      <c r="B533" s="615">
        <v>30000</v>
      </c>
      <c r="C533" s="615">
        <f t="shared" si="22"/>
        <v>35274.519999999997</v>
      </c>
      <c r="D533" s="532">
        <f t="shared" si="21"/>
        <v>44959</v>
      </c>
      <c r="E533" s="534">
        <v>90</v>
      </c>
      <c r="F533" s="601">
        <v>0.71303696296296259</v>
      </c>
      <c r="G533" s="536" t="s">
        <v>686</v>
      </c>
      <c r="H533">
        <f>IF(E533&gt;89,(C533-B533)/3,(C533-B533))</f>
        <v>1758.1733333333323</v>
      </c>
    </row>
    <row r="534" spans="1:8" ht="13.5" hidden="1" customHeight="1">
      <c r="A534" s="532">
        <v>44923</v>
      </c>
      <c r="B534" s="615">
        <v>300000</v>
      </c>
      <c r="C534" s="615">
        <f t="shared" si="22"/>
        <v>318493.15068493149</v>
      </c>
      <c r="D534" s="532">
        <f t="shared" si="21"/>
        <v>44953</v>
      </c>
      <c r="E534" s="534">
        <v>30</v>
      </c>
      <c r="F534" s="601">
        <v>0.75</v>
      </c>
      <c r="G534" s="536" t="s">
        <v>540</v>
      </c>
      <c r="H534">
        <f>IF(E534&gt;89,(C534-B534)/3,(C534-B534))</f>
        <v>18493.15068493149</v>
      </c>
    </row>
    <row r="535" spans="1:8" ht="13.5" hidden="1" customHeight="1">
      <c r="A535" s="532">
        <v>44923</v>
      </c>
      <c r="B535" s="615">
        <v>950000</v>
      </c>
      <c r="C535" s="615">
        <f t="shared" si="22"/>
        <v>1008561.6438356164</v>
      </c>
      <c r="D535" s="532">
        <f t="shared" si="21"/>
        <v>44953</v>
      </c>
      <c r="E535" s="534">
        <v>30</v>
      </c>
      <c r="F535" s="601">
        <v>0.75</v>
      </c>
      <c r="G535" s="536" t="s">
        <v>120</v>
      </c>
      <c r="H535">
        <f>IF(E535&gt;89,(C535-B535)/3,(C535-B535))</f>
        <v>58561.643835616414</v>
      </c>
    </row>
    <row r="536" spans="1:8" ht="13.5" hidden="1" customHeight="1">
      <c r="A536" s="532">
        <v>44865</v>
      </c>
      <c r="B536" s="615">
        <v>95900</v>
      </c>
      <c r="C536" s="615">
        <f t="shared" si="22"/>
        <v>113174.87</v>
      </c>
      <c r="D536" s="532">
        <f t="shared" si="21"/>
        <v>44956</v>
      </c>
      <c r="E536" s="534">
        <v>91</v>
      </c>
      <c r="F536" s="601">
        <v>0.72251630590473082</v>
      </c>
      <c r="G536" s="536" t="s">
        <v>681</v>
      </c>
      <c r="H536">
        <f>IF(E536&gt;89,(C536-B536)/3,(C536-B536))</f>
        <v>5758.2899999999981</v>
      </c>
    </row>
    <row r="537" spans="1:8" ht="13.5" hidden="1" customHeight="1">
      <c r="A537" s="532">
        <v>44865</v>
      </c>
      <c r="B537" s="615">
        <v>111000</v>
      </c>
      <c r="C537" s="615">
        <f t="shared" si="22"/>
        <v>130995.38</v>
      </c>
      <c r="D537" s="532">
        <f t="shared" si="21"/>
        <v>44956</v>
      </c>
      <c r="E537" s="534">
        <v>91</v>
      </c>
      <c r="F537" s="601">
        <v>0.72253377883377867</v>
      </c>
      <c r="G537" s="536" t="s">
        <v>698</v>
      </c>
      <c r="H537">
        <f>112894.08+280.79</f>
        <v>113174.87</v>
      </c>
    </row>
    <row r="538" spans="1:8" ht="13.5" customHeight="1">
      <c r="A538" s="532">
        <v>44873</v>
      </c>
      <c r="B538" s="615">
        <v>10000</v>
      </c>
      <c r="C538" s="615">
        <f t="shared" si="22"/>
        <v>11704.789999999999</v>
      </c>
      <c r="D538" s="532">
        <f t="shared" si="21"/>
        <v>44963</v>
      </c>
      <c r="E538" s="534">
        <v>90</v>
      </c>
      <c r="F538" s="601">
        <v>0.69138705555555535</v>
      </c>
      <c r="G538" s="536" t="s">
        <v>686</v>
      </c>
      <c r="H538">
        <f>4697.96+11.75</f>
        <v>4709.71</v>
      </c>
    </row>
    <row r="539" spans="1:8" ht="13.5" hidden="1" customHeight="1">
      <c r="A539" s="532">
        <v>44865</v>
      </c>
      <c r="B539" s="615">
        <v>97600</v>
      </c>
      <c r="C539" s="615">
        <f t="shared" si="22"/>
        <v>115181.23</v>
      </c>
      <c r="D539" s="532">
        <f t="shared" si="21"/>
        <v>44956</v>
      </c>
      <c r="E539" s="534">
        <v>91</v>
      </c>
      <c r="F539" s="601">
        <v>0.72252172468924514</v>
      </c>
      <c r="G539" s="536" t="s">
        <v>703</v>
      </c>
      <c r="H539">
        <f>IF(E539&gt;89,(C539-B539)/3,(C539-B539))</f>
        <v>5860.4099999999989</v>
      </c>
    </row>
    <row r="540" spans="1:8" ht="13.5" hidden="1" customHeight="1">
      <c r="A540" s="532">
        <v>44865</v>
      </c>
      <c r="B540" s="615">
        <v>142000</v>
      </c>
      <c r="C540" s="615">
        <f t="shared" si="22"/>
        <v>167578.02000000002</v>
      </c>
      <c r="D540" s="532">
        <f t="shared" si="21"/>
        <v>44956</v>
      </c>
      <c r="E540" s="534">
        <v>91</v>
      </c>
      <c r="F540" s="601">
        <v>0.72248702213279725</v>
      </c>
      <c r="G540" s="536" t="s">
        <v>687</v>
      </c>
      <c r="H540">
        <f>79996.77+13629.32</f>
        <v>93626.09</v>
      </c>
    </row>
    <row r="541" spans="1:8" ht="13.5" hidden="1" customHeight="1">
      <c r="A541" s="532">
        <v>44865</v>
      </c>
      <c r="B541" s="615">
        <v>435000</v>
      </c>
      <c r="C541" s="615">
        <f t="shared" si="22"/>
        <v>513360.39000000007</v>
      </c>
      <c r="D541" s="532">
        <f t="shared" si="21"/>
        <v>44956</v>
      </c>
      <c r="E541" s="534">
        <v>91</v>
      </c>
      <c r="F541" s="601">
        <v>0.72253485790072047</v>
      </c>
      <c r="G541" s="536" t="s">
        <v>704</v>
      </c>
      <c r="H541">
        <f>111276.74+19718.64</f>
        <v>130995.38</v>
      </c>
    </row>
    <row r="542" spans="1:8" ht="13.5" hidden="1" customHeight="1">
      <c r="A542" s="532">
        <v>44866</v>
      </c>
      <c r="B542" s="615">
        <v>6200</v>
      </c>
      <c r="C542" s="615">
        <f t="shared" si="22"/>
        <v>7273.49</v>
      </c>
      <c r="D542" s="532">
        <f t="shared" si="21"/>
        <v>44956</v>
      </c>
      <c r="E542" s="534">
        <v>90</v>
      </c>
      <c r="F542" s="601">
        <v>0.7021932795698923</v>
      </c>
      <c r="G542" s="536" t="s">
        <v>681</v>
      </c>
      <c r="H542">
        <f>IF(E542&gt;89,(C542-B542)/3,(C542-B542))</f>
        <v>357.82999999999993</v>
      </c>
    </row>
    <row r="543" spans="1:8" ht="13.5" hidden="1" customHeight="1">
      <c r="A543" s="532">
        <v>44866</v>
      </c>
      <c r="B543" s="615">
        <v>79800</v>
      </c>
      <c r="C543" s="615">
        <f t="shared" si="22"/>
        <v>93626.09</v>
      </c>
      <c r="D543" s="532">
        <f t="shared" si="21"/>
        <v>44956</v>
      </c>
      <c r="E543" s="534">
        <v>90</v>
      </c>
      <c r="F543" s="601">
        <v>0.70266260790866031</v>
      </c>
      <c r="G543" s="536" t="s">
        <v>698</v>
      </c>
      <c r="H543">
        <f>205511.1+36417.31</f>
        <v>241928.41</v>
      </c>
    </row>
    <row r="544" spans="1:8" ht="13.5" hidden="1" customHeight="1">
      <c r="A544" s="532">
        <v>44866</v>
      </c>
      <c r="B544" s="615">
        <v>37500</v>
      </c>
      <c r="C544" s="615">
        <f t="shared" si="22"/>
        <v>43996.91</v>
      </c>
      <c r="D544" s="532">
        <f t="shared" si="21"/>
        <v>44956</v>
      </c>
      <c r="E544" s="534">
        <v>90</v>
      </c>
      <c r="F544" s="601">
        <v>0.70262878518518534</v>
      </c>
      <c r="G544" s="536" t="s">
        <v>703</v>
      </c>
      <c r="H544">
        <v>115181.23</v>
      </c>
    </row>
    <row r="545" spans="1:8" ht="13.5" hidden="1" customHeight="1">
      <c r="A545" s="532">
        <v>44866</v>
      </c>
      <c r="B545" s="615">
        <v>124000</v>
      </c>
      <c r="C545" s="615">
        <f t="shared" si="22"/>
        <v>145485.38</v>
      </c>
      <c r="D545" s="532">
        <f t="shared" si="21"/>
        <v>44956</v>
      </c>
      <c r="E545" s="534">
        <v>90</v>
      </c>
      <c r="F545" s="601">
        <v>0.70270284050179199</v>
      </c>
      <c r="G545" s="536" t="s">
        <v>687</v>
      </c>
      <c r="H545">
        <v>43996.91</v>
      </c>
    </row>
    <row r="546" spans="1:8" ht="13.5" hidden="1" customHeight="1">
      <c r="A546" s="532">
        <v>44866</v>
      </c>
      <c r="B546" s="615">
        <v>110000</v>
      </c>
      <c r="C546" s="615">
        <f t="shared" si="22"/>
        <v>129058.05</v>
      </c>
      <c r="D546" s="532">
        <f t="shared" si="21"/>
        <v>44956</v>
      </c>
      <c r="E546" s="534">
        <v>90</v>
      </c>
      <c r="F546" s="601">
        <v>0.70264527777777785</v>
      </c>
      <c r="G546" s="536" t="s">
        <v>704</v>
      </c>
      <c r="H546">
        <v>145485.38</v>
      </c>
    </row>
    <row r="547" spans="1:8" ht="13.5" hidden="1" customHeight="1">
      <c r="A547" s="532">
        <v>44924</v>
      </c>
      <c r="B547" s="615">
        <v>2900</v>
      </c>
      <c r="C547" s="615">
        <f t="shared" si="22"/>
        <v>3090.6849315068494</v>
      </c>
      <c r="D547" s="532">
        <f t="shared" si="21"/>
        <v>44956</v>
      </c>
      <c r="E547" s="534">
        <v>32</v>
      </c>
      <c r="F547" s="601">
        <v>0.75</v>
      </c>
      <c r="G547" s="536" t="s">
        <v>697</v>
      </c>
      <c r="H547">
        <v>167578.01999999999</v>
      </c>
    </row>
    <row r="548" spans="1:8" ht="13.5" hidden="1" customHeight="1">
      <c r="A548" s="532">
        <v>44924</v>
      </c>
      <c r="B548" s="615">
        <v>8200</v>
      </c>
      <c r="C548" s="615">
        <f t="shared" si="22"/>
        <v>8739.17808219178</v>
      </c>
      <c r="D548" s="532">
        <f t="shared" si="21"/>
        <v>44956</v>
      </c>
      <c r="E548" s="534">
        <v>32</v>
      </c>
      <c r="F548" s="601">
        <v>0.75</v>
      </c>
      <c r="G548" s="536" t="s">
        <v>695</v>
      </c>
      <c r="H548">
        <v>287198.63</v>
      </c>
    </row>
    <row r="549" spans="1:8" ht="13.5" customHeight="1">
      <c r="A549" s="532">
        <v>44873</v>
      </c>
      <c r="B549" s="615">
        <v>80000</v>
      </c>
      <c r="C549" s="615">
        <f t="shared" si="22"/>
        <v>93638.37999999999</v>
      </c>
      <c r="D549" s="532">
        <f t="shared" si="21"/>
        <v>44963</v>
      </c>
      <c r="E549" s="534">
        <v>90</v>
      </c>
      <c r="F549" s="601">
        <v>0.691390097222222</v>
      </c>
      <c r="G549" s="536" t="s">
        <v>686</v>
      </c>
      <c r="H549">
        <v>58390.41</v>
      </c>
    </row>
    <row r="550" spans="1:8" ht="13.5" hidden="1" customHeight="1">
      <c r="A550" s="532">
        <v>44925</v>
      </c>
      <c r="B550" s="615">
        <v>270000</v>
      </c>
      <c r="C550" s="615">
        <f t="shared" si="22"/>
        <v>287198.63013698632</v>
      </c>
      <c r="D550" s="532">
        <f t="shared" si="21"/>
        <v>44956</v>
      </c>
      <c r="E550" s="534">
        <v>31</v>
      </c>
      <c r="F550" s="601">
        <v>0.75</v>
      </c>
      <c r="G550" s="536" t="s">
        <v>540</v>
      </c>
      <c r="H550">
        <v>129058.05</v>
      </c>
    </row>
    <row r="551" spans="1:8" ht="13.5" customHeight="1">
      <c r="A551" s="532">
        <v>44879</v>
      </c>
      <c r="B551" s="615">
        <v>45000</v>
      </c>
      <c r="C551" s="615">
        <f t="shared" si="22"/>
        <v>52857.29</v>
      </c>
      <c r="D551" s="532">
        <f t="shared" si="21"/>
        <v>44970</v>
      </c>
      <c r="E551" s="534">
        <v>91</v>
      </c>
      <c r="F551" s="601">
        <v>0.70034452991452989</v>
      </c>
      <c r="G551" s="536" t="s">
        <v>686</v>
      </c>
      <c r="H551">
        <v>134005.48000000001</v>
      </c>
    </row>
    <row r="552" spans="1:8" ht="13.5" hidden="1" customHeight="1">
      <c r="A552" s="532">
        <v>44867</v>
      </c>
      <c r="B552" s="615">
        <v>5300</v>
      </c>
      <c r="C552" s="615">
        <f t="shared" si="22"/>
        <v>6236.29</v>
      </c>
      <c r="D552" s="532">
        <f t="shared" si="21"/>
        <v>44957</v>
      </c>
      <c r="E552" s="534">
        <v>90</v>
      </c>
      <c r="F552" s="601">
        <v>0.71644832285115301</v>
      </c>
      <c r="G552" s="536" t="s">
        <v>681</v>
      </c>
      <c r="H552">
        <f>6220.72+15.57</f>
        <v>6236.29</v>
      </c>
    </row>
    <row r="553" spans="1:8" ht="13.5" hidden="1" customHeight="1">
      <c r="A553" s="532">
        <v>44868</v>
      </c>
      <c r="B553" s="615">
        <v>75000</v>
      </c>
      <c r="C553" s="615">
        <f t="shared" si="22"/>
        <v>88216.960000000006</v>
      </c>
      <c r="D553" s="532">
        <f t="shared" si="21"/>
        <v>44958</v>
      </c>
      <c r="E553" s="534">
        <v>90</v>
      </c>
      <c r="F553" s="601">
        <v>0.71469487407407462</v>
      </c>
      <c r="G553" s="536" t="s">
        <v>687</v>
      </c>
    </row>
    <row r="554" spans="1:8" ht="13.5" hidden="1" customHeight="1">
      <c r="A554" s="532">
        <v>44869</v>
      </c>
      <c r="B554" s="615">
        <v>16000</v>
      </c>
      <c r="C554" s="615">
        <f t="shared" si="22"/>
        <v>18813.07</v>
      </c>
      <c r="D554" s="532">
        <f t="shared" si="21"/>
        <v>44959</v>
      </c>
      <c r="E554" s="534">
        <v>90</v>
      </c>
      <c r="F554" s="601">
        <v>0.71303510416666616</v>
      </c>
      <c r="G554" s="536" t="s">
        <v>698</v>
      </c>
      <c r="H554">
        <f>IF(E554&gt;89,(C554-B554)/3,(C554-B554))</f>
        <v>937.68999999999994</v>
      </c>
    </row>
    <row r="555" spans="1:8" ht="13.5" customHeight="1">
      <c r="A555" s="532">
        <v>44893</v>
      </c>
      <c r="B555" s="615">
        <v>350000</v>
      </c>
      <c r="C555" s="615">
        <f t="shared" si="22"/>
        <v>404465.75342465751</v>
      </c>
      <c r="D555" s="532">
        <f t="shared" si="21"/>
        <v>44973</v>
      </c>
      <c r="E555" s="534">
        <v>80</v>
      </c>
      <c r="F555" s="601">
        <v>0.71</v>
      </c>
      <c r="G555" s="536" t="s">
        <v>707</v>
      </c>
      <c r="H555">
        <f>IF(E555&gt;89,(C555-B555)/3,(C555-B555))</f>
        <v>54465.753424657509</v>
      </c>
    </row>
    <row r="556" spans="1:8" ht="13.5" hidden="1" customHeight="1">
      <c r="A556" s="532">
        <v>44872</v>
      </c>
      <c r="B556" s="615">
        <v>37400</v>
      </c>
      <c r="C556" s="615">
        <f t="shared" si="22"/>
        <v>44031.79</v>
      </c>
      <c r="D556" s="532">
        <f t="shared" si="21"/>
        <v>44963</v>
      </c>
      <c r="E556" s="534">
        <v>91</v>
      </c>
      <c r="F556" s="601">
        <v>0.71123093083387179</v>
      </c>
      <c r="G556" s="536" t="s">
        <v>701</v>
      </c>
      <c r="H556">
        <f>80197.26+13441.12</f>
        <v>93638.37999999999</v>
      </c>
    </row>
    <row r="557" spans="1:8" ht="13.5" hidden="1" customHeight="1">
      <c r="A557" s="532">
        <v>44872</v>
      </c>
      <c r="B557" s="615">
        <v>4000</v>
      </c>
      <c r="C557" s="615">
        <f t="shared" si="22"/>
        <v>4709.71</v>
      </c>
      <c r="D557" s="532">
        <f t="shared" si="21"/>
        <v>44963</v>
      </c>
      <c r="E557" s="534">
        <v>91</v>
      </c>
      <c r="F557" s="601">
        <v>0.71165975274725257</v>
      </c>
      <c r="G557" s="536" t="s">
        <v>681</v>
      </c>
      <c r="H557">
        <f>37493.24+6538.55</f>
        <v>44031.79</v>
      </c>
    </row>
    <row r="558" spans="1:8" ht="13.5" hidden="1" customHeight="1">
      <c r="A558" s="532">
        <v>44872</v>
      </c>
      <c r="B558" s="615">
        <v>80000</v>
      </c>
      <c r="C558" s="615">
        <f t="shared" si="22"/>
        <v>94186.82</v>
      </c>
      <c r="D558" s="532">
        <f t="shared" si="21"/>
        <v>44963</v>
      </c>
      <c r="E558" s="534">
        <v>91</v>
      </c>
      <c r="F558" s="601">
        <v>0.71128973901098935</v>
      </c>
      <c r="G558" s="536" t="s">
        <v>687</v>
      </c>
      <c r="H558">
        <f>10024.66+1680.13</f>
        <v>11704.79</v>
      </c>
    </row>
    <row r="559" spans="1:8" ht="13.5" hidden="1" customHeight="1">
      <c r="A559" s="532">
        <v>44873</v>
      </c>
      <c r="B559" s="615">
        <v>79100</v>
      </c>
      <c r="C559" s="615">
        <f t="shared" si="22"/>
        <v>92584.950000000012</v>
      </c>
      <c r="D559" s="532">
        <f t="shared" si="21"/>
        <v>44963</v>
      </c>
      <c r="E559" s="534">
        <v>90</v>
      </c>
      <c r="F559" s="601">
        <v>0.69139018822868437</v>
      </c>
      <c r="G559" s="536" t="s">
        <v>701</v>
      </c>
      <c r="H559">
        <f>80197.26+13441.12</f>
        <v>93638.37999999999</v>
      </c>
    </row>
    <row r="560" spans="1:8" ht="13.5" hidden="1" customHeight="1">
      <c r="A560" s="532">
        <v>44873</v>
      </c>
      <c r="B560" s="615">
        <v>80000</v>
      </c>
      <c r="C560" s="615">
        <f t="shared" si="22"/>
        <v>93638.37999999999</v>
      </c>
      <c r="D560" s="532">
        <f t="shared" si="21"/>
        <v>44963</v>
      </c>
      <c r="E560" s="534">
        <v>90</v>
      </c>
      <c r="F560" s="601">
        <v>0.691390097222222</v>
      </c>
      <c r="G560" s="536" t="s">
        <v>701</v>
      </c>
      <c r="H560">
        <f>2451.8+5.87</f>
        <v>2457.67</v>
      </c>
    </row>
    <row r="561" spans="1:8" ht="13.5" customHeight="1">
      <c r="A561" s="532">
        <v>44897</v>
      </c>
      <c r="B561" s="615">
        <v>65000</v>
      </c>
      <c r="C561" s="615">
        <f t="shared" si="22"/>
        <v>76101.25</v>
      </c>
      <c r="D561" s="532">
        <f t="shared" si="21"/>
        <v>44987</v>
      </c>
      <c r="E561" s="534">
        <v>90</v>
      </c>
      <c r="F561" s="601">
        <v>0.69264209401709398</v>
      </c>
      <c r="G561" s="536" t="s">
        <v>256</v>
      </c>
      <c r="H561">
        <f>65160.27+10940.98</f>
        <v>76101.25</v>
      </c>
    </row>
    <row r="562" spans="1:8" ht="13.5" customHeight="1">
      <c r="A562" s="532">
        <v>44900</v>
      </c>
      <c r="B562" s="615">
        <v>130000</v>
      </c>
      <c r="C562" s="615">
        <f t="shared" si="22"/>
        <v>150483.01369863015</v>
      </c>
      <c r="D562" s="532">
        <f t="shared" si="21"/>
        <v>44981</v>
      </c>
      <c r="E562" s="534">
        <v>81</v>
      </c>
      <c r="F562" s="601">
        <v>0.71</v>
      </c>
      <c r="G562" s="536" t="s">
        <v>707</v>
      </c>
    </row>
    <row r="563" spans="1:8" ht="13.5" hidden="1" customHeight="1">
      <c r="A563" s="532">
        <v>44873</v>
      </c>
      <c r="B563" s="615">
        <v>2100</v>
      </c>
      <c r="C563" s="615">
        <f t="shared" si="22"/>
        <v>2457.67</v>
      </c>
      <c r="D563" s="532">
        <f t="shared" si="21"/>
        <v>44963</v>
      </c>
      <c r="E563" s="534">
        <v>90</v>
      </c>
      <c r="F563" s="601">
        <v>0.69073835978835996</v>
      </c>
      <c r="G563" s="536" t="s">
        <v>681</v>
      </c>
      <c r="H563">
        <v>74458.899999999994</v>
      </c>
    </row>
    <row r="564" spans="1:8" ht="13.5" hidden="1" customHeight="1">
      <c r="A564" s="532">
        <v>44873</v>
      </c>
      <c r="B564" s="615">
        <v>25000</v>
      </c>
      <c r="C564" s="615">
        <f t="shared" si="22"/>
        <v>29282.89</v>
      </c>
      <c r="D564" s="532">
        <f t="shared" si="21"/>
        <v>44963</v>
      </c>
      <c r="E564" s="534">
        <v>90</v>
      </c>
      <c r="F564" s="601">
        <v>0.69477993333333299</v>
      </c>
      <c r="G564" s="536" t="s">
        <v>687</v>
      </c>
      <c r="H564">
        <v>94186.82</v>
      </c>
    </row>
    <row r="565" spans="1:8" ht="13.5" hidden="1" customHeight="1">
      <c r="A565" s="532">
        <v>44874</v>
      </c>
      <c r="B565" s="615">
        <v>72000</v>
      </c>
      <c r="C565" s="615">
        <f t="shared" si="22"/>
        <v>84516.69</v>
      </c>
      <c r="D565" s="532">
        <f t="shared" si="21"/>
        <v>44964</v>
      </c>
      <c r="E565" s="534">
        <v>90</v>
      </c>
      <c r="F565" s="601">
        <v>0.7050296064814815</v>
      </c>
      <c r="G565" s="536" t="s">
        <v>703</v>
      </c>
      <c r="H565">
        <v>84516.69</v>
      </c>
    </row>
    <row r="566" spans="1:8" ht="13.5" hidden="1" customHeight="1">
      <c r="A566" s="532">
        <v>44875</v>
      </c>
      <c r="B566" s="615">
        <v>15700</v>
      </c>
      <c r="C566" s="615">
        <f t="shared" si="22"/>
        <v>18421.869999999995</v>
      </c>
      <c r="D566" s="532">
        <f t="shared" si="21"/>
        <v>44965</v>
      </c>
      <c r="E566" s="534">
        <v>90</v>
      </c>
      <c r="F566" s="601">
        <v>0.70310159235668723</v>
      </c>
      <c r="G566" s="536" t="s">
        <v>703</v>
      </c>
      <c r="H566">
        <f>IF(E566&gt;89,(C566-B566)/3,(C566-B566))</f>
        <v>907.28999999999849</v>
      </c>
    </row>
    <row r="567" spans="1:8" ht="13.5" hidden="1" customHeight="1">
      <c r="A567" s="532">
        <v>44875</v>
      </c>
      <c r="B567" s="615">
        <v>55000</v>
      </c>
      <c r="C567" s="615">
        <f t="shared" si="22"/>
        <v>64537.120000000003</v>
      </c>
      <c r="D567" s="532">
        <f t="shared" si="21"/>
        <v>44965</v>
      </c>
      <c r="E567" s="534">
        <v>90</v>
      </c>
      <c r="F567" s="601">
        <v>0.70324218181818199</v>
      </c>
      <c r="G567" s="536" t="s">
        <v>687</v>
      </c>
      <c r="H567">
        <v>18421.87</v>
      </c>
    </row>
    <row r="568" spans="1:8" ht="13.5" hidden="1" customHeight="1">
      <c r="A568" s="532">
        <v>44879</v>
      </c>
      <c r="B568" s="615">
        <v>19300</v>
      </c>
      <c r="C568" s="615">
        <f t="shared" si="22"/>
        <v>22669.64</v>
      </c>
      <c r="D568" s="532">
        <f t="shared" si="21"/>
        <v>44970</v>
      </c>
      <c r="E568" s="534">
        <v>91</v>
      </c>
      <c r="F568" s="601">
        <v>0.70028958606160674</v>
      </c>
      <c r="G568" s="536" t="s">
        <v>703</v>
      </c>
      <c r="H568">
        <v>22669.64</v>
      </c>
    </row>
    <row r="569" spans="1:8" ht="13.5" hidden="1" customHeight="1">
      <c r="A569" s="532">
        <v>44879</v>
      </c>
      <c r="B569" s="615">
        <v>182600</v>
      </c>
      <c r="C569" s="615">
        <f t="shared" si="22"/>
        <v>213857.11999999991</v>
      </c>
      <c r="D569" s="532">
        <f t="shared" si="21"/>
        <v>44970</v>
      </c>
      <c r="E569" s="534">
        <v>91</v>
      </c>
      <c r="F569" s="601">
        <v>0.68659345473803124</v>
      </c>
      <c r="G569" s="536" t="s">
        <v>699</v>
      </c>
      <c r="H569">
        <v>12764.38</v>
      </c>
    </row>
    <row r="570" spans="1:8" ht="13.5" hidden="1" customHeight="1">
      <c r="A570" s="532">
        <v>44879</v>
      </c>
      <c r="B570" s="615">
        <v>94100</v>
      </c>
      <c r="C570" s="615">
        <f t="shared" si="22"/>
        <v>110530.49</v>
      </c>
      <c r="D570" s="532">
        <f t="shared" si="21"/>
        <v>44970</v>
      </c>
      <c r="E570" s="534">
        <v>91</v>
      </c>
      <c r="F570" s="601">
        <v>0.70034553491142248</v>
      </c>
      <c r="G570" s="536" t="s">
        <v>698</v>
      </c>
      <c r="H570">
        <f>IF(E570&gt;89,(C570-B570)/3,(C570-B570))</f>
        <v>5476.8300000000017</v>
      </c>
    </row>
    <row r="571" spans="1:8" ht="13.5" customHeight="1">
      <c r="A571" s="532">
        <v>44901</v>
      </c>
      <c r="B571" s="615">
        <v>145000</v>
      </c>
      <c r="C571" s="615">
        <f t="shared" si="22"/>
        <v>167564.38356164383</v>
      </c>
      <c r="D571" s="532">
        <f t="shared" si="21"/>
        <v>44981</v>
      </c>
      <c r="E571" s="534">
        <v>80</v>
      </c>
      <c r="F571" s="601">
        <v>0.71</v>
      </c>
      <c r="G571" s="536" t="s">
        <v>707</v>
      </c>
    </row>
    <row r="572" spans="1:8" ht="13.5" hidden="1" customHeight="1">
      <c r="A572" s="532">
        <v>44879</v>
      </c>
      <c r="B572" s="615">
        <v>50000</v>
      </c>
      <c r="C572" s="615">
        <f t="shared" si="22"/>
        <v>58731.72</v>
      </c>
      <c r="D572" s="532">
        <f t="shared" si="21"/>
        <v>44970</v>
      </c>
      <c r="E572" s="534">
        <v>91</v>
      </c>
      <c r="F572" s="601">
        <v>0.70045665934065982</v>
      </c>
      <c r="G572" s="536" t="s">
        <v>687</v>
      </c>
      <c r="H572">
        <v>213857.12</v>
      </c>
    </row>
    <row r="573" spans="1:8" ht="13.5" hidden="1" customHeight="1">
      <c r="A573" s="532">
        <v>44879</v>
      </c>
      <c r="B573" s="615">
        <v>82000</v>
      </c>
      <c r="C573" s="615">
        <f t="shared" si="22"/>
        <v>96317.67</v>
      </c>
      <c r="D573" s="532">
        <f t="shared" si="21"/>
        <v>44970</v>
      </c>
      <c r="E573" s="534">
        <v>91</v>
      </c>
      <c r="F573" s="601">
        <v>0.70034167113374435</v>
      </c>
      <c r="G573" s="536" t="s">
        <v>687</v>
      </c>
      <c r="H573">
        <v>51847.839999999997</v>
      </c>
    </row>
    <row r="574" spans="1:8" ht="13.5" hidden="1" customHeight="1">
      <c r="A574" s="532">
        <v>44880</v>
      </c>
      <c r="B574" s="615">
        <v>44400</v>
      </c>
      <c r="C574" s="615">
        <f t="shared" si="22"/>
        <v>51847.839999999989</v>
      </c>
      <c r="D574" s="532">
        <f t="shared" ref="D574:D607" si="23">+A574+E574</f>
        <v>44970</v>
      </c>
      <c r="E574" s="534">
        <v>90</v>
      </c>
      <c r="F574" s="601">
        <v>0.6802956956956947</v>
      </c>
      <c r="G574" s="536" t="s">
        <v>699</v>
      </c>
      <c r="H574">
        <f>3600+229.32</f>
        <v>3829.32</v>
      </c>
    </row>
    <row r="575" spans="1:8" ht="13.5" hidden="1" customHeight="1">
      <c r="A575" s="532">
        <v>44880</v>
      </c>
      <c r="B575" s="615">
        <v>30000</v>
      </c>
      <c r="C575" s="615">
        <f t="shared" si="22"/>
        <v>35032.04</v>
      </c>
      <c r="D575" s="532">
        <f t="shared" si="23"/>
        <v>44970</v>
      </c>
      <c r="E575" s="534">
        <v>90</v>
      </c>
      <c r="F575" s="601">
        <v>0.68025725925925928</v>
      </c>
      <c r="G575" s="536" t="s">
        <v>698</v>
      </c>
      <c r="H575">
        <f>IF(E575&gt;89,(C575-B575)/3,(C575-B575))</f>
        <v>1677.346666666667</v>
      </c>
    </row>
    <row r="576" spans="1:8" ht="13.5" hidden="1" customHeight="1">
      <c r="A576" s="532">
        <v>44881</v>
      </c>
      <c r="B576" s="615">
        <v>113300</v>
      </c>
      <c r="C576" s="615">
        <f t="shared" si="22"/>
        <v>132681.51</v>
      </c>
      <c r="D576" s="532">
        <f t="shared" si="23"/>
        <v>44971</v>
      </c>
      <c r="E576" s="534">
        <v>90</v>
      </c>
      <c r="F576" s="601">
        <v>0.6937580808080811</v>
      </c>
      <c r="G576" s="536" t="s">
        <v>699</v>
      </c>
      <c r="H576">
        <v>96317.67</v>
      </c>
    </row>
    <row r="577" spans="1:10" ht="13.5" hidden="1" customHeight="1">
      <c r="A577" s="532">
        <v>44893</v>
      </c>
      <c r="B577" s="615">
        <v>28400</v>
      </c>
      <c r="C577" s="615">
        <f t="shared" si="22"/>
        <v>33313.379999999997</v>
      </c>
      <c r="D577" s="532">
        <f t="shared" si="23"/>
        <v>44984</v>
      </c>
      <c r="E577" s="534">
        <v>91</v>
      </c>
      <c r="F577" s="601">
        <v>0.69392652066243599</v>
      </c>
      <c r="G577" s="536" t="s">
        <v>696</v>
      </c>
      <c r="H577">
        <v>33313.379999999997</v>
      </c>
    </row>
    <row r="578" spans="1:10" ht="13.5" hidden="1" customHeight="1">
      <c r="A578" s="532">
        <v>44893</v>
      </c>
      <c r="B578" s="615">
        <v>100000</v>
      </c>
      <c r="C578" s="615">
        <f t="shared" si="22"/>
        <v>115172.60273972603</v>
      </c>
      <c r="D578" s="532">
        <f t="shared" si="23"/>
        <v>44971</v>
      </c>
      <c r="E578" s="534">
        <v>78</v>
      </c>
      <c r="F578" s="601">
        <v>0.71</v>
      </c>
      <c r="G578" s="536" t="s">
        <v>705</v>
      </c>
      <c r="H578">
        <f>IF(E578&gt;89,(C578-B578)/3,(C578-B578))</f>
        <v>15172.602739726033</v>
      </c>
    </row>
    <row r="579" spans="1:10" ht="13.5" hidden="1" customHeight="1">
      <c r="A579" s="532">
        <v>44893</v>
      </c>
      <c r="B579" s="615">
        <v>160000</v>
      </c>
      <c r="C579" s="615">
        <f t="shared" si="22"/>
        <v>184276.16438356164</v>
      </c>
      <c r="D579" s="532">
        <f t="shared" si="23"/>
        <v>44971</v>
      </c>
      <c r="E579" s="534">
        <v>78</v>
      </c>
      <c r="F579" s="601">
        <v>0.71</v>
      </c>
      <c r="G579" s="536" t="s">
        <v>706</v>
      </c>
      <c r="H579">
        <f>IF(E579&gt;89,(C579-B579)/3,(C579-B579))</f>
        <v>24276.164383561641</v>
      </c>
    </row>
    <row r="580" spans="1:10" ht="13.5" hidden="1" customHeight="1">
      <c r="A580" s="532">
        <v>44900</v>
      </c>
      <c r="B580" s="615">
        <v>225000</v>
      </c>
      <c r="C580" s="615">
        <f t="shared" ref="C580:C607" si="24">B580+(B580*F580/365*E580)*1</f>
        <v>256074.65753424657</v>
      </c>
      <c r="D580" s="532">
        <f t="shared" si="23"/>
        <v>44971</v>
      </c>
      <c r="E580" s="534">
        <v>71</v>
      </c>
      <c r="F580" s="601">
        <v>0.71</v>
      </c>
      <c r="G580" s="536" t="s">
        <v>708</v>
      </c>
      <c r="H580">
        <f>IF(E580&gt;89,(C580-B580)/3,(C580-B580))</f>
        <v>31074.657534246566</v>
      </c>
    </row>
    <row r="581" spans="1:10" ht="13.5" customHeight="1">
      <c r="A581" s="532">
        <v>44902</v>
      </c>
      <c r="B581" s="615">
        <v>75000</v>
      </c>
      <c r="C581" s="615">
        <f t="shared" si="24"/>
        <v>86525.34246575342</v>
      </c>
      <c r="D581" s="532">
        <f t="shared" si="23"/>
        <v>44981</v>
      </c>
      <c r="E581" s="534">
        <v>79</v>
      </c>
      <c r="F581" s="601">
        <v>0.71</v>
      </c>
      <c r="G581" s="536" t="s">
        <v>707</v>
      </c>
    </row>
    <row r="582" spans="1:10" ht="13.5" hidden="1" customHeight="1">
      <c r="A582" s="532">
        <v>44907</v>
      </c>
      <c r="B582" s="615">
        <v>65000</v>
      </c>
      <c r="C582" s="615">
        <f t="shared" si="24"/>
        <v>73092.054794520547</v>
      </c>
      <c r="D582" s="532">
        <f t="shared" si="23"/>
        <v>44971</v>
      </c>
      <c r="E582" s="534">
        <v>64</v>
      </c>
      <c r="F582" s="601">
        <v>0.71</v>
      </c>
      <c r="G582" s="536" t="s">
        <v>711</v>
      </c>
      <c r="H582">
        <f>IF(E582&gt;89,(C582-B582)/3,(C582-B582))</f>
        <v>8092.0547945205471</v>
      </c>
    </row>
    <row r="583" spans="1:10" ht="13.5" hidden="1" customHeight="1">
      <c r="A583" s="532">
        <v>44908</v>
      </c>
      <c r="B583" s="615">
        <v>40000</v>
      </c>
      <c r="C583" s="615">
        <f t="shared" si="24"/>
        <v>44901.917808219179</v>
      </c>
      <c r="D583" s="532">
        <f t="shared" si="23"/>
        <v>44971</v>
      </c>
      <c r="E583" s="534">
        <v>63</v>
      </c>
      <c r="F583" s="601">
        <v>0.71</v>
      </c>
      <c r="G583" s="536" t="s">
        <v>705</v>
      </c>
      <c r="H583">
        <f>IF(E583&gt;89,(C583-B583)/3,(C583-B583))</f>
        <v>4901.9178082191793</v>
      </c>
    </row>
    <row r="584" spans="1:10" ht="13.5" customHeight="1">
      <c r="A584" s="532">
        <v>44907</v>
      </c>
      <c r="B584" s="615">
        <v>200000</v>
      </c>
      <c r="C584" s="615">
        <f t="shared" si="24"/>
        <v>224898.63013698629</v>
      </c>
      <c r="D584" s="532">
        <f t="shared" si="23"/>
        <v>44971</v>
      </c>
      <c r="E584" s="534">
        <v>64</v>
      </c>
      <c r="F584" s="601">
        <v>0.71</v>
      </c>
      <c r="G584" s="536" t="s">
        <v>707</v>
      </c>
      <c r="H584">
        <f>IF(E584&gt;89,(C584-B584)/3,(C584-B584))</f>
        <v>24898.630136986292</v>
      </c>
    </row>
    <row r="585" spans="1:10" ht="13.5" hidden="1" customHeight="1">
      <c r="A585" s="532">
        <v>44894</v>
      </c>
      <c r="B585" s="615">
        <v>140000</v>
      </c>
      <c r="C585" s="615">
        <f t="shared" si="24"/>
        <v>161513.97260273973</v>
      </c>
      <c r="D585" s="532">
        <f t="shared" si="23"/>
        <v>44973</v>
      </c>
      <c r="E585" s="534">
        <v>79</v>
      </c>
      <c r="F585" s="601">
        <v>0.71</v>
      </c>
      <c r="G585" s="536" t="s">
        <v>706</v>
      </c>
      <c r="H585">
        <f>IF(E585&gt;89,(C585-B585)/3,(C585-B585))</f>
        <v>21513.972602739726</v>
      </c>
    </row>
    <row r="586" spans="1:10" ht="13.5" hidden="1" customHeight="1">
      <c r="A586" s="532">
        <v>44888</v>
      </c>
      <c r="B586" s="615">
        <v>60000</v>
      </c>
      <c r="C586" s="615">
        <f t="shared" si="24"/>
        <v>69785.609999999971</v>
      </c>
      <c r="D586" s="532">
        <f t="shared" si="23"/>
        <v>44979</v>
      </c>
      <c r="E586" s="534">
        <v>91</v>
      </c>
      <c r="F586" s="601">
        <v>0.65416623626373449</v>
      </c>
      <c r="G586" s="536" t="s">
        <v>687</v>
      </c>
    </row>
    <row r="587" spans="1:10" ht="13.5" hidden="1" customHeight="1">
      <c r="A587" s="532">
        <v>44889</v>
      </c>
      <c r="B587" s="615">
        <v>50000</v>
      </c>
      <c r="C587" s="615">
        <f t="shared" si="24"/>
        <v>57586.3</v>
      </c>
      <c r="D587" s="532">
        <f t="shared" si="23"/>
        <v>44979</v>
      </c>
      <c r="E587" s="534">
        <v>90</v>
      </c>
      <c r="F587" s="601">
        <v>0.61533322222222264</v>
      </c>
      <c r="G587" s="536" t="s">
        <v>687</v>
      </c>
    </row>
    <row r="588" spans="1:10" ht="13.5" hidden="1" customHeight="1">
      <c r="A588" s="532">
        <v>44895</v>
      </c>
      <c r="B588" s="615">
        <v>90000</v>
      </c>
      <c r="C588" s="615">
        <f t="shared" si="24"/>
        <v>104705.75342465754</v>
      </c>
      <c r="D588" s="532">
        <f t="shared" si="23"/>
        <v>44979</v>
      </c>
      <c r="E588" s="534">
        <v>84</v>
      </c>
      <c r="F588" s="601">
        <v>0.71</v>
      </c>
      <c r="G588" s="536" t="s">
        <v>708</v>
      </c>
    </row>
    <row r="589" spans="1:10" ht="13.5" hidden="1" customHeight="1">
      <c r="A589" s="532">
        <v>44900</v>
      </c>
      <c r="B589" s="615">
        <v>18000</v>
      </c>
      <c r="C589" s="615">
        <f t="shared" si="24"/>
        <v>20766.082191780821</v>
      </c>
      <c r="D589" s="532">
        <f t="shared" si="23"/>
        <v>44979</v>
      </c>
      <c r="E589" s="534">
        <v>79</v>
      </c>
      <c r="F589" s="601">
        <v>0.71</v>
      </c>
      <c r="G589" s="536" t="s">
        <v>705</v>
      </c>
      <c r="H589">
        <f>IF(E589&gt;89,(C589-B589)/3,(C589-B589))</f>
        <v>2766.0821917808207</v>
      </c>
    </row>
    <row r="590" spans="1:10" ht="13.5" hidden="1" customHeight="1">
      <c r="A590" s="532">
        <v>44900</v>
      </c>
      <c r="B590" s="615">
        <v>24000</v>
      </c>
      <c r="C590" s="615">
        <f t="shared" si="24"/>
        <v>27688.109589041094</v>
      </c>
      <c r="D590" s="532">
        <f t="shared" si="23"/>
        <v>44979</v>
      </c>
      <c r="E590" s="534">
        <v>79</v>
      </c>
      <c r="F590" s="601">
        <v>0.71</v>
      </c>
      <c r="G590" s="536" t="s">
        <v>705</v>
      </c>
      <c r="H590">
        <v>91632.08</v>
      </c>
    </row>
    <row r="591" spans="1:10" ht="13.5" hidden="1" customHeight="1">
      <c r="A591" s="532">
        <v>44901</v>
      </c>
      <c r="B591" s="615">
        <v>50000</v>
      </c>
      <c r="C591" s="615">
        <f t="shared" si="24"/>
        <v>57586.301369863017</v>
      </c>
      <c r="D591" s="532">
        <f t="shared" si="23"/>
        <v>44979</v>
      </c>
      <c r="E591" s="534">
        <v>78</v>
      </c>
      <c r="F591" s="601">
        <v>0.71</v>
      </c>
      <c r="G591" s="536" t="s">
        <v>708</v>
      </c>
    </row>
    <row r="592" spans="1:10" ht="13.5" hidden="1" customHeight="1">
      <c r="A592" s="532">
        <v>44895</v>
      </c>
      <c r="B592" s="615">
        <v>78500</v>
      </c>
      <c r="C592" s="615">
        <f t="shared" si="24"/>
        <v>91632.082191780821</v>
      </c>
      <c r="D592" s="532">
        <f t="shared" si="23"/>
        <v>44981</v>
      </c>
      <c r="E592" s="534">
        <v>86</v>
      </c>
      <c r="F592" s="601">
        <v>0.71</v>
      </c>
      <c r="G592" s="536" t="s">
        <v>710</v>
      </c>
      <c r="I592" s="596">
        <f t="shared" ref="I592:J594" si="25">+B592</f>
        <v>78500</v>
      </c>
      <c r="J592" s="596">
        <f t="shared" si="25"/>
        <v>91632.082191780821</v>
      </c>
    </row>
    <row r="593" spans="1:10" ht="13.5" hidden="1" customHeight="1">
      <c r="A593" s="532">
        <v>44896</v>
      </c>
      <c r="B593" s="615">
        <v>37500</v>
      </c>
      <c r="C593" s="615">
        <f t="shared" si="24"/>
        <v>43700.342465753427</v>
      </c>
      <c r="D593" s="532">
        <f t="shared" si="23"/>
        <v>44981</v>
      </c>
      <c r="E593" s="534">
        <v>85</v>
      </c>
      <c r="F593" s="601">
        <v>0.71</v>
      </c>
      <c r="G593" s="536" t="s">
        <v>710</v>
      </c>
      <c r="H593">
        <f>IF(E593&gt;89,(C593-B593)/3,(C593-B593))</f>
        <v>6200.3424657534269</v>
      </c>
      <c r="I593" s="596">
        <f t="shared" si="25"/>
        <v>37500</v>
      </c>
      <c r="J593" s="596">
        <f t="shared" si="25"/>
        <v>43700.342465753427</v>
      </c>
    </row>
    <row r="594" spans="1:10" ht="13.5" hidden="1" customHeight="1">
      <c r="A594" s="532">
        <v>44897</v>
      </c>
      <c r="B594" s="615">
        <v>28200</v>
      </c>
      <c r="C594" s="615">
        <f t="shared" si="24"/>
        <v>32807.80273972603</v>
      </c>
      <c r="D594" s="532">
        <f t="shared" si="23"/>
        <v>44981</v>
      </c>
      <c r="E594" s="534">
        <v>84</v>
      </c>
      <c r="F594" s="601">
        <v>0.71</v>
      </c>
      <c r="G594" s="536" t="s">
        <v>710</v>
      </c>
      <c r="I594" s="596">
        <f t="shared" si="25"/>
        <v>28200</v>
      </c>
      <c r="J594" s="596">
        <f t="shared" si="25"/>
        <v>32807.80273972603</v>
      </c>
    </row>
    <row r="595" spans="1:10" ht="13.5" customHeight="1">
      <c r="A595" s="532">
        <v>44908</v>
      </c>
      <c r="B595" s="615">
        <v>40000</v>
      </c>
      <c r="C595" s="615">
        <f t="shared" si="24"/>
        <v>46659.939999999995</v>
      </c>
      <c r="D595" s="532">
        <f t="shared" si="23"/>
        <v>44998</v>
      </c>
      <c r="E595" s="534">
        <v>90</v>
      </c>
      <c r="F595" s="601">
        <v>0.67524391666666628</v>
      </c>
      <c r="G595" s="536" t="s">
        <v>256</v>
      </c>
      <c r="H595">
        <f>40098.63+6561.31</f>
        <v>46659.939999999995</v>
      </c>
    </row>
    <row r="596" spans="1:10" ht="13.5" hidden="1" customHeight="1">
      <c r="A596" s="532">
        <v>44901</v>
      </c>
      <c r="B596" s="615">
        <v>18200</v>
      </c>
      <c r="C596" s="615">
        <f t="shared" si="24"/>
        <v>21032.219178082192</v>
      </c>
      <c r="D596" s="532">
        <f t="shared" si="23"/>
        <v>44981</v>
      </c>
      <c r="E596" s="534">
        <v>80</v>
      </c>
      <c r="F596" s="601">
        <v>0.71</v>
      </c>
      <c r="G596" s="536" t="s">
        <v>711</v>
      </c>
    </row>
    <row r="597" spans="1:10" ht="13.5" customHeight="1">
      <c r="A597" s="532">
        <v>44922</v>
      </c>
      <c r="B597" s="615">
        <v>340000</v>
      </c>
      <c r="C597" s="615">
        <f t="shared" si="24"/>
        <v>360958.90410958906</v>
      </c>
      <c r="D597" s="532">
        <f t="shared" si="23"/>
        <v>44952</v>
      </c>
      <c r="E597" s="534">
        <v>30</v>
      </c>
      <c r="F597" s="601">
        <v>0.75</v>
      </c>
      <c r="G597" s="536" t="s">
        <v>276</v>
      </c>
      <c r="H597">
        <f>IF(E597&gt;89,(C597-B597)/3,(C597-B597))</f>
        <v>20958.904109589057</v>
      </c>
    </row>
    <row r="598" spans="1:10" ht="13.5" customHeight="1">
      <c r="A598" s="532">
        <v>44923</v>
      </c>
      <c r="B598" s="615">
        <v>60000</v>
      </c>
      <c r="C598" s="615">
        <f t="shared" si="24"/>
        <v>63698.630136986299</v>
      </c>
      <c r="D598" s="532">
        <f t="shared" si="23"/>
        <v>44953</v>
      </c>
      <c r="E598" s="534">
        <v>30</v>
      </c>
      <c r="F598" s="601">
        <v>0.75</v>
      </c>
      <c r="G598" s="536" t="s">
        <v>276</v>
      </c>
      <c r="H598">
        <f>IF(E598&gt;89,(C598-B598)/3,(C598-B598))</f>
        <v>3698.6301369862995</v>
      </c>
    </row>
    <row r="599" spans="1:10" ht="13.5" hidden="1" customHeight="1">
      <c r="A599" s="532">
        <v>44895</v>
      </c>
      <c r="B599" s="615">
        <v>100000</v>
      </c>
      <c r="C599" s="615">
        <f t="shared" si="24"/>
        <v>116728.76712328767</v>
      </c>
      <c r="D599" s="532">
        <f t="shared" si="23"/>
        <v>44981</v>
      </c>
      <c r="E599" s="534">
        <v>86</v>
      </c>
      <c r="F599" s="601">
        <v>0.71</v>
      </c>
      <c r="G599" s="536" t="s">
        <v>706</v>
      </c>
      <c r="H599">
        <f>IF(E599&gt;89,(C599-B599)/3,(C599-B599))</f>
        <v>16728.767123287675</v>
      </c>
    </row>
    <row r="600" spans="1:10" ht="13.5" hidden="1" customHeight="1">
      <c r="A600" s="532">
        <v>44897</v>
      </c>
      <c r="B600" s="615">
        <v>50000</v>
      </c>
      <c r="C600" s="615">
        <f t="shared" si="24"/>
        <v>58169.863013698632</v>
      </c>
      <c r="D600" s="532">
        <f t="shared" si="23"/>
        <v>44981</v>
      </c>
      <c r="E600" s="534">
        <v>84</v>
      </c>
      <c r="F600" s="601">
        <v>0.71</v>
      </c>
      <c r="G600" s="536" t="s">
        <v>706</v>
      </c>
      <c r="H600">
        <f>IF(E600&gt;89,(C600-B600)/3,(C600-B600))</f>
        <v>8169.8630136986321</v>
      </c>
    </row>
    <row r="601" spans="1:10" ht="13.5" hidden="1" customHeight="1">
      <c r="A601" s="532">
        <v>44910</v>
      </c>
      <c r="B601" s="615">
        <v>120000</v>
      </c>
      <c r="C601" s="615">
        <f t="shared" si="24"/>
        <v>134005.4794520548</v>
      </c>
      <c r="D601" s="532">
        <f t="shared" si="23"/>
        <v>44970</v>
      </c>
      <c r="E601" s="534">
        <v>60</v>
      </c>
      <c r="F601" s="601">
        <v>0.71</v>
      </c>
      <c r="G601" s="536" t="s">
        <v>709</v>
      </c>
      <c r="H601">
        <f>94334.61+16195.88</f>
        <v>110530.49</v>
      </c>
    </row>
    <row r="602" spans="1:10" ht="13.5" hidden="1" customHeight="1">
      <c r="A602" s="532">
        <v>44894</v>
      </c>
      <c r="B602" s="615">
        <v>15600</v>
      </c>
      <c r="C602" s="615">
        <f t="shared" si="24"/>
        <v>18185.749999999989</v>
      </c>
      <c r="D602" s="532">
        <f t="shared" si="23"/>
        <v>44984</v>
      </c>
      <c r="E602" s="534">
        <v>90</v>
      </c>
      <c r="F602" s="601">
        <v>0.67222133190882905</v>
      </c>
      <c r="G602" s="536" t="s">
        <v>259</v>
      </c>
      <c r="H602">
        <f>18141+44.75</f>
        <v>18185.75</v>
      </c>
    </row>
    <row r="603" spans="1:10" ht="13.5" hidden="1" customHeight="1">
      <c r="A603" s="532">
        <v>44893</v>
      </c>
      <c r="B603" s="615">
        <v>55600</v>
      </c>
      <c r="C603" s="615">
        <f t="shared" si="24"/>
        <v>65219.150000000016</v>
      </c>
      <c r="D603" s="532">
        <f t="shared" si="23"/>
        <v>44984</v>
      </c>
      <c r="E603" s="534">
        <v>91</v>
      </c>
      <c r="F603" s="601">
        <v>0.69392634793264396</v>
      </c>
      <c r="G603" s="536" t="s">
        <v>265</v>
      </c>
      <c r="H603">
        <f>55738.62+9480.53</f>
        <v>65219.15</v>
      </c>
    </row>
    <row r="604" spans="1:10" ht="13.5" hidden="1" customHeight="1">
      <c r="A604" s="532">
        <v>44894</v>
      </c>
      <c r="B604" s="615">
        <v>20000</v>
      </c>
      <c r="C604" s="615">
        <f t="shared" si="24"/>
        <v>23315.989999999998</v>
      </c>
      <c r="D604" s="532">
        <f t="shared" si="23"/>
        <v>44984</v>
      </c>
      <c r="E604" s="534">
        <v>90</v>
      </c>
      <c r="F604" s="601">
        <v>0.67240908333333305</v>
      </c>
      <c r="G604" s="536" t="s">
        <v>258</v>
      </c>
      <c r="H604">
        <v>23315.99</v>
      </c>
    </row>
    <row r="605" spans="1:10" ht="13.5" customHeight="1">
      <c r="A605" s="532">
        <v>44923</v>
      </c>
      <c r="B605" s="615">
        <v>40000</v>
      </c>
      <c r="C605" s="615">
        <f t="shared" si="24"/>
        <v>42465.753424657538</v>
      </c>
      <c r="D605" s="532">
        <f t="shared" si="23"/>
        <v>44953</v>
      </c>
      <c r="E605" s="534">
        <v>30</v>
      </c>
      <c r="F605" s="601">
        <v>0.75</v>
      </c>
      <c r="G605" s="536" t="s">
        <v>276</v>
      </c>
      <c r="H605">
        <f>IF(E605&gt;89,(C605-B605)/3,(C605-B605))</f>
        <v>2465.7534246575378</v>
      </c>
    </row>
    <row r="606" spans="1:10" ht="13.5" hidden="1" customHeight="1">
      <c r="A606" s="532">
        <v>44900</v>
      </c>
      <c r="B606" s="615">
        <v>47700</v>
      </c>
      <c r="C606" s="615">
        <f t="shared" si="24"/>
        <v>55965.360000000015</v>
      </c>
      <c r="D606" s="532">
        <f t="shared" si="23"/>
        <v>44991</v>
      </c>
      <c r="E606" s="534">
        <v>91</v>
      </c>
      <c r="F606" s="601">
        <v>0.69501610339346298</v>
      </c>
      <c r="G606" s="536" t="s">
        <v>259</v>
      </c>
      <c r="H606">
        <f>55827.07+138.29</f>
        <v>55965.36</v>
      </c>
    </row>
    <row r="607" spans="1:10" ht="13.5" customHeight="1">
      <c r="A607" s="532">
        <v>44924</v>
      </c>
      <c r="B607" s="615">
        <v>30000</v>
      </c>
      <c r="C607" s="615">
        <f t="shared" si="24"/>
        <v>31972.602739726026</v>
      </c>
      <c r="D607" s="532">
        <f t="shared" si="23"/>
        <v>44956</v>
      </c>
      <c r="E607" s="534">
        <v>32</v>
      </c>
      <c r="F607" s="601">
        <v>0.75</v>
      </c>
      <c r="G607" s="536" t="s">
        <v>276</v>
      </c>
      <c r="H607">
        <v>513360.39</v>
      </c>
    </row>
    <row r="609" spans="1:16" ht="20">
      <c r="A609" s="766" t="s">
        <v>733</v>
      </c>
    </row>
    <row r="610" spans="1:16" ht="26">
      <c r="A610" s="733" t="s">
        <v>734</v>
      </c>
      <c r="B610" s="734"/>
      <c r="C610" s="735" t="s">
        <v>735</v>
      </c>
      <c r="D610" s="733" t="s">
        <v>736</v>
      </c>
      <c r="E610" s="735" t="s">
        <v>737</v>
      </c>
    </row>
    <row r="611" spans="1:16" ht="46">
      <c r="A611" s="736" t="s">
        <v>738</v>
      </c>
      <c r="B611" s="736"/>
      <c r="C611" s="737">
        <v>255.22</v>
      </c>
      <c r="D611" s="738">
        <v>45300</v>
      </c>
      <c r="E611" s="737" t="s">
        <v>739</v>
      </c>
      <c r="F611" s="747">
        <v>45210</v>
      </c>
      <c r="G611" s="748">
        <v>90000</v>
      </c>
      <c r="H611" s="748">
        <v>119515.06849315068</v>
      </c>
      <c r="I611" s="749">
        <v>45300</v>
      </c>
      <c r="J611" s="750">
        <v>90</v>
      </c>
      <c r="K611" s="751">
        <v>1.33</v>
      </c>
      <c r="L611" s="752">
        <v>255.22502339562715</v>
      </c>
      <c r="M611" s="753">
        <v>9838.3561643835619</v>
      </c>
      <c r="N611" s="754">
        <v>352.63</v>
      </c>
      <c r="O611" s="754">
        <v>481.76</v>
      </c>
      <c r="P611" s="752">
        <v>255.22502339562715</v>
      </c>
    </row>
    <row r="612" spans="1:16" ht="46">
      <c r="A612" s="739" t="s">
        <v>738</v>
      </c>
      <c r="B612" s="739"/>
      <c r="C612" s="740">
        <v>338.97</v>
      </c>
      <c r="D612" s="741">
        <v>45301</v>
      </c>
      <c r="E612" s="740" t="s">
        <v>739</v>
      </c>
      <c r="F612" s="755">
        <v>45211</v>
      </c>
      <c r="G612" s="756">
        <v>120000</v>
      </c>
      <c r="H612" s="756">
        <v>159353.42465753425</v>
      </c>
      <c r="I612" s="757">
        <v>45301</v>
      </c>
      <c r="J612" s="758">
        <v>90</v>
      </c>
      <c r="K612" s="759">
        <v>1.33</v>
      </c>
      <c r="L612" s="760">
        <v>338.9734753255558</v>
      </c>
      <c r="M612" s="761">
        <v>13117.808219178085</v>
      </c>
      <c r="N612" s="762">
        <v>354.01</v>
      </c>
      <c r="O612" s="762">
        <v>483.64</v>
      </c>
      <c r="P612" s="760">
        <v>338.9734753255558</v>
      </c>
    </row>
    <row r="613" spans="1:16" ht="46">
      <c r="A613" s="736" t="s">
        <v>738</v>
      </c>
      <c r="B613" s="736"/>
      <c r="C613" s="737">
        <v>337.65</v>
      </c>
      <c r="D613" s="738">
        <v>45306</v>
      </c>
      <c r="E613" s="737" t="s">
        <v>739</v>
      </c>
      <c r="F613" s="747">
        <v>45216</v>
      </c>
      <c r="G613" s="748">
        <v>120000</v>
      </c>
      <c r="H613" s="748">
        <v>159353.42465753425</v>
      </c>
      <c r="I613" s="749">
        <v>45306</v>
      </c>
      <c r="J613" s="750">
        <v>90</v>
      </c>
      <c r="K613" s="751">
        <v>1.33</v>
      </c>
      <c r="L613" s="752">
        <v>337.65722164382794</v>
      </c>
      <c r="M613" s="753">
        <v>13117.808219178085</v>
      </c>
      <c r="N613" s="754">
        <v>355.39</v>
      </c>
      <c r="O613" s="754">
        <v>489.31</v>
      </c>
      <c r="P613" s="752">
        <v>337.65722164382794</v>
      </c>
    </row>
    <row r="614" spans="1:16" ht="46">
      <c r="A614" s="739" t="s">
        <v>738</v>
      </c>
      <c r="B614" s="739"/>
      <c r="C614" s="740">
        <v>537.24</v>
      </c>
      <c r="D614" s="741">
        <v>45314</v>
      </c>
      <c r="E614" s="740" t="s">
        <v>739</v>
      </c>
      <c r="F614" s="755">
        <v>45224</v>
      </c>
      <c r="G614" s="756">
        <v>200000</v>
      </c>
      <c r="H614" s="756">
        <v>265589.0410958904</v>
      </c>
      <c r="I614" s="757">
        <v>45314</v>
      </c>
      <c r="J614" s="758">
        <v>90</v>
      </c>
      <c r="K614" s="759">
        <v>1.33</v>
      </c>
      <c r="L614" s="760">
        <v>537.24447309748302</v>
      </c>
      <c r="M614" s="761">
        <v>21863.013698630133</v>
      </c>
      <c r="N614" s="762">
        <v>372.27</v>
      </c>
      <c r="O614" s="762">
        <v>529.85261463087591</v>
      </c>
      <c r="P614" s="760">
        <v>537.24447309748302</v>
      </c>
    </row>
    <row r="615" spans="1:16" ht="46">
      <c r="A615" s="736" t="s">
        <v>738</v>
      </c>
      <c r="B615" s="736"/>
      <c r="C615" s="737">
        <v>133.79</v>
      </c>
      <c r="D615" s="738">
        <v>45315</v>
      </c>
      <c r="E615" s="737" t="s">
        <v>739</v>
      </c>
      <c r="F615" s="747">
        <v>45225</v>
      </c>
      <c r="G615" s="748">
        <v>50000</v>
      </c>
      <c r="H615" s="748">
        <v>66397.260273972599</v>
      </c>
      <c r="I615" s="749">
        <v>45315</v>
      </c>
      <c r="J615" s="750">
        <v>90</v>
      </c>
      <c r="K615" s="751">
        <v>1.33</v>
      </c>
      <c r="L615" s="752">
        <v>133.79358325974687</v>
      </c>
      <c r="M615" s="753">
        <v>5465.7534246575333</v>
      </c>
      <c r="N615" s="754">
        <v>373.71</v>
      </c>
      <c r="O615" s="754">
        <v>535.15114077718465</v>
      </c>
      <c r="P615" s="752">
        <v>133.79358325974687</v>
      </c>
    </row>
    <row r="616" spans="1:16" ht="46">
      <c r="A616" s="739" t="s">
        <v>738</v>
      </c>
      <c r="B616" s="739"/>
      <c r="C616" s="740">
        <v>236.49</v>
      </c>
      <c r="D616" s="741">
        <v>45355</v>
      </c>
      <c r="E616" s="740" t="s">
        <v>739</v>
      </c>
      <c r="F616" s="755">
        <v>45264</v>
      </c>
      <c r="G616" s="756">
        <v>100000</v>
      </c>
      <c r="H616" s="756">
        <v>133158.90410958906</v>
      </c>
      <c r="I616" s="757">
        <v>45355</v>
      </c>
      <c r="J616" s="758">
        <v>91</v>
      </c>
      <c r="K616" s="759">
        <v>1.33</v>
      </c>
      <c r="L616" s="760">
        <v>236.49607416516886</v>
      </c>
      <c r="M616" s="761">
        <v>10931.506849315074</v>
      </c>
      <c r="N616" s="762">
        <v>422.84</v>
      </c>
      <c r="O616" s="762">
        <v>753.22504595950261</v>
      </c>
      <c r="P616" s="760">
        <v>236.49607416516886</v>
      </c>
    </row>
    <row r="617" spans="1:16" ht="46">
      <c r="A617" s="736" t="s">
        <v>738</v>
      </c>
      <c r="B617" s="736"/>
      <c r="C617" s="737">
        <v>100.61</v>
      </c>
      <c r="D617" s="738">
        <v>45357</v>
      </c>
      <c r="E617" s="737" t="s">
        <v>739</v>
      </c>
      <c r="F617" s="747">
        <v>45266</v>
      </c>
      <c r="G617" s="748">
        <v>43000</v>
      </c>
      <c r="H617" s="748">
        <v>57258.32876712329</v>
      </c>
      <c r="I617" s="749">
        <v>45357</v>
      </c>
      <c r="J617" s="750">
        <v>91</v>
      </c>
      <c r="K617" s="751">
        <v>1.33</v>
      </c>
      <c r="L617" s="752">
        <v>100.61774616248596</v>
      </c>
      <c r="M617" s="753">
        <v>4700.5479452054806</v>
      </c>
      <c r="N617" s="754">
        <v>427.36</v>
      </c>
      <c r="O617" s="754">
        <v>763.30152324100516</v>
      </c>
      <c r="P617" s="752">
        <v>100.61774616248596</v>
      </c>
    </row>
    <row r="618" spans="1:16" ht="46">
      <c r="A618" s="739" t="s">
        <v>738</v>
      </c>
      <c r="B618" s="739"/>
      <c r="C618" s="740">
        <v>547.42999999999995</v>
      </c>
      <c r="D618" s="741">
        <v>45362</v>
      </c>
      <c r="E618" s="740" t="s">
        <v>739</v>
      </c>
      <c r="F618" s="755">
        <v>45271</v>
      </c>
      <c r="G618" s="756">
        <v>235200</v>
      </c>
      <c r="H618" s="756">
        <v>313189.74246575346</v>
      </c>
      <c r="I618" s="757">
        <v>45362</v>
      </c>
      <c r="J618" s="758">
        <v>91</v>
      </c>
      <c r="K618" s="759">
        <v>1.33</v>
      </c>
      <c r="L618" s="760">
        <v>547.43506191229869</v>
      </c>
      <c r="M618" s="761">
        <v>25710.904109589053</v>
      </c>
      <c r="N618" s="762">
        <v>429.64</v>
      </c>
      <c r="O618" s="762">
        <v>789.08642165345395</v>
      </c>
      <c r="P618" s="760">
        <v>547.43506191229869</v>
      </c>
    </row>
    <row r="619" spans="1:16" ht="46">
      <c r="A619" s="736" t="s">
        <v>738</v>
      </c>
      <c r="B619" s="736"/>
      <c r="C619" s="737">
        <v>232.75</v>
      </c>
      <c r="D619" s="738">
        <v>45362</v>
      </c>
      <c r="E619" s="737" t="s">
        <v>739</v>
      </c>
      <c r="F619" s="747">
        <v>45271</v>
      </c>
      <c r="G619" s="748">
        <v>100000</v>
      </c>
      <c r="H619" s="748">
        <v>133158.90410958906</v>
      </c>
      <c r="I619" s="749">
        <v>45362</v>
      </c>
      <c r="J619" s="750">
        <v>91</v>
      </c>
      <c r="K619" s="751">
        <v>1.33</v>
      </c>
      <c r="L619" s="752">
        <v>232.75300251373244</v>
      </c>
      <c r="M619" s="753">
        <v>10931.506849315074</v>
      </c>
      <c r="N619" s="754">
        <v>429.64</v>
      </c>
      <c r="O619" s="754">
        <v>789.08642165345395</v>
      </c>
      <c r="P619" s="752">
        <v>232.75300251373244</v>
      </c>
    </row>
    <row r="620" spans="1:16" ht="46">
      <c r="A620" s="739" t="s">
        <v>738</v>
      </c>
      <c r="B620" s="739"/>
      <c r="C620" s="740">
        <v>480.16</v>
      </c>
      <c r="D620" s="741">
        <v>45363</v>
      </c>
      <c r="E620" s="740" t="s">
        <v>739</v>
      </c>
      <c r="F620" s="755">
        <v>45272</v>
      </c>
      <c r="G620" s="756">
        <v>208500</v>
      </c>
      <c r="H620" s="756">
        <v>277636.31506849313</v>
      </c>
      <c r="I620" s="757">
        <v>45363</v>
      </c>
      <c r="J620" s="758">
        <v>91</v>
      </c>
      <c r="K620" s="759">
        <v>1.33</v>
      </c>
      <c r="L620" s="760">
        <v>480.1602837206089</v>
      </c>
      <c r="M620" s="761">
        <v>22792.191780821911</v>
      </c>
      <c r="N620" s="762">
        <v>434.23</v>
      </c>
      <c r="O620" s="762">
        <v>794.34699779781022</v>
      </c>
      <c r="P620" s="760">
        <v>480.1602837206089</v>
      </c>
    </row>
    <row r="621" spans="1:16" ht="46">
      <c r="A621" s="736" t="s">
        <v>738</v>
      </c>
      <c r="B621" s="736"/>
      <c r="C621" s="737">
        <v>299.38</v>
      </c>
      <c r="D621" s="738">
        <v>45363</v>
      </c>
      <c r="E621" s="737" t="s">
        <v>739</v>
      </c>
      <c r="F621" s="747">
        <v>45272</v>
      </c>
      <c r="G621" s="748">
        <v>130000</v>
      </c>
      <c r="H621" s="748">
        <v>173106.57534246575</v>
      </c>
      <c r="I621" s="749">
        <v>45363</v>
      </c>
      <c r="J621" s="750">
        <v>91</v>
      </c>
      <c r="K621" s="751">
        <v>1.33</v>
      </c>
      <c r="L621" s="752">
        <v>299.38051263155467</v>
      </c>
      <c r="M621" s="753">
        <v>14210.958904109586</v>
      </c>
      <c r="N621" s="754">
        <v>434.23</v>
      </c>
      <c r="O621" s="754">
        <v>794.34699779781022</v>
      </c>
      <c r="P621" s="752">
        <v>299.38051263155467</v>
      </c>
    </row>
    <row r="622" spans="1:16" ht="46">
      <c r="A622" s="739" t="s">
        <v>738</v>
      </c>
      <c r="B622" s="739"/>
      <c r="C622" s="740">
        <v>652.29999999999995</v>
      </c>
      <c r="D622" s="741">
        <v>45364</v>
      </c>
      <c r="E622" s="740" t="s">
        <v>739</v>
      </c>
      <c r="F622" s="755">
        <v>45273</v>
      </c>
      <c r="G622" s="756">
        <v>284000</v>
      </c>
      <c r="H622" s="756">
        <v>378171.28767123289</v>
      </c>
      <c r="I622" s="757">
        <v>45364</v>
      </c>
      <c r="J622" s="758">
        <v>91</v>
      </c>
      <c r="K622" s="759">
        <v>1.33</v>
      </c>
      <c r="L622" s="760">
        <v>652.30373466856543</v>
      </c>
      <c r="M622" s="761">
        <v>31045.479452054798</v>
      </c>
      <c r="N622" s="762">
        <v>435.38</v>
      </c>
      <c r="O622" s="762">
        <v>799.64264444979551</v>
      </c>
      <c r="P622" s="760">
        <v>652.30373466856543</v>
      </c>
    </row>
    <row r="623" spans="1:16" ht="46">
      <c r="A623" s="736" t="s">
        <v>738</v>
      </c>
      <c r="B623" s="736"/>
      <c r="C623" s="737">
        <v>515.87</v>
      </c>
      <c r="D623" s="738">
        <v>45364</v>
      </c>
      <c r="E623" s="737" t="s">
        <v>739</v>
      </c>
      <c r="F623" s="747">
        <v>45273</v>
      </c>
      <c r="G623" s="748">
        <v>224600</v>
      </c>
      <c r="H623" s="748">
        <v>299074.89863013697</v>
      </c>
      <c r="I623" s="749">
        <v>45364</v>
      </c>
      <c r="J623" s="750">
        <v>91</v>
      </c>
      <c r="K623" s="751">
        <v>1.33</v>
      </c>
      <c r="L623" s="752">
        <v>515.87119298084428</v>
      </c>
      <c r="M623" s="753">
        <v>24552.164383561641</v>
      </c>
      <c r="N623" s="754">
        <v>435.38</v>
      </c>
      <c r="O623" s="754">
        <v>799.64264444979551</v>
      </c>
      <c r="P623" s="752">
        <v>515.87119298084428</v>
      </c>
    </row>
    <row r="624" spans="1:16" ht="46">
      <c r="A624" s="739" t="s">
        <v>738</v>
      </c>
      <c r="B624" s="739"/>
      <c r="C624" s="740">
        <v>413.43</v>
      </c>
      <c r="D624" s="741">
        <v>45364</v>
      </c>
      <c r="E624" s="740" t="s">
        <v>739</v>
      </c>
      <c r="F624" s="755">
        <v>45273</v>
      </c>
      <c r="G624" s="756">
        <v>180000</v>
      </c>
      <c r="H624" s="756">
        <v>239686.02739726027</v>
      </c>
      <c r="I624" s="757">
        <v>45364</v>
      </c>
      <c r="J624" s="758">
        <v>91</v>
      </c>
      <c r="K624" s="759">
        <v>1.33</v>
      </c>
      <c r="L624" s="760">
        <v>413.43194450824569</v>
      </c>
      <c r="M624" s="761">
        <v>19676.712328767124</v>
      </c>
      <c r="N624" s="762">
        <v>435.38</v>
      </c>
      <c r="O624" s="762">
        <v>799.64264444979551</v>
      </c>
      <c r="P624" s="760">
        <v>413.43194450824569</v>
      </c>
    </row>
    <row r="625" spans="1:16" ht="46">
      <c r="A625" s="736" t="s">
        <v>738</v>
      </c>
      <c r="B625" s="736"/>
      <c r="C625" s="737">
        <v>712.42</v>
      </c>
      <c r="D625" s="738">
        <v>45365</v>
      </c>
      <c r="E625" s="737" t="s">
        <v>739</v>
      </c>
      <c r="F625" s="747">
        <v>45274</v>
      </c>
      <c r="G625" s="748">
        <v>311000</v>
      </c>
      <c r="H625" s="748">
        <v>414124.19178082189</v>
      </c>
      <c r="I625" s="749">
        <v>45365</v>
      </c>
      <c r="J625" s="750">
        <v>91</v>
      </c>
      <c r="K625" s="751">
        <v>1.33</v>
      </c>
      <c r="L625" s="752">
        <v>712.42039675631099</v>
      </c>
      <c r="M625" s="753">
        <v>33996.986301369849</v>
      </c>
      <c r="N625" s="754">
        <v>436.54</v>
      </c>
      <c r="O625" s="754">
        <v>804.97359541279411</v>
      </c>
      <c r="P625" s="752">
        <v>712.42039675631099</v>
      </c>
    </row>
    <row r="626" spans="1:16" ht="46">
      <c r="A626" s="739" t="s">
        <v>738</v>
      </c>
      <c r="B626" s="739"/>
      <c r="C626" s="742">
        <v>1627.34</v>
      </c>
      <c r="D626" s="741">
        <v>45365</v>
      </c>
      <c r="E626" s="740" t="s">
        <v>739</v>
      </c>
      <c r="F626" s="755">
        <v>45274</v>
      </c>
      <c r="G626" s="756">
        <v>710400</v>
      </c>
      <c r="H626" s="756">
        <v>945960.85479452054</v>
      </c>
      <c r="I626" s="757">
        <v>45365</v>
      </c>
      <c r="J626" s="758">
        <v>91</v>
      </c>
      <c r="K626" s="759">
        <v>1.33</v>
      </c>
      <c r="L626" s="760">
        <v>1627.3422824941586</v>
      </c>
      <c r="M626" s="761">
        <v>77657.42465753424</v>
      </c>
      <c r="N626" s="762">
        <v>436.54</v>
      </c>
      <c r="O626" s="762">
        <v>804.97359541279411</v>
      </c>
      <c r="P626" s="760">
        <v>1627.3422824941586</v>
      </c>
    </row>
    <row r="627" spans="1:16" ht="46">
      <c r="A627" s="736" t="s">
        <v>738</v>
      </c>
      <c r="B627" s="736"/>
      <c r="C627" s="737">
        <v>641.4</v>
      </c>
      <c r="D627" s="738">
        <v>45365</v>
      </c>
      <c r="E627" s="737" t="s">
        <v>739</v>
      </c>
      <c r="F627" s="747">
        <v>45274</v>
      </c>
      <c r="G627" s="748">
        <v>280000</v>
      </c>
      <c r="H627" s="748">
        <v>372844.9315068493</v>
      </c>
      <c r="I627" s="749">
        <v>45365</v>
      </c>
      <c r="J627" s="750">
        <v>91</v>
      </c>
      <c r="K627" s="751">
        <v>1.33</v>
      </c>
      <c r="L627" s="752">
        <v>641.40743116323813</v>
      </c>
      <c r="M627" s="753">
        <v>30608.219178082189</v>
      </c>
      <c r="N627" s="754">
        <v>436.54</v>
      </c>
      <c r="O627" s="754">
        <v>804.97359541279411</v>
      </c>
      <c r="P627" s="752">
        <v>641.40743116323813</v>
      </c>
    </row>
    <row r="628" spans="1:16" ht="46">
      <c r="A628" s="739" t="s">
        <v>738</v>
      </c>
      <c r="B628" s="739"/>
      <c r="C628" s="740">
        <v>471.66</v>
      </c>
      <c r="D628" s="741">
        <v>45369</v>
      </c>
      <c r="E628" s="740" t="s">
        <v>739</v>
      </c>
      <c r="F628" s="763">
        <v>45278</v>
      </c>
      <c r="G628" s="756">
        <v>207000</v>
      </c>
      <c r="H628" s="756">
        <v>275638.9315068493</v>
      </c>
      <c r="I628" s="757">
        <v>45369</v>
      </c>
      <c r="J628" s="758">
        <v>91</v>
      </c>
      <c r="K628" s="759">
        <v>1.33</v>
      </c>
      <c r="L628" s="760">
        <v>471.66586916398933</v>
      </c>
      <c r="M628" s="761">
        <v>22628.219178082189</v>
      </c>
      <c r="N628" s="762">
        <v>438.87</v>
      </c>
      <c r="O628" s="762">
        <v>823.92017038092933</v>
      </c>
      <c r="P628" s="760">
        <v>471.66586916398933</v>
      </c>
    </row>
    <row r="629" spans="1:16" ht="46">
      <c r="A629" s="736" t="s">
        <v>738</v>
      </c>
      <c r="B629" s="736"/>
      <c r="C629" s="743">
        <v>1235.0999999999999</v>
      </c>
      <c r="D629" s="738">
        <v>45370</v>
      </c>
      <c r="E629" s="737" t="s">
        <v>739</v>
      </c>
      <c r="F629" s="747">
        <v>45279</v>
      </c>
      <c r="G629" s="748">
        <v>548400</v>
      </c>
      <c r="H629" s="748">
        <v>730243.43013698631</v>
      </c>
      <c r="I629" s="749">
        <v>45370</v>
      </c>
      <c r="J629" s="750">
        <v>91</v>
      </c>
      <c r="K629" s="751">
        <v>1.33</v>
      </c>
      <c r="L629" s="752">
        <v>1235.1073174027613</v>
      </c>
      <c r="M629" s="753">
        <v>59948.383561643837</v>
      </c>
      <c r="N629" s="754">
        <v>444.01</v>
      </c>
      <c r="O629" s="754">
        <v>828.03977123283391</v>
      </c>
      <c r="P629" s="752">
        <v>1235.1073174027613</v>
      </c>
    </row>
    <row r="630" spans="1:16" ht="46">
      <c r="A630" s="739" t="s">
        <v>738</v>
      </c>
      <c r="B630" s="739"/>
      <c r="C630" s="740">
        <v>542.38</v>
      </c>
      <c r="D630" s="741">
        <v>45376</v>
      </c>
      <c r="E630" s="740" t="s">
        <v>739</v>
      </c>
      <c r="F630" s="755">
        <v>45286</v>
      </c>
      <c r="G630" s="756">
        <v>244600</v>
      </c>
      <c r="H630" s="756">
        <v>324815.39726027398</v>
      </c>
      <c r="I630" s="757">
        <v>45376</v>
      </c>
      <c r="J630" s="758">
        <v>90</v>
      </c>
      <c r="K630" s="759">
        <v>1.33</v>
      </c>
      <c r="L630" s="760">
        <v>542.38641151296088</v>
      </c>
      <c r="M630" s="761">
        <v>26738.465753424662</v>
      </c>
      <c r="N630" s="762">
        <v>450.97</v>
      </c>
      <c r="O630" s="762">
        <v>853.19355716187033</v>
      </c>
      <c r="P630" s="760">
        <v>542.38641151296088</v>
      </c>
    </row>
    <row r="631" spans="1:16" ht="23">
      <c r="A631" s="744" t="s">
        <v>740</v>
      </c>
      <c r="B631" s="744"/>
      <c r="C631" s="745">
        <v>772.5</v>
      </c>
      <c r="D631" s="746">
        <v>45475</v>
      </c>
      <c r="E631" s="745" t="s">
        <v>739</v>
      </c>
      <c r="F631" s="747">
        <v>45295</v>
      </c>
      <c r="G631" s="748">
        <v>365000</v>
      </c>
      <c r="H631" s="748">
        <v>604400</v>
      </c>
      <c r="I631" s="749">
        <v>45475</v>
      </c>
      <c r="J631" s="750">
        <v>180</v>
      </c>
      <c r="K631" s="751">
        <v>1.33</v>
      </c>
      <c r="L631" s="752">
        <v>772.50312175919066</v>
      </c>
      <c r="M631" s="753">
        <v>39900</v>
      </c>
      <c r="N631" s="754">
        <v>472.49</v>
      </c>
      <c r="O631" s="754">
        <v>1228.1846135175108</v>
      </c>
      <c r="P631" s="752">
        <v>772.50312175919066</v>
      </c>
    </row>
    <row r="632" spans="1:16" ht="14">
      <c r="G632" s="764">
        <f>SUBTOTAL(9,G611:G631)</f>
        <v>4751700</v>
      </c>
      <c r="H632">
        <f>SUBTOTAL(9,H611:H631)</f>
        <v>6442676.9397260258</v>
      </c>
    </row>
    <row r="633" spans="1:16" ht="14">
      <c r="F633" s="577" t="s">
        <v>741</v>
      </c>
      <c r="G633" s="764">
        <v>5000000</v>
      </c>
    </row>
    <row r="634" spans="1:16" ht="15.5">
      <c r="G634" s="765">
        <f>+G632-G633</f>
        <v>-248300</v>
      </c>
    </row>
    <row r="636" spans="1:16" ht="14">
      <c r="A636" s="747">
        <v>45210</v>
      </c>
      <c r="B636" s="748">
        <v>250000</v>
      </c>
      <c r="C636" s="748">
        <v>331986.30136986298</v>
      </c>
      <c r="D636" s="749">
        <v>45300</v>
      </c>
      <c r="E636" s="750">
        <v>90</v>
      </c>
      <c r="F636" s="751">
        <v>1.33</v>
      </c>
      <c r="G636" s="752" t="s">
        <v>256</v>
      </c>
      <c r="H636" s="753">
        <v>27328.76712328766</v>
      </c>
      <c r="I636" s="754">
        <v>352.63</v>
      </c>
      <c r="J636" s="754">
        <v>481.76</v>
      </c>
      <c r="K636" s="752">
        <v>708.95839832118656</v>
      </c>
      <c r="L636" s="767">
        <v>342389.97062775644</v>
      </c>
      <c r="M636" s="768">
        <v>10403.66925789346</v>
      </c>
    </row>
    <row r="637" spans="1:16" ht="14">
      <c r="A637" s="755">
        <v>45210</v>
      </c>
      <c r="B637" s="756">
        <v>60000</v>
      </c>
      <c r="C637" s="756">
        <v>79676.712328767127</v>
      </c>
      <c r="D637" s="757">
        <v>45300</v>
      </c>
      <c r="E637" s="758">
        <v>90</v>
      </c>
      <c r="F637" s="759">
        <v>1.33</v>
      </c>
      <c r="G637" s="760" t="s">
        <v>256</v>
      </c>
      <c r="H637" s="761">
        <v>6558.9041095890425</v>
      </c>
      <c r="I637" s="762">
        <v>352.63</v>
      </c>
      <c r="J637" s="762">
        <v>481.76</v>
      </c>
      <c r="K637" s="760">
        <v>170.15001559708477</v>
      </c>
      <c r="L637" s="769">
        <v>82173.59295066155</v>
      </c>
      <c r="M637" s="770">
        <v>2496.8806218944228</v>
      </c>
    </row>
    <row r="638" spans="1:16" ht="14">
      <c r="A638" s="747">
        <v>45211</v>
      </c>
      <c r="B638" s="748">
        <v>130000</v>
      </c>
      <c r="C638" s="748">
        <v>172632.87671232875</v>
      </c>
      <c r="D638" s="749">
        <v>45301</v>
      </c>
      <c r="E638" s="750">
        <v>90</v>
      </c>
      <c r="F638" s="751">
        <v>1.33</v>
      </c>
      <c r="G638" s="752" t="s">
        <v>256</v>
      </c>
      <c r="H638" s="753">
        <v>14210.958904109584</v>
      </c>
      <c r="I638" s="754">
        <v>354.01</v>
      </c>
      <c r="J638" s="754">
        <v>483.64</v>
      </c>
      <c r="K638" s="752">
        <v>367.22126493601877</v>
      </c>
      <c r="L638" s="767">
        <v>178040.81751424869</v>
      </c>
      <c r="M638" s="768">
        <v>5407.9408019199327</v>
      </c>
    </row>
    <row r="639" spans="1:16" ht="14">
      <c r="A639" s="755">
        <v>45216</v>
      </c>
      <c r="B639" s="756">
        <v>700000</v>
      </c>
      <c r="C639" s="756">
        <v>929561.64383561641</v>
      </c>
      <c r="D639" s="757">
        <v>45306</v>
      </c>
      <c r="E639" s="758">
        <v>90</v>
      </c>
      <c r="F639" s="759">
        <v>1.33</v>
      </c>
      <c r="G639" s="760" t="s">
        <v>256</v>
      </c>
      <c r="H639" s="761">
        <v>76520.547945205471</v>
      </c>
      <c r="I639" s="762">
        <v>355.39</v>
      </c>
      <c r="J639" s="762">
        <v>489.31</v>
      </c>
      <c r="K639" s="760">
        <v>1969.6671262556629</v>
      </c>
      <c r="L639" s="769">
        <v>966154.2600122497</v>
      </c>
      <c r="M639" s="770">
        <v>36592.616176633281</v>
      </c>
    </row>
    <row r="640" spans="1:16" ht="14">
      <c r="A640" s="747">
        <v>45217</v>
      </c>
      <c r="B640" s="748">
        <v>80000</v>
      </c>
      <c r="C640" s="748">
        <v>106235.61643835617</v>
      </c>
      <c r="D640" s="749">
        <v>45307</v>
      </c>
      <c r="E640" s="750">
        <v>90</v>
      </c>
      <c r="F640" s="751">
        <v>1.33</v>
      </c>
      <c r="G640" s="752" t="s">
        <v>256</v>
      </c>
      <c r="H640" s="753">
        <v>8745.2054794520573</v>
      </c>
      <c r="I640" s="754">
        <v>362.35</v>
      </c>
      <c r="J640" s="754">
        <v>494.20310000000001</v>
      </c>
      <c r="K640" s="752">
        <v>220.78101283289635</v>
      </c>
      <c r="L640" s="767">
        <v>109379.70094909371</v>
      </c>
      <c r="M640" s="768">
        <v>3144.0845107375353</v>
      </c>
    </row>
    <row r="641" spans="1:13" ht="14">
      <c r="A641" s="755">
        <v>45224</v>
      </c>
      <c r="B641" s="756">
        <v>225000</v>
      </c>
      <c r="C641" s="756">
        <v>298787.67123287672</v>
      </c>
      <c r="D641" s="757">
        <v>45314</v>
      </c>
      <c r="E641" s="758">
        <v>90</v>
      </c>
      <c r="F641" s="759">
        <v>1.33</v>
      </c>
      <c r="G641" s="760" t="s">
        <v>256</v>
      </c>
      <c r="H641" s="761">
        <v>24595.890410958906</v>
      </c>
      <c r="I641" s="762">
        <v>372.27</v>
      </c>
      <c r="J641" s="762">
        <v>529.85261463087591</v>
      </c>
      <c r="K641" s="760">
        <v>604.4000322346684</v>
      </c>
      <c r="L641" s="769">
        <v>321032.57748204877</v>
      </c>
      <c r="M641" s="770">
        <v>22244.906249172054</v>
      </c>
    </row>
    <row r="642" spans="1:13" ht="14">
      <c r="A642" s="747">
        <v>45225</v>
      </c>
      <c r="B642" s="748">
        <v>250000</v>
      </c>
      <c r="C642" s="748">
        <v>331986.30136986298</v>
      </c>
      <c r="D642" s="749">
        <v>45315</v>
      </c>
      <c r="E642" s="750">
        <v>90</v>
      </c>
      <c r="F642" s="751">
        <v>1.33</v>
      </c>
      <c r="G642" s="752" t="s">
        <v>256</v>
      </c>
      <c r="H642" s="753">
        <v>27328.76712328766</v>
      </c>
      <c r="I642" s="754">
        <v>373.71</v>
      </c>
      <c r="J642" s="754">
        <v>535.15114077718465</v>
      </c>
      <c r="K642" s="752">
        <v>668.96791629873439</v>
      </c>
      <c r="L642" s="767">
        <v>358881.68067168753</v>
      </c>
      <c r="M642" s="768">
        <v>26895.379301824549</v>
      </c>
    </row>
    <row r="643" spans="1:13" ht="14">
      <c r="A643" s="755">
        <v>45226</v>
      </c>
      <c r="B643" s="756">
        <v>400000</v>
      </c>
      <c r="C643" s="756">
        <v>531178.08219178079</v>
      </c>
      <c r="D643" s="757">
        <v>45316</v>
      </c>
      <c r="E643" s="758">
        <v>90</v>
      </c>
      <c r="F643" s="759">
        <v>1.33</v>
      </c>
      <c r="G643" s="760" t="s">
        <v>256</v>
      </c>
      <c r="H643" s="761">
        <v>43726.027397260266</v>
      </c>
      <c r="I643" s="762">
        <v>375.15</v>
      </c>
      <c r="J643" s="762">
        <v>540.50265218495645</v>
      </c>
      <c r="K643" s="760">
        <v>1066.2401705984273</v>
      </c>
      <c r="L643" s="769">
        <v>577726.66768025374</v>
      </c>
      <c r="M643" s="770">
        <v>46548.585488472949</v>
      </c>
    </row>
    <row r="644" spans="1:13" ht="14">
      <c r="A644" s="747">
        <v>45229</v>
      </c>
      <c r="B644" s="748">
        <v>200000</v>
      </c>
      <c r="C644" s="748">
        <v>266317.80821917811</v>
      </c>
      <c r="D644" s="749">
        <v>45320</v>
      </c>
      <c r="E644" s="750">
        <v>91</v>
      </c>
      <c r="F644" s="751">
        <v>1.33</v>
      </c>
      <c r="G644" s="752" t="s">
        <v>256</v>
      </c>
      <c r="H644" s="753">
        <v>21863.013698630148</v>
      </c>
      <c r="I644" s="754">
        <v>376.6</v>
      </c>
      <c r="J644" s="754">
        <v>562.44922727930089</v>
      </c>
      <c r="K644" s="752">
        <v>531.06744556558681</v>
      </c>
      <c r="L644" s="767">
        <v>299443.17469757376</v>
      </c>
      <c r="M644" s="768">
        <v>33125.366478395648</v>
      </c>
    </row>
    <row r="645" spans="1:13" ht="14">
      <c r="A645" s="755">
        <v>45230</v>
      </c>
      <c r="B645" s="756">
        <v>250000</v>
      </c>
      <c r="C645" s="756">
        <v>332897.26027397258</v>
      </c>
      <c r="D645" s="757">
        <v>45321</v>
      </c>
      <c r="E645" s="758">
        <v>91</v>
      </c>
      <c r="F645" s="759">
        <v>1.33</v>
      </c>
      <c r="G645" s="760" t="s">
        <v>256</v>
      </c>
      <c r="H645" s="761">
        <v>27328.767123287664</v>
      </c>
      <c r="I645" s="762">
        <v>380.98</v>
      </c>
      <c r="J645" s="762">
        <v>568.07371955209385</v>
      </c>
      <c r="K645" s="760">
        <v>656.20242532416398</v>
      </c>
      <c r="L645" s="769">
        <v>373700.72768589342</v>
      </c>
      <c r="M645" s="770">
        <v>40803.467411920836</v>
      </c>
    </row>
    <row r="646" spans="1:13" ht="14">
      <c r="A646" s="747">
        <v>45231</v>
      </c>
      <c r="B646" s="748">
        <v>200000</v>
      </c>
      <c r="C646" s="748">
        <v>266317.80821917811</v>
      </c>
      <c r="D646" s="749">
        <v>45322</v>
      </c>
      <c r="E646" s="750">
        <v>91</v>
      </c>
      <c r="F646" s="751">
        <v>1.33</v>
      </c>
      <c r="G646" s="752" t="s">
        <v>256</v>
      </c>
      <c r="H646" s="753">
        <v>21863.013698630148</v>
      </c>
      <c r="I646" s="754">
        <v>382.46</v>
      </c>
      <c r="J646" s="754">
        <v>573.75445674761477</v>
      </c>
      <c r="K646" s="752">
        <v>522.930502536213</v>
      </c>
      <c r="L646" s="767">
        <v>300781.73564003431</v>
      </c>
      <c r="M646" s="768">
        <v>34463.927420856198</v>
      </c>
    </row>
    <row r="647" spans="1:13" ht="14">
      <c r="A647" s="755">
        <v>45231</v>
      </c>
      <c r="B647" s="756">
        <v>150000</v>
      </c>
      <c r="C647" s="756">
        <v>199738.35616438356</v>
      </c>
      <c r="D647" s="757">
        <v>45322</v>
      </c>
      <c r="E647" s="758">
        <v>91</v>
      </c>
      <c r="F647" s="759">
        <v>1.33</v>
      </c>
      <c r="G647" s="760" t="s">
        <v>256</v>
      </c>
      <c r="H647" s="761">
        <v>16397.260273972599</v>
      </c>
      <c r="I647" s="762">
        <v>382.46</v>
      </c>
      <c r="J647" s="762">
        <v>573.75445674761477</v>
      </c>
      <c r="K647" s="760">
        <v>392.19787690215975</v>
      </c>
      <c r="L647" s="769">
        <v>225586.30173002573</v>
      </c>
      <c r="M647" s="770">
        <v>25847.945565642178</v>
      </c>
    </row>
    <row r="648" spans="1:13" ht="14">
      <c r="A648" s="747">
        <v>45233</v>
      </c>
      <c r="B648" s="748">
        <v>120000</v>
      </c>
      <c r="C648" s="748">
        <v>159353.42465753425</v>
      </c>
      <c r="D648" s="749">
        <v>45323</v>
      </c>
      <c r="E648" s="750">
        <v>90</v>
      </c>
      <c r="F648" s="751">
        <v>1.33</v>
      </c>
      <c r="G648" s="752" t="s">
        <v>256</v>
      </c>
      <c r="H648" s="753">
        <v>13117.808219178085</v>
      </c>
      <c r="I648" s="754">
        <v>385.42</v>
      </c>
      <c r="J648" s="754">
        <v>579.49200131509087</v>
      </c>
      <c r="K648" s="752">
        <v>311.34865860619584</v>
      </c>
      <c r="L648" s="767">
        <v>180868.93851960829</v>
      </c>
      <c r="M648" s="768">
        <v>21515.513862074033</v>
      </c>
    </row>
    <row r="649" spans="1:13" ht="14">
      <c r="A649" s="755">
        <v>45260</v>
      </c>
      <c r="B649" s="756">
        <v>200000</v>
      </c>
      <c r="C649" s="756">
        <v>265589.0410958904</v>
      </c>
      <c r="D649" s="757">
        <v>45350</v>
      </c>
      <c r="E649" s="758">
        <v>90</v>
      </c>
      <c r="F649" s="759">
        <v>1.33</v>
      </c>
      <c r="G649" s="760" t="s">
        <v>256</v>
      </c>
      <c r="H649" s="761">
        <v>21863.013698630133</v>
      </c>
      <c r="I649" s="762">
        <v>420.6</v>
      </c>
      <c r="J649" s="762">
        <v>728.6119861490431</v>
      </c>
      <c r="K649" s="760">
        <v>475.51117451260103</v>
      </c>
      <c r="L649" s="769">
        <v>347317.43397486286</v>
      </c>
      <c r="M649" s="770">
        <v>81728.39287897246</v>
      </c>
    </row>
    <row r="650" spans="1:13" ht="14">
      <c r="A650" s="747">
        <v>45261</v>
      </c>
      <c r="B650" s="748">
        <v>150000</v>
      </c>
      <c r="C650" s="748">
        <v>199191.78082191781</v>
      </c>
      <c r="D650" s="749">
        <v>45351</v>
      </c>
      <c r="E650" s="750">
        <v>90</v>
      </c>
      <c r="F650" s="751">
        <v>1.33</v>
      </c>
      <c r="G650" s="752" t="s">
        <v>256</v>
      </c>
      <c r="H650" s="753">
        <v>16397.260273972603</v>
      </c>
      <c r="I650" s="754">
        <v>421.72</v>
      </c>
      <c r="J650" s="754">
        <v>733.46939939003664</v>
      </c>
      <c r="K650" s="752">
        <v>355.68623731385753</v>
      </c>
      <c r="L650" s="767">
        <v>261528.24886422179</v>
      </c>
      <c r="M650" s="768">
        <v>62336.468042303983</v>
      </c>
    </row>
    <row r="651" spans="1:13" ht="14">
      <c r="A651" s="755">
        <v>45264</v>
      </c>
      <c r="B651" s="756">
        <v>140000</v>
      </c>
      <c r="C651" s="756">
        <v>186422.46575342465</v>
      </c>
      <c r="D651" s="757">
        <v>45355</v>
      </c>
      <c r="E651" s="758">
        <v>91</v>
      </c>
      <c r="F651" s="759">
        <v>1.33</v>
      </c>
      <c r="G651" s="760" t="s">
        <v>256</v>
      </c>
      <c r="H651" s="761">
        <v>15304.109589041094</v>
      </c>
      <c r="I651" s="762">
        <v>422.84</v>
      </c>
      <c r="J651" s="762">
        <v>753.22504595950261</v>
      </c>
      <c r="K651" s="760">
        <v>331.09450383123641</v>
      </c>
      <c r="L651" s="769">
        <v>250010.43640578983</v>
      </c>
      <c r="M651" s="770">
        <v>63587.970652365184</v>
      </c>
    </row>
    <row r="652" spans="1:13" ht="14">
      <c r="A652" s="747">
        <v>45265</v>
      </c>
      <c r="B652" s="748">
        <v>115000</v>
      </c>
      <c r="C652" s="748">
        <v>153132.73972602742</v>
      </c>
      <c r="D652" s="749">
        <v>45356</v>
      </c>
      <c r="E652" s="750">
        <v>91</v>
      </c>
      <c r="F652" s="751">
        <v>1.33</v>
      </c>
      <c r="G652" s="752" t="s">
        <v>256</v>
      </c>
      <c r="H652" s="753">
        <v>12571.232876712334</v>
      </c>
      <c r="I652" s="754">
        <v>426.22</v>
      </c>
      <c r="J652" s="754">
        <v>758.24654626589927</v>
      </c>
      <c r="K652" s="752">
        <v>269.81371122894279</v>
      </c>
      <c r="L652" s="767">
        <v>205095.37669193829</v>
      </c>
      <c r="M652" s="768">
        <v>51962.636965910875</v>
      </c>
    </row>
    <row r="653" spans="1:13" ht="14">
      <c r="A653" s="755">
        <v>45293</v>
      </c>
      <c r="B653" s="756">
        <v>400000</v>
      </c>
      <c r="C653" s="756">
        <v>663813.6986301369</v>
      </c>
      <c r="D653" s="757">
        <v>45474</v>
      </c>
      <c r="E653" s="758">
        <v>181</v>
      </c>
      <c r="F653" s="759">
        <v>1.33</v>
      </c>
      <c r="G653" s="760" t="s">
        <v>256</v>
      </c>
      <c r="H653" s="761">
        <v>43726.027397260259</v>
      </c>
      <c r="I653" s="762">
        <v>463.4</v>
      </c>
      <c r="J653" s="762">
        <v>1224.1042659642965</v>
      </c>
      <c r="K653" s="760">
        <v>863.18515321536472</v>
      </c>
      <c r="L653" s="769">
        <v>1061868.3484154961</v>
      </c>
      <c r="M653" s="770">
        <v>398054.64978535916</v>
      </c>
    </row>
    <row r="654" spans="1:13" ht="14">
      <c r="A654" s="747">
        <v>45294</v>
      </c>
      <c r="B654" s="748">
        <v>170000</v>
      </c>
      <c r="C654" s="748">
        <v>282120.82191780821</v>
      </c>
      <c r="D654" s="749">
        <v>45475</v>
      </c>
      <c r="E654" s="750">
        <v>181</v>
      </c>
      <c r="F654" s="751">
        <v>1.33</v>
      </c>
      <c r="G654" s="752" t="s">
        <v>256</v>
      </c>
      <c r="H654" s="753">
        <v>18583.561643835612</v>
      </c>
      <c r="I654" s="754">
        <v>470.66</v>
      </c>
      <c r="J654" s="754">
        <v>1228.1846135175108</v>
      </c>
      <c r="K654" s="752">
        <v>361.1949177750393</v>
      </c>
      <c r="L654" s="767">
        <v>445813.87998049299</v>
      </c>
      <c r="M654" s="768">
        <v>163693.05806268478</v>
      </c>
    </row>
    <row r="655" spans="1:13" ht="14">
      <c r="A655" s="755">
        <v>45294</v>
      </c>
      <c r="B655" s="756">
        <v>100000</v>
      </c>
      <c r="C655" s="756">
        <v>165953.42465753423</v>
      </c>
      <c r="D655" s="757">
        <v>45475</v>
      </c>
      <c r="E655" s="758">
        <v>181</v>
      </c>
      <c r="F655" s="759">
        <v>1.33</v>
      </c>
      <c r="G655" s="760" t="s">
        <v>256</v>
      </c>
      <c r="H655" s="761">
        <v>10931.506849315065</v>
      </c>
      <c r="I655" s="762">
        <v>470.66</v>
      </c>
      <c r="J655" s="762">
        <v>1228.1846135175108</v>
      </c>
      <c r="K655" s="760">
        <v>212.46759869119958</v>
      </c>
      <c r="L655" s="769">
        <v>262243.45881205471</v>
      </c>
      <c r="M655" s="770">
        <v>96290.034154520486</v>
      </c>
    </row>
    <row r="656" spans="1:13" ht="14">
      <c r="A656" s="747">
        <v>45296</v>
      </c>
      <c r="B656" s="748">
        <v>280000</v>
      </c>
      <c r="C656" s="748">
        <v>463649.31506849313</v>
      </c>
      <c r="D656" s="749">
        <v>45476</v>
      </c>
      <c r="E656" s="750">
        <v>180</v>
      </c>
      <c r="F656" s="751">
        <v>1.33</v>
      </c>
      <c r="G656" s="752" t="s">
        <v>256</v>
      </c>
      <c r="H656" s="753">
        <v>30608.219178082189</v>
      </c>
      <c r="I656" s="754">
        <v>474.33</v>
      </c>
      <c r="J656" s="754">
        <v>1232.2785622292358</v>
      </c>
      <c r="K656" s="752">
        <v>590.30632681888142</v>
      </c>
      <c r="L656" s="767">
        <v>731009.11743249919</v>
      </c>
      <c r="M656" s="768">
        <v>267359.80236400606</v>
      </c>
    </row>
    <row r="657" spans="1:2">
      <c r="B657">
        <f>SUBTOTAL(9,B636:B656)</f>
        <v>4570000</v>
      </c>
    </row>
    <row r="658" spans="1:2" ht="14">
      <c r="A658" s="577" t="s">
        <v>741</v>
      </c>
      <c r="B658" s="764">
        <v>5000000</v>
      </c>
    </row>
    <row r="659" spans="1:2" ht="15.5">
      <c r="B659" s="765">
        <f>+B657-B658</f>
        <v>-430000</v>
      </c>
    </row>
  </sheetData>
  <autoFilter ref="A1:G607" xr:uid="{00000000-0009-0000-0000-000006000000}">
    <filterColumn colId="6">
      <filters>
        <filter val="BBVA"/>
        <filter val="BBVA BANCO"/>
        <filter val="BBVA UVA"/>
        <filter val="BBVA UVA precancelado"/>
      </filters>
    </filterColumn>
  </autoFilter>
  <sortState xmlns:xlrd2="http://schemas.microsoft.com/office/spreadsheetml/2017/richdata2" ref="A4:J607">
    <sortCondition ref="A2:A607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51"/>
  <dimension ref="A1:E1976"/>
  <sheetViews>
    <sheetView topLeftCell="A139" workbookViewId="0">
      <selection activeCell="J142" sqref="G122:J142"/>
    </sheetView>
  </sheetViews>
  <sheetFormatPr baseColWidth="10" defaultColWidth="10.54296875" defaultRowHeight="15.5"/>
  <cols>
    <col min="1" max="1" width="32.453125" style="21" customWidth="1"/>
    <col min="2" max="2" width="19.7265625" style="36" customWidth="1"/>
    <col min="3" max="3" width="13.453125" style="21" customWidth="1"/>
    <col min="4" max="4" width="15.54296875" style="21" customWidth="1"/>
    <col min="5" max="5" width="14.54296875" style="21" customWidth="1"/>
    <col min="7" max="7" width="10.54296875" customWidth="1"/>
    <col min="9" max="9" width="13.453125" bestFit="1" customWidth="1"/>
  </cols>
  <sheetData>
    <row r="1" spans="1:4">
      <c r="A1" s="33" t="s">
        <v>320</v>
      </c>
      <c r="B1" s="34" t="s">
        <v>742</v>
      </c>
      <c r="C1" s="34" t="s">
        <v>187</v>
      </c>
    </row>
    <row r="2" spans="1:4">
      <c r="A2" s="35" t="s">
        <v>743</v>
      </c>
      <c r="B2" s="36">
        <v>800</v>
      </c>
      <c r="C2" s="34">
        <v>35004</v>
      </c>
    </row>
    <row r="3" spans="1:4">
      <c r="A3" s="35" t="s">
        <v>744</v>
      </c>
      <c r="B3" s="36">
        <v>250</v>
      </c>
      <c r="C3" s="34">
        <v>35004</v>
      </c>
    </row>
    <row r="4" spans="1:4">
      <c r="A4" s="35" t="s">
        <v>745</v>
      </c>
      <c r="B4" s="36">
        <v>142</v>
      </c>
      <c r="C4" s="34">
        <v>35004</v>
      </c>
    </row>
    <row r="5" spans="1:4">
      <c r="A5" s="37" t="s">
        <v>746</v>
      </c>
      <c r="B5" s="36">
        <f>1500+1267+896+343</f>
        <v>4006</v>
      </c>
      <c r="C5" s="34">
        <v>35004</v>
      </c>
    </row>
    <row r="6" spans="1:4">
      <c r="A6" s="37" t="s">
        <v>747</v>
      </c>
      <c r="B6" s="36">
        <v>16009</v>
      </c>
      <c r="C6" s="34">
        <v>35004</v>
      </c>
    </row>
    <row r="7" spans="1:4">
      <c r="A7" s="37" t="s">
        <v>744</v>
      </c>
      <c r="B7" s="36">
        <f>19800-7500-1000</f>
        <v>11300</v>
      </c>
      <c r="C7" s="34">
        <v>35034</v>
      </c>
    </row>
    <row r="8" spans="1:4">
      <c r="A8" s="37" t="s">
        <v>746</v>
      </c>
      <c r="B8" s="36">
        <v>398</v>
      </c>
      <c r="C8" s="34">
        <v>35034</v>
      </c>
    </row>
    <row r="9" spans="1:4">
      <c r="A9" s="37" t="s">
        <v>748</v>
      </c>
      <c r="B9" s="36">
        <v>53</v>
      </c>
      <c r="C9" s="34">
        <v>35034</v>
      </c>
    </row>
    <row r="10" spans="1:4">
      <c r="A10" s="37" t="s">
        <v>747</v>
      </c>
      <c r="B10" s="36">
        <f>19346-6851</f>
        <v>12495</v>
      </c>
      <c r="C10" s="34">
        <v>35034</v>
      </c>
      <c r="D10" s="21">
        <f>SUBTOTAL(9,B6:B10)</f>
        <v>40255</v>
      </c>
    </row>
    <row r="11" spans="1:4">
      <c r="A11" s="37" t="s">
        <v>749</v>
      </c>
      <c r="B11" s="36">
        <f>520+214</f>
        <v>734</v>
      </c>
      <c r="C11" s="34">
        <v>35034</v>
      </c>
    </row>
    <row r="12" spans="1:4">
      <c r="A12" s="37" t="s">
        <v>750</v>
      </c>
      <c r="B12" s="36">
        <f>176+54.52</f>
        <v>230.52</v>
      </c>
      <c r="C12" s="34">
        <v>35034</v>
      </c>
    </row>
    <row r="13" spans="1:4">
      <c r="A13" s="37" t="s">
        <v>751</v>
      </c>
      <c r="B13" s="36">
        <v>-380</v>
      </c>
      <c r="C13" s="34">
        <v>35065</v>
      </c>
    </row>
    <row r="14" spans="1:4">
      <c r="A14" s="37" t="s">
        <v>744</v>
      </c>
      <c r="B14" s="36">
        <f>100+220+46+315</f>
        <v>681</v>
      </c>
      <c r="C14" s="34">
        <v>35065</v>
      </c>
    </row>
    <row r="15" spans="1:4">
      <c r="A15" s="37" t="s">
        <v>746</v>
      </c>
      <c r="B15" s="36">
        <f>54.52+398</f>
        <v>452.52</v>
      </c>
      <c r="C15" s="34">
        <v>35065</v>
      </c>
    </row>
    <row r="16" spans="1:4">
      <c r="A16" s="37" t="s">
        <v>748</v>
      </c>
      <c r="B16" s="36">
        <f>70+60</f>
        <v>130</v>
      </c>
      <c r="C16" s="34">
        <v>35065</v>
      </c>
    </row>
    <row r="17" spans="1:3">
      <c r="A17" s="37" t="s">
        <v>747</v>
      </c>
      <c r="B17" s="36">
        <f>18208.778337+555</f>
        <v>18763.778337</v>
      </c>
      <c r="C17" s="34">
        <v>35065</v>
      </c>
    </row>
    <row r="18" spans="1:3">
      <c r="A18" s="37" t="s">
        <v>749</v>
      </c>
      <c r="B18" s="36">
        <f>100+60+150+10+130</f>
        <v>450</v>
      </c>
      <c r="C18" s="34">
        <v>35065</v>
      </c>
    </row>
    <row r="19" spans="1:3">
      <c r="A19" s="37" t="s">
        <v>750</v>
      </c>
      <c r="B19" s="36">
        <f>34+40+29+180+24</f>
        <v>307</v>
      </c>
      <c r="C19" s="34">
        <v>35065</v>
      </c>
    </row>
    <row r="20" spans="1:3">
      <c r="A20" s="37" t="s">
        <v>751</v>
      </c>
      <c r="B20" s="36">
        <v>-380</v>
      </c>
      <c r="C20" s="34">
        <v>35096</v>
      </c>
    </row>
    <row r="21" spans="1:3">
      <c r="A21" s="37" t="s">
        <v>744</v>
      </c>
      <c r="B21" s="36">
        <f>130+692</f>
        <v>822</v>
      </c>
      <c r="C21" s="34">
        <v>35096</v>
      </c>
    </row>
    <row r="22" spans="1:3">
      <c r="A22" s="37" t="s">
        <v>745</v>
      </c>
      <c r="B22" s="36">
        <v>142</v>
      </c>
      <c r="C22" s="34">
        <v>35096</v>
      </c>
    </row>
    <row r="23" spans="1:3">
      <c r="A23" s="37" t="s">
        <v>746</v>
      </c>
      <c r="B23" s="36">
        <f>54.52+398</f>
        <v>452.52</v>
      </c>
      <c r="C23" s="34">
        <v>35096</v>
      </c>
    </row>
    <row r="24" spans="1:3">
      <c r="A24" s="37" t="s">
        <v>752</v>
      </c>
      <c r="B24" s="36">
        <v>500</v>
      </c>
      <c r="C24" s="34">
        <v>35096</v>
      </c>
    </row>
    <row r="25" spans="1:3">
      <c r="A25" s="37" t="s">
        <v>748</v>
      </c>
      <c r="B25" s="36">
        <v>60</v>
      </c>
      <c r="C25" s="34">
        <v>35096</v>
      </c>
    </row>
    <row r="26" spans="1:3">
      <c r="A26" s="37" t="s">
        <v>747</v>
      </c>
      <c r="B26" s="36">
        <v>17498</v>
      </c>
      <c r="C26" s="34">
        <v>35096</v>
      </c>
    </row>
    <row r="27" spans="1:3">
      <c r="A27" s="37" t="s">
        <v>749</v>
      </c>
      <c r="B27" s="36">
        <f>150+120+120</f>
        <v>390</v>
      </c>
      <c r="C27" s="34">
        <v>35096</v>
      </c>
    </row>
    <row r="28" spans="1:3">
      <c r="A28" s="37" t="s">
        <v>750</v>
      </c>
      <c r="B28" s="36">
        <f>98+166+28</f>
        <v>292</v>
      </c>
      <c r="C28" s="34">
        <v>35096</v>
      </c>
    </row>
    <row r="29" spans="1:3">
      <c r="A29" s="37" t="s">
        <v>751</v>
      </c>
      <c r="B29" s="36">
        <v>-280</v>
      </c>
      <c r="C29" s="34">
        <v>35125</v>
      </c>
    </row>
    <row r="30" spans="1:3">
      <c r="A30" s="37" t="s">
        <v>744</v>
      </c>
      <c r="B30" s="36">
        <v>119</v>
      </c>
      <c r="C30" s="34">
        <v>35125</v>
      </c>
    </row>
    <row r="31" spans="1:3">
      <c r="A31" s="38" t="s">
        <v>745</v>
      </c>
      <c r="B31" s="36">
        <v>0</v>
      </c>
      <c r="C31" s="34">
        <v>35125</v>
      </c>
    </row>
    <row r="32" spans="1:3">
      <c r="A32" s="38" t="s">
        <v>746</v>
      </c>
      <c r="B32" s="36">
        <v>452.42</v>
      </c>
      <c r="C32" s="34">
        <v>35125</v>
      </c>
    </row>
    <row r="33" spans="1:3">
      <c r="A33" s="38" t="s">
        <v>752</v>
      </c>
      <c r="B33" s="36">
        <v>0</v>
      </c>
      <c r="C33" s="34">
        <v>35125</v>
      </c>
    </row>
    <row r="34" spans="1:3">
      <c r="A34" s="37" t="s">
        <v>748</v>
      </c>
      <c r="B34" s="36">
        <v>120</v>
      </c>
      <c r="C34" s="34">
        <v>35125</v>
      </c>
    </row>
    <row r="35" spans="1:3">
      <c r="A35" s="37" t="s">
        <v>747</v>
      </c>
      <c r="B35" s="36">
        <v>23068.548746575369</v>
      </c>
      <c r="C35" s="34">
        <v>35125</v>
      </c>
    </row>
    <row r="36" spans="1:3">
      <c r="A36" s="38" t="s">
        <v>749</v>
      </c>
      <c r="B36" s="36">
        <v>555</v>
      </c>
      <c r="C36" s="34">
        <v>35125</v>
      </c>
    </row>
    <row r="37" spans="1:3">
      <c r="A37" s="37" t="s">
        <v>750</v>
      </c>
      <c r="B37" s="36">
        <v>251</v>
      </c>
      <c r="C37" s="34">
        <v>35125</v>
      </c>
    </row>
    <row r="38" spans="1:3">
      <c r="A38" s="37" t="s">
        <v>751</v>
      </c>
      <c r="B38" s="36">
        <v>-100</v>
      </c>
      <c r="C38" s="34">
        <v>35156</v>
      </c>
    </row>
    <row r="39" spans="1:3">
      <c r="A39" s="37" t="s">
        <v>744</v>
      </c>
      <c r="B39" s="36">
        <v>119</v>
      </c>
      <c r="C39" s="34">
        <v>35156</v>
      </c>
    </row>
    <row r="40" spans="1:3">
      <c r="A40" s="38" t="s">
        <v>745</v>
      </c>
      <c r="B40" s="36">
        <v>142</v>
      </c>
      <c r="C40" s="34">
        <v>35156</v>
      </c>
    </row>
    <row r="41" spans="1:3">
      <c r="A41" s="38" t="s">
        <v>746</v>
      </c>
      <c r="B41" s="36">
        <v>453.22</v>
      </c>
      <c r="C41" s="34">
        <v>35156</v>
      </c>
    </row>
    <row r="42" spans="1:3">
      <c r="A42" s="38" t="s">
        <v>752</v>
      </c>
      <c r="B42" s="36">
        <v>0</v>
      </c>
      <c r="C42" s="34">
        <v>35156</v>
      </c>
    </row>
    <row r="43" spans="1:3">
      <c r="A43" s="37" t="s">
        <v>748</v>
      </c>
      <c r="B43" s="36">
        <v>71.760000000000005</v>
      </c>
      <c r="C43" s="34">
        <v>35156</v>
      </c>
    </row>
    <row r="44" spans="1:3">
      <c r="A44" s="37" t="s">
        <v>747</v>
      </c>
      <c r="B44" s="36">
        <v>21932</v>
      </c>
      <c r="C44" s="34">
        <v>35156</v>
      </c>
    </row>
    <row r="45" spans="1:3">
      <c r="A45" s="38" t="s">
        <v>749</v>
      </c>
      <c r="B45" s="36">
        <v>620</v>
      </c>
      <c r="C45" s="34">
        <v>35156</v>
      </c>
    </row>
    <row r="46" spans="1:3">
      <c r="A46" s="37" t="s">
        <v>750</v>
      </c>
      <c r="B46" s="36">
        <v>220</v>
      </c>
      <c r="C46" s="34">
        <v>35156</v>
      </c>
    </row>
    <row r="47" spans="1:3">
      <c r="A47" s="37" t="s">
        <v>751</v>
      </c>
      <c r="B47" s="36">
        <v>-380</v>
      </c>
      <c r="C47" s="34">
        <v>35186</v>
      </c>
    </row>
    <row r="48" spans="1:3">
      <c r="A48" s="37" t="s">
        <v>744</v>
      </c>
      <c r="B48" s="36">
        <v>120</v>
      </c>
      <c r="C48" s="34">
        <v>35186</v>
      </c>
    </row>
    <row r="49" spans="1:3">
      <c r="A49" s="38" t="s">
        <v>745</v>
      </c>
      <c r="B49" s="36">
        <v>0</v>
      </c>
      <c r="C49" s="34">
        <v>35186</v>
      </c>
    </row>
    <row r="50" spans="1:3">
      <c r="A50" s="38" t="s">
        <v>746</v>
      </c>
      <c r="B50" s="36">
        <v>452.52</v>
      </c>
      <c r="C50" s="34">
        <v>35186</v>
      </c>
    </row>
    <row r="51" spans="1:3">
      <c r="A51" s="38" t="s">
        <v>752</v>
      </c>
      <c r="B51" s="36">
        <v>200</v>
      </c>
      <c r="C51" s="34">
        <v>35186</v>
      </c>
    </row>
    <row r="52" spans="1:3">
      <c r="A52" s="37" t="s">
        <v>748</v>
      </c>
      <c r="B52" s="36">
        <v>0</v>
      </c>
      <c r="C52" s="34">
        <v>35186</v>
      </c>
    </row>
    <row r="53" spans="1:3">
      <c r="A53" s="37" t="s">
        <v>747</v>
      </c>
      <c r="B53" s="36">
        <v>36523.672393260407</v>
      </c>
      <c r="C53" s="34">
        <v>35186</v>
      </c>
    </row>
    <row r="54" spans="1:3">
      <c r="A54" s="38" t="s">
        <v>749</v>
      </c>
      <c r="B54" s="36">
        <v>995</v>
      </c>
      <c r="C54" s="34">
        <v>35186</v>
      </c>
    </row>
    <row r="55" spans="1:3">
      <c r="A55" s="37" t="s">
        <v>750</v>
      </c>
      <c r="B55" s="36">
        <v>257.99</v>
      </c>
      <c r="C55" s="34">
        <v>35186</v>
      </c>
    </row>
    <row r="56" spans="1:3">
      <c r="A56" s="37" t="s">
        <v>751</v>
      </c>
      <c r="B56" s="36">
        <v>-236</v>
      </c>
      <c r="C56" s="34">
        <v>35217</v>
      </c>
    </row>
    <row r="57" spans="1:3">
      <c r="A57" s="37" t="s">
        <v>744</v>
      </c>
      <c r="B57" s="36">
        <v>200</v>
      </c>
      <c r="C57" s="34">
        <v>35217</v>
      </c>
    </row>
    <row r="58" spans="1:3">
      <c r="A58" s="38" t="s">
        <v>745</v>
      </c>
      <c r="B58" s="36">
        <v>0</v>
      </c>
      <c r="C58" s="34">
        <v>35217</v>
      </c>
    </row>
    <row r="59" spans="1:3">
      <c r="A59" s="38" t="s">
        <v>746</v>
      </c>
      <c r="B59" s="36">
        <v>9460.76</v>
      </c>
      <c r="C59" s="34">
        <v>35217</v>
      </c>
    </row>
    <row r="60" spans="1:3">
      <c r="A60" s="38" t="s">
        <v>752</v>
      </c>
      <c r="B60" s="36">
        <v>0</v>
      </c>
      <c r="C60" s="34">
        <v>35217</v>
      </c>
    </row>
    <row r="61" spans="1:3">
      <c r="A61" s="37" t="s">
        <v>748</v>
      </c>
      <c r="B61" s="36">
        <v>0</v>
      </c>
      <c r="C61" s="34">
        <v>35217</v>
      </c>
    </row>
    <row r="62" spans="1:3">
      <c r="A62" s="37" t="s">
        <v>747</v>
      </c>
      <c r="B62" s="36">
        <v>18008.565287945094</v>
      </c>
      <c r="C62" s="34">
        <v>35217</v>
      </c>
    </row>
    <row r="63" spans="1:3">
      <c r="A63" s="38" t="s">
        <v>749</v>
      </c>
      <c r="B63" s="36">
        <v>560</v>
      </c>
      <c r="C63" s="34">
        <v>35217</v>
      </c>
    </row>
    <row r="64" spans="1:3">
      <c r="A64" s="37" t="s">
        <v>750</v>
      </c>
      <c r="B64" s="36">
        <v>357</v>
      </c>
      <c r="C64" s="34">
        <v>35217</v>
      </c>
    </row>
    <row r="65" spans="1:3">
      <c r="A65" s="37" t="s">
        <v>751</v>
      </c>
      <c r="B65" s="36">
        <v>-230</v>
      </c>
      <c r="C65" s="34">
        <v>35247</v>
      </c>
    </row>
    <row r="66" spans="1:3">
      <c r="A66" s="37" t="s">
        <v>744</v>
      </c>
      <c r="B66" s="36">
        <v>119.7</v>
      </c>
      <c r="C66" s="34">
        <v>35247</v>
      </c>
    </row>
    <row r="67" spans="1:3">
      <c r="A67" s="38" t="s">
        <v>745</v>
      </c>
      <c r="B67" s="36">
        <v>142</v>
      </c>
      <c r="C67" s="34">
        <v>35247</v>
      </c>
    </row>
    <row r="68" spans="1:3">
      <c r="A68" s="38" t="s">
        <v>746</v>
      </c>
      <c r="B68" s="36">
        <v>839.84</v>
      </c>
      <c r="C68" s="34">
        <v>35247</v>
      </c>
    </row>
    <row r="69" spans="1:3">
      <c r="A69" s="38" t="s">
        <v>752</v>
      </c>
      <c r="B69" s="36">
        <v>0</v>
      </c>
      <c r="C69" s="34">
        <v>35247</v>
      </c>
    </row>
    <row r="70" spans="1:3">
      <c r="A70" s="35" t="s">
        <v>748</v>
      </c>
      <c r="B70" s="36">
        <v>186.14</v>
      </c>
      <c r="C70" s="34">
        <v>35247</v>
      </c>
    </row>
    <row r="71" spans="1:3">
      <c r="A71" s="38" t="s">
        <v>747</v>
      </c>
      <c r="B71" s="36">
        <v>18463.315348931472</v>
      </c>
      <c r="C71" s="34">
        <v>35247</v>
      </c>
    </row>
    <row r="72" spans="1:3">
      <c r="A72" s="38" t="s">
        <v>749</v>
      </c>
      <c r="B72" s="36">
        <v>440</v>
      </c>
      <c r="C72" s="34">
        <v>35247</v>
      </c>
    </row>
    <row r="73" spans="1:3">
      <c r="A73" s="37" t="s">
        <v>750</v>
      </c>
      <c r="B73" s="36">
        <v>209.97</v>
      </c>
      <c r="C73" s="34">
        <v>35247</v>
      </c>
    </row>
    <row r="74" spans="1:3">
      <c r="A74" s="38" t="s">
        <v>751</v>
      </c>
      <c r="B74" s="36">
        <v>-169</v>
      </c>
      <c r="C74" s="34">
        <v>35278</v>
      </c>
    </row>
    <row r="75" spans="1:3">
      <c r="A75" s="38" t="s">
        <v>744</v>
      </c>
      <c r="B75" s="36">
        <v>197.47</v>
      </c>
      <c r="C75" s="34">
        <v>35278</v>
      </c>
    </row>
    <row r="76" spans="1:3">
      <c r="A76" s="38" t="s">
        <v>745</v>
      </c>
      <c r="B76" s="36">
        <v>0</v>
      </c>
      <c r="C76" s="34">
        <v>35278</v>
      </c>
    </row>
    <row r="77" spans="1:3">
      <c r="A77" s="38" t="s">
        <v>746</v>
      </c>
      <c r="B77" s="36">
        <v>2002.89</v>
      </c>
      <c r="C77" s="34">
        <v>35278</v>
      </c>
    </row>
    <row r="78" spans="1:3">
      <c r="A78" s="38" t="s">
        <v>752</v>
      </c>
      <c r="B78" s="36">
        <v>500</v>
      </c>
      <c r="C78" s="34">
        <v>35278</v>
      </c>
    </row>
    <row r="79" spans="1:3">
      <c r="A79" s="38" t="s">
        <v>748</v>
      </c>
      <c r="B79" s="36">
        <v>0</v>
      </c>
      <c r="C79" s="34">
        <v>35278</v>
      </c>
    </row>
    <row r="80" spans="1:3">
      <c r="A80" s="38" t="s">
        <v>747</v>
      </c>
      <c r="B80" s="36">
        <v>19804.524753972422</v>
      </c>
      <c r="C80" s="34">
        <v>35278</v>
      </c>
    </row>
    <row r="81" spans="1:3">
      <c r="A81" s="38" t="s">
        <v>749</v>
      </c>
      <c r="B81" s="36">
        <v>386</v>
      </c>
      <c r="C81" s="34">
        <v>35278</v>
      </c>
    </row>
    <row r="82" spans="1:3">
      <c r="A82" s="38" t="s">
        <v>750</v>
      </c>
      <c r="B82" s="36">
        <v>154.52000000000001</v>
      </c>
      <c r="C82" s="34">
        <v>35278</v>
      </c>
    </row>
    <row r="83" spans="1:3">
      <c r="A83" s="35" t="s">
        <v>751</v>
      </c>
      <c r="B83" s="36">
        <v>150</v>
      </c>
      <c r="C83" s="34">
        <v>35309</v>
      </c>
    </row>
    <row r="84" spans="1:3">
      <c r="A84" s="35" t="s">
        <v>744</v>
      </c>
      <c r="B84" s="36">
        <v>120</v>
      </c>
      <c r="C84" s="34">
        <v>35309</v>
      </c>
    </row>
    <row r="85" spans="1:3">
      <c r="A85" s="38" t="s">
        <v>745</v>
      </c>
      <c r="B85" s="36">
        <v>142</v>
      </c>
      <c r="C85" s="34">
        <v>35309</v>
      </c>
    </row>
    <row r="86" spans="1:3">
      <c r="A86" s="38" t="s">
        <v>746</v>
      </c>
      <c r="B86" s="36">
        <v>839.73</v>
      </c>
      <c r="C86" s="34">
        <v>35309</v>
      </c>
    </row>
    <row r="87" spans="1:3">
      <c r="A87" s="38" t="s">
        <v>752</v>
      </c>
      <c r="B87" s="36">
        <v>0</v>
      </c>
      <c r="C87" s="34">
        <v>35309</v>
      </c>
    </row>
    <row r="88" spans="1:3">
      <c r="A88" s="35" t="s">
        <v>748</v>
      </c>
      <c r="B88" s="36">
        <v>150</v>
      </c>
      <c r="C88" s="34">
        <v>35309</v>
      </c>
    </row>
    <row r="89" spans="1:3">
      <c r="A89" s="35" t="s">
        <v>747</v>
      </c>
      <c r="B89" s="36">
        <v>16884</v>
      </c>
      <c r="C89" s="34">
        <v>35309</v>
      </c>
    </row>
    <row r="90" spans="1:3">
      <c r="A90" s="38" t="s">
        <v>749</v>
      </c>
      <c r="B90" s="36">
        <v>905</v>
      </c>
      <c r="C90" s="34">
        <v>35309</v>
      </c>
    </row>
    <row r="91" spans="1:3">
      <c r="A91" s="35" t="s">
        <v>750</v>
      </c>
      <c r="B91" s="36">
        <v>222.66</v>
      </c>
      <c r="C91" s="34">
        <v>35309</v>
      </c>
    </row>
    <row r="92" spans="1:3">
      <c r="A92" s="35" t="s">
        <v>751</v>
      </c>
      <c r="B92" s="36">
        <v>150</v>
      </c>
      <c r="C92" s="34">
        <v>35339</v>
      </c>
    </row>
    <row r="93" spans="1:3">
      <c r="A93" s="38" t="s">
        <v>743</v>
      </c>
      <c r="B93" s="36">
        <v>960</v>
      </c>
      <c r="C93" s="34">
        <v>35339</v>
      </c>
    </row>
    <row r="94" spans="1:3">
      <c r="A94" s="35" t="s">
        <v>744</v>
      </c>
      <c r="B94" s="36">
        <v>201.5</v>
      </c>
      <c r="C94" s="34">
        <v>35339</v>
      </c>
    </row>
    <row r="95" spans="1:3">
      <c r="A95" s="38" t="s">
        <v>745</v>
      </c>
      <c r="B95" s="36">
        <v>0</v>
      </c>
      <c r="C95" s="34">
        <v>35339</v>
      </c>
    </row>
    <row r="96" spans="1:3">
      <c r="A96" s="38" t="s">
        <v>746</v>
      </c>
      <c r="B96" s="36">
        <v>2043.21</v>
      </c>
      <c r="C96" s="34">
        <v>35339</v>
      </c>
    </row>
    <row r="97" spans="1:3">
      <c r="A97" s="38" t="s">
        <v>752</v>
      </c>
      <c r="B97" s="36">
        <v>0</v>
      </c>
      <c r="C97" s="34">
        <v>35339</v>
      </c>
    </row>
    <row r="98" spans="1:3">
      <c r="A98" s="35" t="s">
        <v>748</v>
      </c>
      <c r="B98" s="36">
        <v>0</v>
      </c>
      <c r="C98" s="34">
        <v>35339</v>
      </c>
    </row>
    <row r="99" spans="1:3">
      <c r="A99" s="38" t="s">
        <v>747</v>
      </c>
      <c r="B99" s="36">
        <v>20102</v>
      </c>
      <c r="C99" s="34">
        <v>35339</v>
      </c>
    </row>
    <row r="100" spans="1:3">
      <c r="A100" s="38" t="s">
        <v>749</v>
      </c>
      <c r="B100" s="36">
        <v>351</v>
      </c>
      <c r="C100" s="34">
        <v>35339</v>
      </c>
    </row>
    <row r="101" spans="1:3">
      <c r="A101" s="35" t="s">
        <v>750</v>
      </c>
      <c r="B101" s="36">
        <v>0</v>
      </c>
      <c r="C101" s="34">
        <v>35339</v>
      </c>
    </row>
    <row r="102" spans="1:3">
      <c r="A102" s="35" t="s">
        <v>751</v>
      </c>
      <c r="B102" s="36">
        <v>-110</v>
      </c>
      <c r="C102" s="34">
        <v>35370</v>
      </c>
    </row>
    <row r="103" spans="1:3">
      <c r="A103" s="38" t="s">
        <v>743</v>
      </c>
      <c r="B103" s="36">
        <v>1150</v>
      </c>
      <c r="C103" s="34">
        <v>35370</v>
      </c>
    </row>
    <row r="104" spans="1:3">
      <c r="A104" s="35" t="s">
        <v>744</v>
      </c>
      <c r="B104" s="36">
        <v>223.08</v>
      </c>
      <c r="C104" s="34">
        <v>35370</v>
      </c>
    </row>
    <row r="105" spans="1:3">
      <c r="A105" s="38" t="s">
        <v>753</v>
      </c>
      <c r="B105" s="36">
        <v>83.17</v>
      </c>
      <c r="C105" s="34">
        <v>35370</v>
      </c>
    </row>
    <row r="106" spans="1:3">
      <c r="A106" s="38" t="s">
        <v>745</v>
      </c>
      <c r="B106" s="36">
        <v>142</v>
      </c>
      <c r="C106" s="34">
        <v>35370</v>
      </c>
    </row>
    <row r="107" spans="1:3">
      <c r="A107" s="38" t="s">
        <v>746</v>
      </c>
      <c r="B107" s="36">
        <v>839.33</v>
      </c>
      <c r="C107" s="34">
        <v>35370</v>
      </c>
    </row>
    <row r="108" spans="1:3">
      <c r="A108" s="38" t="s">
        <v>754</v>
      </c>
      <c r="B108" s="36">
        <v>432.81</v>
      </c>
      <c r="C108" s="34">
        <v>35370</v>
      </c>
    </row>
    <row r="109" spans="1:3">
      <c r="A109" s="38" t="s">
        <v>752</v>
      </c>
      <c r="B109" s="36">
        <v>0</v>
      </c>
      <c r="C109" s="34">
        <v>35370</v>
      </c>
    </row>
    <row r="110" spans="1:3">
      <c r="A110" s="35" t="s">
        <v>748</v>
      </c>
      <c r="B110" s="36">
        <v>0</v>
      </c>
      <c r="C110" s="34">
        <v>35370</v>
      </c>
    </row>
    <row r="111" spans="1:3">
      <c r="A111" s="38" t="s">
        <v>747</v>
      </c>
      <c r="B111" s="36">
        <v>39368.43477945216</v>
      </c>
      <c r="C111" s="34">
        <v>35370</v>
      </c>
    </row>
    <row r="112" spans="1:3">
      <c r="A112" s="38" t="s">
        <v>749</v>
      </c>
      <c r="B112" s="36">
        <v>613</v>
      </c>
      <c r="C112" s="34">
        <v>35370</v>
      </c>
    </row>
    <row r="113" spans="1:4">
      <c r="A113" s="35" t="s">
        <v>751</v>
      </c>
      <c r="B113" s="36">
        <v>0</v>
      </c>
      <c r="C113" s="34">
        <v>35400</v>
      </c>
    </row>
    <row r="114" spans="1:4">
      <c r="A114" s="38" t="s">
        <v>743</v>
      </c>
      <c r="B114" s="36">
        <v>4.8</v>
      </c>
      <c r="C114" s="34">
        <v>35400</v>
      </c>
    </row>
    <row r="115" spans="1:4">
      <c r="A115" s="35" t="s">
        <v>744</v>
      </c>
      <c r="B115" s="36">
        <v>120</v>
      </c>
      <c r="C115" s="34">
        <v>35400</v>
      </c>
    </row>
    <row r="116" spans="1:4">
      <c r="A116" s="38" t="s">
        <v>753</v>
      </c>
      <c r="B116" s="36">
        <v>62</v>
      </c>
      <c r="C116" s="34">
        <v>35400</v>
      </c>
    </row>
    <row r="117" spans="1:4">
      <c r="A117" s="38" t="s">
        <v>745</v>
      </c>
      <c r="B117" s="36">
        <v>142</v>
      </c>
      <c r="C117" s="34">
        <v>35400</v>
      </c>
    </row>
    <row r="118" spans="1:4">
      <c r="A118" s="38" t="s">
        <v>746</v>
      </c>
      <c r="B118" s="36">
        <f>1245+398</f>
        <v>1643</v>
      </c>
      <c r="C118" s="34">
        <v>35400</v>
      </c>
    </row>
    <row r="119" spans="1:4">
      <c r="A119" s="38" t="s">
        <v>754</v>
      </c>
      <c r="B119" s="36">
        <f>59.06+366.69+10.65+16.89</f>
        <v>453.28999999999996</v>
      </c>
      <c r="C119" s="34">
        <v>35400</v>
      </c>
    </row>
    <row r="120" spans="1:4">
      <c r="A120" s="38" t="s">
        <v>752</v>
      </c>
      <c r="B120" s="36">
        <v>0</v>
      </c>
      <c r="C120" s="34">
        <v>35400</v>
      </c>
    </row>
    <row r="121" spans="1:4">
      <c r="A121" s="35" t="s">
        <v>748</v>
      </c>
      <c r="B121" s="36">
        <v>60</v>
      </c>
      <c r="C121" s="34">
        <v>35400</v>
      </c>
    </row>
    <row r="122" spans="1:4">
      <c r="A122" s="38" t="s">
        <v>747</v>
      </c>
      <c r="B122" s="36">
        <v>27824</v>
      </c>
      <c r="C122" s="34">
        <v>35400</v>
      </c>
      <c r="D122" s="21">
        <f>SUBTOTAL(9,B17:B122)</f>
        <v>312880.13964713691</v>
      </c>
    </row>
    <row r="123" spans="1:4">
      <c r="A123" s="38" t="s">
        <v>749</v>
      </c>
      <c r="B123" s="36">
        <f>80+90+50+130+135+30+50+63+70+200+50</f>
        <v>948</v>
      </c>
      <c r="C123" s="34">
        <v>35400</v>
      </c>
    </row>
    <row r="124" spans="1:4">
      <c r="A124" s="35" t="s">
        <v>751</v>
      </c>
      <c r="B124" s="36">
        <v>0</v>
      </c>
      <c r="C124" s="34">
        <v>35431</v>
      </c>
    </row>
    <row r="125" spans="1:4">
      <c r="A125" s="38" t="s">
        <v>743</v>
      </c>
      <c r="B125" s="36">
        <v>0</v>
      </c>
      <c r="C125" s="34">
        <v>35431</v>
      </c>
    </row>
    <row r="126" spans="1:4">
      <c r="A126" s="35" t="s">
        <v>744</v>
      </c>
      <c r="B126" s="36">
        <f>83+120+82</f>
        <v>285</v>
      </c>
      <c r="C126" s="34">
        <v>35431</v>
      </c>
    </row>
    <row r="127" spans="1:4">
      <c r="A127" s="38" t="s">
        <v>753</v>
      </c>
      <c r="B127" s="36">
        <f>500+22.81+4.72+74.34</f>
        <v>601.87</v>
      </c>
      <c r="C127" s="34">
        <v>35431</v>
      </c>
    </row>
    <row r="128" spans="1:4">
      <c r="A128" s="38" t="s">
        <v>745</v>
      </c>
      <c r="B128" s="36">
        <v>0</v>
      </c>
      <c r="C128" s="34">
        <v>35431</v>
      </c>
    </row>
    <row r="129" spans="1:3">
      <c r="A129" s="38" t="s">
        <v>746</v>
      </c>
      <c r="B129" s="36">
        <v>838.83</v>
      </c>
      <c r="C129" s="34">
        <v>35431</v>
      </c>
    </row>
    <row r="130" spans="1:3">
      <c r="A130" s="38" t="s">
        <v>754</v>
      </c>
      <c r="B130" s="36">
        <f>31.87+7.89+118.16+61.25+390.77+37.81+23.4</f>
        <v>671.15</v>
      </c>
      <c r="C130" s="34">
        <v>35431</v>
      </c>
    </row>
    <row r="131" spans="1:3">
      <c r="A131" s="38" t="s">
        <v>752</v>
      </c>
      <c r="B131" s="36">
        <v>0</v>
      </c>
      <c r="C131" s="34">
        <v>35431</v>
      </c>
    </row>
    <row r="132" spans="1:3">
      <c r="A132" s="35" t="s">
        <v>748</v>
      </c>
      <c r="B132" s="36">
        <f>12.95+60+6.42+51.45</f>
        <v>130.82</v>
      </c>
      <c r="C132" s="34">
        <v>35431</v>
      </c>
    </row>
    <row r="133" spans="1:3">
      <c r="A133" s="38" t="s">
        <v>747</v>
      </c>
      <c r="B133" s="36">
        <f>-363+21986</f>
        <v>21623</v>
      </c>
      <c r="C133" s="34">
        <v>35431</v>
      </c>
    </row>
    <row r="134" spans="1:3">
      <c r="A134" s="38" t="s">
        <v>749</v>
      </c>
      <c r="B134" s="36">
        <f>50+50+30+30+150+60+30+35+100+80+50+20+60+150+30</f>
        <v>925</v>
      </c>
      <c r="C134" s="34">
        <v>35431</v>
      </c>
    </row>
    <row r="135" spans="1:3">
      <c r="A135" s="38" t="s">
        <v>743</v>
      </c>
      <c r="B135" s="36">
        <v>0</v>
      </c>
      <c r="C135" s="34">
        <v>35462</v>
      </c>
    </row>
    <row r="136" spans="1:3">
      <c r="A136" s="38" t="s">
        <v>748</v>
      </c>
      <c r="B136" s="36">
        <v>0</v>
      </c>
      <c r="C136" s="34">
        <v>35462</v>
      </c>
    </row>
    <row r="137" spans="1:3">
      <c r="A137" s="38" t="s">
        <v>745</v>
      </c>
      <c r="B137" s="36">
        <v>0</v>
      </c>
      <c r="C137" s="34">
        <v>35462</v>
      </c>
    </row>
    <row r="138" spans="1:3">
      <c r="A138" s="38" t="s">
        <v>751</v>
      </c>
      <c r="B138" s="36">
        <v>-380</v>
      </c>
      <c r="C138" s="34">
        <v>35462</v>
      </c>
    </row>
    <row r="139" spans="1:3">
      <c r="A139" s="38" t="s">
        <v>746</v>
      </c>
      <c r="B139" s="36">
        <v>441.47</v>
      </c>
      <c r="C139" s="34">
        <v>35462</v>
      </c>
    </row>
    <row r="140" spans="1:3">
      <c r="A140" s="38" t="s">
        <v>744</v>
      </c>
      <c r="B140" s="36">
        <v>113.26</v>
      </c>
      <c r="C140" s="34">
        <v>35462</v>
      </c>
    </row>
    <row r="141" spans="1:3">
      <c r="A141" s="38" t="s">
        <v>752</v>
      </c>
      <c r="B141" s="36">
        <v>400</v>
      </c>
      <c r="C141" s="34">
        <v>35462</v>
      </c>
    </row>
    <row r="142" spans="1:3">
      <c r="A142" s="38" t="s">
        <v>753</v>
      </c>
      <c r="B142" s="36">
        <v>440.93</v>
      </c>
      <c r="C142" s="34">
        <v>35462</v>
      </c>
    </row>
    <row r="143" spans="1:3">
      <c r="A143" s="38" t="s">
        <v>754</v>
      </c>
      <c r="B143" s="36">
        <v>495.87</v>
      </c>
      <c r="C143" s="34">
        <v>35462</v>
      </c>
    </row>
    <row r="144" spans="1:3">
      <c r="A144" s="38" t="s">
        <v>749</v>
      </c>
      <c r="B144" s="36">
        <v>1037</v>
      </c>
      <c r="C144" s="34">
        <v>35462</v>
      </c>
    </row>
    <row r="145" spans="1:3">
      <c r="A145" s="38" t="s">
        <v>747</v>
      </c>
      <c r="B145" s="36">
        <v>74028.728694107383</v>
      </c>
      <c r="C145" s="34">
        <v>35462</v>
      </c>
    </row>
    <row r="146" spans="1:3">
      <c r="A146" s="38" t="s">
        <v>743</v>
      </c>
      <c r="B146" s="36">
        <v>614</v>
      </c>
      <c r="C146" s="34">
        <v>35490</v>
      </c>
    </row>
    <row r="147" spans="1:3">
      <c r="A147" s="38" t="s">
        <v>748</v>
      </c>
      <c r="B147" s="36">
        <v>0</v>
      </c>
      <c r="C147" s="34">
        <v>35490</v>
      </c>
    </row>
    <row r="148" spans="1:3">
      <c r="A148" s="38" t="s">
        <v>745</v>
      </c>
      <c r="B148" s="36">
        <v>142</v>
      </c>
      <c r="C148" s="34">
        <v>35490</v>
      </c>
    </row>
    <row r="149" spans="1:3">
      <c r="A149" s="38" t="s">
        <v>751</v>
      </c>
      <c r="B149" s="36">
        <v>0</v>
      </c>
      <c r="C149" s="34">
        <v>35490</v>
      </c>
    </row>
    <row r="150" spans="1:3">
      <c r="A150" s="38" t="s">
        <v>746</v>
      </c>
      <c r="B150" s="36">
        <v>1237.52</v>
      </c>
      <c r="C150" s="34">
        <v>35490</v>
      </c>
    </row>
    <row r="151" spans="1:3">
      <c r="A151" s="38" t="s">
        <v>744</v>
      </c>
      <c r="B151" s="36">
        <v>113</v>
      </c>
      <c r="C151" s="34">
        <v>35490</v>
      </c>
    </row>
    <row r="152" spans="1:3">
      <c r="A152" s="38" t="s">
        <v>752</v>
      </c>
      <c r="B152" s="36">
        <v>0</v>
      </c>
      <c r="C152" s="34">
        <v>35490</v>
      </c>
    </row>
    <row r="153" spans="1:3">
      <c r="A153" s="38" t="s">
        <v>753</v>
      </c>
      <c r="B153" s="36">
        <v>0</v>
      </c>
      <c r="C153" s="34">
        <v>35490</v>
      </c>
    </row>
    <row r="154" spans="1:3">
      <c r="A154" s="38" t="s">
        <v>754</v>
      </c>
      <c r="B154" s="36">
        <v>518.95000000000005</v>
      </c>
      <c r="C154" s="34">
        <v>35490</v>
      </c>
    </row>
    <row r="155" spans="1:3">
      <c r="A155" s="38" t="s">
        <v>749</v>
      </c>
      <c r="B155" s="36">
        <v>670</v>
      </c>
      <c r="C155" s="34">
        <v>35490</v>
      </c>
    </row>
    <row r="156" spans="1:3">
      <c r="A156" s="38" t="s">
        <v>747</v>
      </c>
      <c r="B156" s="36">
        <v>18939.902757534292</v>
      </c>
      <c r="C156" s="34">
        <v>35490</v>
      </c>
    </row>
    <row r="157" spans="1:3">
      <c r="A157" s="38" t="s">
        <v>743</v>
      </c>
      <c r="B157" s="36">
        <v>0</v>
      </c>
      <c r="C157" s="34">
        <v>35521</v>
      </c>
    </row>
    <row r="158" spans="1:3">
      <c r="A158" s="38" t="s">
        <v>748</v>
      </c>
      <c r="B158" s="36">
        <v>0</v>
      </c>
      <c r="C158" s="34">
        <v>35521</v>
      </c>
    </row>
    <row r="159" spans="1:3">
      <c r="A159" s="38" t="s">
        <v>745</v>
      </c>
      <c r="B159" s="36">
        <v>0</v>
      </c>
      <c r="C159" s="34">
        <v>35521</v>
      </c>
    </row>
    <row r="160" spans="1:3">
      <c r="A160" s="38" t="s">
        <v>751</v>
      </c>
      <c r="B160" s="36">
        <v>380</v>
      </c>
      <c r="C160" s="34">
        <v>35521</v>
      </c>
    </row>
    <row r="161" spans="1:3">
      <c r="A161" s="38" t="s">
        <v>746</v>
      </c>
      <c r="B161" s="36">
        <f>620.71+991.32+3.37+1003.78+197.79+200.47+12*173.27+12*170.96</f>
        <v>7148.2000000000007</v>
      </c>
      <c r="C161" s="34">
        <v>35521</v>
      </c>
    </row>
    <row r="162" spans="1:3">
      <c r="A162" s="38" t="s">
        <v>744</v>
      </c>
      <c r="B162" s="36">
        <f>120+120+120</f>
        <v>360</v>
      </c>
      <c r="C162" s="34">
        <v>35521</v>
      </c>
    </row>
    <row r="163" spans="1:3">
      <c r="A163" s="38" t="s">
        <v>752</v>
      </c>
      <c r="B163" s="36">
        <v>0</v>
      </c>
      <c r="C163" s="34">
        <v>35521</v>
      </c>
    </row>
    <row r="164" spans="1:3">
      <c r="A164" s="38" t="s">
        <v>753</v>
      </c>
      <c r="B164" s="36">
        <v>0</v>
      </c>
      <c r="C164" s="34">
        <v>35521</v>
      </c>
    </row>
    <row r="165" spans="1:3">
      <c r="A165" s="38" t="s">
        <v>754</v>
      </c>
      <c r="B165" s="36">
        <f>305.75+57.19+16.89+44.35</f>
        <v>424.18</v>
      </c>
      <c r="C165" s="34">
        <v>35521</v>
      </c>
    </row>
    <row r="166" spans="1:3">
      <c r="A166" s="38" t="s">
        <v>749</v>
      </c>
      <c r="B166" s="36">
        <f>25+95+70+130+40+25+100+30</f>
        <v>515</v>
      </c>
      <c r="C166" s="34">
        <v>35521</v>
      </c>
    </row>
    <row r="167" spans="1:3">
      <c r="A167" s="38" t="s">
        <v>747</v>
      </c>
      <c r="B167" s="36">
        <v>21605.586397397099</v>
      </c>
      <c r="C167" s="34">
        <v>35521</v>
      </c>
    </row>
    <row r="168" spans="1:3">
      <c r="A168" s="38" t="s">
        <v>743</v>
      </c>
      <c r="B168" s="36">
        <v>0</v>
      </c>
      <c r="C168" s="34">
        <v>35551</v>
      </c>
    </row>
    <row r="169" spans="1:3">
      <c r="A169" s="38" t="s">
        <v>748</v>
      </c>
      <c r="B169" s="36">
        <f>60+12.75+6.42+15.67+60</f>
        <v>154.84</v>
      </c>
      <c r="C169" s="34">
        <v>35551</v>
      </c>
    </row>
    <row r="170" spans="1:3">
      <c r="A170" s="38" t="s">
        <v>745</v>
      </c>
      <c r="B170" s="36">
        <v>142</v>
      </c>
      <c r="C170" s="34">
        <v>35551</v>
      </c>
    </row>
    <row r="171" spans="1:3">
      <c r="A171" s="38" t="s">
        <v>751</v>
      </c>
      <c r="B171" s="36">
        <v>0</v>
      </c>
      <c r="C171" s="34">
        <v>35551</v>
      </c>
    </row>
    <row r="172" spans="1:3">
      <c r="A172" s="38" t="s">
        <v>746</v>
      </c>
      <c r="B172" s="36">
        <v>0</v>
      </c>
      <c r="C172" s="34">
        <v>35551</v>
      </c>
    </row>
    <row r="173" spans="1:3">
      <c r="A173" s="38" t="s">
        <v>744</v>
      </c>
      <c r="B173" s="36">
        <v>0</v>
      </c>
      <c r="C173" s="34">
        <v>35551</v>
      </c>
    </row>
    <row r="174" spans="1:3">
      <c r="A174" s="38" t="s">
        <v>752</v>
      </c>
      <c r="B174" s="36">
        <v>0</v>
      </c>
      <c r="C174" s="34">
        <v>35551</v>
      </c>
    </row>
    <row r="175" spans="1:3">
      <c r="A175" s="38" t="s">
        <v>753</v>
      </c>
      <c r="B175" s="36">
        <v>0</v>
      </c>
      <c r="C175" s="34">
        <v>35551</v>
      </c>
    </row>
    <row r="176" spans="1:3">
      <c r="A176" s="38" t="s">
        <v>754</v>
      </c>
      <c r="B176" s="36">
        <f>317.98+53.71+118.16+57.5+1100</f>
        <v>1647.35</v>
      </c>
      <c r="C176" s="34">
        <v>35551</v>
      </c>
    </row>
    <row r="177" spans="1:3">
      <c r="A177" s="38" t="s">
        <v>749</v>
      </c>
      <c r="B177" s="36">
        <f>50+100+80</f>
        <v>230</v>
      </c>
      <c r="C177" s="34">
        <v>35551</v>
      </c>
    </row>
    <row r="178" spans="1:3">
      <c r="A178" s="38" t="s">
        <v>747</v>
      </c>
      <c r="B178" s="36">
        <v>34427</v>
      </c>
      <c r="C178" s="34">
        <v>35551</v>
      </c>
    </row>
    <row r="179" spans="1:3">
      <c r="A179" s="38" t="s">
        <v>743</v>
      </c>
      <c r="B179" s="36">
        <v>0</v>
      </c>
      <c r="C179" s="34">
        <v>35582</v>
      </c>
    </row>
    <row r="180" spans="1:3">
      <c r="A180" s="38" t="s">
        <v>748</v>
      </c>
      <c r="B180" s="36">
        <v>0</v>
      </c>
      <c r="C180" s="34">
        <v>35582</v>
      </c>
    </row>
    <row r="181" spans="1:3">
      <c r="A181" s="38" t="s">
        <v>745</v>
      </c>
      <c r="B181" s="36">
        <v>0</v>
      </c>
      <c r="C181" s="34">
        <v>35582</v>
      </c>
    </row>
    <row r="182" spans="1:3">
      <c r="A182" s="38" t="s">
        <v>751</v>
      </c>
      <c r="B182" s="36">
        <v>0</v>
      </c>
      <c r="C182" s="34">
        <v>35582</v>
      </c>
    </row>
    <row r="183" spans="1:3">
      <c r="A183" s="38" t="s">
        <v>746</v>
      </c>
      <c r="B183" s="36">
        <v>1750.52</v>
      </c>
      <c r="C183" s="34">
        <v>35582</v>
      </c>
    </row>
    <row r="184" spans="1:3">
      <c r="A184" s="38" t="s">
        <v>744</v>
      </c>
      <c r="B184" s="36">
        <v>113.23</v>
      </c>
      <c r="C184" s="34">
        <v>35582</v>
      </c>
    </row>
    <row r="185" spans="1:3">
      <c r="A185" s="38" t="s">
        <v>752</v>
      </c>
      <c r="B185" s="36">
        <v>0</v>
      </c>
      <c r="C185" s="34">
        <v>35582</v>
      </c>
    </row>
    <row r="186" spans="1:3">
      <c r="A186" s="38" t="s">
        <v>754</v>
      </c>
      <c r="B186" s="36">
        <v>3514.42</v>
      </c>
      <c r="C186" s="34">
        <v>35582</v>
      </c>
    </row>
    <row r="187" spans="1:3">
      <c r="A187" s="38" t="s">
        <v>749</v>
      </c>
      <c r="B187" s="36">
        <v>1660</v>
      </c>
      <c r="C187" s="34">
        <v>35582</v>
      </c>
    </row>
    <row r="188" spans="1:3">
      <c r="A188" s="38" t="s">
        <v>747</v>
      </c>
      <c r="B188" s="36">
        <f>-600+30818.3157680639</f>
        <v>30218.315768063901</v>
      </c>
      <c r="C188" s="34">
        <v>35582</v>
      </c>
    </row>
    <row r="189" spans="1:3">
      <c r="A189" s="38" t="s">
        <v>743</v>
      </c>
      <c r="B189" s="36">
        <v>0</v>
      </c>
      <c r="C189" s="34">
        <v>35612</v>
      </c>
    </row>
    <row r="190" spans="1:3">
      <c r="A190" s="38" t="s">
        <v>748</v>
      </c>
      <c r="B190" s="36">
        <v>96.32</v>
      </c>
      <c r="C190" s="34">
        <v>35612</v>
      </c>
    </row>
    <row r="191" spans="1:3">
      <c r="A191" s="38" t="s">
        <v>745</v>
      </c>
      <c r="B191" s="36">
        <v>142</v>
      </c>
      <c r="C191" s="34">
        <v>35612</v>
      </c>
    </row>
    <row r="192" spans="1:3">
      <c r="A192" s="38" t="s">
        <v>751</v>
      </c>
      <c r="B192" s="36">
        <v>0</v>
      </c>
      <c r="C192" s="34">
        <v>35612</v>
      </c>
    </row>
    <row r="193" spans="1:3">
      <c r="A193" s="38" t="s">
        <v>746</v>
      </c>
      <c r="B193" s="36">
        <v>0</v>
      </c>
      <c r="C193" s="34">
        <v>35612</v>
      </c>
    </row>
    <row r="194" spans="1:3">
      <c r="A194" s="38" t="s">
        <v>744</v>
      </c>
      <c r="B194" s="36">
        <v>233</v>
      </c>
      <c r="C194" s="34">
        <v>35612</v>
      </c>
    </row>
    <row r="195" spans="1:3">
      <c r="A195" s="38" t="s">
        <v>752</v>
      </c>
      <c r="B195" s="36">
        <v>0</v>
      </c>
      <c r="C195" s="34">
        <v>35612</v>
      </c>
    </row>
    <row r="196" spans="1:3">
      <c r="A196" s="38" t="s">
        <v>754</v>
      </c>
      <c r="B196" s="36">
        <v>532.49</v>
      </c>
      <c r="C196" s="34">
        <v>35612</v>
      </c>
    </row>
    <row r="197" spans="1:3">
      <c r="A197" s="38" t="s">
        <v>749</v>
      </c>
      <c r="B197" s="36">
        <v>2690</v>
      </c>
      <c r="C197" s="34">
        <v>35612</v>
      </c>
    </row>
    <row r="198" spans="1:3">
      <c r="A198" s="38" t="s">
        <v>747</v>
      </c>
      <c r="B198" s="36">
        <v>27653</v>
      </c>
      <c r="C198" s="34">
        <v>35612</v>
      </c>
    </row>
    <row r="199" spans="1:3">
      <c r="A199" s="38" t="s">
        <v>743</v>
      </c>
      <c r="B199" s="36">
        <v>0</v>
      </c>
      <c r="C199" s="34">
        <v>35643</v>
      </c>
    </row>
    <row r="200" spans="1:3">
      <c r="A200" s="38" t="s">
        <v>748</v>
      </c>
      <c r="B200" s="36">
        <v>302.27999999999997</v>
      </c>
      <c r="C200" s="34">
        <v>35643</v>
      </c>
    </row>
    <row r="201" spans="1:3">
      <c r="A201" s="38" t="s">
        <v>745</v>
      </c>
      <c r="B201" s="36">
        <v>0</v>
      </c>
      <c r="C201" s="34">
        <v>35643</v>
      </c>
    </row>
    <row r="202" spans="1:3">
      <c r="A202" s="38" t="s">
        <v>751</v>
      </c>
      <c r="B202" s="36">
        <v>0</v>
      </c>
      <c r="C202" s="34">
        <v>35643</v>
      </c>
    </row>
    <row r="203" spans="1:3">
      <c r="A203" s="38" t="s">
        <v>746</v>
      </c>
      <c r="B203" s="36">
        <v>1750.32</v>
      </c>
      <c r="C203" s="34">
        <v>35643</v>
      </c>
    </row>
    <row r="204" spans="1:3">
      <c r="A204" s="38" t="s">
        <v>744</v>
      </c>
      <c r="B204" s="36">
        <v>128.08000000000001</v>
      </c>
      <c r="C204" s="34">
        <v>35643</v>
      </c>
    </row>
    <row r="205" spans="1:3">
      <c r="A205" s="38" t="s">
        <v>752</v>
      </c>
      <c r="B205" s="36">
        <v>0</v>
      </c>
      <c r="C205" s="34">
        <v>35643</v>
      </c>
    </row>
    <row r="206" spans="1:3">
      <c r="A206" s="38" t="s">
        <v>754</v>
      </c>
      <c r="B206" s="36">
        <v>575.36</v>
      </c>
      <c r="C206" s="34">
        <v>35643</v>
      </c>
    </row>
    <row r="207" spans="1:3">
      <c r="A207" s="38" t="s">
        <v>749</v>
      </c>
      <c r="B207" s="36">
        <v>620</v>
      </c>
      <c r="C207" s="34">
        <v>35643</v>
      </c>
    </row>
    <row r="208" spans="1:3">
      <c r="A208" s="38" t="s">
        <v>747</v>
      </c>
      <c r="B208" s="36">
        <v>25611.853134077508</v>
      </c>
      <c r="C208" s="34">
        <v>35643</v>
      </c>
    </row>
    <row r="209" spans="1:3">
      <c r="A209" s="38" t="s">
        <v>748</v>
      </c>
      <c r="B209" s="36">
        <v>90.43</v>
      </c>
      <c r="C209" s="34">
        <v>35674</v>
      </c>
    </row>
    <row r="210" spans="1:3">
      <c r="A210" s="38" t="s">
        <v>745</v>
      </c>
      <c r="B210" s="36">
        <v>0</v>
      </c>
      <c r="C210" s="34">
        <v>35674</v>
      </c>
    </row>
    <row r="211" spans="1:3">
      <c r="A211" s="38" t="s">
        <v>751</v>
      </c>
      <c r="B211" s="36">
        <v>0</v>
      </c>
      <c r="C211" s="34">
        <v>35674</v>
      </c>
    </row>
    <row r="212" spans="1:3">
      <c r="A212" s="38" t="s">
        <v>746</v>
      </c>
      <c r="B212" s="36">
        <v>0</v>
      </c>
      <c r="C212" s="34">
        <v>35674</v>
      </c>
    </row>
    <row r="213" spans="1:3">
      <c r="A213" s="38" t="s">
        <v>744</v>
      </c>
      <c r="B213" s="36">
        <v>128.08000000000001</v>
      </c>
      <c r="C213" s="34">
        <v>35674</v>
      </c>
    </row>
    <row r="214" spans="1:3">
      <c r="A214" s="38" t="s">
        <v>752</v>
      </c>
      <c r="B214" s="36">
        <v>0</v>
      </c>
      <c r="C214" s="34">
        <v>35674</v>
      </c>
    </row>
    <row r="215" spans="1:3">
      <c r="A215" s="38" t="s">
        <v>754</v>
      </c>
      <c r="B215" s="36">
        <v>483.2</v>
      </c>
      <c r="C215" s="34">
        <v>35674</v>
      </c>
    </row>
    <row r="216" spans="1:3">
      <c r="A216" s="38" t="s">
        <v>749</v>
      </c>
      <c r="B216" s="36">
        <v>580</v>
      </c>
      <c r="C216" s="34">
        <v>35674</v>
      </c>
    </row>
    <row r="217" spans="1:3">
      <c r="A217" s="38" t="s">
        <v>747</v>
      </c>
      <c r="B217" s="36">
        <v>15386.099226178601</v>
      </c>
      <c r="C217" s="34">
        <v>35674</v>
      </c>
    </row>
    <row r="218" spans="1:3">
      <c r="A218" s="38" t="s">
        <v>743</v>
      </c>
      <c r="B218" s="36">
        <v>0</v>
      </c>
      <c r="C218" s="34">
        <v>35704</v>
      </c>
    </row>
    <row r="219" spans="1:3">
      <c r="A219" s="38" t="s">
        <v>748</v>
      </c>
      <c r="B219" s="36">
        <v>0</v>
      </c>
      <c r="C219" s="34">
        <v>35704</v>
      </c>
    </row>
    <row r="220" spans="1:3">
      <c r="A220" s="38" t="s">
        <v>745</v>
      </c>
      <c r="B220" s="36">
        <v>142</v>
      </c>
      <c r="C220" s="34">
        <v>35704</v>
      </c>
    </row>
    <row r="221" spans="1:3">
      <c r="A221" s="38" t="s">
        <v>751</v>
      </c>
      <c r="B221" s="36">
        <v>0</v>
      </c>
      <c r="C221" s="34">
        <v>35704</v>
      </c>
    </row>
    <row r="222" spans="1:3">
      <c r="A222" s="38" t="s">
        <v>746</v>
      </c>
      <c r="B222" s="36">
        <f>599.77+243.46+452.47+409.23+45.39+242.83-62.66</f>
        <v>1930.49</v>
      </c>
      <c r="C222" s="34">
        <v>35704</v>
      </c>
    </row>
    <row r="223" spans="1:3">
      <c r="A223" s="38" t="s">
        <v>744</v>
      </c>
      <c r="B223" s="36">
        <f>76.28+51.8</f>
        <v>128.07999999999998</v>
      </c>
      <c r="C223" s="34">
        <v>35704</v>
      </c>
    </row>
    <row r="224" spans="1:3">
      <c r="A224" s="38" t="s">
        <v>752</v>
      </c>
      <c r="B224" s="36">
        <v>600</v>
      </c>
      <c r="C224" s="34">
        <v>35704</v>
      </c>
    </row>
    <row r="225" spans="1:3">
      <c r="A225" s="38" t="s">
        <v>754</v>
      </c>
      <c r="B225" s="36">
        <f>47.11+50.41+16.81+34.5+49.11+359.29</f>
        <v>557.23</v>
      </c>
      <c r="C225" s="34">
        <v>35704</v>
      </c>
    </row>
    <row r="226" spans="1:3">
      <c r="A226" s="38" t="s">
        <v>749</v>
      </c>
      <c r="B226" s="36">
        <f>130+100+109+130+50+50</f>
        <v>569</v>
      </c>
      <c r="C226" s="34">
        <v>35704</v>
      </c>
    </row>
    <row r="227" spans="1:3">
      <c r="A227" s="38" t="s">
        <v>747</v>
      </c>
      <c r="B227" s="36">
        <v>42194.380484109279</v>
      </c>
      <c r="C227" s="34">
        <v>35704</v>
      </c>
    </row>
    <row r="228" spans="1:3">
      <c r="A228" s="38" t="s">
        <v>743</v>
      </c>
      <c r="B228" s="36">
        <v>0</v>
      </c>
      <c r="C228" s="34">
        <v>35735</v>
      </c>
    </row>
    <row r="229" spans="1:3">
      <c r="A229" s="38" t="s">
        <v>748</v>
      </c>
      <c r="B229" s="36">
        <v>0</v>
      </c>
      <c r="C229" s="34">
        <v>35735</v>
      </c>
    </row>
    <row r="230" spans="1:3">
      <c r="A230" s="38" t="s">
        <v>745</v>
      </c>
      <c r="B230" s="36">
        <v>0</v>
      </c>
      <c r="C230" s="34">
        <v>35735</v>
      </c>
    </row>
    <row r="231" spans="1:3">
      <c r="A231" s="38" t="s">
        <v>751</v>
      </c>
      <c r="B231" s="36">
        <v>0</v>
      </c>
      <c r="C231" s="34">
        <v>35735</v>
      </c>
    </row>
    <row r="232" spans="1:3">
      <c r="A232" s="38" t="s">
        <v>746</v>
      </c>
      <c r="B232" s="36">
        <v>0</v>
      </c>
      <c r="C232" s="34">
        <v>35735</v>
      </c>
    </row>
    <row r="233" spans="1:3">
      <c r="A233" s="38" t="s">
        <v>744</v>
      </c>
      <c r="B233" s="36">
        <v>0</v>
      </c>
      <c r="C233" s="34">
        <v>35735</v>
      </c>
    </row>
    <row r="234" spans="1:3">
      <c r="A234" s="38" t="s">
        <v>752</v>
      </c>
      <c r="B234" s="36">
        <v>0</v>
      </c>
      <c r="C234" s="34">
        <v>35735</v>
      </c>
    </row>
    <row r="235" spans="1:3">
      <c r="A235" s="38" t="s">
        <v>750</v>
      </c>
      <c r="B235" s="36">
        <v>73</v>
      </c>
      <c r="C235" s="34">
        <v>35735</v>
      </c>
    </row>
    <row r="236" spans="1:3">
      <c r="A236" s="38" t="s">
        <v>754</v>
      </c>
      <c r="B236" s="36">
        <f>46.4+294.06+493+4.29+37.89+9.51+34.5+91.71+150+1500</f>
        <v>2661.36</v>
      </c>
      <c r="C236" s="34">
        <v>35735</v>
      </c>
    </row>
    <row r="237" spans="1:3">
      <c r="A237" s="38" t="s">
        <v>749</v>
      </c>
      <c r="B237" s="36">
        <f>100+50+30+130+30+100+180+30</f>
        <v>650</v>
      </c>
      <c r="C237" s="34">
        <v>35735</v>
      </c>
    </row>
    <row r="238" spans="1:3">
      <c r="A238" s="38" t="s">
        <v>747</v>
      </c>
      <c r="B238" s="36">
        <v>24771</v>
      </c>
      <c r="C238" s="34">
        <v>35735</v>
      </c>
    </row>
    <row r="239" spans="1:3">
      <c r="A239" s="38" t="s">
        <v>743</v>
      </c>
      <c r="B239" s="36">
        <v>0</v>
      </c>
      <c r="C239" s="34">
        <v>35765</v>
      </c>
    </row>
    <row r="240" spans="1:3">
      <c r="A240" s="38" t="s">
        <v>748</v>
      </c>
      <c r="B240" s="36">
        <v>0</v>
      </c>
      <c r="C240" s="34">
        <v>35765</v>
      </c>
    </row>
    <row r="241" spans="1:4">
      <c r="A241" s="38" t="s">
        <v>745</v>
      </c>
      <c r="B241" s="36">
        <v>142</v>
      </c>
      <c r="C241" s="34">
        <v>35765</v>
      </c>
    </row>
    <row r="242" spans="1:4">
      <c r="A242" s="38" t="s">
        <v>751</v>
      </c>
      <c r="B242" s="36">
        <v>0</v>
      </c>
      <c r="C242" s="34">
        <v>35765</v>
      </c>
    </row>
    <row r="243" spans="1:4">
      <c r="A243" s="38" t="s">
        <v>746</v>
      </c>
      <c r="B243" s="36">
        <f>452.47+409.23+45.39+242.83+599.77+243.46</f>
        <v>1993.15</v>
      </c>
      <c r="C243" s="34">
        <v>35765</v>
      </c>
    </row>
    <row r="244" spans="1:4">
      <c r="A244" s="38" t="s">
        <v>744</v>
      </c>
      <c r="B244" s="36">
        <f>120.05+115.49</f>
        <v>235.54</v>
      </c>
      <c r="C244" s="34">
        <v>35765</v>
      </c>
    </row>
    <row r="245" spans="1:4">
      <c r="A245" s="38" t="s">
        <v>752</v>
      </c>
      <c r="B245" s="36">
        <v>0</v>
      </c>
      <c r="C245" s="34">
        <v>35765</v>
      </c>
    </row>
    <row r="246" spans="1:4">
      <c r="A246" s="38" t="s">
        <v>750</v>
      </c>
      <c r="B246" s="36">
        <v>0</v>
      </c>
      <c r="C246" s="34">
        <v>35765</v>
      </c>
    </row>
    <row r="247" spans="1:4">
      <c r="A247" s="38" t="s">
        <v>754</v>
      </c>
      <c r="B247" s="36">
        <f>313.33+60.69+34.5+17.01+46.87+108.86</f>
        <v>581.26</v>
      </c>
      <c r="C247" s="34">
        <v>35765</v>
      </c>
    </row>
    <row r="248" spans="1:4">
      <c r="A248" s="38" t="s">
        <v>749</v>
      </c>
      <c r="B248" s="36">
        <f>50+150+40+130+150+35+100+188+100+150+100+60</f>
        <v>1253</v>
      </c>
      <c r="C248" s="34">
        <v>35765</v>
      </c>
    </row>
    <row r="249" spans="1:4">
      <c r="A249" s="38" t="s">
        <v>747</v>
      </c>
      <c r="B249" s="36">
        <v>31990</v>
      </c>
      <c r="C249" s="34">
        <v>35765</v>
      </c>
      <c r="D249" s="21">
        <f>SUBTOTAL(9,B133:B249)</f>
        <v>413125.27646146808</v>
      </c>
    </row>
    <row r="250" spans="1:4">
      <c r="A250" s="38" t="s">
        <v>743</v>
      </c>
      <c r="B250" s="36">
        <v>0</v>
      </c>
      <c r="C250" s="34">
        <v>35796</v>
      </c>
    </row>
    <row r="251" spans="1:4">
      <c r="A251" s="38" t="s">
        <v>748</v>
      </c>
      <c r="B251" s="36">
        <v>0</v>
      </c>
      <c r="C251" s="34">
        <v>35796</v>
      </c>
    </row>
    <row r="252" spans="1:4">
      <c r="A252" s="38" t="s">
        <v>745</v>
      </c>
      <c r="B252" s="36">
        <v>0</v>
      </c>
      <c r="C252" s="34">
        <v>35796</v>
      </c>
    </row>
    <row r="253" spans="1:4">
      <c r="A253" s="38" t="s">
        <v>751</v>
      </c>
      <c r="B253" s="36">
        <v>0</v>
      </c>
      <c r="C253" s="34">
        <v>35796</v>
      </c>
    </row>
    <row r="254" spans="1:4">
      <c r="A254" s="38" t="s">
        <v>746</v>
      </c>
      <c r="B254" s="36">
        <v>0</v>
      </c>
      <c r="C254" s="34">
        <v>35796</v>
      </c>
    </row>
    <row r="255" spans="1:4">
      <c r="A255" s="38" t="s">
        <v>744</v>
      </c>
      <c r="B255" s="36">
        <v>158</v>
      </c>
      <c r="C255" s="34">
        <v>35796</v>
      </c>
    </row>
    <row r="256" spans="1:4">
      <c r="A256" s="38" t="s">
        <v>752</v>
      </c>
      <c r="B256" s="36">
        <v>0</v>
      </c>
      <c r="C256" s="34">
        <v>35796</v>
      </c>
    </row>
    <row r="257" spans="1:3">
      <c r="A257" s="38" t="s">
        <v>750</v>
      </c>
      <c r="B257" s="36">
        <v>0</v>
      </c>
      <c r="C257" s="34">
        <v>35796</v>
      </c>
    </row>
    <row r="258" spans="1:3">
      <c r="A258" s="38" t="s">
        <v>754</v>
      </c>
      <c r="B258" s="36">
        <v>1446.93</v>
      </c>
      <c r="C258" s="34">
        <v>35796</v>
      </c>
    </row>
    <row r="259" spans="1:3">
      <c r="A259" s="38" t="s">
        <v>749</v>
      </c>
      <c r="B259" s="36">
        <v>760</v>
      </c>
      <c r="C259" s="34">
        <v>35796</v>
      </c>
    </row>
    <row r="260" spans="1:3">
      <c r="A260" s="38" t="s">
        <v>747</v>
      </c>
      <c r="B260" s="36">
        <v>16433.253559780773</v>
      </c>
      <c r="C260" s="34">
        <v>35796</v>
      </c>
    </row>
    <row r="261" spans="1:3">
      <c r="A261" s="38" t="s">
        <v>743</v>
      </c>
      <c r="B261" s="36">
        <v>0</v>
      </c>
      <c r="C261" s="34">
        <v>35827</v>
      </c>
    </row>
    <row r="262" spans="1:3">
      <c r="A262" s="38" t="s">
        <v>748</v>
      </c>
      <c r="B262" s="36">
        <v>0</v>
      </c>
      <c r="C262" s="34">
        <v>35827</v>
      </c>
    </row>
    <row r="263" spans="1:3">
      <c r="A263" s="38" t="s">
        <v>745</v>
      </c>
      <c r="B263" s="36">
        <v>142</v>
      </c>
      <c r="C263" s="34">
        <v>35827</v>
      </c>
    </row>
    <row r="264" spans="1:3">
      <c r="A264" s="38" t="s">
        <v>751</v>
      </c>
      <c r="B264" s="36">
        <v>0</v>
      </c>
      <c r="C264" s="34">
        <v>35827</v>
      </c>
    </row>
    <row r="265" spans="1:3">
      <c r="A265" s="38" t="s">
        <v>746</v>
      </c>
      <c r="B265" s="36">
        <f>242.83+45.39+599.77+243.46+452.47+409.23</f>
        <v>1993.15</v>
      </c>
      <c r="C265" s="34">
        <v>35827</v>
      </c>
    </row>
    <row r="266" spans="1:3">
      <c r="A266" s="38" t="s">
        <v>744</v>
      </c>
      <c r="B266" s="36">
        <f>65+92</f>
        <v>157</v>
      </c>
      <c r="C266" s="34">
        <v>35827</v>
      </c>
    </row>
    <row r="267" spans="1:3">
      <c r="A267" s="38" t="s">
        <v>752</v>
      </c>
      <c r="B267" s="36">
        <v>0</v>
      </c>
      <c r="C267" s="34">
        <v>35827</v>
      </c>
    </row>
    <row r="268" spans="1:3">
      <c r="A268" s="38" t="s">
        <v>750</v>
      </c>
      <c r="B268" s="36">
        <v>91</v>
      </c>
      <c r="C268" s="34">
        <v>35827</v>
      </c>
    </row>
    <row r="269" spans="1:3">
      <c r="A269" s="38" t="s">
        <v>754</v>
      </c>
      <c r="B269" s="36">
        <f>311.16+56.54+138.15+34.54+43.1+16.56+36.35+45.95+1110+265</f>
        <v>2057.35</v>
      </c>
      <c r="C269" s="34">
        <v>35827</v>
      </c>
    </row>
    <row r="270" spans="1:3">
      <c r="A270" s="38" t="s">
        <v>749</v>
      </c>
      <c r="B270" s="36">
        <f>100+170+20+30+50+100+250+100+35+462</f>
        <v>1317</v>
      </c>
      <c r="C270" s="34">
        <v>35827</v>
      </c>
    </row>
    <row r="271" spans="1:3">
      <c r="A271" s="38" t="s">
        <v>747</v>
      </c>
      <c r="B271" s="36">
        <v>18338.788887670729</v>
      </c>
      <c r="C271" s="34">
        <v>35827</v>
      </c>
    </row>
    <row r="272" spans="1:3">
      <c r="A272" s="38" t="s">
        <v>743</v>
      </c>
      <c r="B272" s="36">
        <v>0</v>
      </c>
      <c r="C272" s="34">
        <v>35855</v>
      </c>
    </row>
    <row r="273" spans="1:3">
      <c r="A273" s="38" t="s">
        <v>748</v>
      </c>
      <c r="B273" s="36">
        <v>0</v>
      </c>
      <c r="C273" s="34">
        <v>35855</v>
      </c>
    </row>
    <row r="274" spans="1:3">
      <c r="A274" s="38" t="s">
        <v>745</v>
      </c>
      <c r="B274" s="36">
        <v>0</v>
      </c>
      <c r="C274" s="34">
        <v>35855</v>
      </c>
    </row>
    <row r="275" spans="1:3">
      <c r="A275" s="38" t="s">
        <v>751</v>
      </c>
      <c r="B275" s="36">
        <v>0</v>
      </c>
      <c r="C275" s="34">
        <v>35855</v>
      </c>
    </row>
    <row r="276" spans="1:3">
      <c r="A276" s="38" t="s">
        <v>746</v>
      </c>
      <c r="B276" s="36">
        <v>0</v>
      </c>
      <c r="C276" s="34">
        <v>35855</v>
      </c>
    </row>
    <row r="277" spans="1:3">
      <c r="A277" s="38" t="s">
        <v>744</v>
      </c>
      <c r="B277" s="36">
        <f>92+65+106.77</f>
        <v>263.77</v>
      </c>
      <c r="C277" s="34">
        <v>35855</v>
      </c>
    </row>
    <row r="278" spans="1:3">
      <c r="A278" s="38" t="s">
        <v>752</v>
      </c>
      <c r="B278" s="36">
        <v>0</v>
      </c>
      <c r="C278" s="34">
        <v>35855</v>
      </c>
    </row>
    <row r="279" spans="1:3">
      <c r="A279" s="38" t="s">
        <v>750</v>
      </c>
      <c r="B279" s="36">
        <v>0</v>
      </c>
      <c r="C279" s="34">
        <v>35855</v>
      </c>
    </row>
    <row r="280" spans="1:3">
      <c r="A280" s="38" t="s">
        <v>754</v>
      </c>
      <c r="B280" s="36">
        <f>36.35+51.15+261.04+4.29+42.76+35.5</f>
        <v>431.09000000000003</v>
      </c>
      <c r="C280" s="34">
        <v>35855</v>
      </c>
    </row>
    <row r="281" spans="1:3">
      <c r="A281" s="38" t="s">
        <v>749</v>
      </c>
      <c r="B281" s="36">
        <f>400+100+200+300+200+150+100+100</f>
        <v>1550</v>
      </c>
      <c r="C281" s="34">
        <v>35855</v>
      </c>
    </row>
    <row r="282" spans="1:3">
      <c r="A282" s="38" t="s">
        <v>747</v>
      </c>
      <c r="B282" s="36">
        <f>39305-484</f>
        <v>38821</v>
      </c>
      <c r="C282" s="34">
        <v>35855</v>
      </c>
    </row>
    <row r="283" spans="1:3">
      <c r="A283" s="38" t="s">
        <v>743</v>
      </c>
      <c r="B283" s="36">
        <v>0</v>
      </c>
      <c r="C283" s="34">
        <v>35886</v>
      </c>
    </row>
    <row r="284" spans="1:3">
      <c r="A284" s="38" t="s">
        <v>748</v>
      </c>
      <c r="B284" s="36">
        <v>0</v>
      </c>
      <c r="C284" s="34">
        <v>35886</v>
      </c>
    </row>
    <row r="285" spans="1:3">
      <c r="A285" s="38" t="s">
        <v>745</v>
      </c>
      <c r="B285" s="36">
        <v>142</v>
      </c>
      <c r="C285" s="34">
        <v>35886</v>
      </c>
    </row>
    <row r="286" spans="1:3">
      <c r="A286" s="38" t="s">
        <v>751</v>
      </c>
      <c r="B286" s="36">
        <v>0</v>
      </c>
      <c r="C286" s="34">
        <v>35886</v>
      </c>
    </row>
    <row r="287" spans="1:3">
      <c r="A287" s="38" t="s">
        <v>746</v>
      </c>
      <c r="B287" s="36">
        <f>788.04+1047.2+1704.54+1053.85+601.34+148.26</f>
        <v>5343.23</v>
      </c>
      <c r="C287" s="34">
        <v>35886</v>
      </c>
    </row>
    <row r="288" spans="1:3">
      <c r="A288" s="38" t="s">
        <v>744</v>
      </c>
      <c r="B288" s="36">
        <f>92+65</f>
        <v>157</v>
      </c>
      <c r="C288" s="34">
        <v>35886</v>
      </c>
    </row>
    <row r="289" spans="1:3">
      <c r="A289" s="38" t="s">
        <v>752</v>
      </c>
      <c r="B289" s="36">
        <v>0</v>
      </c>
      <c r="C289" s="34">
        <v>35886</v>
      </c>
    </row>
    <row r="290" spans="1:3">
      <c r="A290" s="38" t="s">
        <v>750</v>
      </c>
      <c r="B290" s="36">
        <v>0</v>
      </c>
      <c r="C290" s="34">
        <v>35886</v>
      </c>
    </row>
    <row r="291" spans="1:3">
      <c r="A291" s="38" t="s">
        <v>754</v>
      </c>
      <c r="B291" s="36">
        <f>39.54+35.5+16.24+78.77+58.87+306.26</f>
        <v>535.17999999999995</v>
      </c>
      <c r="C291" s="34">
        <v>35886</v>
      </c>
    </row>
    <row r="292" spans="1:3">
      <c r="A292" s="38" t="s">
        <v>749</v>
      </c>
      <c r="B292" s="36">
        <f>125+30+170+50+200+50+140+40+186+40+50</f>
        <v>1081</v>
      </c>
      <c r="C292" s="34">
        <v>35886</v>
      </c>
    </row>
    <row r="293" spans="1:3">
      <c r="A293" s="38" t="s">
        <v>747</v>
      </c>
      <c r="B293" s="36">
        <f>34927.7734594242-534</f>
        <v>34393.773459424199</v>
      </c>
      <c r="C293" s="34">
        <v>35886</v>
      </c>
    </row>
    <row r="294" spans="1:3">
      <c r="A294" s="38" t="s">
        <v>743</v>
      </c>
      <c r="B294" s="36">
        <v>0</v>
      </c>
      <c r="C294" s="34">
        <v>35916</v>
      </c>
    </row>
    <row r="295" spans="1:3">
      <c r="A295" s="38" t="s">
        <v>748</v>
      </c>
      <c r="B295" s="36">
        <v>0</v>
      </c>
      <c r="C295" s="34">
        <v>35916</v>
      </c>
    </row>
    <row r="296" spans="1:3">
      <c r="A296" s="38" t="s">
        <v>745</v>
      </c>
      <c r="B296" s="36">
        <v>0</v>
      </c>
      <c r="C296" s="34">
        <v>35916</v>
      </c>
    </row>
    <row r="297" spans="1:3">
      <c r="A297" s="38" t="s">
        <v>751</v>
      </c>
      <c r="B297" s="36">
        <v>0</v>
      </c>
      <c r="C297" s="34">
        <v>35916</v>
      </c>
    </row>
    <row r="298" spans="1:3">
      <c r="A298" s="38" t="s">
        <v>746</v>
      </c>
      <c r="B298" s="36">
        <v>0</v>
      </c>
      <c r="C298" s="34">
        <v>35916</v>
      </c>
    </row>
    <row r="299" spans="1:3">
      <c r="A299" s="38" t="s">
        <v>755</v>
      </c>
      <c r="B299" s="36">
        <f>200+180</f>
        <v>380</v>
      </c>
      <c r="C299" s="34">
        <v>35916</v>
      </c>
    </row>
    <row r="300" spans="1:3">
      <c r="A300" s="38" t="s">
        <v>744</v>
      </c>
      <c r="B300" s="36">
        <f>92+65</f>
        <v>157</v>
      </c>
      <c r="C300" s="34">
        <v>35916</v>
      </c>
    </row>
    <row r="301" spans="1:3">
      <c r="A301" s="38" t="s">
        <v>752</v>
      </c>
      <c r="B301" s="36">
        <v>600</v>
      </c>
      <c r="C301" s="34">
        <v>35916</v>
      </c>
    </row>
    <row r="302" spans="1:3">
      <c r="A302" s="38" t="s">
        <v>750</v>
      </c>
      <c r="B302" s="36">
        <v>0</v>
      </c>
      <c r="C302" s="34">
        <v>35916</v>
      </c>
    </row>
    <row r="303" spans="1:3">
      <c r="A303" s="38" t="s">
        <v>754</v>
      </c>
      <c r="B303" s="36">
        <f>118.16+35.5+37.89+47.02+303.34</f>
        <v>541.91</v>
      </c>
      <c r="C303" s="34">
        <v>35916</v>
      </c>
    </row>
    <row r="304" spans="1:3">
      <c r="A304" s="38" t="s">
        <v>749</v>
      </c>
      <c r="B304" s="36">
        <f>200+30+100+55+36+180+35+250+100+50+90+50+30+50</f>
        <v>1256</v>
      </c>
      <c r="C304" s="34">
        <v>35916</v>
      </c>
    </row>
    <row r="305" spans="1:3">
      <c r="A305" s="38" t="s">
        <v>747</v>
      </c>
      <c r="B305" s="36">
        <f>50758-7000</f>
        <v>43758</v>
      </c>
      <c r="C305" s="34">
        <v>35916</v>
      </c>
    </row>
    <row r="306" spans="1:3">
      <c r="A306" s="38" t="s">
        <v>743</v>
      </c>
      <c r="B306" s="36">
        <v>0</v>
      </c>
      <c r="C306" s="34">
        <v>35947</v>
      </c>
    </row>
    <row r="307" spans="1:3">
      <c r="A307" s="38" t="s">
        <v>748</v>
      </c>
      <c r="B307" s="36">
        <v>0</v>
      </c>
      <c r="C307" s="34">
        <v>35947</v>
      </c>
    </row>
    <row r="308" spans="1:3">
      <c r="A308" s="38" t="s">
        <v>745</v>
      </c>
      <c r="B308" s="36">
        <v>142</v>
      </c>
      <c r="C308" s="34">
        <v>35947</v>
      </c>
    </row>
    <row r="309" spans="1:3">
      <c r="A309" s="38" t="s">
        <v>751</v>
      </c>
      <c r="B309" s="36">
        <v>0</v>
      </c>
      <c r="C309" s="34">
        <v>35947</v>
      </c>
    </row>
    <row r="310" spans="1:3">
      <c r="A310" s="38" t="s">
        <v>746</v>
      </c>
      <c r="B310" s="36">
        <f>875.7+234.9+683.4+930+1213.82+1136.06+40.05+0.21</f>
        <v>5114.1399999999994</v>
      </c>
      <c r="C310" s="34">
        <v>35947</v>
      </c>
    </row>
    <row r="311" spans="1:3">
      <c r="A311" s="38" t="s">
        <v>755</v>
      </c>
      <c r="B311" s="36">
        <v>0</v>
      </c>
      <c r="C311" s="34">
        <v>35947</v>
      </c>
    </row>
    <row r="312" spans="1:3">
      <c r="A312" s="38" t="s">
        <v>744</v>
      </c>
      <c r="B312" s="36">
        <f>92+65+104.72</f>
        <v>261.72000000000003</v>
      </c>
      <c r="C312" s="34">
        <v>35947</v>
      </c>
    </row>
    <row r="313" spans="1:3">
      <c r="A313" s="38" t="s">
        <v>752</v>
      </c>
      <c r="B313" s="36">
        <v>0</v>
      </c>
      <c r="C313" s="34">
        <v>35947</v>
      </c>
    </row>
    <row r="314" spans="1:3">
      <c r="A314" s="38" t="s">
        <v>750</v>
      </c>
      <c r="B314" s="36">
        <v>0</v>
      </c>
      <c r="C314" s="34">
        <v>35947</v>
      </c>
    </row>
    <row r="315" spans="1:3">
      <c r="A315" s="38" t="s">
        <v>754</v>
      </c>
      <c r="B315" s="36">
        <f>16.18+35.5+64.38+373.87+111.37</f>
        <v>601.29999999999995</v>
      </c>
      <c r="C315" s="34">
        <v>35947</v>
      </c>
    </row>
    <row r="316" spans="1:3">
      <c r="A316" s="38" t="s">
        <v>749</v>
      </c>
      <c r="B316" s="36">
        <f>190+30+50+60+100+180+70+500+150+30+20</f>
        <v>1380</v>
      </c>
      <c r="C316" s="34">
        <v>35947</v>
      </c>
    </row>
    <row r="317" spans="1:3">
      <c r="A317" s="38" t="s">
        <v>747</v>
      </c>
      <c r="B317" s="36">
        <f>24403.8815917805-240-887</f>
        <v>23276.8815917805</v>
      </c>
      <c r="C317" s="34">
        <v>35947</v>
      </c>
    </row>
    <row r="318" spans="1:3">
      <c r="A318" s="38" t="s">
        <v>743</v>
      </c>
      <c r="B318" s="36">
        <v>0</v>
      </c>
      <c r="C318" s="34">
        <v>35977</v>
      </c>
    </row>
    <row r="319" spans="1:3">
      <c r="A319" s="38" t="s">
        <v>748</v>
      </c>
      <c r="B319" s="36">
        <v>0</v>
      </c>
      <c r="C319" s="34">
        <v>35977</v>
      </c>
    </row>
    <row r="320" spans="1:3">
      <c r="A320" s="38" t="s">
        <v>745</v>
      </c>
      <c r="B320" s="36">
        <v>0</v>
      </c>
      <c r="C320" s="34">
        <v>35977</v>
      </c>
    </row>
    <row r="321" spans="1:3">
      <c r="A321" s="38" t="s">
        <v>756</v>
      </c>
      <c r="B321" s="36">
        <v>820.07</v>
      </c>
      <c r="C321" s="34">
        <v>35977</v>
      </c>
    </row>
    <row r="322" spans="1:3">
      <c r="A322" s="38" t="s">
        <v>751</v>
      </c>
      <c r="B322" s="36">
        <v>0</v>
      </c>
      <c r="C322" s="34">
        <v>35977</v>
      </c>
    </row>
    <row r="323" spans="1:3">
      <c r="A323" s="38" t="s">
        <v>746</v>
      </c>
      <c r="B323" s="36">
        <v>0</v>
      </c>
      <c r="C323" s="34">
        <v>35977</v>
      </c>
    </row>
    <row r="324" spans="1:3">
      <c r="A324" s="38" t="s">
        <v>755</v>
      </c>
      <c r="B324" s="36">
        <v>531.83000000000004</v>
      </c>
      <c r="C324" s="34">
        <v>35977</v>
      </c>
    </row>
    <row r="325" spans="1:3">
      <c r="A325" s="38" t="s">
        <v>744</v>
      </c>
      <c r="B325" s="36">
        <v>327</v>
      </c>
      <c r="C325" s="34">
        <v>35977</v>
      </c>
    </row>
    <row r="326" spans="1:3">
      <c r="A326" s="38" t="s">
        <v>752</v>
      </c>
      <c r="B326" s="36">
        <v>800</v>
      </c>
      <c r="C326" s="34">
        <v>35977</v>
      </c>
    </row>
    <row r="327" spans="1:3">
      <c r="A327" s="38" t="s">
        <v>750</v>
      </c>
      <c r="B327" s="36">
        <v>0</v>
      </c>
      <c r="C327" s="34">
        <v>35977</v>
      </c>
    </row>
    <row r="328" spans="1:3">
      <c r="A328" s="38" t="s">
        <v>754</v>
      </c>
      <c r="B328" s="36">
        <v>594.13</v>
      </c>
      <c r="C328" s="34">
        <v>35977</v>
      </c>
    </row>
    <row r="329" spans="1:3">
      <c r="A329" s="38" t="s">
        <v>749</v>
      </c>
      <c r="B329" s="36">
        <v>280</v>
      </c>
      <c r="C329" s="34">
        <v>35977</v>
      </c>
    </row>
    <row r="330" spans="1:3">
      <c r="A330" s="38" t="s">
        <v>747</v>
      </c>
      <c r="B330" s="36">
        <v>24166.617000324884</v>
      </c>
      <c r="C330" s="34">
        <v>35977</v>
      </c>
    </row>
    <row r="331" spans="1:3">
      <c r="A331" s="38" t="s">
        <v>743</v>
      </c>
      <c r="B331" s="36">
        <v>0</v>
      </c>
      <c r="C331" s="34">
        <v>36008</v>
      </c>
    </row>
    <row r="332" spans="1:3">
      <c r="A332" s="38" t="s">
        <v>748</v>
      </c>
      <c r="B332" s="36">
        <v>0</v>
      </c>
      <c r="C332" s="34">
        <v>36008</v>
      </c>
    </row>
    <row r="333" spans="1:3">
      <c r="A333" s="38" t="s">
        <v>745</v>
      </c>
      <c r="B333" s="36">
        <v>0</v>
      </c>
      <c r="C333" s="34">
        <v>36008</v>
      </c>
    </row>
    <row r="334" spans="1:3">
      <c r="A334" s="38" t="s">
        <v>756</v>
      </c>
      <c r="B334" s="36">
        <v>468</v>
      </c>
      <c r="C334" s="34">
        <v>36008</v>
      </c>
    </row>
    <row r="335" spans="1:3">
      <c r="A335" s="38" t="s">
        <v>751</v>
      </c>
      <c r="B335" s="36">
        <v>0</v>
      </c>
      <c r="C335" s="34">
        <v>36008</v>
      </c>
    </row>
    <row r="336" spans="1:3">
      <c r="A336" s="38" t="s">
        <v>746</v>
      </c>
      <c r="B336" s="36">
        <v>3418.41</v>
      </c>
      <c r="C336" s="34">
        <v>36008</v>
      </c>
    </row>
    <row r="337" spans="1:3">
      <c r="A337" s="38" t="s">
        <v>755</v>
      </c>
      <c r="B337" s="36">
        <v>900</v>
      </c>
      <c r="C337" s="34">
        <v>36008</v>
      </c>
    </row>
    <row r="338" spans="1:3">
      <c r="A338" s="38" t="s">
        <v>744</v>
      </c>
      <c r="B338" s="36">
        <v>240</v>
      </c>
      <c r="C338" s="34">
        <v>36008</v>
      </c>
    </row>
    <row r="339" spans="1:3">
      <c r="A339" s="38" t="s">
        <v>752</v>
      </c>
      <c r="B339" s="36">
        <v>0</v>
      </c>
      <c r="C339" s="34">
        <v>36008</v>
      </c>
    </row>
    <row r="340" spans="1:3">
      <c r="A340" s="38" t="s">
        <v>754</v>
      </c>
      <c r="B340" s="36">
        <v>745.55</v>
      </c>
      <c r="C340" s="34">
        <v>36008</v>
      </c>
    </row>
    <row r="341" spans="1:3">
      <c r="A341" s="38" t="s">
        <v>749</v>
      </c>
      <c r="B341" s="36">
        <v>932</v>
      </c>
      <c r="C341" s="34">
        <v>36008</v>
      </c>
    </row>
    <row r="342" spans="1:3">
      <c r="A342" s="38" t="s">
        <v>747</v>
      </c>
      <c r="B342" s="36">
        <v>14274.043448986253</v>
      </c>
      <c r="C342" s="34">
        <v>36008</v>
      </c>
    </row>
    <row r="343" spans="1:3">
      <c r="A343" s="38" t="s">
        <v>743</v>
      </c>
      <c r="B343" s="36">
        <v>0</v>
      </c>
      <c r="C343" s="34">
        <v>36039</v>
      </c>
    </row>
    <row r="344" spans="1:3">
      <c r="A344" s="38" t="s">
        <v>748</v>
      </c>
      <c r="B344" s="36">
        <v>0</v>
      </c>
      <c r="C344" s="34">
        <v>36039</v>
      </c>
    </row>
    <row r="345" spans="1:3">
      <c r="A345" s="38" t="s">
        <v>745</v>
      </c>
      <c r="B345" s="36">
        <v>0</v>
      </c>
      <c r="C345" s="34">
        <v>36039</v>
      </c>
    </row>
    <row r="346" spans="1:3">
      <c r="A346" s="38" t="s">
        <v>756</v>
      </c>
      <c r="B346" s="36">
        <f>447+130+135.18</f>
        <v>712.18000000000006</v>
      </c>
      <c r="C346" s="34">
        <v>36039</v>
      </c>
    </row>
    <row r="347" spans="1:3">
      <c r="A347" s="38" t="s">
        <v>751</v>
      </c>
      <c r="B347" s="36">
        <v>0</v>
      </c>
      <c r="C347" s="34">
        <v>36039</v>
      </c>
    </row>
    <row r="348" spans="1:3">
      <c r="A348" s="38" t="s">
        <v>746</v>
      </c>
      <c r="B348" s="36">
        <v>0</v>
      </c>
      <c r="C348" s="34">
        <v>36039</v>
      </c>
    </row>
    <row r="349" spans="1:3">
      <c r="A349" s="38" t="s">
        <v>755</v>
      </c>
      <c r="B349" s="36">
        <f>255+30.57</f>
        <v>285.57</v>
      </c>
      <c r="C349" s="34">
        <v>36039</v>
      </c>
    </row>
    <row r="350" spans="1:3">
      <c r="A350" s="38" t="s">
        <v>744</v>
      </c>
      <c r="B350" s="36">
        <f>141+92+65+20+25</f>
        <v>343</v>
      </c>
      <c r="C350" s="34">
        <v>36039</v>
      </c>
    </row>
    <row r="351" spans="1:3">
      <c r="A351" s="38" t="s">
        <v>752</v>
      </c>
      <c r="B351" s="36">
        <v>0</v>
      </c>
      <c r="C351" s="34">
        <v>36039</v>
      </c>
    </row>
    <row r="352" spans="1:3">
      <c r="A352" s="38" t="s">
        <v>754</v>
      </c>
      <c r="B352" s="36">
        <f>383+35.5+118.16+38.51+38.32</f>
        <v>613.49</v>
      </c>
      <c r="C352" s="34">
        <v>36039</v>
      </c>
    </row>
    <row r="353" spans="1:3">
      <c r="A353" s="38" t="s">
        <v>749</v>
      </c>
      <c r="B353" s="36">
        <f>30+100+130+30+250+100+150+20+20+200+400+100+70</f>
        <v>1600</v>
      </c>
      <c r="C353" s="34">
        <v>36039</v>
      </c>
    </row>
    <row r="354" spans="1:3">
      <c r="A354" s="38" t="s">
        <v>747</v>
      </c>
      <c r="B354" s="36">
        <v>22159.844625575468</v>
      </c>
      <c r="C354" s="34">
        <v>36039</v>
      </c>
    </row>
    <row r="355" spans="1:3">
      <c r="A355" s="38" t="s">
        <v>743</v>
      </c>
      <c r="B355" s="36">
        <v>0</v>
      </c>
      <c r="C355" s="34">
        <v>36069</v>
      </c>
    </row>
    <row r="356" spans="1:3">
      <c r="A356" s="38" t="s">
        <v>748</v>
      </c>
      <c r="B356" s="36">
        <v>0</v>
      </c>
      <c r="C356" s="34">
        <v>36069</v>
      </c>
    </row>
    <row r="357" spans="1:3">
      <c r="A357" s="38" t="s">
        <v>745</v>
      </c>
      <c r="B357" s="36">
        <v>0</v>
      </c>
      <c r="C357" s="34">
        <v>36069</v>
      </c>
    </row>
    <row r="358" spans="1:3">
      <c r="A358" s="38" t="s">
        <v>756</v>
      </c>
      <c r="B358" s="36">
        <v>373</v>
      </c>
      <c r="C358" s="34">
        <v>36069</v>
      </c>
    </row>
    <row r="359" spans="1:3">
      <c r="A359" s="38" t="s">
        <v>751</v>
      </c>
      <c r="B359" s="36">
        <v>0</v>
      </c>
      <c r="C359" s="34">
        <v>36069</v>
      </c>
    </row>
    <row r="360" spans="1:3">
      <c r="A360" s="38" t="s">
        <v>746</v>
      </c>
      <c r="B360" s="36">
        <f>165.66+482.12+620+809.21+757.37+583.73</f>
        <v>3418.0899999999997</v>
      </c>
      <c r="C360" s="34">
        <v>36069</v>
      </c>
    </row>
    <row r="361" spans="1:3">
      <c r="A361" s="38" t="s">
        <v>755</v>
      </c>
      <c r="B361" s="36">
        <f>300+250+35.27+180</f>
        <v>765.27</v>
      </c>
      <c r="C361" s="34">
        <v>36069</v>
      </c>
    </row>
    <row r="362" spans="1:3">
      <c r="A362" s="38" t="s">
        <v>744</v>
      </c>
      <c r="B362" s="36">
        <f>92+65+30+220</f>
        <v>407</v>
      </c>
      <c r="C362" s="34">
        <v>36069</v>
      </c>
    </row>
    <row r="363" spans="1:3">
      <c r="A363" s="38" t="s">
        <v>752</v>
      </c>
      <c r="B363" s="36">
        <v>0</v>
      </c>
      <c r="C363" s="34">
        <v>36069</v>
      </c>
    </row>
    <row r="364" spans="1:3">
      <c r="A364" s="38" t="s">
        <v>754</v>
      </c>
      <c r="B364" s="36">
        <f>335.75+53.89+92.26+15.89</f>
        <v>497.78999999999996</v>
      </c>
      <c r="C364" s="34">
        <v>36069</v>
      </c>
    </row>
    <row r="365" spans="1:3">
      <c r="A365" s="38" t="s">
        <v>749</v>
      </c>
      <c r="B365" s="36">
        <f>80+135+35+100+155+35+20+1040+35.5+100+20+400+220+25+120+32+10</f>
        <v>2562.5</v>
      </c>
      <c r="C365" s="34">
        <v>36069</v>
      </c>
    </row>
    <row r="366" spans="1:3">
      <c r="A366" s="38" t="s">
        <v>747</v>
      </c>
      <c r="B366" s="36">
        <v>20973</v>
      </c>
      <c r="C366" s="34">
        <v>36069</v>
      </c>
    </row>
    <row r="367" spans="1:3">
      <c r="A367" s="38" t="s">
        <v>743</v>
      </c>
      <c r="B367" s="36">
        <v>0</v>
      </c>
      <c r="C367" s="34">
        <v>36100</v>
      </c>
    </row>
    <row r="368" spans="1:3">
      <c r="A368" s="38" t="s">
        <v>748</v>
      </c>
      <c r="B368" s="36">
        <v>0</v>
      </c>
      <c r="C368" s="34">
        <v>36100</v>
      </c>
    </row>
    <row r="369" spans="1:3">
      <c r="A369" s="38" t="s">
        <v>745</v>
      </c>
      <c r="B369" s="36">
        <v>497</v>
      </c>
      <c r="C369" s="34">
        <v>36100</v>
      </c>
    </row>
    <row r="370" spans="1:3">
      <c r="A370" s="38" t="s">
        <v>756</v>
      </c>
      <c r="B370" s="36">
        <f>358+130.11</f>
        <v>488.11</v>
      </c>
      <c r="C370" s="34">
        <v>36100</v>
      </c>
    </row>
    <row r="371" spans="1:3">
      <c r="A371" s="38" t="s">
        <v>751</v>
      </c>
      <c r="B371" s="36">
        <v>0</v>
      </c>
      <c r="C371" s="34">
        <v>36100</v>
      </c>
    </row>
    <row r="372" spans="1:3">
      <c r="A372" s="38" t="s">
        <v>746</v>
      </c>
      <c r="B372" s="36">
        <v>0</v>
      </c>
      <c r="C372" s="34">
        <v>36100</v>
      </c>
    </row>
    <row r="373" spans="1:3">
      <c r="A373" s="38" t="s">
        <v>755</v>
      </c>
      <c r="B373" s="36">
        <v>280</v>
      </c>
      <c r="C373" s="34">
        <v>36100</v>
      </c>
    </row>
    <row r="374" spans="1:3">
      <c r="A374" s="38" t="s">
        <v>744</v>
      </c>
      <c r="B374" s="36">
        <f>30+102.67</f>
        <v>132.67000000000002</v>
      </c>
      <c r="C374" s="34">
        <v>36100</v>
      </c>
    </row>
    <row r="375" spans="1:3">
      <c r="A375" s="38" t="s">
        <v>752</v>
      </c>
      <c r="B375" s="36">
        <v>0</v>
      </c>
      <c r="C375" s="34">
        <v>36100</v>
      </c>
    </row>
    <row r="376" spans="1:3">
      <c r="A376" s="38" t="s">
        <v>754</v>
      </c>
      <c r="B376" s="36">
        <f>118+303.88+54.83+37+9.66+4.39+38.51+42.55</f>
        <v>608.81999999999994</v>
      </c>
      <c r="C376" s="34">
        <v>36100</v>
      </c>
    </row>
    <row r="377" spans="1:3">
      <c r="A377" s="38" t="s">
        <v>749</v>
      </c>
      <c r="B377" s="36">
        <f>100+120+130+20+50+150</f>
        <v>570</v>
      </c>
      <c r="C377" s="34">
        <v>36100</v>
      </c>
    </row>
    <row r="378" spans="1:3">
      <c r="A378" s="38" t="s">
        <v>747</v>
      </c>
      <c r="B378" s="36">
        <v>41534</v>
      </c>
      <c r="C378" s="34">
        <v>36100</v>
      </c>
    </row>
    <row r="379" spans="1:3">
      <c r="A379" s="38" t="s">
        <v>743</v>
      </c>
      <c r="B379" s="36">
        <v>0</v>
      </c>
      <c r="C379" s="34">
        <v>36130</v>
      </c>
    </row>
    <row r="380" spans="1:3">
      <c r="A380" s="38" t="s">
        <v>748</v>
      </c>
      <c r="B380" s="36">
        <v>0</v>
      </c>
      <c r="C380" s="34">
        <v>36130</v>
      </c>
    </row>
    <row r="381" spans="1:3">
      <c r="A381" s="38" t="s">
        <v>745</v>
      </c>
      <c r="B381" s="36">
        <v>0</v>
      </c>
      <c r="C381" s="34">
        <v>36130</v>
      </c>
    </row>
    <row r="382" spans="1:3">
      <c r="A382" s="38" t="s">
        <v>756</v>
      </c>
      <c r="B382" s="36">
        <v>144.66</v>
      </c>
      <c r="C382" s="34">
        <v>36130</v>
      </c>
    </row>
    <row r="383" spans="1:3">
      <c r="A383" s="38" t="s">
        <v>751</v>
      </c>
      <c r="B383" s="36">
        <v>0</v>
      </c>
      <c r="C383" s="34">
        <v>36130</v>
      </c>
    </row>
    <row r="384" spans="1:3">
      <c r="A384" s="38" t="s">
        <v>746</v>
      </c>
      <c r="B384" s="36">
        <f>984.58+1051.97+626.76+806+215.36+758.85</f>
        <v>4443.5200000000004</v>
      </c>
      <c r="C384" s="34">
        <v>36130</v>
      </c>
    </row>
    <row r="385" spans="1:4">
      <c r="A385" s="38" t="s">
        <v>755</v>
      </c>
      <c r="B385" s="36">
        <f>275.53+150+200+150</f>
        <v>775.53</v>
      </c>
      <c r="C385" s="34">
        <v>36130</v>
      </c>
    </row>
    <row r="386" spans="1:4">
      <c r="A386" s="38" t="s">
        <v>744</v>
      </c>
      <c r="B386" s="36">
        <f>108+30+30+40+35+45+74</f>
        <v>362</v>
      </c>
      <c r="C386" s="34">
        <v>36130</v>
      </c>
    </row>
    <row r="387" spans="1:4">
      <c r="A387" s="38" t="s">
        <v>752</v>
      </c>
      <c r="B387" s="36">
        <v>0</v>
      </c>
      <c r="C387" s="34">
        <v>36130</v>
      </c>
    </row>
    <row r="388" spans="1:4">
      <c r="A388" s="38" t="s">
        <v>754</v>
      </c>
      <c r="B388" s="36">
        <f>66.34+294.07+35.5+118.82+16.46</f>
        <v>531.19000000000005</v>
      </c>
      <c r="C388" s="34">
        <v>36130</v>
      </c>
    </row>
    <row r="389" spans="1:4">
      <c r="A389" s="38" t="s">
        <v>749</v>
      </c>
      <c r="B389" s="36">
        <f>150+100+100+135+57+(17500-9000)+215+50+30+50+90+122+60+95</f>
        <v>9754</v>
      </c>
      <c r="C389" s="34">
        <v>36130</v>
      </c>
    </row>
    <row r="390" spans="1:4">
      <c r="A390" s="38" t="s">
        <v>747</v>
      </c>
      <c r="B390" s="36">
        <v>28712.205753424903</v>
      </c>
      <c r="C390" s="34">
        <v>36130</v>
      </c>
      <c r="D390" s="21">
        <f>SUBTOTAL(9,B260:B390)</f>
        <v>392758.62832696765</v>
      </c>
    </row>
    <row r="391" spans="1:4">
      <c r="A391" s="38" t="s">
        <v>743</v>
      </c>
      <c r="B391" s="36">
        <v>0</v>
      </c>
      <c r="C391" s="34">
        <v>36161</v>
      </c>
    </row>
    <row r="392" spans="1:4">
      <c r="A392" s="38" t="s">
        <v>406</v>
      </c>
      <c r="B392" s="36">
        <f>60.94+41.8+1500+78.85+124.27+49.58+34.73-800</f>
        <v>1090.1699999999998</v>
      </c>
      <c r="C392" s="34">
        <v>36161</v>
      </c>
    </row>
    <row r="393" spans="1:4">
      <c r="A393" s="38" t="s">
        <v>748</v>
      </c>
      <c r="B393" s="36">
        <v>0</v>
      </c>
      <c r="C393" s="34">
        <v>36161</v>
      </c>
    </row>
    <row r="394" spans="1:4">
      <c r="A394" s="38" t="s">
        <v>745</v>
      </c>
      <c r="B394" s="36">
        <v>0</v>
      </c>
      <c r="C394" s="34">
        <v>36161</v>
      </c>
    </row>
    <row r="395" spans="1:4">
      <c r="A395" s="38" t="s">
        <v>756</v>
      </c>
      <c r="B395" s="36">
        <f>427.96+131.2+168.33</f>
        <v>727.49</v>
      </c>
      <c r="C395" s="34">
        <v>36161</v>
      </c>
    </row>
    <row r="396" spans="1:4">
      <c r="A396" s="38" t="s">
        <v>751</v>
      </c>
      <c r="B396" s="36">
        <v>0</v>
      </c>
      <c r="C396" s="34">
        <v>36161</v>
      </c>
    </row>
    <row r="397" spans="1:4">
      <c r="A397" s="38" t="s">
        <v>746</v>
      </c>
      <c r="B397" s="36">
        <v>0</v>
      </c>
      <c r="C397" s="34">
        <v>36161</v>
      </c>
    </row>
    <row r="398" spans="1:4">
      <c r="A398" s="38" t="s">
        <v>755</v>
      </c>
      <c r="B398" s="36">
        <f>31.51+112.5</f>
        <v>144.01</v>
      </c>
      <c r="C398" s="34">
        <v>36161</v>
      </c>
    </row>
    <row r="399" spans="1:4">
      <c r="A399" s="38" t="s">
        <v>744</v>
      </c>
      <c r="B399" s="36">
        <f>30+40+36+32+40+88+55</f>
        <v>321</v>
      </c>
      <c r="C399" s="34">
        <v>36161</v>
      </c>
    </row>
    <row r="400" spans="1:4">
      <c r="A400" s="38" t="s">
        <v>752</v>
      </c>
      <c r="B400" s="36">
        <v>0</v>
      </c>
      <c r="C400" s="34">
        <v>36161</v>
      </c>
    </row>
    <row r="401" spans="1:3">
      <c r="A401" s="38" t="s">
        <v>754</v>
      </c>
      <c r="B401" s="36">
        <f>287.98+66.28+39.66+127.81+52.75+33.96+8.03</f>
        <v>616.47</v>
      </c>
      <c r="C401" s="34">
        <v>36161</v>
      </c>
    </row>
    <row r="402" spans="1:3">
      <c r="A402" s="38" t="s">
        <v>749</v>
      </c>
      <c r="B402" s="36">
        <f>100+50+500+36+160+200+300+150+50</f>
        <v>1546</v>
      </c>
      <c r="C402" s="34">
        <v>36161</v>
      </c>
    </row>
    <row r="403" spans="1:3">
      <c r="A403" s="38" t="s">
        <v>747</v>
      </c>
      <c r="B403" s="36">
        <f>21566.2226027394-407</f>
        <v>21159.222602739399</v>
      </c>
      <c r="C403" s="34">
        <v>36161</v>
      </c>
    </row>
    <row r="404" spans="1:3">
      <c r="A404" s="38" t="s">
        <v>743</v>
      </c>
      <c r="B404" s="36">
        <v>0</v>
      </c>
      <c r="C404" s="34">
        <v>36192</v>
      </c>
    </row>
    <row r="405" spans="1:3">
      <c r="A405" s="38" t="s">
        <v>406</v>
      </c>
      <c r="B405" s="36">
        <v>800</v>
      </c>
      <c r="C405" s="34">
        <v>36192</v>
      </c>
    </row>
    <row r="406" spans="1:3">
      <c r="A406" s="38" t="s">
        <v>748</v>
      </c>
      <c r="B406" s="36">
        <v>0</v>
      </c>
      <c r="C406" s="34">
        <v>36192</v>
      </c>
    </row>
    <row r="407" spans="1:3">
      <c r="A407" s="38" t="s">
        <v>745</v>
      </c>
      <c r="B407" s="36">
        <v>0</v>
      </c>
      <c r="C407" s="34">
        <v>36192</v>
      </c>
    </row>
    <row r="408" spans="1:3">
      <c r="A408" s="38" t="s">
        <v>756</v>
      </c>
      <c r="B408" s="36">
        <v>0</v>
      </c>
      <c r="C408" s="34">
        <v>36192</v>
      </c>
    </row>
    <row r="409" spans="1:3">
      <c r="A409" s="38" t="s">
        <v>751</v>
      </c>
      <c r="B409" s="36">
        <v>0</v>
      </c>
      <c r="C409" s="34">
        <v>36192</v>
      </c>
    </row>
    <row r="410" spans="1:3">
      <c r="A410" s="38" t="s">
        <v>746</v>
      </c>
      <c r="B410" s="36">
        <v>0</v>
      </c>
      <c r="C410" s="34">
        <v>36192</v>
      </c>
    </row>
    <row r="411" spans="1:3">
      <c r="A411" s="38" t="s">
        <v>755</v>
      </c>
      <c r="B411" s="36">
        <f>250+251+150</f>
        <v>651</v>
      </c>
      <c r="C411" s="34">
        <v>36192</v>
      </c>
    </row>
    <row r="412" spans="1:3">
      <c r="A412" s="38" t="s">
        <v>744</v>
      </c>
      <c r="B412" s="36">
        <f>30+89.17+30+79</f>
        <v>228.17000000000002</v>
      </c>
      <c r="C412" s="34">
        <v>36192</v>
      </c>
    </row>
    <row r="413" spans="1:3">
      <c r="A413" s="38" t="s">
        <v>752</v>
      </c>
      <c r="B413" s="36">
        <v>0</v>
      </c>
      <c r="C413" s="34">
        <v>36192</v>
      </c>
    </row>
    <row r="414" spans="1:3">
      <c r="A414" s="38" t="s">
        <v>754</v>
      </c>
      <c r="B414" s="36">
        <f>1850+45.47+316.68+84.7+38+15.96</f>
        <v>2350.81</v>
      </c>
      <c r="C414" s="34">
        <v>36192</v>
      </c>
    </row>
    <row r="415" spans="1:3">
      <c r="A415" s="38" t="s">
        <v>749</v>
      </c>
      <c r="B415" s="36">
        <f>60+100+30+50+100+307</f>
        <v>647</v>
      </c>
      <c r="C415" s="34">
        <v>36192</v>
      </c>
    </row>
    <row r="416" spans="1:3">
      <c r="A416" s="38" t="s">
        <v>747</v>
      </c>
      <c r="B416" s="36">
        <v>24758.82540503121</v>
      </c>
      <c r="C416" s="34">
        <v>36192</v>
      </c>
    </row>
    <row r="417" spans="1:4">
      <c r="A417" s="38" t="s">
        <v>743</v>
      </c>
      <c r="B417" s="36">
        <v>0</v>
      </c>
      <c r="C417" s="34">
        <v>36220</v>
      </c>
    </row>
    <row r="418" spans="1:4">
      <c r="A418" s="38" t="s">
        <v>406</v>
      </c>
      <c r="B418" s="36">
        <v>-800</v>
      </c>
      <c r="C418" s="34">
        <v>36220</v>
      </c>
    </row>
    <row r="419" spans="1:4">
      <c r="A419" s="38" t="s">
        <v>587</v>
      </c>
      <c r="B419" s="36">
        <f>800+102+200+75+612.5+35</f>
        <v>1824.5</v>
      </c>
      <c r="C419" s="34">
        <v>36220</v>
      </c>
    </row>
    <row r="420" spans="1:4">
      <c r="A420" s="38" t="s">
        <v>748</v>
      </c>
      <c r="B420" s="36">
        <v>0</v>
      </c>
      <c r="C420" s="34">
        <v>36220</v>
      </c>
    </row>
    <row r="421" spans="1:4">
      <c r="A421" s="38" t="s">
        <v>745</v>
      </c>
      <c r="B421" s="36">
        <v>213</v>
      </c>
      <c r="C421" s="34">
        <v>36220</v>
      </c>
      <c r="D421" s="21">
        <f>SUBTOTAL(9,B421:B554)</f>
        <v>304089.16720203822</v>
      </c>
    </row>
    <row r="422" spans="1:4">
      <c r="A422" s="38" t="s">
        <v>756</v>
      </c>
      <c r="B422" s="36">
        <f>449.73+131.2+148.47</f>
        <v>729.40000000000009</v>
      </c>
      <c r="C422" s="34">
        <v>36220</v>
      </c>
    </row>
    <row r="423" spans="1:4">
      <c r="A423" s="38" t="s">
        <v>751</v>
      </c>
      <c r="B423" s="36">
        <v>0</v>
      </c>
      <c r="C423" s="34">
        <v>36220</v>
      </c>
    </row>
    <row r="424" spans="1:4">
      <c r="A424" s="38" t="s">
        <v>746</v>
      </c>
      <c r="B424" s="36">
        <v>0</v>
      </c>
      <c r="C424" s="34">
        <v>36220</v>
      </c>
    </row>
    <row r="425" spans="1:4">
      <c r="A425" s="38" t="s">
        <v>755</v>
      </c>
      <c r="B425" s="36">
        <f>325+31.8+150+50</f>
        <v>556.79999999999995</v>
      </c>
      <c r="C425" s="34">
        <v>36220</v>
      </c>
    </row>
    <row r="426" spans="1:4">
      <c r="A426" s="38" t="s">
        <v>744</v>
      </c>
      <c r="B426" s="36">
        <f>88+66+38+19+34+30+20+20</f>
        <v>315</v>
      </c>
      <c r="C426" s="34">
        <v>36220</v>
      </c>
    </row>
    <row r="427" spans="1:4">
      <c r="A427" s="38" t="s">
        <v>752</v>
      </c>
      <c r="B427" s="36">
        <v>0</v>
      </c>
      <c r="C427" s="34">
        <v>36220</v>
      </c>
    </row>
    <row r="428" spans="1:4">
      <c r="A428" s="38" t="s">
        <v>754</v>
      </c>
      <c r="B428" s="36">
        <f>38+127.81+94.35+77.34+348.11+100+4.34+9.54+90+52.99+41.43+330</f>
        <v>1313.9099999999999</v>
      </c>
      <c r="C428" s="34">
        <v>36220</v>
      </c>
    </row>
    <row r="429" spans="1:4">
      <c r="A429" s="38" t="s">
        <v>749</v>
      </c>
      <c r="B429" s="36">
        <f>36+100+150+40+30+20+35+15+50+40+190+40+100</f>
        <v>846</v>
      </c>
      <c r="C429" s="34">
        <v>36220</v>
      </c>
    </row>
    <row r="430" spans="1:4">
      <c r="A430" s="38" t="s">
        <v>747</v>
      </c>
      <c r="B430" s="36">
        <v>24246.630634293193</v>
      </c>
      <c r="C430" s="34">
        <v>36220</v>
      </c>
    </row>
    <row r="431" spans="1:4">
      <c r="A431" s="38" t="s">
        <v>743</v>
      </c>
      <c r="B431" s="36">
        <v>0</v>
      </c>
      <c r="C431" s="34">
        <v>36251</v>
      </c>
    </row>
    <row r="432" spans="1:4">
      <c r="A432" s="38" t="s">
        <v>406</v>
      </c>
      <c r="B432" s="36">
        <v>-800</v>
      </c>
      <c r="C432" s="34">
        <v>36251</v>
      </c>
    </row>
    <row r="433" spans="1:3">
      <c r="A433" s="38" t="s">
        <v>587</v>
      </c>
      <c r="B433" s="36">
        <v>902.5</v>
      </c>
      <c r="C433" s="34">
        <v>36251</v>
      </c>
    </row>
    <row r="434" spans="1:3">
      <c r="A434" s="38" t="s">
        <v>748</v>
      </c>
      <c r="B434" s="36">
        <v>0</v>
      </c>
      <c r="C434" s="34">
        <v>36251</v>
      </c>
    </row>
    <row r="435" spans="1:3">
      <c r="A435" s="38" t="s">
        <v>745</v>
      </c>
      <c r="B435" s="36">
        <v>0</v>
      </c>
      <c r="C435" s="34">
        <v>36251</v>
      </c>
    </row>
    <row r="436" spans="1:3">
      <c r="A436" s="38" t="s">
        <v>756</v>
      </c>
      <c r="B436" s="36">
        <v>616</v>
      </c>
      <c r="C436" s="34">
        <v>36251</v>
      </c>
    </row>
    <row r="437" spans="1:3">
      <c r="A437" s="38" t="s">
        <v>751</v>
      </c>
      <c r="B437" s="36">
        <v>0</v>
      </c>
      <c r="C437" s="34">
        <v>36251</v>
      </c>
    </row>
    <row r="438" spans="1:3">
      <c r="A438" s="38" t="s">
        <v>746</v>
      </c>
      <c r="B438" s="36">
        <v>0</v>
      </c>
      <c r="C438" s="34">
        <v>36251</v>
      </c>
    </row>
    <row r="439" spans="1:3">
      <c r="A439" s="38" t="s">
        <v>755</v>
      </c>
      <c r="B439" s="36">
        <v>302.57</v>
      </c>
      <c r="C439" s="34">
        <v>36251</v>
      </c>
    </row>
    <row r="440" spans="1:3">
      <c r="A440" s="38" t="s">
        <v>744</v>
      </c>
      <c r="B440" s="36">
        <v>273.17</v>
      </c>
      <c r="C440" s="34">
        <v>36251</v>
      </c>
    </row>
    <row r="441" spans="1:3">
      <c r="A441" s="38" t="s">
        <v>752</v>
      </c>
      <c r="B441" s="36">
        <v>0</v>
      </c>
      <c r="C441" s="34">
        <v>36251</v>
      </c>
    </row>
    <row r="442" spans="1:3">
      <c r="A442" s="38" t="s">
        <v>754</v>
      </c>
      <c r="B442" s="36">
        <v>529.27</v>
      </c>
      <c r="C442" s="34">
        <v>36251</v>
      </c>
    </row>
    <row r="443" spans="1:3">
      <c r="A443" s="38" t="s">
        <v>749</v>
      </c>
      <c r="B443" s="36">
        <v>600</v>
      </c>
      <c r="C443" s="34">
        <v>36251</v>
      </c>
    </row>
    <row r="444" spans="1:3">
      <c r="A444" s="38" t="s">
        <v>747</v>
      </c>
      <c r="B444" s="36">
        <v>26442.820335499011</v>
      </c>
      <c r="C444" s="34">
        <v>36251</v>
      </c>
    </row>
    <row r="445" spans="1:3">
      <c r="A445" s="38" t="s">
        <v>743</v>
      </c>
      <c r="B445" s="36">
        <v>0</v>
      </c>
      <c r="C445" s="34">
        <v>36281</v>
      </c>
    </row>
    <row r="446" spans="1:3">
      <c r="A446" s="38" t="s">
        <v>406</v>
      </c>
      <c r="B446" s="36">
        <f>800+41.5-800+137.16</f>
        <v>178.66</v>
      </c>
      <c r="C446" s="34">
        <v>36281</v>
      </c>
    </row>
    <row r="447" spans="1:3">
      <c r="A447" s="38" t="s">
        <v>587</v>
      </c>
      <c r="B447" s="36">
        <f>215+100+612.5</f>
        <v>927.5</v>
      </c>
      <c r="C447" s="34">
        <v>36281</v>
      </c>
    </row>
    <row r="448" spans="1:3">
      <c r="A448" s="38" t="s">
        <v>748</v>
      </c>
      <c r="B448" s="36">
        <v>0</v>
      </c>
      <c r="C448" s="34">
        <v>36281</v>
      </c>
    </row>
    <row r="449" spans="1:3">
      <c r="A449" s="38" t="s">
        <v>745</v>
      </c>
      <c r="B449" s="36">
        <v>142</v>
      </c>
      <c r="C449" s="34">
        <v>36281</v>
      </c>
    </row>
    <row r="450" spans="1:3">
      <c r="A450" s="38" t="s">
        <v>756</v>
      </c>
      <c r="B450" s="36">
        <f>431.7+131.2+152.67</f>
        <v>715.56999999999994</v>
      </c>
      <c r="C450" s="34">
        <v>36281</v>
      </c>
    </row>
    <row r="451" spans="1:3">
      <c r="A451" s="38" t="s">
        <v>751</v>
      </c>
      <c r="B451" s="36">
        <v>0</v>
      </c>
      <c r="C451" s="34">
        <v>36281</v>
      </c>
    </row>
    <row r="452" spans="1:3">
      <c r="A452" s="38" t="s">
        <v>746</v>
      </c>
      <c r="B452" s="36">
        <f>608.66+521.37</f>
        <v>1130.03</v>
      </c>
      <c r="C452" s="34">
        <v>36281</v>
      </c>
    </row>
    <row r="453" spans="1:3">
      <c r="A453" s="38" t="s">
        <v>755</v>
      </c>
      <c r="B453" s="36">
        <v>287.5</v>
      </c>
      <c r="C453" s="34">
        <v>36281</v>
      </c>
    </row>
    <row r="454" spans="1:3">
      <c r="A454" s="38" t="s">
        <v>744</v>
      </c>
      <c r="B454" s="36">
        <f>30+66+98+30</f>
        <v>224</v>
      </c>
      <c r="C454" s="34">
        <v>36281</v>
      </c>
    </row>
    <row r="455" spans="1:3">
      <c r="A455" s="38" t="s">
        <v>752</v>
      </c>
      <c r="B455" s="36">
        <v>0</v>
      </c>
      <c r="C455" s="34">
        <v>36281</v>
      </c>
    </row>
    <row r="456" spans="1:3">
      <c r="A456" s="38" t="s">
        <v>754</v>
      </c>
      <c r="B456" s="36">
        <f>69.24+337.19+4.99+2.26+42.06+127.81+45.08</f>
        <v>628.63</v>
      </c>
      <c r="C456" s="34">
        <v>36281</v>
      </c>
    </row>
    <row r="457" spans="1:3">
      <c r="A457" s="38" t="s">
        <v>749</v>
      </c>
      <c r="B457" s="36">
        <f>50+20+95.72+100+120+50+40+100+50+50+100+50+50+70</f>
        <v>945.72</v>
      </c>
      <c r="C457" s="34">
        <v>36281</v>
      </c>
    </row>
    <row r="458" spans="1:3">
      <c r="A458" s="38" t="s">
        <v>747</v>
      </c>
      <c r="B458" s="36">
        <f>28042-2598</f>
        <v>25444</v>
      </c>
      <c r="C458" s="34">
        <v>36281</v>
      </c>
    </row>
    <row r="459" spans="1:3">
      <c r="A459" s="38" t="s">
        <v>743</v>
      </c>
      <c r="B459" s="36">
        <v>0</v>
      </c>
      <c r="C459" s="34">
        <v>36312</v>
      </c>
    </row>
    <row r="460" spans="1:3">
      <c r="A460" s="38" t="s">
        <v>406</v>
      </c>
      <c r="B460" s="36">
        <f>800-800+41.8</f>
        <v>41.8</v>
      </c>
      <c r="C460" s="34">
        <v>36312</v>
      </c>
    </row>
    <row r="461" spans="1:3">
      <c r="A461" s="38" t="s">
        <v>587</v>
      </c>
      <c r="B461" s="36">
        <f>215+100+840</f>
        <v>1155</v>
      </c>
      <c r="C461" s="34">
        <v>36312</v>
      </c>
    </row>
    <row r="462" spans="1:3">
      <c r="A462" s="38" t="s">
        <v>748</v>
      </c>
      <c r="B462" s="36">
        <v>0</v>
      </c>
      <c r="C462" s="34">
        <v>36312</v>
      </c>
    </row>
    <row r="463" spans="1:3">
      <c r="A463" s="38" t="s">
        <v>745</v>
      </c>
      <c r="B463" s="36">
        <v>0</v>
      </c>
      <c r="C463" s="34">
        <v>36312</v>
      </c>
    </row>
    <row r="464" spans="1:3">
      <c r="A464" s="38" t="s">
        <v>756</v>
      </c>
      <c r="B464" s="36">
        <v>385.9</v>
      </c>
      <c r="C464" s="34">
        <v>36312</v>
      </c>
    </row>
    <row r="465" spans="1:3">
      <c r="A465" s="38" t="s">
        <v>751</v>
      </c>
      <c r="B465" s="36">
        <v>0</v>
      </c>
      <c r="C465" s="34">
        <v>36312</v>
      </c>
    </row>
    <row r="466" spans="1:3">
      <c r="A466" s="38" t="s">
        <v>746</v>
      </c>
      <c r="B466" s="36">
        <v>0</v>
      </c>
      <c r="C466" s="34">
        <v>36312</v>
      </c>
    </row>
    <row r="467" spans="1:3">
      <c r="A467" s="38" t="s">
        <v>755</v>
      </c>
      <c r="B467" s="36">
        <f>250+25+2.5</f>
        <v>277.5</v>
      </c>
      <c r="C467" s="34">
        <v>36312</v>
      </c>
    </row>
    <row r="468" spans="1:3">
      <c r="A468" s="38" t="s">
        <v>744</v>
      </c>
      <c r="B468" s="36">
        <f>30+160+65+89.17+66+98+30</f>
        <v>538.17000000000007</v>
      </c>
      <c r="C468" s="34">
        <v>36312</v>
      </c>
    </row>
    <row r="469" spans="1:3">
      <c r="A469" s="38" t="s">
        <v>752</v>
      </c>
      <c r="B469" s="36">
        <v>1500</v>
      </c>
      <c r="C469" s="34">
        <v>36312</v>
      </c>
    </row>
    <row r="470" spans="1:3">
      <c r="A470" s="38" t="s">
        <v>754</v>
      </c>
      <c r="B470" s="36">
        <f>15.91+333.04+64.89+70.03+38</f>
        <v>521.87</v>
      </c>
      <c r="C470" s="34">
        <v>36312</v>
      </c>
    </row>
    <row r="471" spans="1:3">
      <c r="A471" s="38" t="s">
        <v>749</v>
      </c>
      <c r="B471" s="36">
        <f>100+150+150+20+60+130+40+20+20</f>
        <v>690</v>
      </c>
      <c r="C471" s="34">
        <v>36312</v>
      </c>
    </row>
    <row r="472" spans="1:3">
      <c r="A472" s="38" t="s">
        <v>747</v>
      </c>
      <c r="B472" s="36">
        <v>18360.759999999998</v>
      </c>
      <c r="C472" s="34">
        <v>36312</v>
      </c>
    </row>
    <row r="473" spans="1:3">
      <c r="A473" s="38" t="s">
        <v>743</v>
      </c>
      <c r="B473" s="36">
        <v>0</v>
      </c>
      <c r="C473" s="34">
        <v>36342</v>
      </c>
    </row>
    <row r="474" spans="1:3">
      <c r="A474" s="38" t="s">
        <v>406</v>
      </c>
      <c r="B474" s="36">
        <f>800-800+34.45</f>
        <v>34.450000000000003</v>
      </c>
      <c r="C474" s="34">
        <v>36342</v>
      </c>
    </row>
    <row r="475" spans="1:3">
      <c r="A475" s="38" t="s">
        <v>587</v>
      </c>
      <c r="B475" s="36">
        <f>120+15+35+802.5</f>
        <v>972.5</v>
      </c>
      <c r="C475" s="34">
        <v>36342</v>
      </c>
    </row>
    <row r="476" spans="1:3">
      <c r="A476" s="38" t="s">
        <v>748</v>
      </c>
      <c r="B476" s="36">
        <v>0</v>
      </c>
      <c r="C476" s="34">
        <v>36342</v>
      </c>
    </row>
    <row r="477" spans="1:3">
      <c r="A477" s="38" t="s">
        <v>745</v>
      </c>
      <c r="B477" s="36">
        <v>0</v>
      </c>
      <c r="C477" s="34">
        <v>36342</v>
      </c>
    </row>
    <row r="478" spans="1:3">
      <c r="A478" s="38" t="s">
        <v>757</v>
      </c>
      <c r="B478" s="36">
        <f>9.36+70.49</f>
        <v>79.849999999999994</v>
      </c>
      <c r="C478" s="34">
        <v>36342</v>
      </c>
    </row>
    <row r="479" spans="1:3">
      <c r="A479" s="38" t="s">
        <v>756</v>
      </c>
      <c r="B479" s="36">
        <f>355.53+131.2</f>
        <v>486.72999999999996</v>
      </c>
      <c r="C479" s="34">
        <v>36342</v>
      </c>
    </row>
    <row r="480" spans="1:3">
      <c r="A480" s="38" t="s">
        <v>751</v>
      </c>
      <c r="B480" s="36">
        <v>0</v>
      </c>
      <c r="C480" s="34">
        <v>36342</v>
      </c>
    </row>
    <row r="481" spans="1:3">
      <c r="A481" s="38" t="s">
        <v>746</v>
      </c>
      <c r="B481" s="36">
        <v>0</v>
      </c>
      <c r="C481" s="34">
        <v>36342</v>
      </c>
    </row>
    <row r="482" spans="1:3">
      <c r="A482" s="38" t="s">
        <v>755</v>
      </c>
      <c r="B482" s="36">
        <f>250+25+250+30.49+26.5</f>
        <v>581.99</v>
      </c>
      <c r="C482" s="34">
        <v>36342</v>
      </c>
    </row>
    <row r="483" spans="1:3">
      <c r="A483" s="38" t="s">
        <v>744</v>
      </c>
      <c r="B483" s="36">
        <f>70+30+40+66+98</f>
        <v>304</v>
      </c>
      <c r="C483" s="34">
        <v>36342</v>
      </c>
    </row>
    <row r="484" spans="1:3">
      <c r="A484" s="38" t="s">
        <v>752</v>
      </c>
      <c r="B484" s="36">
        <v>0</v>
      </c>
      <c r="C484" s="34">
        <v>36342</v>
      </c>
    </row>
    <row r="485" spans="1:3">
      <c r="A485" s="38" t="s">
        <v>754</v>
      </c>
      <c r="B485" s="36">
        <f>127.81+38+318.52+71.82+47.52+2.26+4.89</f>
        <v>610.81999999999994</v>
      </c>
      <c r="C485" s="34">
        <v>36342</v>
      </c>
    </row>
    <row r="486" spans="1:3">
      <c r="A486" s="38" t="s">
        <v>749</v>
      </c>
      <c r="B486" s="36">
        <f>30+35+60+100+30+20+40+556+150+60+3013</f>
        <v>4094</v>
      </c>
      <c r="C486" s="34">
        <v>36342</v>
      </c>
    </row>
    <row r="487" spans="1:3">
      <c r="A487" s="38" t="s">
        <v>747</v>
      </c>
      <c r="B487" s="36">
        <f>22812.2221428761-759</f>
        <v>22053.2221428761</v>
      </c>
      <c r="C487" s="34">
        <v>36342</v>
      </c>
    </row>
    <row r="488" spans="1:3">
      <c r="A488" s="38" t="s">
        <v>743</v>
      </c>
      <c r="B488" s="36">
        <v>0</v>
      </c>
      <c r="C488" s="34">
        <v>36373</v>
      </c>
    </row>
    <row r="489" spans="1:3">
      <c r="A489" s="38" t="s">
        <v>406</v>
      </c>
      <c r="B489" s="36">
        <f>800-800</f>
        <v>0</v>
      </c>
      <c r="C489" s="34">
        <v>36373</v>
      </c>
    </row>
    <row r="490" spans="1:3">
      <c r="A490" s="38" t="s">
        <v>587</v>
      </c>
      <c r="B490" s="36">
        <f>200+100+612.5</f>
        <v>912.5</v>
      </c>
      <c r="C490" s="34">
        <v>36373</v>
      </c>
    </row>
    <row r="491" spans="1:3">
      <c r="A491" s="38" t="s">
        <v>748</v>
      </c>
      <c r="B491" s="36">
        <v>0</v>
      </c>
      <c r="C491" s="34">
        <v>36373</v>
      </c>
    </row>
    <row r="492" spans="1:3">
      <c r="A492" s="38" t="s">
        <v>745</v>
      </c>
      <c r="B492" s="36">
        <v>0</v>
      </c>
      <c r="C492" s="34">
        <v>36373</v>
      </c>
    </row>
    <row r="493" spans="1:3">
      <c r="A493" s="38" t="s">
        <v>757</v>
      </c>
      <c r="B493" s="36">
        <v>72.760000000000005</v>
      </c>
      <c r="C493" s="34">
        <v>36373</v>
      </c>
    </row>
    <row r="494" spans="1:3">
      <c r="A494" s="38" t="s">
        <v>756</v>
      </c>
      <c r="B494" s="36">
        <f>373.17+171.7</f>
        <v>544.87</v>
      </c>
      <c r="C494" s="34">
        <v>36373</v>
      </c>
    </row>
    <row r="495" spans="1:3">
      <c r="A495" s="38" t="s">
        <v>751</v>
      </c>
      <c r="B495" s="36">
        <v>0</v>
      </c>
      <c r="C495" s="34">
        <v>36373</v>
      </c>
    </row>
    <row r="496" spans="1:3">
      <c r="A496" s="38" t="s">
        <v>746</v>
      </c>
      <c r="B496" s="36">
        <v>0</v>
      </c>
      <c r="C496" s="34">
        <v>36373</v>
      </c>
    </row>
    <row r="497" spans="1:3">
      <c r="A497" s="38" t="s">
        <v>755</v>
      </c>
      <c r="B497" s="36">
        <f>50+250+25+900</f>
        <v>1225</v>
      </c>
      <c r="C497" s="34">
        <v>36373</v>
      </c>
    </row>
    <row r="498" spans="1:3">
      <c r="A498" s="38" t="s">
        <v>744</v>
      </c>
      <c r="B498" s="36">
        <f>55+25+98+66+20+30</f>
        <v>294</v>
      </c>
      <c r="C498" s="34">
        <v>36373</v>
      </c>
    </row>
    <row r="499" spans="1:3">
      <c r="A499" s="38" t="s">
        <v>752</v>
      </c>
      <c r="B499" s="36">
        <v>0</v>
      </c>
      <c r="C499" s="34">
        <v>36373</v>
      </c>
    </row>
    <row r="500" spans="1:3">
      <c r="A500" s="38" t="s">
        <v>754</v>
      </c>
      <c r="B500" s="36">
        <f>123.88+331.4+68.43+15.94+38+48.5</f>
        <v>626.15000000000009</v>
      </c>
      <c r="C500" s="34">
        <v>36373</v>
      </c>
    </row>
    <row r="501" spans="1:3">
      <c r="A501" s="38" t="s">
        <v>749</v>
      </c>
      <c r="B501" s="36">
        <f>62+100+145+30+20+130+30+100+105+25+30+25+300+50</f>
        <v>1152</v>
      </c>
      <c r="C501" s="34">
        <v>36373</v>
      </c>
    </row>
    <row r="502" spans="1:3">
      <c r="A502" s="38" t="s">
        <v>747</v>
      </c>
      <c r="B502" s="36">
        <v>48179.104755776701</v>
      </c>
      <c r="C502" s="34">
        <v>36373</v>
      </c>
    </row>
    <row r="503" spans="1:3">
      <c r="A503" s="38" t="s">
        <v>743</v>
      </c>
      <c r="B503" s="36">
        <v>0</v>
      </c>
      <c r="C503" s="34">
        <v>36404</v>
      </c>
    </row>
    <row r="504" spans="1:3">
      <c r="A504" s="38" t="s">
        <v>406</v>
      </c>
      <c r="B504" s="36">
        <f>-800+1000</f>
        <v>200</v>
      </c>
      <c r="C504" s="34">
        <v>36404</v>
      </c>
    </row>
    <row r="505" spans="1:3">
      <c r="A505" s="38" t="s">
        <v>587</v>
      </c>
      <c r="B505" s="36">
        <f>220+100+662.5</f>
        <v>982.5</v>
      </c>
      <c r="C505" s="34">
        <v>36404</v>
      </c>
    </row>
    <row r="506" spans="1:3">
      <c r="A506" s="38" t="s">
        <v>748</v>
      </c>
      <c r="B506" s="36">
        <v>0</v>
      </c>
      <c r="C506" s="34">
        <v>36404</v>
      </c>
    </row>
    <row r="507" spans="1:3">
      <c r="A507" s="38" t="s">
        <v>745</v>
      </c>
      <c r="B507" s="36">
        <v>213</v>
      </c>
      <c r="C507" s="34">
        <v>36404</v>
      </c>
    </row>
    <row r="508" spans="1:3">
      <c r="A508" s="38" t="s">
        <v>757</v>
      </c>
      <c r="B508" s="36">
        <f>9.36+68.08</f>
        <v>77.44</v>
      </c>
      <c r="C508" s="34">
        <v>36404</v>
      </c>
    </row>
    <row r="509" spans="1:3">
      <c r="A509" s="38" t="s">
        <v>758</v>
      </c>
      <c r="B509" s="36">
        <v>76.5</v>
      </c>
      <c r="C509" s="34">
        <v>36404</v>
      </c>
    </row>
    <row r="510" spans="1:3">
      <c r="A510" s="38" t="s">
        <v>756</v>
      </c>
      <c r="B510" s="36">
        <f>376.15+159.91+131.2</f>
        <v>667.26</v>
      </c>
      <c r="C510" s="34">
        <v>36404</v>
      </c>
    </row>
    <row r="511" spans="1:3">
      <c r="A511" s="38" t="s">
        <v>746</v>
      </c>
      <c r="B511" s="36">
        <f>278.06+664.68+490.13+184.47</f>
        <v>1617.34</v>
      </c>
      <c r="C511" s="34">
        <v>36404</v>
      </c>
    </row>
    <row r="512" spans="1:3">
      <c r="A512" s="38" t="s">
        <v>755</v>
      </c>
      <c r="B512" s="36">
        <f>27.99+50+25</f>
        <v>102.99</v>
      </c>
      <c r="C512" s="34">
        <v>36404</v>
      </c>
    </row>
    <row r="513" spans="1:3">
      <c r="A513" s="38" t="s">
        <v>744</v>
      </c>
      <c r="B513" s="36">
        <f>92.73+30+30+30</f>
        <v>182.73000000000002</v>
      </c>
      <c r="C513" s="34">
        <v>36404</v>
      </c>
    </row>
    <row r="514" spans="1:3">
      <c r="A514" s="38" t="s">
        <v>752</v>
      </c>
      <c r="B514" s="36">
        <v>0</v>
      </c>
      <c r="C514" s="34">
        <v>36404</v>
      </c>
    </row>
    <row r="515" spans="1:3">
      <c r="A515" s="38" t="s">
        <v>754</v>
      </c>
      <c r="B515" s="36">
        <f>53.49+322.11+127.81+38</f>
        <v>541.41000000000008</v>
      </c>
      <c r="C515" s="34">
        <v>36404</v>
      </c>
    </row>
    <row r="516" spans="1:3">
      <c r="A516" s="38" t="s">
        <v>749</v>
      </c>
      <c r="B516" s="36">
        <f>100+50+250+125+50+150+50+400+20+130+50</f>
        <v>1375</v>
      </c>
      <c r="C516" s="34">
        <v>36404</v>
      </c>
    </row>
    <row r="517" spans="1:3">
      <c r="A517" s="38" t="s">
        <v>747</v>
      </c>
      <c r="B517" s="36">
        <v>43186.205268990481</v>
      </c>
      <c r="C517" s="34">
        <v>36404</v>
      </c>
    </row>
    <row r="518" spans="1:3">
      <c r="A518" s="38" t="s">
        <v>743</v>
      </c>
      <c r="B518" s="36">
        <v>0</v>
      </c>
      <c r="C518" s="34">
        <v>36434</v>
      </c>
    </row>
    <row r="519" spans="1:3">
      <c r="A519" s="38" t="s">
        <v>406</v>
      </c>
      <c r="B519" s="36">
        <f>800-800+200+33.23</f>
        <v>233.23</v>
      </c>
      <c r="C519" s="34">
        <v>36434</v>
      </c>
    </row>
    <row r="520" spans="1:3">
      <c r="A520" s="38" t="s">
        <v>587</v>
      </c>
      <c r="B520" s="36">
        <f>220+100+662.5+387+250</f>
        <v>1619.5</v>
      </c>
      <c r="C520" s="34">
        <v>36434</v>
      </c>
    </row>
    <row r="521" spans="1:3">
      <c r="A521" s="38" t="s">
        <v>748</v>
      </c>
      <c r="B521" s="36">
        <v>0</v>
      </c>
      <c r="C521" s="34">
        <v>36434</v>
      </c>
    </row>
    <row r="522" spans="1:3">
      <c r="A522" s="38" t="s">
        <v>745</v>
      </c>
      <c r="B522" s="36">
        <v>0</v>
      </c>
      <c r="C522" s="34">
        <v>36434</v>
      </c>
    </row>
    <row r="523" spans="1:3">
      <c r="A523" s="38" t="s">
        <v>757</v>
      </c>
      <c r="B523" s="36">
        <v>78.75</v>
      </c>
      <c r="C523" s="34">
        <v>36434</v>
      </c>
    </row>
    <row r="524" spans="1:3">
      <c r="A524" s="38" t="s">
        <v>758</v>
      </c>
      <c r="B524" s="36">
        <v>0</v>
      </c>
      <c r="C524" s="34">
        <v>36434</v>
      </c>
    </row>
    <row r="525" spans="1:3">
      <c r="A525" s="38" t="s">
        <v>756</v>
      </c>
      <c r="B525" s="36">
        <v>376.15</v>
      </c>
      <c r="C525" s="34">
        <v>36434</v>
      </c>
    </row>
    <row r="526" spans="1:3">
      <c r="A526" s="38" t="s">
        <v>759</v>
      </c>
      <c r="B526" s="36">
        <v>400</v>
      </c>
      <c r="C526" s="34">
        <v>36434</v>
      </c>
    </row>
    <row r="527" spans="1:3">
      <c r="A527" s="38" t="s">
        <v>746</v>
      </c>
      <c r="B527" s="36">
        <f>278+664.68+490.13+184.47</f>
        <v>1617.28</v>
      </c>
      <c r="C527" s="34">
        <v>36434</v>
      </c>
    </row>
    <row r="528" spans="1:3">
      <c r="A528" s="38" t="s">
        <v>755</v>
      </c>
      <c r="B528" s="36">
        <v>525</v>
      </c>
      <c r="C528" s="34">
        <v>36434</v>
      </c>
    </row>
    <row r="529" spans="1:3">
      <c r="A529" s="38" t="s">
        <v>744</v>
      </c>
      <c r="B529" s="36">
        <f>20+30+30</f>
        <v>80</v>
      </c>
      <c r="C529" s="34">
        <v>36434</v>
      </c>
    </row>
    <row r="530" spans="1:3">
      <c r="A530" s="38" t="s">
        <v>752</v>
      </c>
      <c r="B530" s="36">
        <v>0</v>
      </c>
      <c r="C530" s="34">
        <v>36434</v>
      </c>
    </row>
    <row r="531" spans="1:3">
      <c r="A531" s="38" t="s">
        <v>754</v>
      </c>
      <c r="B531" s="36">
        <f>245.4+51.4+38+45.06+16.16+5.28+2.39</f>
        <v>403.69</v>
      </c>
      <c r="C531" s="34">
        <v>36434</v>
      </c>
    </row>
    <row r="532" spans="1:3">
      <c r="A532" s="38" t="s">
        <v>749</v>
      </c>
      <c r="B532" s="36">
        <f>1100+50+50+30+110+50+30+170+30+110+30+70</f>
        <v>1830</v>
      </c>
      <c r="C532" s="34">
        <v>36434</v>
      </c>
    </row>
    <row r="533" spans="1:3">
      <c r="A533" s="38" t="s">
        <v>747</v>
      </c>
      <c r="B533" s="36">
        <v>21920.963392777368</v>
      </c>
      <c r="C533" s="34">
        <v>36434</v>
      </c>
    </row>
    <row r="534" spans="1:3">
      <c r="A534" s="38" t="s">
        <v>743</v>
      </c>
      <c r="B534" s="36">
        <v>0</v>
      </c>
      <c r="C534" s="34">
        <v>36465</v>
      </c>
    </row>
    <row r="535" spans="1:3">
      <c r="A535" s="38" t="s">
        <v>406</v>
      </c>
      <c r="B535" s="36">
        <f>800-800+200</f>
        <v>200</v>
      </c>
      <c r="C535" s="34">
        <v>36465</v>
      </c>
    </row>
    <row r="536" spans="1:3">
      <c r="A536" s="38" t="s">
        <v>587</v>
      </c>
      <c r="B536" s="36">
        <f>215+100+662.5</f>
        <v>977.5</v>
      </c>
      <c r="C536" s="34">
        <v>36465</v>
      </c>
    </row>
    <row r="537" spans="1:3">
      <c r="A537" s="38" t="s">
        <v>748</v>
      </c>
      <c r="B537" s="36">
        <v>0</v>
      </c>
      <c r="C537" s="34">
        <v>36465</v>
      </c>
    </row>
    <row r="538" spans="1:3">
      <c r="A538" s="38" t="s">
        <v>745</v>
      </c>
      <c r="B538" s="36">
        <v>142</v>
      </c>
      <c r="C538" s="34">
        <v>36465</v>
      </c>
    </row>
    <row r="539" spans="1:3">
      <c r="A539" s="38" t="s">
        <v>757</v>
      </c>
      <c r="B539" s="36">
        <v>0</v>
      </c>
      <c r="C539" s="34">
        <v>36465</v>
      </c>
    </row>
    <row r="540" spans="1:3">
      <c r="A540" s="38" t="s">
        <v>758</v>
      </c>
      <c r="B540" s="36">
        <v>0</v>
      </c>
      <c r="C540" s="34">
        <v>36465</v>
      </c>
    </row>
    <row r="541" spans="1:3">
      <c r="A541" s="38" t="s">
        <v>756</v>
      </c>
      <c r="B541" s="36">
        <f>376.5+131.2+160.17</f>
        <v>667.87</v>
      </c>
      <c r="C541" s="34">
        <v>36465</v>
      </c>
    </row>
    <row r="542" spans="1:3">
      <c r="A542" s="38" t="s">
        <v>759</v>
      </c>
      <c r="B542" s="36">
        <f>200+250+10+230+480+225+375+800+889+290</f>
        <v>3749</v>
      </c>
      <c r="C542" s="34">
        <v>36465</v>
      </c>
    </row>
    <row r="543" spans="1:3">
      <c r="A543" s="38" t="s">
        <v>746</v>
      </c>
      <c r="B543" s="36">
        <v>0</v>
      </c>
      <c r="C543" s="34">
        <v>36465</v>
      </c>
    </row>
    <row r="544" spans="1:3">
      <c r="A544" s="38" t="s">
        <v>755</v>
      </c>
      <c r="B544" s="36">
        <f>29.57+190+75</f>
        <v>294.57</v>
      </c>
      <c r="C544" s="34">
        <v>36465</v>
      </c>
    </row>
    <row r="545" spans="1:3">
      <c r="A545" s="38" t="s">
        <v>744</v>
      </c>
      <c r="B545" s="36">
        <f>30+30</f>
        <v>60</v>
      </c>
      <c r="C545" s="34">
        <v>36465</v>
      </c>
    </row>
    <row r="546" spans="1:3">
      <c r="A546" s="38" t="s">
        <v>752</v>
      </c>
      <c r="B546" s="36">
        <v>0</v>
      </c>
      <c r="C546" s="34">
        <v>36465</v>
      </c>
    </row>
    <row r="547" spans="1:3">
      <c r="A547" s="38" t="s">
        <v>754</v>
      </c>
      <c r="B547" s="36">
        <f>38+324.8+53.8+2.26+49.85+56.49+46.5</f>
        <v>571.70000000000005</v>
      </c>
      <c r="C547" s="34">
        <v>36465</v>
      </c>
    </row>
    <row r="548" spans="1:3">
      <c r="A548" s="38" t="s">
        <v>749</v>
      </c>
      <c r="B548" s="36">
        <f>150+21+144+159+35+290+60</f>
        <v>859</v>
      </c>
      <c r="C548" s="34">
        <v>36465</v>
      </c>
    </row>
    <row r="549" spans="1:3">
      <c r="A549" s="38" t="s">
        <v>747</v>
      </c>
      <c r="B549" s="36">
        <v>24158.710671825334</v>
      </c>
      <c r="C549" s="34">
        <v>36465</v>
      </c>
    </row>
    <row r="550" spans="1:3">
      <c r="A550" s="38" t="s">
        <v>743</v>
      </c>
      <c r="B550" s="36">
        <v>0</v>
      </c>
      <c r="C550" s="34">
        <v>36495</v>
      </c>
    </row>
    <row r="551" spans="1:3">
      <c r="A551" s="38" t="s">
        <v>406</v>
      </c>
      <c r="B551" s="36">
        <v>33.75</v>
      </c>
      <c r="C551" s="34">
        <v>36495</v>
      </c>
    </row>
    <row r="552" spans="1:3">
      <c r="A552" s="38" t="s">
        <v>587</v>
      </c>
      <c r="B552" s="36">
        <v>662.5</v>
      </c>
      <c r="C552" s="34">
        <v>36495</v>
      </c>
    </row>
    <row r="553" spans="1:3">
      <c r="A553" s="38" t="s">
        <v>748</v>
      </c>
      <c r="B553" s="36">
        <v>0</v>
      </c>
      <c r="C553" s="34">
        <v>36495</v>
      </c>
    </row>
    <row r="554" spans="1:3">
      <c r="A554" s="38" t="s">
        <v>745</v>
      </c>
      <c r="B554" s="36">
        <v>0</v>
      </c>
      <c r="C554" s="34">
        <v>36495</v>
      </c>
    </row>
    <row r="555" spans="1:3">
      <c r="A555" s="38" t="s">
        <v>757</v>
      </c>
      <c r="B555" s="36">
        <v>106.51</v>
      </c>
      <c r="C555" s="34">
        <v>36495</v>
      </c>
    </row>
    <row r="556" spans="1:3">
      <c r="A556" s="38" t="s">
        <v>758</v>
      </c>
      <c r="B556" s="36">
        <v>0</v>
      </c>
      <c r="C556" s="34">
        <v>36495</v>
      </c>
    </row>
    <row r="557" spans="1:3">
      <c r="A557" s="38" t="s">
        <v>756</v>
      </c>
      <c r="B557" s="36">
        <v>376.17</v>
      </c>
      <c r="C557" s="34">
        <v>36495</v>
      </c>
    </row>
    <row r="558" spans="1:3">
      <c r="A558" s="38" t="s">
        <v>759</v>
      </c>
      <c r="B558" s="36">
        <v>500</v>
      </c>
      <c r="C558" s="34">
        <v>36495</v>
      </c>
    </row>
    <row r="559" spans="1:3">
      <c r="A559" s="38" t="s">
        <v>746</v>
      </c>
      <c r="B559" s="36">
        <v>1617.34</v>
      </c>
      <c r="C559" s="34">
        <v>36495</v>
      </c>
    </row>
    <row r="560" spans="1:3">
      <c r="A560" s="38" t="s">
        <v>760</v>
      </c>
      <c r="B560" s="36">
        <f>814.2-289-200</f>
        <v>325.20000000000005</v>
      </c>
      <c r="C560" s="34">
        <v>36495</v>
      </c>
    </row>
    <row r="561" spans="1:4">
      <c r="A561" s="38" t="s">
        <v>761</v>
      </c>
      <c r="B561" s="36">
        <f>289+200</f>
        <v>489</v>
      </c>
      <c r="C561" s="34">
        <v>36495</v>
      </c>
    </row>
    <row r="562" spans="1:4">
      <c r="A562" s="38" t="s">
        <v>755</v>
      </c>
      <c r="B562" s="36">
        <v>190</v>
      </c>
      <c r="C562" s="34">
        <v>36495</v>
      </c>
    </row>
    <row r="563" spans="1:4">
      <c r="A563" s="38" t="s">
        <v>744</v>
      </c>
      <c r="B563" s="36">
        <f>90+92+67</f>
        <v>249</v>
      </c>
      <c r="C563" s="34">
        <v>36495</v>
      </c>
    </row>
    <row r="564" spans="1:4">
      <c r="A564" s="38" t="s">
        <v>752</v>
      </c>
      <c r="B564" s="36">
        <v>0</v>
      </c>
      <c r="C564" s="34">
        <v>36495</v>
      </c>
    </row>
    <row r="565" spans="1:4">
      <c r="A565" s="38" t="s">
        <v>754</v>
      </c>
      <c r="B565" s="36">
        <v>571.41</v>
      </c>
      <c r="C565" s="34">
        <v>36495</v>
      </c>
    </row>
    <row r="566" spans="1:4">
      <c r="A566" s="38" t="s">
        <v>749</v>
      </c>
      <c r="B566" s="36">
        <v>2148</v>
      </c>
      <c r="C566" s="34">
        <v>36495</v>
      </c>
    </row>
    <row r="567" spans="1:4">
      <c r="A567" s="38" t="s">
        <v>747</v>
      </c>
      <c r="B567" s="36">
        <v>28746.896732289344</v>
      </c>
      <c r="C567" s="34">
        <v>36495</v>
      </c>
      <c r="D567" s="21">
        <f>SUBTOTAL(9,B403:B567)</f>
        <v>391028.22194209829</v>
      </c>
    </row>
    <row r="568" spans="1:4">
      <c r="A568" s="38" t="s">
        <v>743</v>
      </c>
      <c r="B568" s="36">
        <v>0</v>
      </c>
      <c r="C568" s="34">
        <v>36526</v>
      </c>
    </row>
    <row r="569" spans="1:4">
      <c r="A569" s="38" t="s">
        <v>406</v>
      </c>
      <c r="B569" s="36">
        <f>60.94+800+38+41-800+33.8+18.76</f>
        <v>192.50000000000006</v>
      </c>
      <c r="C569" s="34">
        <v>36526</v>
      </c>
    </row>
    <row r="570" spans="1:4">
      <c r="A570" s="38" t="s">
        <v>587</v>
      </c>
      <c r="B570" s="36">
        <v>279</v>
      </c>
      <c r="C570" s="34">
        <v>36526</v>
      </c>
    </row>
    <row r="571" spans="1:4">
      <c r="A571" s="38" t="s">
        <v>748</v>
      </c>
      <c r="B571" s="36">
        <v>0</v>
      </c>
      <c r="C571" s="34">
        <v>36526</v>
      </c>
    </row>
    <row r="572" spans="1:4">
      <c r="A572" s="38" t="s">
        <v>745</v>
      </c>
      <c r="B572" s="36">
        <v>284</v>
      </c>
      <c r="C572" s="34">
        <v>36526</v>
      </c>
    </row>
    <row r="573" spans="1:4">
      <c r="A573" s="38" t="s">
        <v>757</v>
      </c>
      <c r="B573" s="36">
        <v>102.02</v>
      </c>
      <c r="C573" s="34">
        <v>36526</v>
      </c>
    </row>
    <row r="574" spans="1:4">
      <c r="A574" s="38" t="s">
        <v>758</v>
      </c>
      <c r="B574" s="36">
        <v>0</v>
      </c>
      <c r="C574" s="34">
        <v>36526</v>
      </c>
    </row>
    <row r="575" spans="1:4">
      <c r="A575" s="38" t="s">
        <v>756</v>
      </c>
      <c r="B575" s="36">
        <f>376+131.2</f>
        <v>507.2</v>
      </c>
      <c r="C575" s="34">
        <v>36526</v>
      </c>
    </row>
    <row r="576" spans="1:4">
      <c r="A576" s="38" t="s">
        <v>759</v>
      </c>
      <c r="B576" s="36">
        <v>16.010000000000002</v>
      </c>
      <c r="C576" s="34">
        <v>36526</v>
      </c>
    </row>
    <row r="577" spans="1:3">
      <c r="A577" s="38" t="s">
        <v>746</v>
      </c>
      <c r="B577" s="36">
        <v>0</v>
      </c>
      <c r="C577" s="34">
        <v>36526</v>
      </c>
    </row>
    <row r="578" spans="1:3">
      <c r="A578" s="38" t="s">
        <v>760</v>
      </c>
      <c r="B578" s="36">
        <v>0</v>
      </c>
      <c r="C578" s="34">
        <v>36526</v>
      </c>
    </row>
    <row r="579" spans="1:3">
      <c r="A579" s="38" t="s">
        <v>761</v>
      </c>
      <c r="B579" s="36">
        <f>100+300+5.65</f>
        <v>405.65</v>
      </c>
      <c r="C579" s="34">
        <v>36526</v>
      </c>
    </row>
    <row r="580" spans="1:3">
      <c r="A580" s="38" t="s">
        <v>755</v>
      </c>
      <c r="B580" s="36">
        <v>190</v>
      </c>
      <c r="C580" s="34">
        <v>36526</v>
      </c>
    </row>
    <row r="581" spans="1:3">
      <c r="A581" s="38" t="s">
        <v>744</v>
      </c>
      <c r="B581" s="36">
        <f>92+64+30+36+49+30+20+48+476.51+43+45+17.8+17.8</f>
        <v>969.1099999999999</v>
      </c>
      <c r="C581" s="34">
        <v>36526</v>
      </c>
    </row>
    <row r="582" spans="1:3">
      <c r="A582" s="38" t="s">
        <v>752</v>
      </c>
      <c r="B582" s="36">
        <v>0</v>
      </c>
      <c r="C582" s="34">
        <v>36526</v>
      </c>
    </row>
    <row r="583" spans="1:3">
      <c r="A583" s="38" t="s">
        <v>754</v>
      </c>
      <c r="B583" s="36">
        <f>127.81+688+367.46+60.59+38+8.03+49.83+2.26</f>
        <v>1341.9799999999998</v>
      </c>
      <c r="C583" s="34">
        <v>36526</v>
      </c>
    </row>
    <row r="584" spans="1:3">
      <c r="A584" s="38" t="s">
        <v>749</v>
      </c>
      <c r="B584" s="36">
        <f>185+40+20+219+100+74.58+80+30+80+50+40+190+50+20+300+165+30+40</f>
        <v>1713.58</v>
      </c>
      <c r="C584" s="34">
        <v>36526</v>
      </c>
    </row>
    <row r="585" spans="1:3">
      <c r="A585" s="38" t="s">
        <v>762</v>
      </c>
      <c r="B585" s="36">
        <v>0</v>
      </c>
      <c r="C585" s="34">
        <v>36526</v>
      </c>
    </row>
    <row r="586" spans="1:3">
      <c r="A586" s="38" t="s">
        <v>747</v>
      </c>
      <c r="B586" s="36">
        <v>30162.033931831829</v>
      </c>
      <c r="C586" s="34">
        <v>36526</v>
      </c>
    </row>
    <row r="587" spans="1:3">
      <c r="A587" s="38" t="s">
        <v>743</v>
      </c>
      <c r="B587" s="36">
        <v>0</v>
      </c>
      <c r="C587" s="34">
        <v>36557</v>
      </c>
    </row>
    <row r="588" spans="1:3">
      <c r="A588" s="38" t="s">
        <v>406</v>
      </c>
      <c r="B588" s="36">
        <f>800-800+112+41.4</f>
        <v>153.4</v>
      </c>
      <c r="C588" s="34">
        <v>36557</v>
      </c>
    </row>
    <row r="589" spans="1:3">
      <c r="A589" s="38" t="s">
        <v>587</v>
      </c>
      <c r="B589" s="36">
        <v>0</v>
      </c>
      <c r="C589" s="34">
        <v>36557</v>
      </c>
    </row>
    <row r="590" spans="1:3">
      <c r="A590" s="38" t="s">
        <v>748</v>
      </c>
      <c r="B590" s="36">
        <v>0</v>
      </c>
      <c r="C590" s="34">
        <v>36557</v>
      </c>
    </row>
    <row r="591" spans="1:3">
      <c r="A591" s="38" t="s">
        <v>745</v>
      </c>
      <c r="B591" s="36">
        <v>0</v>
      </c>
      <c r="C591" s="34">
        <v>36557</v>
      </c>
    </row>
    <row r="592" spans="1:3">
      <c r="A592" s="38" t="s">
        <v>757</v>
      </c>
      <c r="B592" s="36">
        <v>106.51</v>
      </c>
      <c r="C592" s="34">
        <v>36557</v>
      </c>
    </row>
    <row r="593" spans="1:3">
      <c r="A593" s="38" t="s">
        <v>758</v>
      </c>
      <c r="B593" s="36">
        <v>0</v>
      </c>
      <c r="C593" s="34">
        <v>36557</v>
      </c>
    </row>
    <row r="594" spans="1:3">
      <c r="A594" s="38" t="s">
        <v>756</v>
      </c>
      <c r="B594" s="36">
        <f>376.15+165.4</f>
        <v>541.54999999999995</v>
      </c>
      <c r="C594" s="34">
        <v>36557</v>
      </c>
    </row>
    <row r="595" spans="1:3">
      <c r="A595" s="38" t="s">
        <v>759</v>
      </c>
      <c r="B595" s="36">
        <v>0</v>
      </c>
      <c r="C595" s="34">
        <v>36557</v>
      </c>
    </row>
    <row r="596" spans="1:3">
      <c r="A596" s="38" t="s">
        <v>746</v>
      </c>
      <c r="B596" s="36">
        <v>0</v>
      </c>
      <c r="C596" s="34">
        <v>36557</v>
      </c>
    </row>
    <row r="597" spans="1:3">
      <c r="A597" s="38" t="s">
        <v>760</v>
      </c>
      <c r="B597" s="36">
        <v>0</v>
      </c>
      <c r="C597" s="34">
        <v>36557</v>
      </c>
    </row>
    <row r="598" spans="1:3">
      <c r="A598" s="38" t="s">
        <v>761</v>
      </c>
      <c r="B598" s="36">
        <v>0</v>
      </c>
      <c r="C598" s="34">
        <v>36557</v>
      </c>
    </row>
    <row r="599" spans="1:3">
      <c r="A599" s="38" t="s">
        <v>755</v>
      </c>
      <c r="B599" s="36">
        <v>190</v>
      </c>
      <c r="C599" s="34">
        <v>36557</v>
      </c>
    </row>
    <row r="600" spans="1:3">
      <c r="A600" s="38" t="s">
        <v>744</v>
      </c>
      <c r="B600" s="36">
        <f>30+25+17.8*2+45+78.03+47+53+17.8+17.8+8.5+17.8+42+17.8+15+35+92+64</f>
        <v>641.33000000000004</v>
      </c>
      <c r="C600" s="34">
        <v>36557</v>
      </c>
    </row>
    <row r="601" spans="1:3">
      <c r="A601" s="38" t="s">
        <v>752</v>
      </c>
      <c r="B601" s="36">
        <v>0</v>
      </c>
      <c r="C601" s="34">
        <v>36557</v>
      </c>
    </row>
    <row r="602" spans="1:3">
      <c r="A602" s="38" t="s">
        <v>754</v>
      </c>
      <c r="B602" s="36">
        <f>16.03+356.41+68.65+38+73.6+46.89</f>
        <v>599.58000000000004</v>
      </c>
      <c r="C602" s="34">
        <v>36557</v>
      </c>
    </row>
    <row r="603" spans="1:3">
      <c r="A603" s="38" t="s">
        <v>749</v>
      </c>
      <c r="B603" s="36">
        <f>100+1508+300+40+80+15+50+30+30+55+30+20+30</f>
        <v>2288</v>
      </c>
      <c r="C603" s="34">
        <v>36557</v>
      </c>
    </row>
    <row r="604" spans="1:3">
      <c r="A604" s="38" t="s">
        <v>762</v>
      </c>
      <c r="B604" s="36">
        <v>0</v>
      </c>
      <c r="C604" s="34">
        <v>36557</v>
      </c>
    </row>
    <row r="605" spans="1:3">
      <c r="A605" s="38" t="s">
        <v>747</v>
      </c>
      <c r="B605" s="36">
        <v>42106.690816570539</v>
      </c>
      <c r="C605" s="34">
        <v>36557</v>
      </c>
    </row>
    <row r="606" spans="1:3">
      <c r="A606" s="38" t="s">
        <v>743</v>
      </c>
      <c r="B606" s="36">
        <v>0</v>
      </c>
      <c r="C606" s="34">
        <v>36586</v>
      </c>
    </row>
    <row r="607" spans="1:3">
      <c r="A607" s="38" t="s">
        <v>406</v>
      </c>
      <c r="B607" s="36">
        <f>800-800+60.94</f>
        <v>60.94</v>
      </c>
      <c r="C607" s="34">
        <v>36586</v>
      </c>
    </row>
    <row r="608" spans="1:3">
      <c r="A608" s="38" t="s">
        <v>587</v>
      </c>
      <c r="B608" s="36">
        <f>200+120+682.5</f>
        <v>1002.5</v>
      </c>
      <c r="C608" s="34">
        <v>36586</v>
      </c>
    </row>
    <row r="609" spans="1:3">
      <c r="A609" s="38" t="s">
        <v>748</v>
      </c>
      <c r="B609" s="36">
        <v>0</v>
      </c>
      <c r="C609" s="34">
        <v>36586</v>
      </c>
    </row>
    <row r="610" spans="1:3">
      <c r="A610" s="38" t="s">
        <v>745</v>
      </c>
      <c r="B610" s="36">
        <v>0</v>
      </c>
      <c r="C610" s="34">
        <v>36586</v>
      </c>
    </row>
    <row r="611" spans="1:3">
      <c r="A611" s="38" t="s">
        <v>757</v>
      </c>
      <c r="B611" s="36">
        <f>67.49+80</f>
        <v>147.49</v>
      </c>
      <c r="C611" s="34">
        <v>36586</v>
      </c>
    </row>
    <row r="612" spans="1:3">
      <c r="A612" s="38" t="s">
        <v>758</v>
      </c>
      <c r="B612" s="36">
        <v>0</v>
      </c>
      <c r="C612" s="34">
        <v>36586</v>
      </c>
    </row>
    <row r="613" spans="1:3">
      <c r="A613" s="38" t="s">
        <v>756</v>
      </c>
      <c r="B613" s="36">
        <f>131.2+376.15</f>
        <v>507.34999999999997</v>
      </c>
      <c r="C613" s="34">
        <v>36586</v>
      </c>
    </row>
    <row r="614" spans="1:3">
      <c r="A614" s="38" t="s">
        <v>759</v>
      </c>
      <c r="B614" s="36">
        <v>250</v>
      </c>
      <c r="C614" s="34">
        <v>36586</v>
      </c>
    </row>
    <row r="615" spans="1:3">
      <c r="A615" s="38" t="s">
        <v>746</v>
      </c>
      <c r="B615" s="36">
        <f>664.68+278.06+490.13+184.47</f>
        <v>1617.34</v>
      </c>
      <c r="C615" s="34">
        <v>36586</v>
      </c>
    </row>
    <row r="616" spans="1:3">
      <c r="A616" s="38" t="s">
        <v>760</v>
      </c>
      <c r="B616" s="36">
        <v>30</v>
      </c>
      <c r="C616" s="34">
        <v>36586</v>
      </c>
    </row>
    <row r="617" spans="1:3">
      <c r="A617" s="38" t="s">
        <v>761</v>
      </c>
      <c r="B617" s="36">
        <v>302</v>
      </c>
      <c r="C617" s="34">
        <v>36586</v>
      </c>
    </row>
    <row r="618" spans="1:3">
      <c r="A618" s="38" t="s">
        <v>755</v>
      </c>
      <c r="B618" s="36">
        <v>190</v>
      </c>
      <c r="C618" s="34">
        <v>36586</v>
      </c>
    </row>
    <row r="619" spans="1:3">
      <c r="A619" s="38" t="s">
        <v>744</v>
      </c>
      <c r="B619" s="36">
        <f>92+64+30+30</f>
        <v>216</v>
      </c>
      <c r="C619" s="34">
        <v>36586</v>
      </c>
    </row>
    <row r="620" spans="1:3">
      <c r="A620" s="38" t="s">
        <v>752</v>
      </c>
      <c r="B620" s="36">
        <v>0</v>
      </c>
      <c r="C620" s="34">
        <v>36586</v>
      </c>
    </row>
    <row r="621" spans="1:3">
      <c r="A621" s="38" t="s">
        <v>754</v>
      </c>
      <c r="B621" s="36">
        <f>400+127.81+38+330.98+69.4+49.82+2.26+4.99+140+110</f>
        <v>1273.26</v>
      </c>
      <c r="C621" s="34">
        <v>36586</v>
      </c>
    </row>
    <row r="622" spans="1:3">
      <c r="A622" s="38" t="s">
        <v>749</v>
      </c>
      <c r="B622" s="36">
        <f>70+120+50+130</f>
        <v>370</v>
      </c>
      <c r="C622" s="34">
        <v>36586</v>
      </c>
    </row>
    <row r="623" spans="1:3">
      <c r="A623" s="38" t="s">
        <v>747</v>
      </c>
      <c r="B623" s="36">
        <v>27972.725198442582</v>
      </c>
      <c r="C623" s="34">
        <v>36586</v>
      </c>
    </row>
    <row r="624" spans="1:3">
      <c r="A624" s="38" t="s">
        <v>743</v>
      </c>
      <c r="B624" s="36">
        <v>0</v>
      </c>
      <c r="C624" s="34">
        <v>36617</v>
      </c>
    </row>
    <row r="625" spans="1:3">
      <c r="A625" s="38" t="s">
        <v>406</v>
      </c>
      <c r="B625" s="36">
        <f>500+38+41.8+56.51-800+200</f>
        <v>36.309999999999945</v>
      </c>
      <c r="C625" s="34">
        <v>36617</v>
      </c>
    </row>
    <row r="626" spans="1:3">
      <c r="A626" s="38" t="s">
        <v>587</v>
      </c>
      <c r="B626" s="36">
        <f>200+120+682.5</f>
        <v>1002.5</v>
      </c>
      <c r="C626" s="34">
        <v>36617</v>
      </c>
    </row>
    <row r="627" spans="1:3">
      <c r="A627" s="38" t="s">
        <v>748</v>
      </c>
      <c r="B627" s="36">
        <v>0</v>
      </c>
      <c r="C627" s="34">
        <v>36617</v>
      </c>
    </row>
    <row r="628" spans="1:3">
      <c r="A628" s="38" t="s">
        <v>745</v>
      </c>
      <c r="B628" s="36">
        <v>142</v>
      </c>
      <c r="C628" s="34">
        <v>36617</v>
      </c>
    </row>
    <row r="629" spans="1:3">
      <c r="A629" s="38" t="s">
        <v>757</v>
      </c>
      <c r="B629" s="36">
        <v>81.180000000000007</v>
      </c>
      <c r="C629" s="34">
        <v>36617</v>
      </c>
    </row>
    <row r="630" spans="1:3">
      <c r="A630" s="38" t="s">
        <v>758</v>
      </c>
      <c r="B630" s="36">
        <v>0</v>
      </c>
      <c r="C630" s="34">
        <v>36617</v>
      </c>
    </row>
    <row r="631" spans="1:3">
      <c r="A631" s="38" t="s">
        <v>756</v>
      </c>
      <c r="B631" s="36">
        <v>376.15</v>
      </c>
      <c r="C631" s="34">
        <v>36617</v>
      </c>
    </row>
    <row r="632" spans="1:3">
      <c r="A632" s="38" t="s">
        <v>759</v>
      </c>
      <c r="B632" s="36">
        <v>0</v>
      </c>
      <c r="C632" s="34">
        <v>36617</v>
      </c>
    </row>
    <row r="633" spans="1:3">
      <c r="A633" s="38" t="s">
        <v>746</v>
      </c>
      <c r="B633" s="36">
        <v>0</v>
      </c>
      <c r="C633" s="34">
        <v>36617</v>
      </c>
    </row>
    <row r="634" spans="1:3">
      <c r="A634" s="38" t="s">
        <v>760</v>
      </c>
      <c r="B634" s="36">
        <v>0</v>
      </c>
      <c r="C634" s="34">
        <v>36617</v>
      </c>
    </row>
    <row r="635" spans="1:3">
      <c r="A635" s="38" t="s">
        <v>761</v>
      </c>
      <c r="B635" s="36">
        <f>92+101.46</f>
        <v>193.45999999999998</v>
      </c>
      <c r="C635" s="34">
        <v>36617</v>
      </c>
    </row>
    <row r="636" spans="1:3">
      <c r="A636" s="38" t="s">
        <v>755</v>
      </c>
      <c r="B636" s="36">
        <v>190</v>
      </c>
      <c r="C636" s="34">
        <v>36617</v>
      </c>
    </row>
    <row r="637" spans="1:3">
      <c r="A637" s="38" t="s">
        <v>744</v>
      </c>
      <c r="B637" s="36">
        <f>97+73+78.03+41+17+17</f>
        <v>323.02999999999997</v>
      </c>
      <c r="C637" s="34">
        <v>36617</v>
      </c>
    </row>
    <row r="638" spans="1:3">
      <c r="A638" s="38" t="s">
        <v>752</v>
      </c>
      <c r="B638" s="36">
        <v>0</v>
      </c>
      <c r="C638" s="34">
        <v>36617</v>
      </c>
    </row>
    <row r="639" spans="1:3">
      <c r="A639" s="38" t="s">
        <v>763</v>
      </c>
      <c r="B639" s="36">
        <v>77.150000000000006</v>
      </c>
      <c r="C639" s="34">
        <v>36617</v>
      </c>
    </row>
    <row r="640" spans="1:3">
      <c r="A640" s="38" t="s">
        <v>754</v>
      </c>
      <c r="B640" s="36">
        <f>16.09+38+60.43+328.01+46.9+83.04</f>
        <v>572.46999999999991</v>
      </c>
      <c r="C640" s="34">
        <v>36617</v>
      </c>
    </row>
    <row r="641" spans="1:3">
      <c r="A641" s="38" t="s">
        <v>749</v>
      </c>
      <c r="B641" s="36">
        <f>36.4+150+171.5+100+180+40+70+50+100+20+130</f>
        <v>1047.9000000000001</v>
      </c>
      <c r="C641" s="34">
        <v>36617</v>
      </c>
    </row>
    <row r="642" spans="1:3">
      <c r="A642" s="38" t="s">
        <v>747</v>
      </c>
      <c r="B642" s="36">
        <v>37055.332061718917</v>
      </c>
      <c r="C642" s="34">
        <v>36617</v>
      </c>
    </row>
    <row r="643" spans="1:3">
      <c r="A643" s="38" t="s">
        <v>743</v>
      </c>
      <c r="B643" s="36">
        <v>0</v>
      </c>
      <c r="C643" s="34">
        <v>36647</v>
      </c>
    </row>
    <row r="644" spans="1:3">
      <c r="A644" s="38" t="s">
        <v>406</v>
      </c>
      <c r="B644" s="36">
        <f>-110+34.4+30.3+60.94+41.8+38+87.28+42.58+500+33.79+24.75+48.15</f>
        <v>831.9899999999999</v>
      </c>
      <c r="C644" s="34">
        <v>36647</v>
      </c>
    </row>
    <row r="645" spans="1:3">
      <c r="A645" s="38" t="s">
        <v>587</v>
      </c>
      <c r="B645" s="36">
        <f>200+120+682.5+70</f>
        <v>1072.5</v>
      </c>
      <c r="C645" s="34">
        <v>36647</v>
      </c>
    </row>
    <row r="646" spans="1:3">
      <c r="A646" s="38" t="s">
        <v>748</v>
      </c>
      <c r="B646" s="36">
        <v>0</v>
      </c>
      <c r="C646" s="34">
        <v>36647</v>
      </c>
    </row>
    <row r="647" spans="1:3">
      <c r="A647" s="38" t="s">
        <v>745</v>
      </c>
      <c r="B647" s="36">
        <v>0</v>
      </c>
      <c r="C647" s="34">
        <v>36647</v>
      </c>
    </row>
    <row r="648" spans="1:3">
      <c r="A648" s="38" t="s">
        <v>757</v>
      </c>
      <c r="B648" s="36">
        <v>9.36</v>
      </c>
      <c r="C648" s="34">
        <v>36647</v>
      </c>
    </row>
    <row r="649" spans="1:3">
      <c r="A649" s="38" t="s">
        <v>758</v>
      </c>
      <c r="B649" s="36">
        <v>449</v>
      </c>
      <c r="C649" s="34">
        <v>36647</v>
      </c>
    </row>
    <row r="650" spans="1:3">
      <c r="A650" s="38" t="s">
        <v>756</v>
      </c>
      <c r="B650" s="36">
        <f>376.15+131.2+152.24</f>
        <v>659.58999999999992</v>
      </c>
      <c r="C650" s="34">
        <v>36647</v>
      </c>
    </row>
    <row r="651" spans="1:3">
      <c r="A651" s="38" t="s">
        <v>759</v>
      </c>
      <c r="B651" s="36">
        <v>83.1</v>
      </c>
      <c r="C651" s="34">
        <v>36647</v>
      </c>
    </row>
    <row r="652" spans="1:3">
      <c r="A652" s="38" t="s">
        <v>746</v>
      </c>
      <c r="B652" s="36">
        <f>1969+858+407.24+1235.63</f>
        <v>4469.87</v>
      </c>
      <c r="C652" s="34">
        <v>36647</v>
      </c>
    </row>
    <row r="653" spans="1:3">
      <c r="A653" s="38" t="s">
        <v>760</v>
      </c>
      <c r="B653" s="36">
        <v>0</v>
      </c>
      <c r="C653" s="34">
        <v>36647</v>
      </c>
    </row>
    <row r="654" spans="1:3">
      <c r="A654" s="38" t="s">
        <v>761</v>
      </c>
      <c r="B654" s="36">
        <f>23.41+12.6+92</f>
        <v>128.01</v>
      </c>
      <c r="C654" s="34">
        <v>36647</v>
      </c>
    </row>
    <row r="655" spans="1:3">
      <c r="A655" s="38" t="s">
        <v>755</v>
      </c>
      <c r="B655" s="36">
        <v>120</v>
      </c>
      <c r="C655" s="34">
        <v>36647</v>
      </c>
    </row>
    <row r="656" spans="1:3">
      <c r="A656" s="38" t="s">
        <v>744</v>
      </c>
      <c r="B656" s="36">
        <f>30+30+50.01+30+97</f>
        <v>237.01</v>
      </c>
      <c r="C656" s="34">
        <v>36647</v>
      </c>
    </row>
    <row r="657" spans="1:4">
      <c r="A657" s="38" t="s">
        <v>752</v>
      </c>
      <c r="B657" s="36">
        <v>0</v>
      </c>
      <c r="C657" s="34">
        <v>36647</v>
      </c>
    </row>
    <row r="658" spans="1:4">
      <c r="A658" s="38" t="s">
        <v>763</v>
      </c>
      <c r="B658" s="36">
        <v>70</v>
      </c>
      <c r="C658" s="34">
        <v>36647</v>
      </c>
    </row>
    <row r="659" spans="1:4">
      <c r="A659" s="38" t="s">
        <v>754</v>
      </c>
      <c r="B659" s="36">
        <f>127.81+38+49.9+328.39+25.25+49.82+4.99+2.26+46.87</f>
        <v>673.29000000000008</v>
      </c>
      <c r="C659" s="34">
        <v>36647</v>
      </c>
    </row>
    <row r="660" spans="1:4">
      <c r="A660" s="38" t="s">
        <v>749</v>
      </c>
      <c r="B660" s="36">
        <f>100+30+80+40+30+50+68.86+46.34+136.16+130+30+150</f>
        <v>891.36</v>
      </c>
      <c r="C660" s="34">
        <v>36647</v>
      </c>
    </row>
    <row r="661" spans="1:4">
      <c r="A661" s="38" t="s">
        <v>747</v>
      </c>
      <c r="B661" s="36">
        <v>23124.937282421626</v>
      </c>
      <c r="C661" s="34">
        <v>36647</v>
      </c>
    </row>
    <row r="662" spans="1:4">
      <c r="A662" s="38" t="s">
        <v>743</v>
      </c>
      <c r="B662" s="36">
        <v>0</v>
      </c>
      <c r="C662" s="34">
        <v>36678</v>
      </c>
    </row>
    <row r="663" spans="1:4">
      <c r="A663" s="38" t="s">
        <v>406</v>
      </c>
      <c r="B663" s="36">
        <f>41.8+700+38.57</f>
        <v>780.37</v>
      </c>
      <c r="C663" s="34">
        <v>36678</v>
      </c>
      <c r="D663" s="36"/>
    </row>
    <row r="664" spans="1:4">
      <c r="A664" s="38" t="s">
        <v>587</v>
      </c>
      <c r="B664" s="36">
        <f>200+120+817.5+70</f>
        <v>1207.5</v>
      </c>
      <c r="C664" s="34">
        <v>36678</v>
      </c>
    </row>
    <row r="665" spans="1:4">
      <c r="A665" s="38" t="s">
        <v>748</v>
      </c>
      <c r="B665" s="36">
        <v>0</v>
      </c>
      <c r="C665" s="34">
        <v>36678</v>
      </c>
    </row>
    <row r="666" spans="1:4">
      <c r="A666" s="38" t="s">
        <v>745</v>
      </c>
      <c r="B666" s="36">
        <v>213</v>
      </c>
      <c r="C666" s="34">
        <v>36678</v>
      </c>
    </row>
    <row r="667" spans="1:4">
      <c r="A667" s="38" t="s">
        <v>757</v>
      </c>
      <c r="B667" s="36">
        <v>39.03</v>
      </c>
      <c r="C667" s="34">
        <v>36678</v>
      </c>
    </row>
    <row r="668" spans="1:4">
      <c r="A668" s="38" t="s">
        <v>758</v>
      </c>
      <c r="B668" s="36">
        <v>0</v>
      </c>
      <c r="C668" s="34">
        <v>36678</v>
      </c>
    </row>
    <row r="669" spans="1:4">
      <c r="A669" s="38" t="s">
        <v>756</v>
      </c>
      <c r="B669" s="36">
        <v>376.15</v>
      </c>
      <c r="C669" s="34">
        <v>36678</v>
      </c>
    </row>
    <row r="670" spans="1:4">
      <c r="A670" s="38" t="s">
        <v>759</v>
      </c>
      <c r="B670" s="36">
        <v>83.1</v>
      </c>
      <c r="C670" s="34">
        <v>36678</v>
      </c>
    </row>
    <row r="671" spans="1:4">
      <c r="A671" s="38" t="s">
        <v>746</v>
      </c>
      <c r="B671" s="36">
        <f>571.58+449.76+431.6+1058.52</f>
        <v>2511.46</v>
      </c>
      <c r="C671" s="34">
        <v>36678</v>
      </c>
    </row>
    <row r="672" spans="1:4">
      <c r="A672" s="38" t="s">
        <v>760</v>
      </c>
      <c r="B672" s="36">
        <v>0</v>
      </c>
      <c r="C672" s="34">
        <v>36678</v>
      </c>
    </row>
    <row r="673" spans="1:3">
      <c r="A673" s="38" t="s">
        <v>761</v>
      </c>
      <c r="B673" s="36">
        <v>0</v>
      </c>
      <c r="C673" s="34">
        <v>36678</v>
      </c>
    </row>
    <row r="674" spans="1:3">
      <c r="A674" s="38" t="s">
        <v>755</v>
      </c>
      <c r="B674" s="36">
        <v>190</v>
      </c>
      <c r="C674" s="34">
        <v>36678</v>
      </c>
    </row>
    <row r="675" spans="1:3">
      <c r="A675" s="38" t="s">
        <v>744</v>
      </c>
      <c r="B675" s="36">
        <f>30+297+78.03+31+46</f>
        <v>482.03</v>
      </c>
      <c r="C675" s="34">
        <v>36678</v>
      </c>
    </row>
    <row r="676" spans="1:3">
      <c r="A676" s="38" t="s">
        <v>752</v>
      </c>
      <c r="B676" s="36">
        <v>1500</v>
      </c>
      <c r="C676" s="34">
        <v>36678</v>
      </c>
    </row>
    <row r="677" spans="1:3">
      <c r="A677" s="38" t="s">
        <v>763</v>
      </c>
      <c r="B677" s="36">
        <v>390.04</v>
      </c>
      <c r="C677" s="34">
        <v>36678</v>
      </c>
    </row>
    <row r="678" spans="1:3">
      <c r="A678" s="38" t="s">
        <v>754</v>
      </c>
      <c r="B678" s="36">
        <f>16.1+38+337.23+53.17+100.13</f>
        <v>544.63000000000011</v>
      </c>
      <c r="C678" s="34">
        <v>36678</v>
      </c>
    </row>
    <row r="679" spans="1:3">
      <c r="A679" s="38" t="s">
        <v>749</v>
      </c>
      <c r="B679" s="36">
        <f>100+30+66.55+113.62+116.67+120+20</f>
        <v>566.84</v>
      </c>
      <c r="C679" s="34">
        <v>36678</v>
      </c>
    </row>
    <row r="680" spans="1:3">
      <c r="A680" s="38" t="s">
        <v>764</v>
      </c>
      <c r="B680" s="36">
        <f>50+50+300</f>
        <v>400</v>
      </c>
      <c r="C680" s="34">
        <v>36678</v>
      </c>
    </row>
    <row r="681" spans="1:3">
      <c r="A681" s="38" t="s">
        <v>747</v>
      </c>
      <c r="B681" s="36">
        <v>34678.260209348984</v>
      </c>
      <c r="C681" s="34">
        <v>36678</v>
      </c>
    </row>
    <row r="682" spans="1:3">
      <c r="A682" s="38" t="s">
        <v>743</v>
      </c>
      <c r="B682" s="36">
        <v>0</v>
      </c>
      <c r="C682" s="34">
        <v>36708</v>
      </c>
    </row>
    <row r="683" spans="1:3">
      <c r="A683" s="38" t="s">
        <v>406</v>
      </c>
      <c r="B683" s="36">
        <f>42.48+60.94+137.57+43.34+500-800-800</f>
        <v>-815.67000000000007</v>
      </c>
      <c r="C683" s="34">
        <v>36708</v>
      </c>
    </row>
    <row r="684" spans="1:3">
      <c r="A684" s="38" t="s">
        <v>587</v>
      </c>
      <c r="B684" s="36">
        <f>120+40+817.5+70</f>
        <v>1047.5</v>
      </c>
      <c r="C684" s="34">
        <v>36708</v>
      </c>
    </row>
    <row r="685" spans="1:3">
      <c r="A685" s="38" t="s">
        <v>748</v>
      </c>
      <c r="B685" s="36">
        <v>0</v>
      </c>
      <c r="C685" s="34">
        <v>36708</v>
      </c>
    </row>
    <row r="686" spans="1:3">
      <c r="A686" s="38" t="s">
        <v>745</v>
      </c>
      <c r="B686" s="36">
        <v>0</v>
      </c>
      <c r="C686" s="34">
        <v>36708</v>
      </c>
    </row>
    <row r="687" spans="1:3">
      <c r="A687" s="38" t="s">
        <v>757</v>
      </c>
      <c r="B687" s="36">
        <f>40.13+9.36</f>
        <v>49.49</v>
      </c>
      <c r="C687" s="34">
        <v>36708</v>
      </c>
    </row>
    <row r="688" spans="1:3">
      <c r="A688" s="38" t="s">
        <v>758</v>
      </c>
      <c r="B688" s="36">
        <v>73</v>
      </c>
      <c r="C688" s="34">
        <v>36708</v>
      </c>
    </row>
    <row r="689" spans="1:3">
      <c r="A689" s="38" t="s">
        <v>756</v>
      </c>
      <c r="B689" s="36">
        <f>376.15+131.2+157.29+20+4.2</f>
        <v>688.84</v>
      </c>
      <c r="C689" s="34">
        <v>36708</v>
      </c>
    </row>
    <row r="690" spans="1:3">
      <c r="A690" s="38" t="s">
        <v>759</v>
      </c>
      <c r="B690" s="36">
        <f>83.1+165.9</f>
        <v>249</v>
      </c>
      <c r="C690" s="34">
        <v>36708</v>
      </c>
    </row>
    <row r="691" spans="1:3">
      <c r="A691" s="38" t="s">
        <v>746</v>
      </c>
      <c r="B691" s="36">
        <v>0</v>
      </c>
      <c r="C691" s="34">
        <v>36708</v>
      </c>
    </row>
    <row r="692" spans="1:3">
      <c r="A692" s="38" t="s">
        <v>760</v>
      </c>
      <c r="B692" s="36">
        <v>0</v>
      </c>
      <c r="C692" s="34">
        <v>36708</v>
      </c>
    </row>
    <row r="693" spans="1:3">
      <c r="A693" s="38" t="s">
        <v>761</v>
      </c>
      <c r="B693" s="36">
        <v>0</v>
      </c>
      <c r="C693" s="34">
        <v>36708</v>
      </c>
    </row>
    <row r="694" spans="1:3">
      <c r="A694" s="38" t="s">
        <v>755</v>
      </c>
      <c r="B694" s="36">
        <v>416.4</v>
      </c>
      <c r="C694" s="34">
        <v>36708</v>
      </c>
    </row>
    <row r="695" spans="1:3">
      <c r="A695" s="38" t="s">
        <v>744</v>
      </c>
      <c r="B695" s="36">
        <f>73+282+30+30+49.5+23.8</f>
        <v>488.3</v>
      </c>
      <c r="C695" s="34">
        <v>36708</v>
      </c>
    </row>
    <row r="696" spans="1:3">
      <c r="A696" s="38" t="s">
        <v>752</v>
      </c>
      <c r="B696" s="36">
        <v>0</v>
      </c>
      <c r="C696" s="34">
        <v>36708</v>
      </c>
    </row>
    <row r="697" spans="1:3">
      <c r="A697" s="38" t="s">
        <v>763</v>
      </c>
      <c r="B697" s="36">
        <v>210</v>
      </c>
      <c r="C697" s="34">
        <v>36708</v>
      </c>
    </row>
    <row r="698" spans="1:3">
      <c r="A698" s="38" t="s">
        <v>754</v>
      </c>
      <c r="B698" s="36">
        <f>53.39+371.07+127.81+4.99+49.82+2.26+55.9</f>
        <v>665.24</v>
      </c>
      <c r="C698" s="34">
        <v>36708</v>
      </c>
    </row>
    <row r="699" spans="1:3">
      <c r="A699" s="38" t="s">
        <v>749</v>
      </c>
      <c r="B699" s="36">
        <f>130+30+138.41+85</f>
        <v>383.40999999999997</v>
      </c>
      <c r="C699" s="34">
        <v>36708</v>
      </c>
    </row>
    <row r="700" spans="1:3">
      <c r="A700" s="38" t="s">
        <v>764</v>
      </c>
      <c r="B700" s="36">
        <v>674</v>
      </c>
      <c r="C700" s="34">
        <v>36708</v>
      </c>
    </row>
    <row r="701" spans="1:3">
      <c r="A701" s="38" t="s">
        <v>747</v>
      </c>
      <c r="B701" s="36">
        <v>55946.19296337571</v>
      </c>
      <c r="C701" s="34">
        <v>36708</v>
      </c>
    </row>
    <row r="702" spans="1:3">
      <c r="A702" s="38" t="s">
        <v>743</v>
      </c>
      <c r="B702" s="36">
        <v>0</v>
      </c>
      <c r="C702" s="34">
        <v>36739</v>
      </c>
    </row>
    <row r="703" spans="1:3">
      <c r="A703" s="38" t="s">
        <v>406</v>
      </c>
      <c r="B703" s="36">
        <f>38904+800-800-800+35.61</f>
        <v>38139.61</v>
      </c>
      <c r="C703" s="34">
        <v>36739</v>
      </c>
    </row>
    <row r="704" spans="1:3">
      <c r="A704" s="38" t="s">
        <v>587</v>
      </c>
      <c r="B704" s="36">
        <f>200+120+682.5+70</f>
        <v>1072.5</v>
      </c>
      <c r="C704" s="34">
        <v>36739</v>
      </c>
    </row>
    <row r="705" spans="1:3">
      <c r="A705" s="38" t="s">
        <v>748</v>
      </c>
      <c r="B705" s="36">
        <v>0</v>
      </c>
      <c r="C705" s="34">
        <v>36739</v>
      </c>
    </row>
    <row r="706" spans="1:3">
      <c r="A706" s="38" t="s">
        <v>745</v>
      </c>
      <c r="B706" s="36">
        <v>142</v>
      </c>
      <c r="C706" s="34">
        <v>36739</v>
      </c>
    </row>
    <row r="707" spans="1:3">
      <c r="A707" s="38" t="s">
        <v>757</v>
      </c>
      <c r="B707" s="36">
        <v>79.31</v>
      </c>
      <c r="C707" s="34">
        <v>36739</v>
      </c>
    </row>
    <row r="708" spans="1:3">
      <c r="A708" s="38" t="s">
        <v>758</v>
      </c>
      <c r="B708" s="36">
        <v>73</v>
      </c>
      <c r="C708" s="34">
        <v>36739</v>
      </c>
    </row>
    <row r="709" spans="1:3">
      <c r="A709" s="38" t="s">
        <v>756</v>
      </c>
      <c r="B709" s="36">
        <f>376.15+163.2</f>
        <v>539.34999999999991</v>
      </c>
      <c r="C709" s="34">
        <v>36739</v>
      </c>
    </row>
    <row r="710" spans="1:3">
      <c r="A710" s="38" t="s">
        <v>759</v>
      </c>
      <c r="B710" s="36">
        <v>83.1</v>
      </c>
      <c r="C710" s="34">
        <v>36739</v>
      </c>
    </row>
    <row r="711" spans="1:3">
      <c r="A711" s="38" t="s">
        <v>746</v>
      </c>
      <c r="B711" s="36">
        <f>449.76+1058.52+431.6+571.58</f>
        <v>2511.46</v>
      </c>
      <c r="C711" s="34">
        <v>36739</v>
      </c>
    </row>
    <row r="712" spans="1:3">
      <c r="A712" s="38" t="s">
        <v>760</v>
      </c>
      <c r="B712" s="36">
        <v>0</v>
      </c>
      <c r="C712" s="34">
        <v>36739</v>
      </c>
    </row>
    <row r="713" spans="1:3">
      <c r="A713" s="38" t="s">
        <v>761</v>
      </c>
      <c r="B713" s="36">
        <v>0</v>
      </c>
      <c r="C713" s="34">
        <v>36739</v>
      </c>
    </row>
    <row r="714" spans="1:3">
      <c r="A714" s="38" t="s">
        <v>755</v>
      </c>
      <c r="B714" s="36">
        <f>190+50+150</f>
        <v>390</v>
      </c>
      <c r="C714" s="34">
        <v>36739</v>
      </c>
    </row>
    <row r="715" spans="1:3">
      <c r="A715" s="38" t="s">
        <v>744</v>
      </c>
      <c r="B715" s="36">
        <f>78.03+20+30+40</f>
        <v>168.03</v>
      </c>
      <c r="C715" s="34">
        <v>36739</v>
      </c>
    </row>
    <row r="716" spans="1:3">
      <c r="A716" s="38" t="s">
        <v>752</v>
      </c>
      <c r="B716" s="36">
        <v>0</v>
      </c>
      <c r="C716" s="34">
        <v>36739</v>
      </c>
    </row>
    <row r="717" spans="1:3">
      <c r="A717" s="38" t="s">
        <v>763</v>
      </c>
      <c r="B717" s="36">
        <v>200.1</v>
      </c>
      <c r="C717" s="34">
        <v>36739</v>
      </c>
    </row>
    <row r="718" spans="1:3">
      <c r="A718" s="38" t="s">
        <v>754</v>
      </c>
      <c r="B718" s="36">
        <f>128.32+16.1+41.89+421.84</f>
        <v>608.15</v>
      </c>
      <c r="C718" s="34">
        <v>36739</v>
      </c>
    </row>
    <row r="719" spans="1:3">
      <c r="A719" s="38" t="s">
        <v>749</v>
      </c>
      <c r="B719" s="36">
        <f>50+30+23.73+36.33+158.51+128.14</f>
        <v>426.71</v>
      </c>
      <c r="C719" s="34">
        <v>36739</v>
      </c>
    </row>
    <row r="720" spans="1:3">
      <c r="A720" s="38" t="s">
        <v>764</v>
      </c>
      <c r="B720" s="36">
        <f>117+735.03+129.6+195.9+170</f>
        <v>1347.53</v>
      </c>
      <c r="C720" s="34">
        <v>36739</v>
      </c>
    </row>
    <row r="721" spans="1:3">
      <c r="A721" s="38" t="s">
        <v>747</v>
      </c>
      <c r="B721" s="36">
        <v>-17671.564512121258</v>
      </c>
      <c r="C721" s="34">
        <v>36739</v>
      </c>
    </row>
    <row r="722" spans="1:3">
      <c r="A722" s="38" t="s">
        <v>743</v>
      </c>
      <c r="B722" s="36">
        <v>0</v>
      </c>
      <c r="C722" s="34">
        <v>36770</v>
      </c>
    </row>
    <row r="723" spans="1:3">
      <c r="A723" s="38" t="s">
        <v>406</v>
      </c>
      <c r="B723" s="36">
        <f>800-800</f>
        <v>0</v>
      </c>
      <c r="C723" s="34">
        <v>36770</v>
      </c>
    </row>
    <row r="724" spans="1:3">
      <c r="A724" s="38" t="s">
        <v>587</v>
      </c>
      <c r="B724" s="36">
        <f>200+120+682.5+70</f>
        <v>1072.5</v>
      </c>
      <c r="C724" s="34">
        <v>36770</v>
      </c>
    </row>
    <row r="725" spans="1:3">
      <c r="A725" s="38" t="s">
        <v>748</v>
      </c>
      <c r="B725" s="36">
        <v>0</v>
      </c>
      <c r="C725" s="34">
        <v>36770</v>
      </c>
    </row>
    <row r="726" spans="1:3">
      <c r="A726" s="38" t="s">
        <v>745</v>
      </c>
      <c r="B726" s="36">
        <v>0</v>
      </c>
      <c r="C726" s="34">
        <v>36770</v>
      </c>
    </row>
    <row r="727" spans="1:3">
      <c r="A727" s="38" t="s">
        <v>757</v>
      </c>
      <c r="B727" s="36">
        <f>9.36+81.67</f>
        <v>91.03</v>
      </c>
      <c r="C727" s="34">
        <v>36770</v>
      </c>
    </row>
    <row r="728" spans="1:3">
      <c r="A728" s="38" t="s">
        <v>758</v>
      </c>
      <c r="B728" s="36">
        <v>73</v>
      </c>
      <c r="C728" s="34">
        <v>36770</v>
      </c>
    </row>
    <row r="729" spans="1:3">
      <c r="A729" s="38" t="s">
        <v>756</v>
      </c>
      <c r="B729" s="36">
        <f>376.15+152.24</f>
        <v>528.39</v>
      </c>
      <c r="C729" s="34">
        <v>36770</v>
      </c>
    </row>
    <row r="730" spans="1:3">
      <c r="A730" s="38" t="s">
        <v>759</v>
      </c>
      <c r="B730" s="36">
        <v>83.1</v>
      </c>
      <c r="C730" s="34">
        <v>36770</v>
      </c>
    </row>
    <row r="731" spans="1:3">
      <c r="A731" s="38" t="s">
        <v>746</v>
      </c>
      <c r="B731" s="36">
        <v>0</v>
      </c>
      <c r="C731" s="34">
        <v>36770</v>
      </c>
    </row>
    <row r="732" spans="1:3">
      <c r="A732" s="38" t="s">
        <v>760</v>
      </c>
      <c r="B732" s="36">
        <v>0</v>
      </c>
      <c r="C732" s="34">
        <v>36770</v>
      </c>
    </row>
    <row r="733" spans="1:3">
      <c r="A733" s="38" t="s">
        <v>761</v>
      </c>
      <c r="B733" s="36">
        <v>0</v>
      </c>
      <c r="C733" s="34">
        <v>36770</v>
      </c>
    </row>
    <row r="734" spans="1:3">
      <c r="A734" s="38" t="s">
        <v>755</v>
      </c>
      <c r="B734" s="36">
        <f>25+25+190+222.13</f>
        <v>462.13</v>
      </c>
      <c r="C734" s="34">
        <v>36770</v>
      </c>
    </row>
    <row r="735" spans="1:3">
      <c r="A735" s="38" t="s">
        <v>744</v>
      </c>
      <c r="B735" s="36">
        <f>146+194+20+40+40</f>
        <v>440</v>
      </c>
      <c r="C735" s="34">
        <v>36770</v>
      </c>
    </row>
    <row r="736" spans="1:3">
      <c r="A736" s="38" t="s">
        <v>752</v>
      </c>
      <c r="B736" s="36">
        <v>0</v>
      </c>
      <c r="C736" s="34">
        <v>36770</v>
      </c>
    </row>
    <row r="737" spans="1:3">
      <c r="A737" s="38" t="s">
        <v>763</v>
      </c>
      <c r="B737" s="36">
        <v>211.67</v>
      </c>
      <c r="C737" s="34">
        <v>36770</v>
      </c>
    </row>
    <row r="738" spans="1:3">
      <c r="A738" s="38" t="s">
        <v>754</v>
      </c>
      <c r="B738" s="36">
        <f>127.81+485.24+48.47+48.56</f>
        <v>710.07999999999993</v>
      </c>
      <c r="C738" s="34">
        <v>36770</v>
      </c>
    </row>
    <row r="739" spans="1:3">
      <c r="A739" s="38" t="s">
        <v>749</v>
      </c>
      <c r="B739" s="36">
        <f>30+20+183.4+38.55+35.87+26.92+24.49+141.82+13.1+119.86+34.82+100+120</f>
        <v>888.83</v>
      </c>
      <c r="C739" s="34">
        <v>36770</v>
      </c>
    </row>
    <row r="740" spans="1:3">
      <c r="A740" s="38" t="s">
        <v>764</v>
      </c>
      <c r="B740" s="36">
        <f>85+129.6+195.9+134.71+97.97+361</f>
        <v>1004.1800000000001</v>
      </c>
      <c r="C740" s="34">
        <v>36770</v>
      </c>
    </row>
    <row r="741" spans="1:3">
      <c r="A741" s="38" t="s">
        <v>747</v>
      </c>
      <c r="B741" s="36">
        <v>37945.335749396821</v>
      </c>
      <c r="C741" s="34">
        <v>36770</v>
      </c>
    </row>
    <row r="742" spans="1:3">
      <c r="A742" s="38" t="s">
        <v>743</v>
      </c>
      <c r="B742" s="36">
        <v>0</v>
      </c>
      <c r="C742" s="34">
        <v>36800</v>
      </c>
    </row>
    <row r="743" spans="1:3">
      <c r="A743" s="38" t="s">
        <v>406</v>
      </c>
      <c r="B743" s="36">
        <f>800-800</f>
        <v>0</v>
      </c>
      <c r="C743" s="34">
        <v>36800</v>
      </c>
    </row>
    <row r="744" spans="1:3">
      <c r="A744" s="38" t="s">
        <v>587</v>
      </c>
      <c r="B744" s="36">
        <f>200+120+682.5+70+719</f>
        <v>1791.5</v>
      </c>
      <c r="C744" s="34">
        <v>36800</v>
      </c>
    </row>
    <row r="745" spans="1:3">
      <c r="A745" s="38" t="s">
        <v>748</v>
      </c>
      <c r="B745" s="36">
        <v>0</v>
      </c>
      <c r="C745" s="34">
        <v>36800</v>
      </c>
    </row>
    <row r="746" spans="1:3">
      <c r="A746" s="38" t="s">
        <v>745</v>
      </c>
      <c r="B746" s="36">
        <v>0</v>
      </c>
      <c r="C746" s="34">
        <v>36800</v>
      </c>
    </row>
    <row r="747" spans="1:3">
      <c r="A747" s="38" t="s">
        <v>757</v>
      </c>
      <c r="B747" s="36">
        <v>0</v>
      </c>
      <c r="C747" s="34">
        <v>36800</v>
      </c>
    </row>
    <row r="748" spans="1:3">
      <c r="A748" s="38" t="s">
        <v>758</v>
      </c>
      <c r="B748" s="36">
        <v>73</v>
      </c>
      <c r="C748" s="34">
        <v>36800</v>
      </c>
    </row>
    <row r="749" spans="1:3">
      <c r="A749" s="38" t="s">
        <v>756</v>
      </c>
      <c r="B749" s="36">
        <v>376.15</v>
      </c>
      <c r="C749" s="34">
        <v>36800</v>
      </c>
    </row>
    <row r="750" spans="1:3">
      <c r="A750" s="38" t="s">
        <v>759</v>
      </c>
      <c r="B750" s="36">
        <v>83.1</v>
      </c>
      <c r="C750" s="34">
        <v>36800</v>
      </c>
    </row>
    <row r="751" spans="1:3">
      <c r="A751" s="38" t="s">
        <v>746</v>
      </c>
      <c r="B751" s="36">
        <f>449.76+1058.52+431.6+571.58</f>
        <v>2511.46</v>
      </c>
      <c r="C751" s="34">
        <v>36800</v>
      </c>
    </row>
    <row r="752" spans="1:3">
      <c r="A752" s="38" t="s">
        <v>760</v>
      </c>
      <c r="B752" s="36">
        <v>0</v>
      </c>
      <c r="C752" s="34">
        <v>36800</v>
      </c>
    </row>
    <row r="753" spans="1:3">
      <c r="A753" s="38" t="s">
        <v>761</v>
      </c>
      <c r="B753" s="36">
        <v>0</v>
      </c>
      <c r="C753" s="34">
        <v>36800</v>
      </c>
    </row>
    <row r="754" spans="1:3">
      <c r="A754" s="38" t="s">
        <v>755</v>
      </c>
      <c r="B754" s="36">
        <f>190+30+45</f>
        <v>265</v>
      </c>
      <c r="C754" s="34">
        <v>36800</v>
      </c>
    </row>
    <row r="755" spans="1:3">
      <c r="A755" s="38" t="s">
        <v>744</v>
      </c>
      <c r="B755" s="36">
        <f>73+97+78.03+80+1.9+1.9+8+4.5+1.9+1.9+8+4.5+40+40+49</f>
        <v>489.62999999999988</v>
      </c>
      <c r="C755" s="34">
        <v>36800</v>
      </c>
    </row>
    <row r="756" spans="1:3">
      <c r="A756" s="38" t="s">
        <v>752</v>
      </c>
      <c r="B756" s="36">
        <v>0</v>
      </c>
      <c r="C756" s="34">
        <v>36800</v>
      </c>
    </row>
    <row r="757" spans="1:3">
      <c r="A757" s="38" t="s">
        <v>763</v>
      </c>
      <c r="B757" s="36">
        <v>122.1</v>
      </c>
      <c r="C757" s="34">
        <v>36800</v>
      </c>
    </row>
    <row r="758" spans="1:3">
      <c r="A758" s="38" t="s">
        <v>754</v>
      </c>
      <c r="B758" s="36">
        <f>85.79+16.08+43.35+484.82</f>
        <v>630.04</v>
      </c>
      <c r="C758" s="34">
        <v>36800</v>
      </c>
    </row>
    <row r="759" spans="1:3">
      <c r="A759" s="38" t="s">
        <v>749</v>
      </c>
      <c r="B759" s="36">
        <f>50+40+30+20+15+15+32.1+123.1+45.02+141.38+41.37+49.7+58.9+20+150+20+45+50</f>
        <v>946.56999999999994</v>
      </c>
      <c r="C759" s="34">
        <v>36800</v>
      </c>
    </row>
    <row r="760" spans="1:3">
      <c r="A760" s="38" t="s">
        <v>764</v>
      </c>
      <c r="B760" s="36">
        <f>50+150+85+129.6+195.9</f>
        <v>610.5</v>
      </c>
      <c r="C760" s="34">
        <v>36800</v>
      </c>
    </row>
    <row r="761" spans="1:3">
      <c r="A761" s="38" t="s">
        <v>747</v>
      </c>
      <c r="B761" s="36">
        <v>30010.916618987685</v>
      </c>
      <c r="C761" s="34">
        <v>36800</v>
      </c>
    </row>
    <row r="762" spans="1:3">
      <c r="A762" s="38" t="s">
        <v>743</v>
      </c>
      <c r="B762" s="36">
        <v>0</v>
      </c>
      <c r="C762" s="34">
        <v>36831</v>
      </c>
    </row>
    <row r="763" spans="1:3">
      <c r="A763" s="38" t="s">
        <v>406</v>
      </c>
      <c r="B763" s="36">
        <f>800-800</f>
        <v>0</v>
      </c>
      <c r="C763" s="34">
        <v>36831</v>
      </c>
    </row>
    <row r="764" spans="1:3">
      <c r="A764" s="38" t="s">
        <v>587</v>
      </c>
      <c r="B764" s="36">
        <f>200+120+682.5+70</f>
        <v>1072.5</v>
      </c>
      <c r="C764" s="34">
        <v>36831</v>
      </c>
    </row>
    <row r="765" spans="1:3">
      <c r="A765" s="38" t="s">
        <v>748</v>
      </c>
      <c r="B765" s="36">
        <v>0</v>
      </c>
      <c r="C765" s="34">
        <v>36831</v>
      </c>
    </row>
    <row r="766" spans="1:3">
      <c r="A766" s="38" t="s">
        <v>745</v>
      </c>
      <c r="B766" s="36">
        <v>142</v>
      </c>
      <c r="C766" s="34">
        <v>36831</v>
      </c>
    </row>
    <row r="767" spans="1:3">
      <c r="A767" s="38" t="s">
        <v>757</v>
      </c>
      <c r="B767" s="36">
        <v>9.36</v>
      </c>
      <c r="C767" s="34">
        <v>36831</v>
      </c>
    </row>
    <row r="768" spans="1:3">
      <c r="A768" s="38" t="s">
        <v>758</v>
      </c>
      <c r="B768" s="36">
        <v>73</v>
      </c>
      <c r="C768" s="34">
        <v>36831</v>
      </c>
    </row>
    <row r="769" spans="1:3">
      <c r="A769" s="38" t="s">
        <v>756</v>
      </c>
      <c r="B769" s="36">
        <v>376.15</v>
      </c>
      <c r="C769" s="34">
        <v>36831</v>
      </c>
    </row>
    <row r="770" spans="1:3">
      <c r="A770" s="38" t="s">
        <v>759</v>
      </c>
      <c r="B770" s="36">
        <v>0</v>
      </c>
      <c r="C770" s="34">
        <v>36831</v>
      </c>
    </row>
    <row r="771" spans="1:3">
      <c r="A771" s="38" t="s">
        <v>746</v>
      </c>
      <c r="B771" s="36">
        <v>0</v>
      </c>
      <c r="C771" s="34">
        <v>36831</v>
      </c>
    </row>
    <row r="772" spans="1:3">
      <c r="A772" s="38" t="s">
        <v>760</v>
      </c>
      <c r="B772" s="36">
        <v>0</v>
      </c>
      <c r="C772" s="34">
        <v>36831</v>
      </c>
    </row>
    <row r="773" spans="1:3">
      <c r="A773" s="38" t="s">
        <v>755</v>
      </c>
      <c r="B773" s="36">
        <f>59.32+190+25</f>
        <v>274.32</v>
      </c>
      <c r="C773" s="34">
        <v>36831</v>
      </c>
    </row>
    <row r="774" spans="1:3">
      <c r="A774" s="38" t="s">
        <v>744</v>
      </c>
      <c r="B774" s="36">
        <f>35+73+97+52+53+40+(30+49+70+13700+195+195+76.2+541.73)</f>
        <v>15206.93</v>
      </c>
      <c r="C774" s="34">
        <v>36831</v>
      </c>
    </row>
    <row r="775" spans="1:3">
      <c r="A775" s="38" t="s">
        <v>752</v>
      </c>
      <c r="B775" s="36">
        <v>0</v>
      </c>
      <c r="C775" s="34">
        <v>36831</v>
      </c>
    </row>
    <row r="776" spans="1:3">
      <c r="A776" s="38" t="s">
        <v>763</v>
      </c>
      <c r="B776" s="36">
        <v>0</v>
      </c>
      <c r="C776" s="34">
        <v>36831</v>
      </c>
    </row>
    <row r="777" spans="1:3">
      <c r="A777" s="38" t="s">
        <v>754</v>
      </c>
      <c r="B777" s="36">
        <f>127.81+44.42+423.31+45.74</f>
        <v>641.28</v>
      </c>
      <c r="C777" s="34">
        <v>36831</v>
      </c>
    </row>
    <row r="778" spans="1:3">
      <c r="A778" s="38" t="s">
        <v>749</v>
      </c>
      <c r="B778" s="36">
        <f>50+216.15+25.05+16.45+53.8+39.05+43.05+150+40</f>
        <v>633.54999999999995</v>
      </c>
      <c r="C778" s="34">
        <v>36831</v>
      </c>
    </row>
    <row r="779" spans="1:3">
      <c r="A779" s="38" t="s">
        <v>764</v>
      </c>
      <c r="B779" s="36">
        <f>1100+85+100</f>
        <v>1285</v>
      </c>
      <c r="C779" s="34">
        <v>36831</v>
      </c>
    </row>
    <row r="780" spans="1:3">
      <c r="A780" s="38" t="s">
        <v>747</v>
      </c>
      <c r="B780" s="36">
        <v>31100</v>
      </c>
      <c r="C780" s="34">
        <v>36831</v>
      </c>
    </row>
    <row r="781" spans="1:3">
      <c r="A781" s="38" t="s">
        <v>743</v>
      </c>
      <c r="B781" s="36">
        <v>0</v>
      </c>
      <c r="C781" s="34">
        <v>36861</v>
      </c>
    </row>
    <row r="782" spans="1:3">
      <c r="A782" s="38" t="s">
        <v>406</v>
      </c>
      <c r="B782" s="36">
        <f>800-800</f>
        <v>0</v>
      </c>
      <c r="C782" s="34">
        <v>36861</v>
      </c>
    </row>
    <row r="783" spans="1:3">
      <c r="A783" s="38" t="s">
        <v>587</v>
      </c>
      <c r="B783" s="36">
        <v>682.5</v>
      </c>
      <c r="C783" s="34">
        <v>36861</v>
      </c>
    </row>
    <row r="784" spans="1:3">
      <c r="A784" s="38" t="s">
        <v>748</v>
      </c>
      <c r="B784" s="36">
        <v>0</v>
      </c>
      <c r="C784" s="34">
        <v>36861</v>
      </c>
    </row>
    <row r="785" spans="1:4">
      <c r="A785" s="38" t="s">
        <v>745</v>
      </c>
      <c r="B785" s="36">
        <v>0</v>
      </c>
      <c r="C785" s="34">
        <v>36861</v>
      </c>
    </row>
    <row r="786" spans="1:4">
      <c r="A786" s="38" t="s">
        <v>757</v>
      </c>
      <c r="B786" s="36">
        <v>0</v>
      </c>
      <c r="C786" s="34">
        <v>36861</v>
      </c>
    </row>
    <row r="787" spans="1:4">
      <c r="A787" s="38" t="s">
        <v>758</v>
      </c>
      <c r="B787" s="36">
        <v>73</v>
      </c>
      <c r="C787" s="34">
        <v>36861</v>
      </c>
    </row>
    <row r="788" spans="1:4">
      <c r="A788" s="38" t="s">
        <v>756</v>
      </c>
      <c r="B788" s="36">
        <v>376.15</v>
      </c>
      <c r="C788" s="34">
        <v>36861</v>
      </c>
    </row>
    <row r="789" spans="1:4">
      <c r="A789" s="38" t="s">
        <v>759</v>
      </c>
      <c r="B789" s="36">
        <v>0</v>
      </c>
      <c r="C789" s="34">
        <v>36861</v>
      </c>
    </row>
    <row r="790" spans="1:4">
      <c r="A790" s="38" t="s">
        <v>746</v>
      </c>
      <c r="B790" s="36">
        <f>431.6+571.58+449.76+1058.52</f>
        <v>2511.46</v>
      </c>
      <c r="C790" s="34">
        <v>36861</v>
      </c>
    </row>
    <row r="791" spans="1:4">
      <c r="A791" s="38" t="s">
        <v>760</v>
      </c>
      <c r="B791" s="36">
        <v>0</v>
      </c>
      <c r="C791" s="34">
        <v>36861</v>
      </c>
    </row>
    <row r="792" spans="1:4">
      <c r="A792" s="38" t="s">
        <v>755</v>
      </c>
      <c r="B792" s="36">
        <f>190+25+30+40</f>
        <v>285</v>
      </c>
      <c r="C792" s="34">
        <v>36861</v>
      </c>
    </row>
    <row r="793" spans="1:4">
      <c r="A793" s="38" t="s">
        <v>744</v>
      </c>
      <c r="B793" s="36">
        <f>73+97+20+(1850+1494)+40+30</f>
        <v>3604</v>
      </c>
      <c r="C793" s="34">
        <v>36861</v>
      </c>
    </row>
    <row r="794" spans="1:4">
      <c r="A794" s="38" t="s">
        <v>752</v>
      </c>
      <c r="B794" s="36">
        <v>0</v>
      </c>
      <c r="C794" s="34">
        <v>36861</v>
      </c>
    </row>
    <row r="795" spans="1:4">
      <c r="A795" s="38" t="s">
        <v>763</v>
      </c>
      <c r="B795" s="36">
        <v>93.37</v>
      </c>
      <c r="C795" s="34">
        <v>36861</v>
      </c>
    </row>
    <row r="796" spans="1:4">
      <c r="A796" s="38" t="s">
        <v>754</v>
      </c>
      <c r="B796" s="36">
        <f>96.84+16.17+40.79+347.09</f>
        <v>500.89</v>
      </c>
      <c r="C796" s="34">
        <v>36861</v>
      </c>
    </row>
    <row r="797" spans="1:4">
      <c r="A797" s="38" t="s">
        <v>749</v>
      </c>
      <c r="B797" s="36">
        <f>50+50+100+62.44+50.2+34.9+73.32+15.84+14.98+16.37+57.65+93.99+100</f>
        <v>719.68999999999994</v>
      </c>
      <c r="C797" s="34">
        <v>36861</v>
      </c>
    </row>
    <row r="798" spans="1:4">
      <c r="A798" s="38" t="s">
        <v>764</v>
      </c>
      <c r="B798" s="36">
        <f>312.9+40.85+170</f>
        <v>523.75</v>
      </c>
      <c r="C798" s="34">
        <v>36861</v>
      </c>
    </row>
    <row r="799" spans="1:4">
      <c r="A799" s="38" t="s">
        <v>747</v>
      </c>
      <c r="B799" s="36">
        <v>27977.263883055653</v>
      </c>
      <c r="C799" s="34">
        <v>36861</v>
      </c>
      <c r="D799" s="36">
        <f>SUBTOTAL(9,B586:B799)</f>
        <v>486374.97420302912</v>
      </c>
    </row>
    <row r="800" spans="1:4">
      <c r="A800" s="38" t="s">
        <v>743</v>
      </c>
      <c r="B800" s="36">
        <v>0</v>
      </c>
      <c r="C800" s="34">
        <v>36892</v>
      </c>
    </row>
    <row r="801" spans="1:3">
      <c r="A801" s="38" t="s">
        <v>406</v>
      </c>
      <c r="B801" s="36">
        <f>-800+200</f>
        <v>-600</v>
      </c>
      <c r="C801" s="34">
        <v>36892</v>
      </c>
    </row>
    <row r="802" spans="1:3">
      <c r="A802" s="38" t="s">
        <v>587</v>
      </c>
      <c r="B802" s="36">
        <v>0</v>
      </c>
      <c r="C802" s="34">
        <v>36892</v>
      </c>
    </row>
    <row r="803" spans="1:3">
      <c r="A803" s="38" t="s">
        <v>748</v>
      </c>
      <c r="B803" s="36">
        <v>0</v>
      </c>
      <c r="C803" s="34">
        <v>36892</v>
      </c>
    </row>
    <row r="804" spans="1:3">
      <c r="A804" s="38" t="s">
        <v>745</v>
      </c>
      <c r="B804" s="36">
        <v>0</v>
      </c>
      <c r="C804" s="34">
        <v>36892</v>
      </c>
    </row>
    <row r="805" spans="1:3">
      <c r="A805" s="38" t="s">
        <v>757</v>
      </c>
      <c r="B805" s="36">
        <v>0</v>
      </c>
      <c r="C805" s="34">
        <v>36892</v>
      </c>
    </row>
    <row r="806" spans="1:3">
      <c r="A806" s="38" t="s">
        <v>758</v>
      </c>
      <c r="B806" s="36">
        <v>73</v>
      </c>
      <c r="C806" s="34">
        <v>36892</v>
      </c>
    </row>
    <row r="807" spans="1:3">
      <c r="A807" s="38" t="s">
        <v>756</v>
      </c>
      <c r="B807" s="36">
        <f>376.15+131.2+134.8</f>
        <v>642.15</v>
      </c>
      <c r="C807" s="34">
        <v>36892</v>
      </c>
    </row>
    <row r="808" spans="1:3">
      <c r="A808" s="38" t="s">
        <v>759</v>
      </c>
      <c r="B808" s="36">
        <v>0</v>
      </c>
      <c r="C808" s="34">
        <v>36892</v>
      </c>
    </row>
    <row r="809" spans="1:3">
      <c r="A809" s="38" t="s">
        <v>746</v>
      </c>
      <c r="B809" s="36">
        <v>0</v>
      </c>
      <c r="C809" s="34">
        <v>36892</v>
      </c>
    </row>
    <row r="810" spans="1:3">
      <c r="A810" s="38" t="s">
        <v>760</v>
      </c>
      <c r="B810" s="36">
        <v>0</v>
      </c>
      <c r="C810" s="34">
        <v>36892</v>
      </c>
    </row>
    <row r="811" spans="1:3">
      <c r="A811" s="38" t="s">
        <v>755</v>
      </c>
      <c r="B811" s="36">
        <f>190+25+30+24.01</f>
        <v>269.01</v>
      </c>
      <c r="C811" s="34">
        <v>36892</v>
      </c>
    </row>
    <row r="812" spans="1:3">
      <c r="A812" s="38" t="s">
        <v>744</v>
      </c>
      <c r="B812" s="36">
        <f>142+38+40+25+63+40+40</f>
        <v>388</v>
      </c>
      <c r="C812" s="34">
        <v>36892</v>
      </c>
    </row>
    <row r="813" spans="1:3">
      <c r="A813" s="38" t="s">
        <v>752</v>
      </c>
      <c r="B813" s="36">
        <v>0</v>
      </c>
      <c r="C813" s="34">
        <v>36892</v>
      </c>
    </row>
    <row r="814" spans="1:3">
      <c r="A814" s="38" t="s">
        <v>763</v>
      </c>
      <c r="B814" s="36">
        <v>0</v>
      </c>
      <c r="C814" s="34">
        <v>36892</v>
      </c>
    </row>
    <row r="815" spans="1:3">
      <c r="A815" s="38" t="s">
        <v>754</v>
      </c>
      <c r="B815" s="36">
        <f>128.69+34.15+8.04+416.14+58.53+150</f>
        <v>795.55</v>
      </c>
      <c r="C815" s="34">
        <v>36892</v>
      </c>
    </row>
    <row r="816" spans="1:3">
      <c r="A816" s="38" t="s">
        <v>749</v>
      </c>
      <c r="B816" s="36">
        <f>65.34+35.37+24+193.56+43.3+30.46+187.54+29.65+21.52+13.05+39.02</f>
        <v>682.80999999999983</v>
      </c>
      <c r="C816" s="34">
        <v>36892</v>
      </c>
    </row>
    <row r="817" spans="1:3">
      <c r="A817" s="38" t="s">
        <v>764</v>
      </c>
      <c r="B817" s="36">
        <f>448.99+40.85+22.1+22+758</f>
        <v>1291.94</v>
      </c>
      <c r="C817" s="34">
        <v>36892</v>
      </c>
    </row>
    <row r="818" spans="1:3">
      <c r="A818" s="38" t="s">
        <v>747</v>
      </c>
      <c r="B818" s="36">
        <v>23056.392151398119</v>
      </c>
      <c r="C818" s="34">
        <v>36892</v>
      </c>
    </row>
    <row r="819" spans="1:3">
      <c r="A819" s="38" t="s">
        <v>743</v>
      </c>
      <c r="B819" s="36">
        <v>0</v>
      </c>
      <c r="C819" s="34">
        <v>36923</v>
      </c>
    </row>
    <row r="820" spans="1:3">
      <c r="A820" s="38" t="s">
        <v>406</v>
      </c>
      <c r="B820" s="36">
        <f>600+44.02+800-800</f>
        <v>644.02</v>
      </c>
      <c r="C820" s="34">
        <v>36923</v>
      </c>
    </row>
    <row r="821" spans="1:3">
      <c r="A821" s="38" t="s">
        <v>587</v>
      </c>
      <c r="B821" s="36">
        <f>120+66</f>
        <v>186</v>
      </c>
      <c r="C821" s="34">
        <v>36923</v>
      </c>
    </row>
    <row r="822" spans="1:3">
      <c r="A822" s="38" t="s">
        <v>748</v>
      </c>
      <c r="B822" s="36">
        <v>0</v>
      </c>
      <c r="C822" s="34">
        <v>36923</v>
      </c>
    </row>
    <row r="823" spans="1:3">
      <c r="A823" s="38" t="s">
        <v>745</v>
      </c>
      <c r="B823" s="36">
        <v>213</v>
      </c>
      <c r="C823" s="34">
        <v>36923</v>
      </c>
    </row>
    <row r="824" spans="1:3">
      <c r="A824" s="38" t="s">
        <v>757</v>
      </c>
      <c r="B824" s="36">
        <v>0</v>
      </c>
      <c r="C824" s="34">
        <v>36923</v>
      </c>
    </row>
    <row r="825" spans="1:3">
      <c r="A825" s="38" t="s">
        <v>758</v>
      </c>
      <c r="B825" s="36">
        <v>73</v>
      </c>
      <c r="C825" s="34">
        <v>36923</v>
      </c>
    </row>
    <row r="826" spans="1:3">
      <c r="A826" s="38" t="s">
        <v>756</v>
      </c>
      <c r="B826" s="36">
        <v>376.15</v>
      </c>
      <c r="C826" s="34">
        <v>36923</v>
      </c>
    </row>
    <row r="827" spans="1:3">
      <c r="A827" s="38" t="s">
        <v>759</v>
      </c>
      <c r="B827" s="36">
        <v>0</v>
      </c>
      <c r="C827" s="34">
        <v>36923</v>
      </c>
    </row>
    <row r="828" spans="1:3">
      <c r="A828" s="38" t="s">
        <v>746</v>
      </c>
      <c r="B828" s="36">
        <f>449.76+1058.52+431.6+571.58</f>
        <v>2511.46</v>
      </c>
      <c r="C828" s="34">
        <v>36923</v>
      </c>
    </row>
    <row r="829" spans="1:3">
      <c r="A829" s="38" t="s">
        <v>760</v>
      </c>
      <c r="B829" s="36">
        <v>0</v>
      </c>
      <c r="C829" s="34">
        <v>36923</v>
      </c>
    </row>
    <row r="830" spans="1:3">
      <c r="A830" s="38" t="s">
        <v>755</v>
      </c>
      <c r="B830" s="36">
        <f>190+25</f>
        <v>215</v>
      </c>
      <c r="C830" s="34">
        <v>36923</v>
      </c>
    </row>
    <row r="831" spans="1:3">
      <c r="A831" s="38" t="s">
        <v>744</v>
      </c>
      <c r="B831" s="36">
        <f>40+33+20+47+56+27.4+40+30.01+650+141</f>
        <v>1084.4099999999999</v>
      </c>
      <c r="C831" s="34">
        <v>36923</v>
      </c>
    </row>
    <row r="832" spans="1:3">
      <c r="A832" s="38" t="s">
        <v>752</v>
      </c>
      <c r="B832" s="36">
        <v>0</v>
      </c>
      <c r="C832" s="34">
        <v>36923</v>
      </c>
    </row>
    <row r="833" spans="1:3">
      <c r="A833" s="38" t="s">
        <v>763</v>
      </c>
      <c r="B833" s="36">
        <v>36.49</v>
      </c>
      <c r="C833" s="34">
        <v>36923</v>
      </c>
    </row>
    <row r="834" spans="1:3">
      <c r="A834" s="38" t="s">
        <v>754</v>
      </c>
      <c r="B834" s="36">
        <f>16.2+129.07+39.32+379.27+56.41+2.26+48.72+4.96+109.74</f>
        <v>785.94999999999993</v>
      </c>
      <c r="C834" s="34">
        <v>36923</v>
      </c>
    </row>
    <row r="835" spans="1:3">
      <c r="A835" s="38" t="s">
        <v>749</v>
      </c>
      <c r="B835" s="36">
        <f>16.93+79.51+38.17+200</f>
        <v>334.61</v>
      </c>
      <c r="C835" s="34">
        <v>36923</v>
      </c>
    </row>
    <row r="836" spans="1:3">
      <c r="A836" s="38" t="s">
        <v>764</v>
      </c>
      <c r="B836" s="36">
        <f>1920+200+28+66+52.6+42.35</f>
        <v>2308.9499999999998</v>
      </c>
      <c r="C836" s="34">
        <v>36923</v>
      </c>
    </row>
    <row r="837" spans="1:3">
      <c r="A837" s="38" t="s">
        <v>747</v>
      </c>
      <c r="B837" s="36">
        <v>19604.957461628364</v>
      </c>
      <c r="C837" s="34">
        <v>36923</v>
      </c>
    </row>
    <row r="838" spans="1:3">
      <c r="A838" s="38" t="s">
        <v>743</v>
      </c>
      <c r="B838" s="36">
        <v>0</v>
      </c>
      <c r="C838" s="34">
        <v>36951</v>
      </c>
    </row>
    <row r="839" spans="1:3">
      <c r="A839" s="38" t="s">
        <v>406</v>
      </c>
      <c r="B839" s="36">
        <f>75.6+800-800</f>
        <v>75.600000000000023</v>
      </c>
      <c r="C839" s="34">
        <v>36951</v>
      </c>
    </row>
    <row r="840" spans="1:3">
      <c r="A840" s="38" t="s">
        <v>765</v>
      </c>
      <c r="B840" s="36">
        <f>300-310</f>
        <v>-10</v>
      </c>
      <c r="C840" s="34">
        <v>36951</v>
      </c>
    </row>
    <row r="841" spans="1:3">
      <c r="A841" s="38" t="s">
        <v>587</v>
      </c>
      <c r="B841" s="36">
        <f>64+100+190+70+763.5</f>
        <v>1187.5</v>
      </c>
      <c r="C841" s="34">
        <v>36951</v>
      </c>
    </row>
    <row r="842" spans="1:3">
      <c r="A842" s="38" t="s">
        <v>748</v>
      </c>
      <c r="B842" s="36">
        <v>0</v>
      </c>
      <c r="C842" s="34">
        <v>36951</v>
      </c>
    </row>
    <row r="843" spans="1:3">
      <c r="A843" s="38" t="s">
        <v>745</v>
      </c>
      <c r="B843" s="36">
        <v>0</v>
      </c>
      <c r="C843" s="34">
        <v>36951</v>
      </c>
    </row>
    <row r="844" spans="1:3">
      <c r="A844" s="38" t="s">
        <v>757</v>
      </c>
      <c r="B844" s="36">
        <v>9.36</v>
      </c>
      <c r="C844" s="34">
        <v>36951</v>
      </c>
    </row>
    <row r="845" spans="1:3">
      <c r="A845" s="38" t="s">
        <v>758</v>
      </c>
      <c r="B845" s="36">
        <v>73</v>
      </c>
      <c r="C845" s="34">
        <v>36951</v>
      </c>
    </row>
    <row r="846" spans="1:3">
      <c r="A846" s="38" t="s">
        <v>756</v>
      </c>
      <c r="B846" s="36">
        <v>376.15</v>
      </c>
      <c r="C846" s="34">
        <v>36951</v>
      </c>
    </row>
    <row r="847" spans="1:3">
      <c r="A847" s="38" t="s">
        <v>759</v>
      </c>
      <c r="B847" s="36">
        <v>0</v>
      </c>
      <c r="C847" s="34">
        <v>36951</v>
      </c>
    </row>
    <row r="848" spans="1:3">
      <c r="A848" s="38" t="s">
        <v>746</v>
      </c>
      <c r="B848" s="36">
        <v>0</v>
      </c>
      <c r="C848" s="34">
        <v>36951</v>
      </c>
    </row>
    <row r="849" spans="1:3">
      <c r="A849" s="38" t="s">
        <v>760</v>
      </c>
      <c r="B849" s="36">
        <v>0</v>
      </c>
      <c r="C849" s="34">
        <v>36951</v>
      </c>
    </row>
    <row r="850" spans="1:3">
      <c r="A850" s="38" t="s">
        <v>755</v>
      </c>
      <c r="B850" s="36">
        <f>45.14+60+190+25+35</f>
        <v>355.14</v>
      </c>
      <c r="C850" s="34">
        <v>36951</v>
      </c>
    </row>
    <row r="851" spans="1:3">
      <c r="A851" s="38" t="s">
        <v>744</v>
      </c>
      <c r="B851" s="36">
        <f>141+78+57+44.83+20+40+40-537</f>
        <v>-116.17000000000002</v>
      </c>
      <c r="C851" s="34">
        <v>36951</v>
      </c>
    </row>
    <row r="852" spans="1:3">
      <c r="A852" s="38" t="s">
        <v>752</v>
      </c>
      <c r="B852" s="36">
        <v>0</v>
      </c>
      <c r="C852" s="34">
        <v>36951</v>
      </c>
    </row>
    <row r="853" spans="1:3">
      <c r="A853" s="38" t="s">
        <v>763</v>
      </c>
      <c r="B853" s="36">
        <v>80.95</v>
      </c>
      <c r="C853" s="34">
        <v>36951</v>
      </c>
    </row>
    <row r="854" spans="1:3">
      <c r="A854" s="38" t="s">
        <v>754</v>
      </c>
      <c r="B854" s="36">
        <f>128.69+335+47+38.56</f>
        <v>549.25</v>
      </c>
      <c r="C854" s="34">
        <v>36951</v>
      </c>
    </row>
    <row r="855" spans="1:3">
      <c r="A855" s="38" t="s">
        <v>749</v>
      </c>
      <c r="B855" s="36">
        <f>80.26+172.58+63.7+24.42</f>
        <v>340.96000000000004</v>
      </c>
      <c r="C855" s="34">
        <v>36951</v>
      </c>
    </row>
    <row r="856" spans="1:3">
      <c r="A856" s="38" t="s">
        <v>764</v>
      </c>
      <c r="B856" s="36">
        <v>0</v>
      </c>
      <c r="C856" s="34">
        <v>36951</v>
      </c>
    </row>
    <row r="857" spans="1:3">
      <c r="A857" s="38" t="s">
        <v>747</v>
      </c>
      <c r="B857" s="36">
        <v>20071.586966733914</v>
      </c>
      <c r="C857" s="34">
        <v>36951</v>
      </c>
    </row>
    <row r="858" spans="1:3">
      <c r="A858" s="38" t="s">
        <v>743</v>
      </c>
      <c r="B858" s="36">
        <v>0</v>
      </c>
      <c r="C858" s="34">
        <v>36982</v>
      </c>
    </row>
    <row r="859" spans="1:3">
      <c r="A859" s="38" t="s">
        <v>406</v>
      </c>
      <c r="B859" s="36">
        <f>65.09+800-800</f>
        <v>65.090000000000032</v>
      </c>
      <c r="C859" s="34">
        <v>36982</v>
      </c>
    </row>
    <row r="860" spans="1:3">
      <c r="A860" s="38" t="s">
        <v>765</v>
      </c>
      <c r="B860" s="36">
        <f>-310+100</f>
        <v>-210</v>
      </c>
      <c r="C860" s="34">
        <v>36982</v>
      </c>
    </row>
    <row r="861" spans="1:3">
      <c r="A861" s="38" t="s">
        <v>587</v>
      </c>
      <c r="B861" s="36">
        <f>190+70+250+763.5</f>
        <v>1273.5</v>
      </c>
      <c r="C861" s="34">
        <v>36982</v>
      </c>
    </row>
    <row r="862" spans="1:3">
      <c r="A862" s="38" t="s">
        <v>748</v>
      </c>
      <c r="B862" s="36">
        <v>0</v>
      </c>
      <c r="C862" s="34">
        <v>36982</v>
      </c>
    </row>
    <row r="863" spans="1:3">
      <c r="A863" s="38" t="s">
        <v>745</v>
      </c>
      <c r="B863" s="36">
        <v>0</v>
      </c>
      <c r="C863" s="34">
        <v>36982</v>
      </c>
    </row>
    <row r="864" spans="1:3">
      <c r="A864" s="38" t="s">
        <v>757</v>
      </c>
      <c r="B864" s="36">
        <v>0</v>
      </c>
      <c r="C864" s="34">
        <v>36982</v>
      </c>
    </row>
    <row r="865" spans="1:3">
      <c r="A865" s="38" t="s">
        <v>758</v>
      </c>
      <c r="B865" s="36">
        <v>73</v>
      </c>
      <c r="C865" s="34">
        <v>36982</v>
      </c>
    </row>
    <row r="866" spans="1:3">
      <c r="A866" s="38" t="s">
        <v>756</v>
      </c>
      <c r="B866" s="36">
        <f>376.15+200.06</f>
        <v>576.21</v>
      </c>
      <c r="C866" s="34">
        <v>36982</v>
      </c>
    </row>
    <row r="867" spans="1:3">
      <c r="A867" s="38" t="s">
        <v>759</v>
      </c>
      <c r="B867" s="36">
        <v>0</v>
      </c>
      <c r="C867" s="34">
        <v>36982</v>
      </c>
    </row>
    <row r="868" spans="1:3">
      <c r="A868" s="38" t="s">
        <v>746</v>
      </c>
      <c r="B868" s="36">
        <v>0</v>
      </c>
      <c r="C868" s="34">
        <v>36982</v>
      </c>
    </row>
    <row r="869" spans="1:3">
      <c r="A869" s="38" t="s">
        <v>760</v>
      </c>
      <c r="B869" s="36">
        <v>0</v>
      </c>
      <c r="C869" s="34">
        <v>36982</v>
      </c>
    </row>
    <row r="870" spans="1:3">
      <c r="A870" s="38" t="s">
        <v>755</v>
      </c>
      <c r="B870" s="36">
        <f>190+25+30+30</f>
        <v>275</v>
      </c>
      <c r="C870" s="34">
        <v>36982</v>
      </c>
    </row>
    <row r="871" spans="1:3">
      <c r="A871" s="38" t="s">
        <v>744</v>
      </c>
      <c r="B871" s="36">
        <f>71+141+45+50</f>
        <v>307</v>
      </c>
      <c r="C871" s="34">
        <v>36982</v>
      </c>
    </row>
    <row r="872" spans="1:3">
      <c r="A872" s="38" t="s">
        <v>752</v>
      </c>
      <c r="B872" s="36">
        <v>0</v>
      </c>
      <c r="C872" s="34">
        <v>36982</v>
      </c>
    </row>
    <row r="873" spans="1:3">
      <c r="A873" s="38" t="s">
        <v>763</v>
      </c>
      <c r="B873" s="36">
        <v>198.13</v>
      </c>
      <c r="C873" s="34">
        <v>36982</v>
      </c>
    </row>
    <row r="874" spans="1:3">
      <c r="A874" s="38" t="s">
        <v>754</v>
      </c>
      <c r="B874" s="36">
        <f>16.26+351+61+2.39+50.28+105.72</f>
        <v>586.65</v>
      </c>
      <c r="C874" s="34">
        <v>36982</v>
      </c>
    </row>
    <row r="875" spans="1:3">
      <c r="A875" s="38" t="s">
        <v>749</v>
      </c>
      <c r="B875" s="36">
        <f>100+50+50.23+25.15+66.18+131.9+54.73+46.35+40</f>
        <v>564.54000000000008</v>
      </c>
      <c r="C875" s="34">
        <v>36982</v>
      </c>
    </row>
    <row r="876" spans="1:3">
      <c r="A876" s="38" t="s">
        <v>764</v>
      </c>
      <c r="B876" s="36">
        <v>74</v>
      </c>
      <c r="C876" s="34">
        <v>36982</v>
      </c>
    </row>
    <row r="877" spans="1:3">
      <c r="A877" s="38" t="s">
        <v>747</v>
      </c>
      <c r="B877" s="36">
        <v>46205.980534871807</v>
      </c>
      <c r="C877" s="34">
        <v>36982</v>
      </c>
    </row>
    <row r="878" spans="1:3">
      <c r="A878" s="38" t="s">
        <v>743</v>
      </c>
      <c r="B878" s="36">
        <v>0</v>
      </c>
      <c r="C878" s="34">
        <v>37012</v>
      </c>
    </row>
    <row r="879" spans="1:3">
      <c r="A879" s="38" t="s">
        <v>406</v>
      </c>
      <c r="B879" s="36">
        <f>-800+800</f>
        <v>0</v>
      </c>
      <c r="C879" s="34">
        <v>37012</v>
      </c>
    </row>
    <row r="880" spans="1:3">
      <c r="A880" s="38" t="s">
        <v>765</v>
      </c>
      <c r="B880" s="36">
        <v>0</v>
      </c>
      <c r="C880" s="34">
        <v>37012</v>
      </c>
    </row>
    <row r="881" spans="1:3">
      <c r="A881" s="38" t="s">
        <v>587</v>
      </c>
      <c r="B881" s="36">
        <f>190+190+763.5+70</f>
        <v>1213.5</v>
      </c>
      <c r="C881" s="34">
        <v>37012</v>
      </c>
    </row>
    <row r="882" spans="1:3">
      <c r="A882" s="38" t="s">
        <v>748</v>
      </c>
      <c r="B882" s="36">
        <v>0</v>
      </c>
      <c r="C882" s="34">
        <v>37012</v>
      </c>
    </row>
    <row r="883" spans="1:3">
      <c r="A883" s="38" t="s">
        <v>745</v>
      </c>
      <c r="B883" s="36">
        <v>0</v>
      </c>
      <c r="C883" s="34">
        <v>37012</v>
      </c>
    </row>
    <row r="884" spans="1:3">
      <c r="A884" s="38" t="s">
        <v>757</v>
      </c>
      <c r="B884" s="36">
        <v>0</v>
      </c>
      <c r="C884" s="34">
        <v>37012</v>
      </c>
    </row>
    <row r="885" spans="1:3">
      <c r="A885" s="38" t="s">
        <v>758</v>
      </c>
      <c r="B885" s="36">
        <v>73</v>
      </c>
      <c r="C885" s="34">
        <v>37012</v>
      </c>
    </row>
    <row r="886" spans="1:3">
      <c r="A886" s="38" t="s">
        <v>756</v>
      </c>
      <c r="B886" s="36">
        <f>376.15+151.02</f>
        <v>527.16999999999996</v>
      </c>
      <c r="C886" s="34">
        <v>37012</v>
      </c>
    </row>
    <row r="887" spans="1:3">
      <c r="A887" s="38" t="s">
        <v>759</v>
      </c>
      <c r="B887" s="36">
        <v>0</v>
      </c>
      <c r="C887" s="34">
        <v>37012</v>
      </c>
    </row>
    <row r="888" spans="1:3">
      <c r="A888" s="38" t="s">
        <v>746</v>
      </c>
      <c r="B888" s="36">
        <v>0</v>
      </c>
      <c r="C888" s="34">
        <v>37012</v>
      </c>
    </row>
    <row r="889" spans="1:3">
      <c r="A889" s="38" t="s">
        <v>760</v>
      </c>
      <c r="B889" s="36">
        <v>0</v>
      </c>
      <c r="C889" s="34">
        <v>37012</v>
      </c>
    </row>
    <row r="890" spans="1:3">
      <c r="A890" s="38" t="s">
        <v>755</v>
      </c>
      <c r="B890" s="36">
        <f>2100+300+190+25+125+3150</f>
        <v>5890</v>
      </c>
      <c r="C890" s="34">
        <v>37012</v>
      </c>
    </row>
    <row r="891" spans="1:3">
      <c r="A891" s="38" t="s">
        <v>744</v>
      </c>
      <c r="B891" s="36">
        <f>141+71+45+61+75+50+66</f>
        <v>509</v>
      </c>
      <c r="C891" s="34">
        <v>37012</v>
      </c>
    </row>
    <row r="892" spans="1:3">
      <c r="A892" s="38" t="s">
        <v>752</v>
      </c>
      <c r="B892" s="36">
        <v>0</v>
      </c>
      <c r="C892" s="34">
        <v>37012</v>
      </c>
    </row>
    <row r="893" spans="1:3">
      <c r="A893" s="38" t="s">
        <v>763</v>
      </c>
      <c r="B893" s="36">
        <v>46.98</v>
      </c>
      <c r="C893" s="34">
        <v>37012</v>
      </c>
    </row>
    <row r="894" spans="1:3">
      <c r="A894" s="38" t="s">
        <v>754</v>
      </c>
      <c r="B894" s="36">
        <f>366.25+54.52</f>
        <v>420.77</v>
      </c>
      <c r="C894" s="34">
        <v>37012</v>
      </c>
    </row>
    <row r="895" spans="1:3">
      <c r="A895" s="38" t="s">
        <v>749</v>
      </c>
      <c r="B895" s="36">
        <f>50+35+152.12+46.12+16.49+30.4+42.72+19.9+192.67+29.52+11.08+47.94+50</f>
        <v>723.96</v>
      </c>
      <c r="C895" s="34">
        <v>37012</v>
      </c>
    </row>
    <row r="896" spans="1:3">
      <c r="A896" s="38" t="s">
        <v>764</v>
      </c>
      <c r="B896" s="36">
        <v>0</v>
      </c>
      <c r="C896" s="34">
        <v>37012</v>
      </c>
    </row>
    <row r="897" spans="1:5">
      <c r="A897" s="38" t="s">
        <v>747</v>
      </c>
      <c r="B897" s="36">
        <v>13716.665206703357</v>
      </c>
      <c r="C897" s="34">
        <v>37012</v>
      </c>
      <c r="D897" s="21">
        <f>SUBTOTAL(9,B818:B897)</f>
        <v>147533.86232133556</v>
      </c>
    </row>
    <row r="898" spans="1:5">
      <c r="A898" s="38" t="s">
        <v>743</v>
      </c>
      <c r="B898" s="36">
        <v>0</v>
      </c>
      <c r="C898" s="34">
        <v>37043</v>
      </c>
      <c r="D898" s="21">
        <f>+D897+D799+D567+D390+D249+D122+D10</f>
        <v>2183956.1029020352</v>
      </c>
      <c r="E898" s="21" t="e">
        <f>+D898/B898</f>
        <v>#DIV/0!</v>
      </c>
    </row>
    <row r="899" spans="1:5">
      <c r="A899" s="38" t="s">
        <v>406</v>
      </c>
      <c r="B899" s="36">
        <f>69.73-800+700+44.44</f>
        <v>14.170000000000016</v>
      </c>
      <c r="C899" s="34">
        <v>37043</v>
      </c>
    </row>
    <row r="900" spans="1:5">
      <c r="A900" s="38" t="s">
        <v>765</v>
      </c>
      <c r="B900" s="36">
        <v>0</v>
      </c>
      <c r="C900" s="34">
        <v>37043</v>
      </c>
    </row>
    <row r="901" spans="1:5">
      <c r="A901" s="38" t="s">
        <v>587</v>
      </c>
      <c r="B901" s="36">
        <f>190+190+70+893+50</f>
        <v>1393</v>
      </c>
      <c r="C901" s="34">
        <v>37043</v>
      </c>
    </row>
    <row r="902" spans="1:5">
      <c r="A902" s="38" t="s">
        <v>748</v>
      </c>
      <c r="B902" s="36">
        <v>0</v>
      </c>
      <c r="C902" s="34">
        <v>37043</v>
      </c>
    </row>
    <row r="903" spans="1:5">
      <c r="A903" s="38" t="s">
        <v>745</v>
      </c>
      <c r="B903" s="36">
        <v>284</v>
      </c>
      <c r="C903" s="34">
        <v>37043</v>
      </c>
    </row>
    <row r="904" spans="1:5">
      <c r="A904" s="38" t="s">
        <v>757</v>
      </c>
      <c r="B904" s="36">
        <v>0</v>
      </c>
      <c r="C904" s="34">
        <v>37043</v>
      </c>
    </row>
    <row r="905" spans="1:5">
      <c r="A905" s="38" t="s">
        <v>758</v>
      </c>
      <c r="B905" s="36">
        <v>86</v>
      </c>
      <c r="C905" s="34">
        <v>37043</v>
      </c>
    </row>
    <row r="906" spans="1:5">
      <c r="A906" s="38" t="s">
        <v>756</v>
      </c>
      <c r="B906" s="36">
        <v>376.15</v>
      </c>
      <c r="C906" s="34">
        <v>37043</v>
      </c>
    </row>
    <row r="907" spans="1:5">
      <c r="A907" s="38" t="s">
        <v>759</v>
      </c>
      <c r="B907" s="36">
        <v>0</v>
      </c>
      <c r="C907" s="34">
        <v>37043</v>
      </c>
    </row>
    <row r="908" spans="1:5">
      <c r="A908" s="38" t="s">
        <v>746</v>
      </c>
      <c r="B908" s="36">
        <f>1125.11+690.19</f>
        <v>1815.3</v>
      </c>
      <c r="C908" s="34">
        <v>37043</v>
      </c>
    </row>
    <row r="909" spans="1:5">
      <c r="A909" s="38" t="s">
        <v>760</v>
      </c>
      <c r="B909" s="36">
        <v>0</v>
      </c>
      <c r="C909" s="34">
        <v>37043</v>
      </c>
    </row>
    <row r="910" spans="1:5">
      <c r="A910" s="38" t="s">
        <v>755</v>
      </c>
      <c r="B910" s="36">
        <f>2100+31.23+190+25+3150+250+30</f>
        <v>5776.23</v>
      </c>
      <c r="C910" s="34">
        <v>37043</v>
      </c>
    </row>
    <row r="911" spans="1:5">
      <c r="A911" s="38" t="s">
        <v>744</v>
      </c>
      <c r="B911" s="36">
        <f>141+71+50+50</f>
        <v>312</v>
      </c>
      <c r="C911" s="34">
        <v>37043</v>
      </c>
    </row>
    <row r="912" spans="1:5">
      <c r="A912" s="38" t="s">
        <v>752</v>
      </c>
      <c r="B912" s="36">
        <v>700</v>
      </c>
      <c r="C912" s="34">
        <v>37043</v>
      </c>
    </row>
    <row r="913" spans="1:3">
      <c r="A913" s="38" t="s">
        <v>763</v>
      </c>
      <c r="B913" s="36">
        <v>0</v>
      </c>
      <c r="C913" s="34">
        <v>37043</v>
      </c>
    </row>
    <row r="914" spans="1:3">
      <c r="A914" s="38" t="s">
        <v>754</v>
      </c>
      <c r="B914" s="36">
        <f>40.08+16.27+96.45+387+63+51.54+2.39</f>
        <v>656.7299999999999</v>
      </c>
      <c r="C914" s="34">
        <v>37043</v>
      </c>
    </row>
    <row r="915" spans="1:3">
      <c r="A915" s="38" t="s">
        <v>749</v>
      </c>
      <c r="B915" s="36">
        <f>60.08+80.92+25.9+200.93+45.17+18.06+228.75+50.59</f>
        <v>710.40000000000009</v>
      </c>
      <c r="C915" s="34">
        <v>37043</v>
      </c>
    </row>
    <row r="916" spans="1:3">
      <c r="A916" s="38" t="s">
        <v>764</v>
      </c>
      <c r="B916" s="36">
        <f>300+23</f>
        <v>323</v>
      </c>
      <c r="C916" s="34">
        <v>37043</v>
      </c>
    </row>
    <row r="917" spans="1:3">
      <c r="A917" s="38" t="s">
        <v>747</v>
      </c>
      <c r="B917" s="36">
        <v>14648.444633967243</v>
      </c>
      <c r="C917" s="34">
        <v>37043</v>
      </c>
    </row>
    <row r="918" spans="1:3">
      <c r="A918" s="38" t="s">
        <v>743</v>
      </c>
      <c r="B918" s="36">
        <v>0</v>
      </c>
      <c r="C918" s="34">
        <v>37073</v>
      </c>
    </row>
    <row r="919" spans="1:3">
      <c r="A919" s="38" t="s">
        <v>406</v>
      </c>
      <c r="B919" s="36">
        <f>60+800</f>
        <v>860</v>
      </c>
      <c r="C919" s="34">
        <v>37073</v>
      </c>
    </row>
    <row r="920" spans="1:3">
      <c r="A920" s="38" t="s">
        <v>765</v>
      </c>
      <c r="B920" s="36">
        <f>100+300-310</f>
        <v>90</v>
      </c>
      <c r="C920" s="34">
        <v>37073</v>
      </c>
    </row>
    <row r="921" spans="1:3">
      <c r="A921" s="38" t="s">
        <v>587</v>
      </c>
      <c r="B921" s="36">
        <f>114+65+898</f>
        <v>1077</v>
      </c>
      <c r="C921" s="34">
        <v>37073</v>
      </c>
    </row>
    <row r="922" spans="1:3">
      <c r="A922" s="38" t="s">
        <v>748</v>
      </c>
      <c r="B922" s="36">
        <v>0</v>
      </c>
      <c r="C922" s="34">
        <v>37073</v>
      </c>
    </row>
    <row r="923" spans="1:3">
      <c r="A923" s="38" t="s">
        <v>745</v>
      </c>
      <c r="B923" s="36">
        <v>0</v>
      </c>
      <c r="C923" s="34">
        <v>37073</v>
      </c>
    </row>
    <row r="924" spans="1:3">
      <c r="A924" s="38" t="s">
        <v>757</v>
      </c>
      <c r="B924" s="36">
        <v>0</v>
      </c>
      <c r="C924" s="34">
        <v>37073</v>
      </c>
    </row>
    <row r="925" spans="1:3">
      <c r="A925" s="38" t="s">
        <v>758</v>
      </c>
      <c r="B925" s="36">
        <v>0</v>
      </c>
      <c r="C925" s="34">
        <v>37073</v>
      </c>
    </row>
    <row r="926" spans="1:3">
      <c r="A926" s="38" t="s">
        <v>756</v>
      </c>
      <c r="B926" s="36">
        <f>376.15+144.94</f>
        <v>521.08999999999992</v>
      </c>
      <c r="C926" s="34">
        <v>37073</v>
      </c>
    </row>
    <row r="927" spans="1:3">
      <c r="A927" s="38" t="s">
        <v>759</v>
      </c>
      <c r="B927" s="36">
        <v>0</v>
      </c>
      <c r="C927" s="34">
        <v>37073</v>
      </c>
    </row>
    <row r="928" spans="1:3">
      <c r="A928" s="38" t="s">
        <v>746</v>
      </c>
      <c r="B928" s="36">
        <v>0</v>
      </c>
      <c r="C928" s="34">
        <v>37073</v>
      </c>
    </row>
    <row r="929" spans="1:3">
      <c r="A929" s="38" t="s">
        <v>760</v>
      </c>
      <c r="B929" s="36">
        <v>0</v>
      </c>
      <c r="C929" s="34">
        <v>37073</v>
      </c>
    </row>
    <row r="930" spans="1:3">
      <c r="A930" s="38" t="s">
        <v>755</v>
      </c>
      <c r="B930" s="36">
        <f>190+25+200</f>
        <v>415</v>
      </c>
      <c r="C930" s="34">
        <v>37073</v>
      </c>
    </row>
    <row r="931" spans="1:3">
      <c r="A931" s="38" t="s">
        <v>744</v>
      </c>
      <c r="B931" s="36">
        <f>141+71+50+50+50+30+50</f>
        <v>442</v>
      </c>
      <c r="C931" s="34">
        <v>37073</v>
      </c>
    </row>
    <row r="932" spans="1:3">
      <c r="A932" s="38" t="s">
        <v>752</v>
      </c>
      <c r="B932" s="36">
        <v>0</v>
      </c>
      <c r="C932" s="34">
        <v>37073</v>
      </c>
    </row>
    <row r="933" spans="1:3">
      <c r="A933" s="38" t="s">
        <v>763</v>
      </c>
      <c r="B933" s="36">
        <v>0</v>
      </c>
      <c r="C933" s="34">
        <v>37073</v>
      </c>
    </row>
    <row r="934" spans="1:3">
      <c r="A934" s="38" t="s">
        <v>754</v>
      </c>
      <c r="B934" s="36">
        <f>352+62+46.69</f>
        <v>460.69</v>
      </c>
      <c r="C934" s="34">
        <v>37073</v>
      </c>
    </row>
    <row r="935" spans="1:3">
      <c r="A935" s="38" t="s">
        <v>749</v>
      </c>
      <c r="B935" s="36">
        <f>42.84+225.81+10.18+29.59+34.8+41.27</f>
        <v>384.48999999999995</v>
      </c>
      <c r="C935" s="34">
        <v>37073</v>
      </c>
    </row>
    <row r="936" spans="1:3">
      <c r="A936" s="38" t="s">
        <v>764</v>
      </c>
      <c r="B936" s="36">
        <f>32.8+120</f>
        <v>152.80000000000001</v>
      </c>
      <c r="C936" s="34">
        <v>37073</v>
      </c>
    </row>
    <row r="937" spans="1:3">
      <c r="A937" s="38" t="s">
        <v>747</v>
      </c>
      <c r="B937" s="36">
        <v>21985.260136899538</v>
      </c>
      <c r="C937" s="34">
        <v>37073</v>
      </c>
    </row>
    <row r="938" spans="1:3">
      <c r="A938" s="38" t="s">
        <v>743</v>
      </c>
      <c r="B938" s="36">
        <v>0</v>
      </c>
      <c r="C938" s="34">
        <v>37104</v>
      </c>
    </row>
    <row r="939" spans="1:3">
      <c r="A939" s="38" t="s">
        <v>406</v>
      </c>
      <c r="B939" s="36">
        <f>-800+700</f>
        <v>-100</v>
      </c>
      <c r="C939" s="34">
        <v>37104</v>
      </c>
    </row>
    <row r="940" spans="1:3">
      <c r="A940" s="38" t="s">
        <v>765</v>
      </c>
      <c r="B940" s="36">
        <f>50-310+200</f>
        <v>-60</v>
      </c>
      <c r="C940" s="34">
        <v>37104</v>
      </c>
    </row>
    <row r="941" spans="1:3">
      <c r="A941" s="38" t="s">
        <v>587</v>
      </c>
      <c r="B941" s="36">
        <f>190+190+763.5+70+25</f>
        <v>1238.5</v>
      </c>
      <c r="C941" s="34">
        <v>37104</v>
      </c>
    </row>
    <row r="942" spans="1:3">
      <c r="A942" s="38" t="s">
        <v>748</v>
      </c>
      <c r="B942" s="36">
        <f>80.27+13.51+78.24</f>
        <v>172.01999999999998</v>
      </c>
      <c r="C942" s="34">
        <v>37104</v>
      </c>
    </row>
    <row r="943" spans="1:3">
      <c r="A943" s="38" t="s">
        <v>745</v>
      </c>
      <c r="B943" s="36">
        <v>0</v>
      </c>
      <c r="C943" s="34">
        <v>37104</v>
      </c>
    </row>
    <row r="944" spans="1:3">
      <c r="A944" s="38" t="s">
        <v>757</v>
      </c>
      <c r="B944" s="36">
        <v>46.69</v>
      </c>
      <c r="C944" s="34">
        <v>37104</v>
      </c>
    </row>
    <row r="945" spans="1:3">
      <c r="A945" s="38" t="s">
        <v>758</v>
      </c>
      <c r="B945" s="36">
        <v>86</v>
      </c>
      <c r="C945" s="34">
        <v>37104</v>
      </c>
    </row>
    <row r="946" spans="1:3">
      <c r="A946" s="38" t="s">
        <v>756</v>
      </c>
      <c r="B946" s="36">
        <v>376.15</v>
      </c>
      <c r="C946" s="34">
        <v>37104</v>
      </c>
    </row>
    <row r="947" spans="1:3">
      <c r="A947" s="38" t="s">
        <v>759</v>
      </c>
      <c r="B947" s="36">
        <v>0</v>
      </c>
      <c r="C947" s="34">
        <v>37104</v>
      </c>
    </row>
    <row r="948" spans="1:3">
      <c r="A948" s="38" t="s">
        <v>746</v>
      </c>
      <c r="B948" s="36">
        <v>0</v>
      </c>
      <c r="C948" s="34">
        <v>37104</v>
      </c>
    </row>
    <row r="949" spans="1:3">
      <c r="A949" s="38" t="s">
        <v>760</v>
      </c>
      <c r="B949" s="36">
        <v>0</v>
      </c>
      <c r="C949" s="34">
        <v>37104</v>
      </c>
    </row>
    <row r="950" spans="1:3">
      <c r="A950" s="38" t="s">
        <v>755</v>
      </c>
      <c r="B950" s="36">
        <f>42.48+56+190+25</f>
        <v>313.48</v>
      </c>
      <c r="C950" s="34">
        <v>37104</v>
      </c>
    </row>
    <row r="951" spans="1:3">
      <c r="A951" s="38" t="s">
        <v>744</v>
      </c>
      <c r="B951" s="36">
        <f>141+71+50+20</f>
        <v>282</v>
      </c>
      <c r="C951" s="34">
        <v>37104</v>
      </c>
    </row>
    <row r="952" spans="1:3">
      <c r="A952" s="38" t="s">
        <v>752</v>
      </c>
      <c r="B952" s="36">
        <v>400</v>
      </c>
      <c r="C952" s="34">
        <v>37104</v>
      </c>
    </row>
    <row r="953" spans="1:3">
      <c r="A953" s="38" t="s">
        <v>763</v>
      </c>
      <c r="B953" s="36">
        <v>0</v>
      </c>
      <c r="C953" s="34">
        <v>37104</v>
      </c>
    </row>
    <row r="954" spans="1:3">
      <c r="A954" s="38" t="s">
        <v>754</v>
      </c>
      <c r="B954" s="36">
        <f>17.04+5.72+5.28+2.4+51.98+371+57+16.51</f>
        <v>526.92999999999995</v>
      </c>
      <c r="C954" s="34">
        <v>37104</v>
      </c>
    </row>
    <row r="955" spans="1:3">
      <c r="A955" s="38" t="s">
        <v>749</v>
      </c>
      <c r="B955" s="36">
        <f>252.31+178.6+43.97+55.31+30</f>
        <v>560.19000000000005</v>
      </c>
      <c r="C955" s="34">
        <v>37104</v>
      </c>
    </row>
    <row r="956" spans="1:3">
      <c r="A956" s="38" t="s">
        <v>764</v>
      </c>
      <c r="B956" s="36">
        <f>360+739+627.98</f>
        <v>1726.98</v>
      </c>
      <c r="C956" s="34">
        <v>37104</v>
      </c>
    </row>
    <row r="957" spans="1:3">
      <c r="A957" s="38" t="s">
        <v>747</v>
      </c>
      <c r="B957" s="36">
        <v>38759.780162815005</v>
      </c>
      <c r="C957" s="34">
        <v>37104</v>
      </c>
    </row>
    <row r="958" spans="1:3">
      <c r="A958" s="38" t="s">
        <v>743</v>
      </c>
      <c r="B958" s="36">
        <v>0</v>
      </c>
      <c r="C958" s="34">
        <v>37135</v>
      </c>
    </row>
    <row r="959" spans="1:3">
      <c r="A959" s="38" t="s">
        <v>406</v>
      </c>
      <c r="B959" s="36">
        <f>-800+750</f>
        <v>-50</v>
      </c>
      <c r="C959" s="34">
        <v>37135</v>
      </c>
    </row>
    <row r="960" spans="1:3">
      <c r="A960" s="38" t="s">
        <v>765</v>
      </c>
      <c r="B960" s="36">
        <v>0</v>
      </c>
      <c r="C960" s="34">
        <v>37135</v>
      </c>
    </row>
    <row r="961" spans="1:3">
      <c r="A961" s="38" t="s">
        <v>587</v>
      </c>
      <c r="B961" s="36">
        <f>190+190+763.5+70</f>
        <v>1213.5</v>
      </c>
      <c r="C961" s="34">
        <v>37135</v>
      </c>
    </row>
    <row r="962" spans="1:3">
      <c r="A962" s="38" t="s">
        <v>748</v>
      </c>
      <c r="B962" s="36">
        <v>0</v>
      </c>
      <c r="C962" s="34">
        <v>37135</v>
      </c>
    </row>
    <row r="963" spans="1:3">
      <c r="A963" s="38" t="s">
        <v>745</v>
      </c>
      <c r="B963" s="36">
        <v>142</v>
      </c>
      <c r="C963" s="34">
        <v>37135</v>
      </c>
    </row>
    <row r="964" spans="1:3">
      <c r="A964" s="38" t="s">
        <v>757</v>
      </c>
      <c r="B964" s="36">
        <v>0</v>
      </c>
      <c r="C964" s="34">
        <v>37135</v>
      </c>
    </row>
    <row r="965" spans="1:3">
      <c r="A965" s="38" t="s">
        <v>758</v>
      </c>
      <c r="B965" s="36">
        <v>86</v>
      </c>
      <c r="C965" s="34">
        <v>37135</v>
      </c>
    </row>
    <row r="966" spans="1:3">
      <c r="A966" s="38" t="s">
        <v>756</v>
      </c>
      <c r="B966" s="36">
        <f>376.15+145.61</f>
        <v>521.76</v>
      </c>
      <c r="C966" s="34">
        <v>37135</v>
      </c>
    </row>
    <row r="967" spans="1:3">
      <c r="A967" s="38" t="s">
        <v>759</v>
      </c>
      <c r="B967" s="36">
        <v>0</v>
      </c>
      <c r="C967" s="34">
        <v>37135</v>
      </c>
    </row>
    <row r="968" spans="1:3">
      <c r="A968" s="38" t="s">
        <v>746</v>
      </c>
      <c r="B968" s="36">
        <v>0</v>
      </c>
      <c r="C968" s="34">
        <v>37135</v>
      </c>
    </row>
    <row r="969" spans="1:3">
      <c r="A969" s="38" t="s">
        <v>760</v>
      </c>
      <c r="B969" s="36">
        <v>0</v>
      </c>
      <c r="C969" s="34">
        <v>37135</v>
      </c>
    </row>
    <row r="970" spans="1:3">
      <c r="A970" s="38" t="s">
        <v>755</v>
      </c>
      <c r="B970" s="36">
        <f>34.16+190</f>
        <v>224.16</v>
      </c>
      <c r="C970" s="34">
        <v>37135</v>
      </c>
    </row>
    <row r="971" spans="1:3">
      <c r="A971" s="38" t="s">
        <v>744</v>
      </c>
      <c r="B971" s="36">
        <f>71+141+55+60</f>
        <v>327</v>
      </c>
      <c r="C971" s="34">
        <v>37135</v>
      </c>
    </row>
    <row r="972" spans="1:3">
      <c r="A972" s="38" t="s">
        <v>752</v>
      </c>
      <c r="B972" s="36">
        <v>0</v>
      </c>
      <c r="C972" s="34">
        <v>37135</v>
      </c>
    </row>
    <row r="973" spans="1:3">
      <c r="A973" s="38" t="s">
        <v>763</v>
      </c>
      <c r="B973" s="36">
        <v>0</v>
      </c>
      <c r="C973" s="34">
        <v>37135</v>
      </c>
    </row>
    <row r="974" spans="1:3">
      <c r="A974" s="38" t="s">
        <v>754</v>
      </c>
      <c r="B974" s="36">
        <f>128.69+353.92+55.23+103.82+16.16+42.94</f>
        <v>700.76</v>
      </c>
      <c r="C974" s="34">
        <v>37135</v>
      </c>
    </row>
    <row r="975" spans="1:3">
      <c r="A975" s="38" t="s">
        <v>749</v>
      </c>
      <c r="B975" s="36">
        <f>212.76+30+200.48+32.9+20.59+21.93+152.8+11.39+17.85</f>
        <v>700.7</v>
      </c>
      <c r="C975" s="34">
        <v>37135</v>
      </c>
    </row>
    <row r="976" spans="1:3">
      <c r="A976" s="38" t="s">
        <v>764</v>
      </c>
      <c r="B976" s="36">
        <f>40+71.92+179+100+60</f>
        <v>450.92</v>
      </c>
      <c r="C976" s="34">
        <v>37135</v>
      </c>
    </row>
    <row r="977" spans="1:3">
      <c r="A977" s="38" t="s">
        <v>747</v>
      </c>
      <c r="B977" s="36">
        <v>28398.183231819421</v>
      </c>
      <c r="C977" s="34">
        <v>37135</v>
      </c>
    </row>
    <row r="978" spans="1:3">
      <c r="A978" s="38" t="s">
        <v>743</v>
      </c>
      <c r="B978" s="36">
        <v>0</v>
      </c>
      <c r="C978" s="34">
        <v>37165</v>
      </c>
    </row>
    <row r="979" spans="1:3">
      <c r="A979" s="38" t="s">
        <v>406</v>
      </c>
      <c r="B979" s="36">
        <v>800</v>
      </c>
      <c r="C979" s="34">
        <v>37165</v>
      </c>
    </row>
    <row r="980" spans="1:3">
      <c r="A980" s="38" t="s">
        <v>765</v>
      </c>
      <c r="B980" s="36">
        <v>0</v>
      </c>
      <c r="C980" s="34">
        <v>37165</v>
      </c>
    </row>
    <row r="981" spans="1:3">
      <c r="A981" s="38" t="s">
        <v>587</v>
      </c>
      <c r="B981" s="36">
        <f>190+190+763.5+375+375</f>
        <v>1893.5</v>
      </c>
      <c r="C981" s="34">
        <v>37165</v>
      </c>
    </row>
    <row r="982" spans="1:3">
      <c r="A982" s="38" t="s">
        <v>748</v>
      </c>
      <c r="B982" s="36">
        <v>0</v>
      </c>
      <c r="C982" s="34">
        <v>37165</v>
      </c>
    </row>
    <row r="983" spans="1:3">
      <c r="A983" s="38" t="s">
        <v>745</v>
      </c>
      <c r="B983" s="36">
        <v>0</v>
      </c>
      <c r="C983" s="34">
        <v>37165</v>
      </c>
    </row>
    <row r="984" spans="1:3">
      <c r="A984" s="38" t="s">
        <v>757</v>
      </c>
      <c r="B984" s="36">
        <v>188.93</v>
      </c>
      <c r="C984" s="34">
        <v>37165</v>
      </c>
    </row>
    <row r="985" spans="1:3">
      <c r="A985" s="38" t="s">
        <v>758</v>
      </c>
      <c r="B985" s="36">
        <v>86</v>
      </c>
      <c r="C985" s="34">
        <v>37165</v>
      </c>
    </row>
    <row r="986" spans="1:3">
      <c r="A986" s="38" t="s">
        <v>756</v>
      </c>
      <c r="B986" s="36">
        <v>376.15</v>
      </c>
      <c r="C986" s="34">
        <v>37165</v>
      </c>
    </row>
    <row r="987" spans="1:3">
      <c r="A987" s="38" t="s">
        <v>759</v>
      </c>
      <c r="B987" s="36">
        <v>0</v>
      </c>
      <c r="C987" s="34">
        <v>37165</v>
      </c>
    </row>
    <row r="988" spans="1:3">
      <c r="A988" s="38" t="s">
        <v>746</v>
      </c>
      <c r="B988" s="36">
        <v>0</v>
      </c>
      <c r="C988" s="34">
        <v>37165</v>
      </c>
    </row>
    <row r="989" spans="1:3">
      <c r="A989" s="38" t="s">
        <v>760</v>
      </c>
      <c r="B989" s="36">
        <v>0</v>
      </c>
      <c r="C989" s="34">
        <v>37165</v>
      </c>
    </row>
    <row r="990" spans="1:3">
      <c r="A990" s="38" t="s">
        <v>755</v>
      </c>
      <c r="B990" s="36">
        <v>190</v>
      </c>
      <c r="C990" s="34">
        <v>37165</v>
      </c>
    </row>
    <row r="991" spans="1:3">
      <c r="A991" s="38" t="s">
        <v>744</v>
      </c>
      <c r="B991" s="36">
        <f>141+71+50</f>
        <v>262</v>
      </c>
      <c r="C991" s="34">
        <v>37165</v>
      </c>
    </row>
    <row r="992" spans="1:3">
      <c r="A992" s="38" t="s">
        <v>752</v>
      </c>
      <c r="B992" s="36">
        <v>0</v>
      </c>
      <c r="C992" s="34">
        <v>37165</v>
      </c>
    </row>
    <row r="993" spans="1:3">
      <c r="A993" s="38" t="s">
        <v>763</v>
      </c>
      <c r="B993" s="36">
        <v>0</v>
      </c>
      <c r="C993" s="34">
        <v>37165</v>
      </c>
    </row>
    <row r="994" spans="1:3">
      <c r="A994" s="38" t="s">
        <v>754</v>
      </c>
      <c r="B994" s="36">
        <v>16.350000000000001</v>
      </c>
      <c r="C994" s="34">
        <v>37165</v>
      </c>
    </row>
    <row r="995" spans="1:3">
      <c r="A995" s="38" t="s">
        <v>749</v>
      </c>
      <c r="B995" s="36">
        <f>253.44+275.68+25+11.89+39.9</f>
        <v>605.91</v>
      </c>
      <c r="C995" s="34">
        <v>37165</v>
      </c>
    </row>
    <row r="996" spans="1:3">
      <c r="A996" s="38" t="s">
        <v>764</v>
      </c>
      <c r="B996" s="36">
        <f>17+105+18.33+130</f>
        <v>270.33</v>
      </c>
      <c r="C996" s="34">
        <v>37165</v>
      </c>
    </row>
    <row r="997" spans="1:3">
      <c r="A997" s="38" t="s">
        <v>747</v>
      </c>
      <c r="B997" s="36">
        <v>29255.991956123151</v>
      </c>
      <c r="C997" s="34">
        <v>37165</v>
      </c>
    </row>
    <row r="998" spans="1:3">
      <c r="A998" s="38" t="s">
        <v>743</v>
      </c>
      <c r="B998" s="36">
        <v>0</v>
      </c>
      <c r="C998" s="34">
        <v>37196</v>
      </c>
    </row>
    <row r="999" spans="1:3">
      <c r="A999" s="38" t="s">
        <v>406</v>
      </c>
      <c r="B999" s="36">
        <v>800</v>
      </c>
      <c r="C999" s="34">
        <v>37196</v>
      </c>
    </row>
    <row r="1000" spans="1:3">
      <c r="A1000" s="38" t="s">
        <v>765</v>
      </c>
      <c r="B1000" s="36">
        <v>0</v>
      </c>
      <c r="C1000" s="34">
        <v>37196</v>
      </c>
    </row>
    <row r="1001" spans="1:3">
      <c r="A1001" s="38" t="s">
        <v>587</v>
      </c>
      <c r="B1001" s="36">
        <f>190+190+763.5+70</f>
        <v>1213.5</v>
      </c>
      <c r="C1001" s="34">
        <v>37196</v>
      </c>
    </row>
    <row r="1002" spans="1:3">
      <c r="A1002" s="38" t="s">
        <v>748</v>
      </c>
      <c r="B1002" s="36">
        <v>0</v>
      </c>
      <c r="C1002" s="34">
        <v>37196</v>
      </c>
    </row>
    <row r="1003" spans="1:3">
      <c r="A1003" s="38" t="s">
        <v>745</v>
      </c>
      <c r="B1003" s="36">
        <v>0</v>
      </c>
      <c r="C1003" s="34">
        <v>37196</v>
      </c>
    </row>
    <row r="1004" spans="1:3">
      <c r="A1004" s="38" t="s">
        <v>757</v>
      </c>
      <c r="B1004" s="36">
        <v>0</v>
      </c>
      <c r="C1004" s="34">
        <v>37196</v>
      </c>
    </row>
    <row r="1005" spans="1:3">
      <c r="A1005" s="38" t="s">
        <v>758</v>
      </c>
      <c r="B1005" s="36">
        <v>100.44</v>
      </c>
      <c r="C1005" s="34">
        <v>37196</v>
      </c>
    </row>
    <row r="1006" spans="1:3">
      <c r="A1006" s="38" t="s">
        <v>756</v>
      </c>
      <c r="B1006" s="36">
        <f>376.15+144.94</f>
        <v>521.08999999999992</v>
      </c>
      <c r="C1006" s="34">
        <v>37196</v>
      </c>
    </row>
    <row r="1007" spans="1:3">
      <c r="A1007" s="38" t="s">
        <v>759</v>
      </c>
      <c r="B1007" s="36">
        <v>0</v>
      </c>
      <c r="C1007" s="34">
        <v>37196</v>
      </c>
    </row>
    <row r="1008" spans="1:3">
      <c r="A1008" s="38" t="s">
        <v>746</v>
      </c>
      <c r="B1008" s="36">
        <v>0</v>
      </c>
      <c r="C1008" s="34">
        <v>37196</v>
      </c>
    </row>
    <row r="1009" spans="1:3">
      <c r="A1009" s="38" t="s">
        <v>760</v>
      </c>
      <c r="B1009" s="36">
        <v>0</v>
      </c>
      <c r="C1009" s="34">
        <v>37196</v>
      </c>
    </row>
    <row r="1010" spans="1:3">
      <c r="A1010" s="38" t="s">
        <v>755</v>
      </c>
      <c r="B1010" s="36">
        <v>190</v>
      </c>
      <c r="C1010" s="34">
        <v>37196</v>
      </c>
    </row>
    <row r="1011" spans="1:3">
      <c r="A1011" s="38" t="s">
        <v>744</v>
      </c>
      <c r="B1011" s="36">
        <f>50+71+24+50</f>
        <v>195</v>
      </c>
      <c r="C1011" s="34">
        <v>37196</v>
      </c>
    </row>
    <row r="1012" spans="1:3">
      <c r="A1012" s="38" t="s">
        <v>752</v>
      </c>
      <c r="B1012" s="36">
        <v>0</v>
      </c>
      <c r="C1012" s="34">
        <v>37196</v>
      </c>
    </row>
    <row r="1013" spans="1:3">
      <c r="A1013" s="38" t="s">
        <v>763</v>
      </c>
      <c r="B1013" s="36">
        <v>0</v>
      </c>
      <c r="C1013" s="34">
        <v>37196</v>
      </c>
    </row>
    <row r="1014" spans="1:3">
      <c r="A1014" s="38" t="s">
        <v>754</v>
      </c>
      <c r="B1014" s="36">
        <f>118.4+378.07+48.87+91.02+41.5</f>
        <v>677.86</v>
      </c>
      <c r="C1014" s="34">
        <v>37196</v>
      </c>
    </row>
    <row r="1015" spans="1:3">
      <c r="A1015" s="38" t="s">
        <v>749</v>
      </c>
      <c r="B1015" s="36">
        <f>24.9+195.83+10.79+233.5+13.97+91.6</f>
        <v>570.59</v>
      </c>
      <c r="C1015" s="34">
        <v>37196</v>
      </c>
    </row>
    <row r="1016" spans="1:3">
      <c r="A1016" s="38" t="s">
        <v>764</v>
      </c>
      <c r="B1016" s="36">
        <f>404+22+340</f>
        <v>766</v>
      </c>
      <c r="C1016" s="34">
        <v>37196</v>
      </c>
    </row>
    <row r="1017" spans="1:3">
      <c r="A1017" s="38" t="s">
        <v>747</v>
      </c>
      <c r="B1017" s="36">
        <v>28980.748852450401</v>
      </c>
      <c r="C1017" s="34">
        <v>37196</v>
      </c>
    </row>
    <row r="1018" spans="1:3">
      <c r="A1018" s="38" t="s">
        <v>743</v>
      </c>
      <c r="B1018" s="36">
        <v>0</v>
      </c>
      <c r="C1018" s="34">
        <v>37226</v>
      </c>
    </row>
    <row r="1019" spans="1:3">
      <c r="A1019" s="38" t="s">
        <v>406</v>
      </c>
      <c r="B1019" s="36">
        <f>-2025+1000</f>
        <v>-1025</v>
      </c>
      <c r="C1019" s="34">
        <v>37226</v>
      </c>
    </row>
    <row r="1020" spans="1:3">
      <c r="A1020" s="38" t="s">
        <v>765</v>
      </c>
      <c r="B1020" s="36">
        <v>0</v>
      </c>
      <c r="C1020" s="34">
        <v>37226</v>
      </c>
    </row>
    <row r="1021" spans="1:3">
      <c r="A1021" s="38" t="s">
        <v>587</v>
      </c>
      <c r="B1021" s="36">
        <v>763</v>
      </c>
      <c r="C1021" s="34">
        <v>37226</v>
      </c>
    </row>
    <row r="1022" spans="1:3">
      <c r="A1022" s="38" t="s">
        <v>748</v>
      </c>
      <c r="B1022" s="36">
        <v>0</v>
      </c>
      <c r="C1022" s="34">
        <v>37226</v>
      </c>
    </row>
    <row r="1023" spans="1:3">
      <c r="A1023" s="38" t="s">
        <v>745</v>
      </c>
      <c r="B1023" s="36">
        <v>0</v>
      </c>
      <c r="C1023" s="34">
        <v>37226</v>
      </c>
    </row>
    <row r="1024" spans="1:3">
      <c r="A1024" s="38" t="s">
        <v>757</v>
      </c>
      <c r="B1024" s="36">
        <v>0</v>
      </c>
      <c r="C1024" s="34">
        <v>37226</v>
      </c>
    </row>
    <row r="1025" spans="1:3">
      <c r="A1025" s="38" t="s">
        <v>758</v>
      </c>
      <c r="B1025" s="36">
        <v>0</v>
      </c>
      <c r="C1025" s="34">
        <v>37226</v>
      </c>
    </row>
    <row r="1026" spans="1:3">
      <c r="A1026" s="38" t="s">
        <v>756</v>
      </c>
      <c r="B1026" s="36">
        <v>376.15</v>
      </c>
      <c r="C1026" s="34">
        <v>37226</v>
      </c>
    </row>
    <row r="1027" spans="1:3">
      <c r="A1027" s="38" t="s">
        <v>759</v>
      </c>
      <c r="B1027" s="36">
        <v>0</v>
      </c>
      <c r="C1027" s="34">
        <v>37226</v>
      </c>
    </row>
    <row r="1028" spans="1:3">
      <c r="A1028" s="38" t="s">
        <v>746</v>
      </c>
      <c r="B1028" s="36">
        <v>0</v>
      </c>
      <c r="C1028" s="34">
        <v>37226</v>
      </c>
    </row>
    <row r="1029" spans="1:3">
      <c r="A1029" s="38" t="s">
        <v>760</v>
      </c>
      <c r="B1029" s="36">
        <v>0</v>
      </c>
      <c r="C1029" s="34">
        <v>37226</v>
      </c>
    </row>
    <row r="1030" spans="1:3">
      <c r="A1030" s="38" t="s">
        <v>755</v>
      </c>
      <c r="B1030" s="36">
        <v>190</v>
      </c>
      <c r="C1030" s="34">
        <v>37226</v>
      </c>
    </row>
    <row r="1031" spans="1:3">
      <c r="A1031" s="38" t="s">
        <v>744</v>
      </c>
      <c r="B1031" s="36">
        <v>50</v>
      </c>
      <c r="C1031" s="34">
        <v>37226</v>
      </c>
    </row>
    <row r="1032" spans="1:3">
      <c r="A1032" s="38" t="s">
        <v>752</v>
      </c>
      <c r="B1032" s="36">
        <v>0</v>
      </c>
      <c r="C1032" s="34">
        <v>37226</v>
      </c>
    </row>
    <row r="1033" spans="1:3">
      <c r="A1033" s="38" t="s">
        <v>763</v>
      </c>
      <c r="B1033" s="36">
        <v>0</v>
      </c>
      <c r="C1033" s="34">
        <v>37226</v>
      </c>
    </row>
    <row r="1034" spans="1:3">
      <c r="A1034" s="38" t="s">
        <v>754</v>
      </c>
      <c r="B1034" s="36">
        <f>17.97+348.15+46.07+52.68+5.32+2.39</f>
        <v>472.58</v>
      </c>
      <c r="C1034" s="34">
        <v>37226</v>
      </c>
    </row>
    <row r="1035" spans="1:3">
      <c r="A1035" s="38" t="s">
        <v>749</v>
      </c>
      <c r="B1035" s="36">
        <f>19.07+94.21+206.71+40.48+206.8</f>
        <v>567.27</v>
      </c>
      <c r="C1035" s="34">
        <v>37226</v>
      </c>
    </row>
    <row r="1036" spans="1:3">
      <c r="A1036" s="38" t="s">
        <v>764</v>
      </c>
      <c r="B1036" s="36">
        <f>260+96+19.6+66+55</f>
        <v>496.6</v>
      </c>
      <c r="C1036" s="34">
        <v>37226</v>
      </c>
    </row>
    <row r="1037" spans="1:3">
      <c r="A1037" s="38" t="s">
        <v>747</v>
      </c>
      <c r="B1037" s="36">
        <v>27284.923926642165</v>
      </c>
      <c r="C1037" s="34">
        <v>37226</v>
      </c>
    </row>
    <row r="1038" spans="1:3">
      <c r="A1038" s="38" t="s">
        <v>743</v>
      </c>
      <c r="B1038" s="36">
        <v>0</v>
      </c>
      <c r="C1038" s="34">
        <v>37257</v>
      </c>
    </row>
    <row r="1039" spans="1:3">
      <c r="A1039" s="38" t="s">
        <v>406</v>
      </c>
      <c r="B1039" s="36">
        <f>-(800+800+800+800)</f>
        <v>-3200</v>
      </c>
      <c r="C1039" s="34">
        <v>37257</v>
      </c>
    </row>
    <row r="1040" spans="1:3">
      <c r="A1040" s="38" t="s">
        <v>765</v>
      </c>
      <c r="B1040" s="36">
        <v>0</v>
      </c>
      <c r="C1040" s="34">
        <v>37257</v>
      </c>
    </row>
    <row r="1041" spans="1:3">
      <c r="A1041" s="38" t="s">
        <v>587</v>
      </c>
      <c r="B1041" s="36">
        <v>0</v>
      </c>
      <c r="C1041" s="34">
        <v>37257</v>
      </c>
    </row>
    <row r="1042" spans="1:3">
      <c r="A1042" s="38" t="s">
        <v>748</v>
      </c>
      <c r="B1042" s="36">
        <v>0</v>
      </c>
      <c r="C1042" s="34">
        <v>37257</v>
      </c>
    </row>
    <row r="1043" spans="1:3">
      <c r="A1043" s="38" t="s">
        <v>745</v>
      </c>
      <c r="B1043" s="36">
        <v>213</v>
      </c>
      <c r="C1043" s="34">
        <v>37257</v>
      </c>
    </row>
    <row r="1044" spans="1:3">
      <c r="A1044" s="38" t="s">
        <v>757</v>
      </c>
      <c r="B1044" s="36">
        <v>0</v>
      </c>
      <c r="C1044" s="34">
        <v>37257</v>
      </c>
    </row>
    <row r="1045" spans="1:3">
      <c r="A1045" s="38" t="s">
        <v>758</v>
      </c>
      <c r="B1045" s="36">
        <v>0</v>
      </c>
      <c r="C1045" s="34">
        <v>37257</v>
      </c>
    </row>
    <row r="1046" spans="1:3">
      <c r="A1046" s="38" t="s">
        <v>756</v>
      </c>
      <c r="B1046" s="36">
        <v>376.15</v>
      </c>
      <c r="C1046" s="34">
        <v>37257</v>
      </c>
    </row>
    <row r="1047" spans="1:3">
      <c r="A1047" s="38" t="s">
        <v>759</v>
      </c>
      <c r="B1047" s="36">
        <v>0</v>
      </c>
      <c r="C1047" s="34">
        <v>37257</v>
      </c>
    </row>
    <row r="1048" spans="1:3">
      <c r="A1048" s="38" t="s">
        <v>746</v>
      </c>
      <c r="B1048" s="36">
        <v>0</v>
      </c>
      <c r="C1048" s="34">
        <v>37257</v>
      </c>
    </row>
    <row r="1049" spans="1:3">
      <c r="A1049" s="38" t="s">
        <v>760</v>
      </c>
      <c r="B1049" s="36">
        <v>0</v>
      </c>
      <c r="C1049" s="34">
        <v>37257</v>
      </c>
    </row>
    <row r="1050" spans="1:3">
      <c r="A1050" s="38" t="s">
        <v>755</v>
      </c>
      <c r="B1050" s="36">
        <f>190+108+35.44</f>
        <v>333.44</v>
      </c>
      <c r="C1050" s="34">
        <v>37257</v>
      </c>
    </row>
    <row r="1051" spans="1:3">
      <c r="A1051" s="38" t="s">
        <v>744</v>
      </c>
      <c r="B1051" s="36">
        <f>100+129.33</f>
        <v>229.33</v>
      </c>
      <c r="C1051" s="34">
        <v>37257</v>
      </c>
    </row>
    <row r="1052" spans="1:3">
      <c r="A1052" s="38" t="s">
        <v>752</v>
      </c>
      <c r="B1052" s="36">
        <v>0</v>
      </c>
      <c r="C1052" s="34">
        <v>37257</v>
      </c>
    </row>
    <row r="1053" spans="1:3">
      <c r="A1053" s="38" t="s">
        <v>763</v>
      </c>
      <c r="B1053" s="36">
        <v>0</v>
      </c>
      <c r="C1053" s="34">
        <v>37257</v>
      </c>
    </row>
    <row r="1054" spans="1:3">
      <c r="A1054" s="38" t="s">
        <v>754</v>
      </c>
      <c r="B1054" s="36">
        <v>84.11</v>
      </c>
      <c r="C1054" s="34">
        <v>37257</v>
      </c>
    </row>
    <row r="1055" spans="1:3">
      <c r="A1055" s="38" t="s">
        <v>749</v>
      </c>
      <c r="B1055" s="36">
        <f>233.1+20.91+22.71+13.51+16.99+17.95+191.75+26.17</f>
        <v>543.08999999999992</v>
      </c>
      <c r="C1055" s="34">
        <v>37257</v>
      </c>
    </row>
    <row r="1056" spans="1:3">
      <c r="A1056" s="38" t="s">
        <v>764</v>
      </c>
      <c r="B1056" s="36">
        <f>195+99.11+18.68+183+10+33</f>
        <v>538.79</v>
      </c>
      <c r="C1056" s="34">
        <v>37257</v>
      </c>
    </row>
    <row r="1057" spans="1:3">
      <c r="A1057" s="38" t="s">
        <v>766</v>
      </c>
      <c r="B1057" s="36">
        <v>7182.5</v>
      </c>
      <c r="C1057" s="34">
        <v>37257</v>
      </c>
    </row>
    <row r="1058" spans="1:3">
      <c r="A1058" s="38" t="s">
        <v>767</v>
      </c>
      <c r="B1058" s="36">
        <v>5809.52</v>
      </c>
      <c r="C1058" s="34">
        <v>37257</v>
      </c>
    </row>
    <row r="1059" spans="1:3">
      <c r="A1059" s="38" t="s">
        <v>747</v>
      </c>
      <c r="B1059" s="36">
        <v>12985</v>
      </c>
      <c r="C1059" s="34">
        <v>37257</v>
      </c>
    </row>
    <row r="1060" spans="1:3">
      <c r="A1060" s="38" t="s">
        <v>743</v>
      </c>
      <c r="B1060" s="36">
        <v>0</v>
      </c>
      <c r="C1060" s="34">
        <v>37288</v>
      </c>
    </row>
    <row r="1061" spans="1:3">
      <c r="A1061" s="38" t="s">
        <v>406</v>
      </c>
      <c r="B1061" s="36">
        <f>800+800</f>
        <v>1600</v>
      </c>
      <c r="C1061" s="34">
        <v>37288</v>
      </c>
    </row>
    <row r="1062" spans="1:3">
      <c r="A1062" s="38" t="s">
        <v>765</v>
      </c>
      <c r="B1062" s="36">
        <v>0</v>
      </c>
      <c r="C1062" s="34">
        <v>37288</v>
      </c>
    </row>
    <row r="1063" spans="1:3">
      <c r="A1063" s="38" t="s">
        <v>587</v>
      </c>
      <c r="B1063" s="36">
        <v>200</v>
      </c>
      <c r="C1063" s="34">
        <v>37288</v>
      </c>
    </row>
    <row r="1064" spans="1:3">
      <c r="A1064" s="38" t="s">
        <v>748</v>
      </c>
      <c r="B1064" s="36">
        <v>0</v>
      </c>
      <c r="C1064" s="34">
        <v>37288</v>
      </c>
    </row>
    <row r="1065" spans="1:3">
      <c r="A1065" s="38" t="s">
        <v>745</v>
      </c>
      <c r="B1065" s="36">
        <v>213</v>
      </c>
      <c r="C1065" s="34">
        <v>37288</v>
      </c>
    </row>
    <row r="1066" spans="1:3">
      <c r="A1066" s="38" t="s">
        <v>757</v>
      </c>
      <c r="B1066" s="36">
        <v>94</v>
      </c>
      <c r="C1066" s="34">
        <v>37288</v>
      </c>
    </row>
    <row r="1067" spans="1:3">
      <c r="A1067" s="38" t="s">
        <v>758</v>
      </c>
      <c r="B1067" s="36">
        <v>380</v>
      </c>
      <c r="C1067" s="34">
        <v>37288</v>
      </c>
    </row>
    <row r="1068" spans="1:3">
      <c r="A1068" s="38" t="s">
        <v>756</v>
      </c>
      <c r="B1068" s="36">
        <v>376.15</v>
      </c>
      <c r="C1068" s="34">
        <v>37288</v>
      </c>
    </row>
    <row r="1069" spans="1:3">
      <c r="A1069" s="38" t="s">
        <v>759</v>
      </c>
      <c r="B1069" s="36">
        <v>0</v>
      </c>
      <c r="C1069" s="34">
        <v>37288</v>
      </c>
    </row>
    <row r="1070" spans="1:3">
      <c r="A1070" s="38" t="s">
        <v>746</v>
      </c>
      <c r="B1070" s="36">
        <v>0</v>
      </c>
      <c r="C1070" s="34">
        <v>37288</v>
      </c>
    </row>
    <row r="1071" spans="1:3">
      <c r="A1071" s="38" t="s">
        <v>760</v>
      </c>
      <c r="B1071" s="36">
        <v>0</v>
      </c>
      <c r="C1071" s="34">
        <v>37288</v>
      </c>
    </row>
    <row r="1072" spans="1:3">
      <c r="A1072" s="38" t="s">
        <v>755</v>
      </c>
      <c r="B1072" s="36">
        <f>190+500</f>
        <v>690</v>
      </c>
      <c r="C1072" s="34">
        <v>37288</v>
      </c>
    </row>
    <row r="1073" spans="1:3">
      <c r="A1073" s="38" t="s">
        <v>744</v>
      </c>
      <c r="B1073" s="36">
        <f>59+57+6+51+57+67</f>
        <v>297</v>
      </c>
      <c r="C1073" s="34">
        <v>37288</v>
      </c>
    </row>
    <row r="1074" spans="1:3">
      <c r="A1074" s="38" t="s">
        <v>752</v>
      </c>
      <c r="B1074" s="36">
        <v>0</v>
      </c>
      <c r="C1074" s="34">
        <v>37288</v>
      </c>
    </row>
    <row r="1075" spans="1:3">
      <c r="A1075" s="38" t="s">
        <v>763</v>
      </c>
      <c r="B1075" s="36">
        <v>0</v>
      </c>
      <c r="C1075" s="34">
        <v>37288</v>
      </c>
    </row>
    <row r="1076" spans="1:3">
      <c r="A1076" s="38" t="s">
        <v>754</v>
      </c>
      <c r="B1076" s="36">
        <f>37.84+258.24+32.17+4.17+195.35+109.91+48.49+240.17</f>
        <v>926.34</v>
      </c>
      <c r="C1076" s="34">
        <v>37288</v>
      </c>
    </row>
    <row r="1077" spans="1:3">
      <c r="A1077" s="38" t="s">
        <v>749</v>
      </c>
      <c r="B1077" s="36">
        <f>13+50+33.66+6+18.66+10+110.81+21+21+238</f>
        <v>522.13</v>
      </c>
      <c r="C1077" s="34">
        <v>37288</v>
      </c>
    </row>
    <row r="1078" spans="1:3">
      <c r="A1078" s="38" t="s">
        <v>764</v>
      </c>
      <c r="B1078" s="36">
        <v>91.66</v>
      </c>
      <c r="C1078" s="34">
        <v>37288</v>
      </c>
    </row>
    <row r="1079" spans="1:3">
      <c r="A1079" s="38" t="s">
        <v>747</v>
      </c>
      <c r="B1079" s="36">
        <v>12632.618653404526</v>
      </c>
      <c r="C1079" s="34">
        <v>37288</v>
      </c>
    </row>
    <row r="1080" spans="1:3">
      <c r="A1080" s="38" t="s">
        <v>768</v>
      </c>
      <c r="B1080" s="36">
        <f>(650+750+1030+700+90.17+5473+4845+56)*0.4</f>
        <v>5437.6680000000006</v>
      </c>
      <c r="C1080" s="34">
        <v>37288</v>
      </c>
    </row>
    <row r="1081" spans="1:3">
      <c r="A1081" s="38" t="s">
        <v>743</v>
      </c>
      <c r="B1081" s="36">
        <v>0</v>
      </c>
      <c r="C1081" s="34">
        <v>37316</v>
      </c>
    </row>
    <row r="1082" spans="1:3">
      <c r="A1082" s="38" t="s">
        <v>406</v>
      </c>
      <c r="B1082" s="36">
        <f>22.6+504.21+256+84.99</f>
        <v>867.8</v>
      </c>
      <c r="C1082" s="34">
        <v>37316</v>
      </c>
    </row>
    <row r="1083" spans="1:3">
      <c r="A1083" s="38" t="s">
        <v>765</v>
      </c>
      <c r="B1083" s="36">
        <v>0</v>
      </c>
      <c r="C1083" s="34">
        <v>37316</v>
      </c>
    </row>
    <row r="1084" spans="1:3">
      <c r="A1084" s="38" t="s">
        <v>587</v>
      </c>
      <c r="B1084" s="36">
        <f>200+190+906.8</f>
        <v>1296.8</v>
      </c>
      <c r="C1084" s="34">
        <v>37316</v>
      </c>
    </row>
    <row r="1085" spans="1:3">
      <c r="A1085" s="38" t="s">
        <v>748</v>
      </c>
      <c r="B1085" s="36">
        <v>0</v>
      </c>
      <c r="C1085" s="34">
        <v>37316</v>
      </c>
    </row>
    <row r="1086" spans="1:3">
      <c r="A1086" s="38" t="s">
        <v>745</v>
      </c>
      <c r="B1086" s="36">
        <v>0</v>
      </c>
      <c r="C1086" s="34">
        <v>37316</v>
      </c>
    </row>
    <row r="1087" spans="1:3">
      <c r="A1087" s="38" t="s">
        <v>757</v>
      </c>
      <c r="B1087" s="36">
        <v>103.66</v>
      </c>
      <c r="C1087" s="34">
        <v>37316</v>
      </c>
    </row>
    <row r="1088" spans="1:3">
      <c r="A1088" s="38" t="s">
        <v>758</v>
      </c>
      <c r="B1088" s="36">
        <v>65</v>
      </c>
      <c r="C1088" s="34">
        <v>37316</v>
      </c>
    </row>
    <row r="1089" spans="1:5">
      <c r="A1089" s="38" t="s">
        <v>756</v>
      </c>
      <c r="B1089" s="36">
        <f>170.14+149.09+376.15+158.94</f>
        <v>854.31999999999994</v>
      </c>
      <c r="C1089" s="34">
        <v>37316</v>
      </c>
    </row>
    <row r="1090" spans="1:5">
      <c r="A1090" s="38" t="s">
        <v>759</v>
      </c>
      <c r="B1090" s="36">
        <v>0</v>
      </c>
      <c r="C1090" s="34">
        <v>37316</v>
      </c>
    </row>
    <row r="1091" spans="1:5">
      <c r="A1091" s="38" t="s">
        <v>746</v>
      </c>
      <c r="B1091" s="36">
        <v>0</v>
      </c>
      <c r="C1091" s="34">
        <v>37316</v>
      </c>
    </row>
    <row r="1092" spans="1:5">
      <c r="A1092" s="38" t="s">
        <v>760</v>
      </c>
      <c r="B1092" s="36">
        <v>0</v>
      </c>
      <c r="C1092" s="34">
        <v>37316</v>
      </c>
    </row>
    <row r="1093" spans="1:5">
      <c r="A1093" s="38" t="s">
        <v>755</v>
      </c>
      <c r="B1093" s="36">
        <v>250</v>
      </c>
      <c r="C1093" s="34">
        <v>37316</v>
      </c>
    </row>
    <row r="1094" spans="1:5">
      <c r="A1094" s="38" t="s">
        <v>744</v>
      </c>
      <c r="B1094" s="36">
        <f>129.19+65+13+57+40</f>
        <v>304.19</v>
      </c>
      <c r="C1094" s="34">
        <v>37316</v>
      </c>
    </row>
    <row r="1095" spans="1:5">
      <c r="A1095" s="38" t="s">
        <v>752</v>
      </c>
      <c r="B1095" s="36">
        <v>0</v>
      </c>
      <c r="C1095" s="34">
        <v>37316</v>
      </c>
    </row>
    <row r="1096" spans="1:5">
      <c r="A1096" s="38" t="s">
        <v>763</v>
      </c>
      <c r="B1096" s="36">
        <v>0</v>
      </c>
      <c r="C1096" s="34">
        <v>37316</v>
      </c>
    </row>
    <row r="1097" spans="1:5">
      <c r="A1097" s="38" t="s">
        <v>754</v>
      </c>
      <c r="B1097" s="36">
        <f>301.15+62.26+16.61+120.86</f>
        <v>500.88</v>
      </c>
      <c r="C1097" s="34">
        <v>37316</v>
      </c>
    </row>
    <row r="1098" spans="1:5">
      <c r="A1098" s="38" t="s">
        <v>749</v>
      </c>
      <c r="B1098" s="36">
        <f>6.79+12.18+245.27+20+57.08+221.67+91.66+21</f>
        <v>675.65</v>
      </c>
      <c r="C1098" s="34">
        <v>37316</v>
      </c>
    </row>
    <row r="1099" spans="1:5">
      <c r="A1099" s="38" t="s">
        <v>764</v>
      </c>
      <c r="B1099" s="36">
        <f>225+154+33.66+318+18.66+28+250+191.5</f>
        <v>1218.82</v>
      </c>
      <c r="C1099" s="34">
        <v>37316</v>
      </c>
    </row>
    <row r="1100" spans="1:5">
      <c r="A1100" s="38" t="s">
        <v>747</v>
      </c>
      <c r="B1100" s="36">
        <v>220000.97143379925</v>
      </c>
      <c r="C1100" s="34">
        <v>37316</v>
      </c>
    </row>
    <row r="1101" spans="1:5">
      <c r="A1101" s="38" t="s">
        <v>768</v>
      </c>
      <c r="B1101" s="36">
        <f>+(54349+54320+54322+53014+53014+103204+97746.23)*40%+26634</f>
        <v>214621.69200000001</v>
      </c>
      <c r="C1101" s="34">
        <v>37316</v>
      </c>
      <c r="E1101" s="36"/>
    </row>
    <row r="1102" spans="1:5">
      <c r="A1102" s="38" t="s">
        <v>743</v>
      </c>
      <c r="B1102" s="36">
        <v>0</v>
      </c>
      <c r="C1102" s="34">
        <v>37347</v>
      </c>
    </row>
    <row r="1103" spans="1:5">
      <c r="A1103" s="38" t="s">
        <v>406</v>
      </c>
      <c r="B1103" s="36">
        <f>500+18.63+17.11+36.69+31.56+29.03+256.66+97.5+12.1</f>
        <v>999.28000000000009</v>
      </c>
      <c r="C1103" s="34">
        <v>37347</v>
      </c>
    </row>
    <row r="1104" spans="1:5">
      <c r="A1104" s="38" t="s">
        <v>765</v>
      </c>
      <c r="B1104" s="36">
        <v>0</v>
      </c>
      <c r="C1104" s="34">
        <v>37347</v>
      </c>
    </row>
    <row r="1105" spans="1:3">
      <c r="A1105" s="38" t="s">
        <v>587</v>
      </c>
      <c r="B1105" s="36">
        <f>180+200+906.8</f>
        <v>1286.8</v>
      </c>
      <c r="C1105" s="34">
        <v>37347</v>
      </c>
    </row>
    <row r="1106" spans="1:3">
      <c r="A1106" s="38" t="s">
        <v>748</v>
      </c>
      <c r="B1106" s="36">
        <v>0</v>
      </c>
      <c r="C1106" s="34">
        <v>37347</v>
      </c>
    </row>
    <row r="1107" spans="1:3">
      <c r="A1107" s="38" t="s">
        <v>745</v>
      </c>
      <c r="B1107" s="36">
        <v>0</v>
      </c>
      <c r="C1107" s="34">
        <v>37347</v>
      </c>
    </row>
    <row r="1108" spans="1:3">
      <c r="A1108" s="38" t="s">
        <v>757</v>
      </c>
      <c r="B1108" s="36">
        <v>0</v>
      </c>
      <c r="C1108" s="34">
        <v>37347</v>
      </c>
    </row>
    <row r="1109" spans="1:3">
      <c r="A1109" s="38" t="s">
        <v>758</v>
      </c>
      <c r="B1109" s="36">
        <v>77.400000000000006</v>
      </c>
      <c r="C1109" s="34">
        <v>37347</v>
      </c>
    </row>
    <row r="1110" spans="1:3">
      <c r="A1110" s="38" t="s">
        <v>756</v>
      </c>
      <c r="B1110" s="36">
        <v>376.15</v>
      </c>
      <c r="C1110" s="34">
        <v>37347</v>
      </c>
    </row>
    <row r="1111" spans="1:3">
      <c r="A1111" s="38" t="s">
        <v>759</v>
      </c>
      <c r="B1111" s="36">
        <v>0</v>
      </c>
      <c r="C1111" s="34">
        <v>37347</v>
      </c>
    </row>
    <row r="1112" spans="1:3">
      <c r="A1112" s="38" t="s">
        <v>746</v>
      </c>
      <c r="B1112" s="36">
        <v>0</v>
      </c>
      <c r="C1112" s="34">
        <v>37347</v>
      </c>
    </row>
    <row r="1113" spans="1:3">
      <c r="A1113" s="38" t="s">
        <v>760</v>
      </c>
      <c r="B1113" s="36">
        <v>0</v>
      </c>
      <c r="C1113" s="34">
        <v>37347</v>
      </c>
    </row>
    <row r="1114" spans="1:3">
      <c r="A1114" s="38" t="s">
        <v>755</v>
      </c>
      <c r="B1114" s="36">
        <f>195+190+140</f>
        <v>525</v>
      </c>
      <c r="C1114" s="34">
        <v>37347</v>
      </c>
    </row>
    <row r="1115" spans="1:3">
      <c r="A1115" s="38" t="s">
        <v>744</v>
      </c>
      <c r="B1115" s="36">
        <f>62+6+50</f>
        <v>118</v>
      </c>
      <c r="C1115" s="34">
        <v>37347</v>
      </c>
    </row>
    <row r="1116" spans="1:3">
      <c r="A1116" s="38" t="s">
        <v>752</v>
      </c>
      <c r="B1116" s="36">
        <v>0</v>
      </c>
      <c r="C1116" s="34">
        <v>37347</v>
      </c>
    </row>
    <row r="1117" spans="1:3">
      <c r="A1117" s="38" t="s">
        <v>763</v>
      </c>
      <c r="B1117" s="36">
        <v>0</v>
      </c>
      <c r="C1117" s="34">
        <v>37347</v>
      </c>
    </row>
    <row r="1118" spans="1:3">
      <c r="A1118" s="38" t="s">
        <v>754</v>
      </c>
      <c r="B1118" s="36">
        <f>103.56+18.63+251+24+37.87</f>
        <v>435.06</v>
      </c>
      <c r="C1118" s="34">
        <v>37347</v>
      </c>
    </row>
    <row r="1119" spans="1:3">
      <c r="A1119" s="38" t="s">
        <v>749</v>
      </c>
      <c r="B1119" s="36">
        <f>238+243.03+10+15.07+13.76</f>
        <v>519.86</v>
      </c>
      <c r="C1119" s="34">
        <v>37347</v>
      </c>
    </row>
    <row r="1120" spans="1:3">
      <c r="A1120" s="38" t="s">
        <v>764</v>
      </c>
      <c r="B1120" s="36">
        <f>65+35+34.99+89+91.64+21+21+19.5+150.65+10+36+10</f>
        <v>583.78</v>
      </c>
      <c r="C1120" s="34">
        <v>37347</v>
      </c>
    </row>
    <row r="1121" spans="1:3">
      <c r="A1121" s="38" t="s">
        <v>747</v>
      </c>
      <c r="B1121" s="36">
        <v>10075.608301220927</v>
      </c>
      <c r="C1121" s="34">
        <v>37347</v>
      </c>
    </row>
    <row r="1122" spans="1:3">
      <c r="A1122" s="38" t="s">
        <v>768</v>
      </c>
      <c r="B1122" s="36">
        <v>0</v>
      </c>
      <c r="C1122" s="34">
        <v>37347</v>
      </c>
    </row>
    <row r="1123" spans="1:3">
      <c r="A1123" s="38" t="s">
        <v>743</v>
      </c>
      <c r="B1123" s="36">
        <v>0</v>
      </c>
      <c r="C1123" s="34">
        <v>37377</v>
      </c>
    </row>
    <row r="1124" spans="1:3">
      <c r="A1124" s="38" t="s">
        <v>406</v>
      </c>
      <c r="B1124" s="36">
        <f>-800+36.4+31.56+32.5+259.67+112+78.87+213-800-800</f>
        <v>-1636</v>
      </c>
      <c r="C1124" s="34">
        <v>37377</v>
      </c>
    </row>
    <row r="1125" spans="1:3">
      <c r="A1125" s="38" t="s">
        <v>765</v>
      </c>
      <c r="B1125" s="36">
        <v>0</v>
      </c>
      <c r="C1125" s="34">
        <v>37377</v>
      </c>
    </row>
    <row r="1126" spans="1:3">
      <c r="A1126" s="38" t="s">
        <v>587</v>
      </c>
      <c r="B1126" s="36">
        <f>59+35+180+200+906.18</f>
        <v>1380.1799999999998</v>
      </c>
      <c r="C1126" s="34">
        <v>37377</v>
      </c>
    </row>
    <row r="1127" spans="1:3">
      <c r="A1127" s="38" t="s">
        <v>748</v>
      </c>
      <c r="B1127" s="36">
        <v>0</v>
      </c>
      <c r="C1127" s="34">
        <v>37377</v>
      </c>
    </row>
    <row r="1128" spans="1:3">
      <c r="A1128" s="38" t="s">
        <v>745</v>
      </c>
      <c r="B1128" s="36">
        <v>213</v>
      </c>
      <c r="C1128" s="34">
        <v>37377</v>
      </c>
    </row>
    <row r="1129" spans="1:3">
      <c r="A1129" s="38" t="s">
        <v>757</v>
      </c>
      <c r="B1129" s="36">
        <v>0</v>
      </c>
      <c r="C1129" s="34">
        <v>37377</v>
      </c>
    </row>
    <row r="1130" spans="1:3">
      <c r="A1130" s="38" t="s">
        <v>758</v>
      </c>
      <c r="B1130" s="36">
        <v>77.400000000000006</v>
      </c>
      <c r="C1130" s="34">
        <v>37377</v>
      </c>
    </row>
    <row r="1131" spans="1:3">
      <c r="A1131" s="38" t="s">
        <v>756</v>
      </c>
      <c r="B1131" s="36">
        <f>149.09+376.15+1500+350</f>
        <v>2375.2399999999998</v>
      </c>
      <c r="C1131" s="34">
        <v>37377</v>
      </c>
    </row>
    <row r="1132" spans="1:3">
      <c r="A1132" s="38" t="s">
        <v>759</v>
      </c>
      <c r="B1132" s="36">
        <v>0</v>
      </c>
      <c r="C1132" s="34">
        <v>37377</v>
      </c>
    </row>
    <row r="1133" spans="1:3">
      <c r="A1133" s="38" t="s">
        <v>746</v>
      </c>
      <c r="B1133" s="36">
        <v>0</v>
      </c>
      <c r="C1133" s="34">
        <v>37377</v>
      </c>
    </row>
    <row r="1134" spans="1:3">
      <c r="A1134" s="38" t="s">
        <v>760</v>
      </c>
      <c r="B1134" s="36">
        <v>0</v>
      </c>
      <c r="C1134" s="34">
        <v>37377</v>
      </c>
    </row>
    <row r="1135" spans="1:3">
      <c r="A1135" s="38" t="s">
        <v>755</v>
      </c>
      <c r="B1135" s="36">
        <v>0</v>
      </c>
      <c r="C1135" s="34">
        <v>37377</v>
      </c>
    </row>
    <row r="1136" spans="1:3">
      <c r="A1136" s="38" t="s">
        <v>744</v>
      </c>
      <c r="B1136" s="36">
        <f>42.53+72.01</f>
        <v>114.54</v>
      </c>
      <c r="C1136" s="34">
        <v>37377</v>
      </c>
    </row>
    <row r="1137" spans="1:3">
      <c r="A1137" s="38" t="s">
        <v>752</v>
      </c>
      <c r="B1137" s="36">
        <v>480</v>
      </c>
      <c r="C1137" s="34">
        <v>37377</v>
      </c>
    </row>
    <row r="1138" spans="1:3">
      <c r="A1138" s="38" t="s">
        <v>763</v>
      </c>
      <c r="B1138" s="36">
        <v>0</v>
      </c>
      <c r="C1138" s="34">
        <v>37377</v>
      </c>
    </row>
    <row r="1139" spans="1:3">
      <c r="A1139" s="38" t="s">
        <v>754</v>
      </c>
      <c r="B1139" s="36">
        <f>16.31+319.91</f>
        <v>336.22</v>
      </c>
      <c r="C1139" s="34">
        <v>37377</v>
      </c>
    </row>
    <row r="1140" spans="1:3">
      <c r="A1140" s="38" t="s">
        <v>749</v>
      </c>
      <c r="B1140" s="36">
        <f>44.54+237.09+205.38+10.28+12.12+5+17.72+6.69+12.06</f>
        <v>550.88</v>
      </c>
      <c r="C1140" s="34">
        <v>37377</v>
      </c>
    </row>
    <row r="1141" spans="1:3">
      <c r="A1141" s="38" t="s">
        <v>764</v>
      </c>
      <c r="B1141" s="36">
        <f>102+238.11+91.68+21+10.49+15.96</f>
        <v>479.24</v>
      </c>
      <c r="C1141" s="34">
        <v>37377</v>
      </c>
    </row>
    <row r="1142" spans="1:3">
      <c r="A1142" s="38" t="s">
        <v>747</v>
      </c>
      <c r="B1142" s="36">
        <v>36059.125073397066</v>
      </c>
      <c r="C1142" s="34">
        <v>37377</v>
      </c>
    </row>
    <row r="1143" spans="1:3">
      <c r="A1143" s="38" t="s">
        <v>768</v>
      </c>
      <c r="B1143" s="36">
        <v>17446</v>
      </c>
      <c r="C1143" s="34">
        <v>37377</v>
      </c>
    </row>
    <row r="1144" spans="1:3">
      <c r="A1144" s="38" t="s">
        <v>743</v>
      </c>
      <c r="B1144" s="36">
        <v>0</v>
      </c>
      <c r="C1144" s="34">
        <v>37408</v>
      </c>
    </row>
    <row r="1145" spans="1:3">
      <c r="A1145" s="38" t="s">
        <v>406</v>
      </c>
      <c r="B1145" s="36">
        <f>38.13+120+262.3+37.67+31.15-800+22.01+65.43+23.48+19.97+29.39+38.41</f>
        <v>-112.06000000000003</v>
      </c>
      <c r="C1145" s="34">
        <v>37408</v>
      </c>
    </row>
    <row r="1146" spans="1:3">
      <c r="A1146" s="38" t="s">
        <v>765</v>
      </c>
      <c r="B1146" s="36">
        <v>0</v>
      </c>
      <c r="C1146" s="34">
        <v>37408</v>
      </c>
    </row>
    <row r="1147" spans="1:3">
      <c r="A1147" s="38" t="s">
        <v>587</v>
      </c>
      <c r="B1147" s="36">
        <f>180+200+1047</f>
        <v>1427</v>
      </c>
      <c r="C1147" s="34">
        <v>37408</v>
      </c>
    </row>
    <row r="1148" spans="1:3">
      <c r="A1148" s="38" t="s">
        <v>748</v>
      </c>
      <c r="B1148" s="36">
        <v>0</v>
      </c>
      <c r="C1148" s="34">
        <v>37408</v>
      </c>
    </row>
    <row r="1149" spans="1:3">
      <c r="A1149" s="38" t="s">
        <v>745</v>
      </c>
      <c r="B1149" s="36">
        <v>0</v>
      </c>
      <c r="C1149" s="34">
        <v>37408</v>
      </c>
    </row>
    <row r="1150" spans="1:3">
      <c r="A1150" s="38" t="s">
        <v>757</v>
      </c>
      <c r="B1150" s="36">
        <v>0</v>
      </c>
      <c r="C1150" s="34">
        <v>37408</v>
      </c>
    </row>
    <row r="1151" spans="1:3">
      <c r="A1151" s="38" t="s">
        <v>758</v>
      </c>
      <c r="B1151" s="36">
        <v>77</v>
      </c>
      <c r="C1151" s="34">
        <v>37408</v>
      </c>
    </row>
    <row r="1152" spans="1:3">
      <c r="A1152" s="38" t="s">
        <v>756</v>
      </c>
      <c r="B1152" s="36">
        <f>149.5+301.87+51.71</f>
        <v>503.08</v>
      </c>
      <c r="C1152" s="34">
        <v>37408</v>
      </c>
    </row>
    <row r="1153" spans="1:3">
      <c r="A1153" s="38" t="s">
        <v>759</v>
      </c>
      <c r="B1153" s="36">
        <v>0</v>
      </c>
      <c r="C1153" s="34">
        <v>37408</v>
      </c>
    </row>
    <row r="1154" spans="1:3">
      <c r="A1154" s="38" t="s">
        <v>746</v>
      </c>
      <c r="B1154" s="36">
        <v>0</v>
      </c>
      <c r="C1154" s="34">
        <v>37408</v>
      </c>
    </row>
    <row r="1155" spans="1:3">
      <c r="A1155" s="38" t="s">
        <v>760</v>
      </c>
      <c r="B1155" s="36">
        <v>0</v>
      </c>
      <c r="C1155" s="34">
        <v>37408</v>
      </c>
    </row>
    <row r="1156" spans="1:3">
      <c r="A1156" s="38" t="s">
        <v>755</v>
      </c>
      <c r="B1156" s="36">
        <v>35.99</v>
      </c>
      <c r="C1156" s="34">
        <v>37408</v>
      </c>
    </row>
    <row r="1157" spans="1:3">
      <c r="A1157" s="38" t="s">
        <v>744</v>
      </c>
      <c r="B1157" s="36">
        <f>158.53+51.07</f>
        <v>209.6</v>
      </c>
      <c r="C1157" s="34">
        <v>37408</v>
      </c>
    </row>
    <row r="1158" spans="1:3">
      <c r="A1158" s="38" t="s">
        <v>752</v>
      </c>
      <c r="B1158" s="36">
        <v>480</v>
      </c>
      <c r="C1158" s="34">
        <v>37408</v>
      </c>
    </row>
    <row r="1159" spans="1:3">
      <c r="A1159" s="38" t="s">
        <v>763</v>
      </c>
      <c r="B1159" s="36">
        <v>0</v>
      </c>
      <c r="C1159" s="34">
        <v>37408</v>
      </c>
    </row>
    <row r="1160" spans="1:3">
      <c r="A1160" s="38" t="s">
        <v>754</v>
      </c>
      <c r="B1160" s="36">
        <f>37.78+5.72+57.24+2.59+301.87+51.71</f>
        <v>456.91</v>
      </c>
      <c r="C1160" s="34">
        <v>37408</v>
      </c>
    </row>
    <row r="1161" spans="1:3">
      <c r="A1161" s="38" t="s">
        <v>749</v>
      </c>
      <c r="B1161" s="36">
        <f>259.81+70.98+9+305.05+8+31+6.79+9.48+15.38+13.97+16+14.03+91.66+21+21</f>
        <v>893.15</v>
      </c>
      <c r="C1161" s="34">
        <v>37408</v>
      </c>
    </row>
    <row r="1162" spans="1:3">
      <c r="A1162" s="38" t="s">
        <v>764</v>
      </c>
      <c r="B1162" s="36">
        <f>338.84+172+3+172+172+180+36+290+10</f>
        <v>1373.84</v>
      </c>
      <c r="C1162" s="34">
        <v>37408</v>
      </c>
    </row>
    <row r="1163" spans="1:3">
      <c r="A1163" s="38" t="s">
        <v>38</v>
      </c>
      <c r="B1163" s="36">
        <v>3690.8999999999651</v>
      </c>
      <c r="C1163" s="34">
        <v>37408</v>
      </c>
    </row>
    <row r="1164" spans="1:3">
      <c r="A1164" s="38" t="s">
        <v>747</v>
      </c>
      <c r="B1164" s="36">
        <v>32959.370308398909</v>
      </c>
      <c r="C1164" s="34">
        <v>37408</v>
      </c>
    </row>
    <row r="1165" spans="1:3">
      <c r="A1165" s="38" t="s">
        <v>768</v>
      </c>
      <c r="B1165" s="36">
        <f>810-2875</f>
        <v>-2065</v>
      </c>
      <c r="C1165" s="34">
        <v>37408</v>
      </c>
    </row>
    <row r="1166" spans="1:3">
      <c r="A1166" s="38" t="s">
        <v>743</v>
      </c>
      <c r="B1166" s="36">
        <v>0</v>
      </c>
      <c r="C1166" s="34">
        <v>37438</v>
      </c>
    </row>
    <row r="1167" spans="1:3">
      <c r="A1167" s="38" t="s">
        <v>406</v>
      </c>
      <c r="B1167" s="36">
        <f>39.48-746</f>
        <v>-706.52</v>
      </c>
      <c r="C1167" s="34">
        <v>37438</v>
      </c>
    </row>
    <row r="1168" spans="1:3">
      <c r="A1168" s="38" t="s">
        <v>748</v>
      </c>
      <c r="B1168" s="36">
        <v>0</v>
      </c>
      <c r="C1168" s="34">
        <v>37438</v>
      </c>
    </row>
    <row r="1169" spans="1:3">
      <c r="A1169" s="38" t="s">
        <v>745</v>
      </c>
      <c r="B1169" s="36">
        <v>0</v>
      </c>
      <c r="C1169" s="34">
        <v>37438</v>
      </c>
    </row>
    <row r="1170" spans="1:3">
      <c r="A1170" s="38" t="s">
        <v>757</v>
      </c>
      <c r="B1170" s="36">
        <v>0</v>
      </c>
      <c r="C1170" s="34">
        <v>37438</v>
      </c>
    </row>
    <row r="1171" spans="1:3">
      <c r="A1171" s="38" t="s">
        <v>758</v>
      </c>
      <c r="B1171" s="36">
        <v>0</v>
      </c>
      <c r="C1171" s="34">
        <v>37438</v>
      </c>
    </row>
    <row r="1172" spans="1:3">
      <c r="A1172" s="38" t="s">
        <v>756</v>
      </c>
      <c r="B1172" s="36">
        <v>0</v>
      </c>
      <c r="C1172" s="34">
        <v>37438</v>
      </c>
    </row>
    <row r="1173" spans="1:3">
      <c r="A1173" s="38" t="s">
        <v>759</v>
      </c>
      <c r="B1173" s="36">
        <v>0</v>
      </c>
      <c r="C1173" s="34">
        <v>37438</v>
      </c>
    </row>
    <row r="1174" spans="1:3">
      <c r="A1174" s="38" t="s">
        <v>746</v>
      </c>
      <c r="B1174" s="36">
        <v>0</v>
      </c>
      <c r="C1174" s="34">
        <v>37438</v>
      </c>
    </row>
    <row r="1175" spans="1:3">
      <c r="A1175" s="38" t="s">
        <v>760</v>
      </c>
      <c r="B1175" s="36">
        <v>0</v>
      </c>
      <c r="C1175" s="34">
        <v>37438</v>
      </c>
    </row>
    <row r="1176" spans="1:3">
      <c r="A1176" s="38" t="s">
        <v>755</v>
      </c>
      <c r="B1176" s="36">
        <v>36</v>
      </c>
      <c r="C1176" s="34">
        <v>37438</v>
      </c>
    </row>
    <row r="1177" spans="1:3">
      <c r="A1177" s="38" t="s">
        <v>752</v>
      </c>
      <c r="B1177" s="36">
        <v>0</v>
      </c>
      <c r="C1177" s="34">
        <v>37438</v>
      </c>
    </row>
    <row r="1178" spans="1:3">
      <c r="A1178" s="38" t="s">
        <v>763</v>
      </c>
      <c r="B1178" s="36">
        <v>0</v>
      </c>
      <c r="C1178" s="34">
        <v>37438</v>
      </c>
    </row>
    <row r="1179" spans="1:3">
      <c r="A1179" s="38" t="s">
        <v>744</v>
      </c>
      <c r="B1179" s="36">
        <f>110.85+223.28</f>
        <v>334.13</v>
      </c>
      <c r="C1179" s="34">
        <v>37438</v>
      </c>
    </row>
    <row r="1180" spans="1:3">
      <c r="A1180" s="38" t="s">
        <v>587</v>
      </c>
      <c r="B1180" s="36">
        <f>120+1046</f>
        <v>1166</v>
      </c>
      <c r="C1180" s="34">
        <v>37438</v>
      </c>
    </row>
    <row r="1181" spans="1:3">
      <c r="A1181" s="38" t="s">
        <v>754</v>
      </c>
      <c r="B1181" s="36">
        <f>100.98+53.21+323.51</f>
        <v>477.7</v>
      </c>
      <c r="C1181" s="34">
        <v>37438</v>
      </c>
    </row>
    <row r="1182" spans="1:3">
      <c r="A1182" s="38" t="s">
        <v>749</v>
      </c>
      <c r="B1182" s="36">
        <f>412.42+341.49+91.66+21+6.99+12.42+9+6.99+5+14.72+13.31+12</f>
        <v>947</v>
      </c>
      <c r="C1182" s="34">
        <v>37438</v>
      </c>
    </row>
    <row r="1183" spans="1:3">
      <c r="A1183" s="38" t="s">
        <v>769</v>
      </c>
      <c r="B1183" s="36">
        <f>406.61+96</f>
        <v>502.61</v>
      </c>
      <c r="C1183" s="34">
        <v>37438</v>
      </c>
    </row>
    <row r="1184" spans="1:3">
      <c r="A1184" s="38" t="s">
        <v>764</v>
      </c>
      <c r="B1184" s="36">
        <f>92.45+139.75+96.6+96.6+36</f>
        <v>461.4</v>
      </c>
      <c r="C1184" s="34">
        <v>37438</v>
      </c>
    </row>
    <row r="1185" spans="1:3">
      <c r="A1185" s="38" t="s">
        <v>38</v>
      </c>
      <c r="B1185" s="36">
        <v>606049.54725643853</v>
      </c>
      <c r="C1185" s="34">
        <v>37438</v>
      </c>
    </row>
    <row r="1186" spans="1:3">
      <c r="A1186" s="38" t="s">
        <v>770</v>
      </c>
      <c r="B1186" s="36">
        <v>-774902.15636198455</v>
      </c>
      <c r="C1186" s="34">
        <v>37438</v>
      </c>
    </row>
    <row r="1187" spans="1:3">
      <c r="A1187" s="38" t="s">
        <v>768</v>
      </c>
      <c r="B1187" s="36">
        <f>(469972-657961)+(138830-160000-8520+9292)</f>
        <v>-208387</v>
      </c>
      <c r="C1187" s="34">
        <v>37438</v>
      </c>
    </row>
    <row r="1188" spans="1:3">
      <c r="A1188" s="38" t="s">
        <v>747</v>
      </c>
      <c r="B1188" s="36">
        <f>SUM(B1179:B1184)+B1185+B1186-B1187</f>
        <v>43423.23089445394</v>
      </c>
      <c r="C1188" s="34">
        <v>37438</v>
      </c>
    </row>
    <row r="1189" spans="1:3">
      <c r="A1189" s="38" t="s">
        <v>743</v>
      </c>
      <c r="B1189" s="36">
        <v>0</v>
      </c>
      <c r="C1189" s="34">
        <v>37469</v>
      </c>
    </row>
    <row r="1190" spans="1:3">
      <c r="A1190" s="38" t="s">
        <v>406</v>
      </c>
      <c r="B1190" s="36">
        <v>0</v>
      </c>
      <c r="C1190" s="34">
        <v>37469</v>
      </c>
    </row>
    <row r="1191" spans="1:3">
      <c r="A1191" s="38" t="s">
        <v>748</v>
      </c>
      <c r="B1191" s="36">
        <v>0</v>
      </c>
      <c r="C1191" s="34">
        <v>37469</v>
      </c>
    </row>
    <row r="1192" spans="1:3">
      <c r="A1192" s="38" t="s">
        <v>745</v>
      </c>
      <c r="B1192" s="36">
        <v>0</v>
      </c>
      <c r="C1192" s="34">
        <v>37469</v>
      </c>
    </row>
    <row r="1193" spans="1:3">
      <c r="A1193" s="38" t="s">
        <v>757</v>
      </c>
      <c r="B1193" s="36">
        <f>230+250+170+386.2+133.17+150</f>
        <v>1319.3700000000001</v>
      </c>
      <c r="C1193" s="34">
        <v>37469</v>
      </c>
    </row>
    <row r="1194" spans="1:3">
      <c r="A1194" s="38" t="s">
        <v>756</v>
      </c>
      <c r="B1194" s="36">
        <v>0</v>
      </c>
      <c r="C1194" s="34">
        <v>37469</v>
      </c>
    </row>
    <row r="1195" spans="1:3">
      <c r="A1195" s="38" t="s">
        <v>759</v>
      </c>
      <c r="B1195" s="36">
        <v>0</v>
      </c>
      <c r="C1195" s="34">
        <v>37469</v>
      </c>
    </row>
    <row r="1196" spans="1:3">
      <c r="A1196" s="38" t="s">
        <v>746</v>
      </c>
      <c r="B1196" s="36">
        <v>0</v>
      </c>
      <c r="C1196" s="34">
        <v>37469</v>
      </c>
    </row>
    <row r="1197" spans="1:3">
      <c r="A1197" s="38" t="s">
        <v>760</v>
      </c>
      <c r="B1197" s="36">
        <v>0</v>
      </c>
      <c r="C1197" s="34">
        <v>37469</v>
      </c>
    </row>
    <row r="1198" spans="1:3">
      <c r="A1198" s="38" t="s">
        <v>755</v>
      </c>
      <c r="B1198" s="36">
        <f>818+147+100+211.75+21.41</f>
        <v>1298.1600000000001</v>
      </c>
      <c r="C1198" s="34">
        <v>37469</v>
      </c>
    </row>
    <row r="1199" spans="1:3">
      <c r="A1199" s="38" t="s">
        <v>752</v>
      </c>
      <c r="B1199" s="36">
        <v>0</v>
      </c>
      <c r="C1199" s="34">
        <v>37469</v>
      </c>
    </row>
    <row r="1200" spans="1:3">
      <c r="A1200" s="38" t="s">
        <v>763</v>
      </c>
      <c r="B1200" s="36">
        <v>0</v>
      </c>
      <c r="C1200" s="34">
        <v>37469</v>
      </c>
    </row>
    <row r="1201" spans="1:3">
      <c r="A1201" s="38" t="s">
        <v>744</v>
      </c>
      <c r="B1201" s="36">
        <f>70+223.27+267.53+50</f>
        <v>610.79999999999995</v>
      </c>
      <c r="C1201" s="34">
        <v>37469</v>
      </c>
    </row>
    <row r="1202" spans="1:3">
      <c r="A1202" s="38" t="s">
        <v>587</v>
      </c>
      <c r="B1202" s="36">
        <f>80+180+240+906</f>
        <v>1406</v>
      </c>
      <c r="C1202" s="34">
        <v>37469</v>
      </c>
    </row>
    <row r="1203" spans="1:3">
      <c r="A1203" s="38" t="s">
        <v>754</v>
      </c>
      <c r="B1203" s="36">
        <f>42.46+16.34+53.92+389.33</f>
        <v>502.04999999999995</v>
      </c>
      <c r="C1203" s="34">
        <v>37469</v>
      </c>
    </row>
    <row r="1204" spans="1:3">
      <c r="A1204" s="38" t="s">
        <v>749</v>
      </c>
      <c r="B1204" s="36">
        <f>31.67+3.89+6.28+4.58+9+349.47+63.6+50.2+28.93+6+12+7.99+16.82+4.2+5.59+4.58+5.23+6.5+6.1+91.66+73+20+3.85</f>
        <v>811.14000000000021</v>
      </c>
      <c r="C1204" s="34">
        <v>37469</v>
      </c>
    </row>
    <row r="1205" spans="1:3">
      <c r="A1205" s="38" t="s">
        <v>769</v>
      </c>
      <c r="B1205" s="36">
        <f>739.77+298.13</f>
        <v>1037.9000000000001</v>
      </c>
      <c r="C1205" s="34">
        <v>37469</v>
      </c>
    </row>
    <row r="1206" spans="1:3">
      <c r="A1206" s="38" t="s">
        <v>764</v>
      </c>
      <c r="B1206" s="36">
        <f>35+30+90+35+37+22+100+131.1+13.5</f>
        <v>493.6</v>
      </c>
      <c r="C1206" s="34">
        <v>37469</v>
      </c>
    </row>
    <row r="1207" spans="1:3">
      <c r="A1207" s="38" t="s">
        <v>771</v>
      </c>
      <c r="B1207" s="36">
        <v>154046.75246575344</v>
      </c>
      <c r="C1207" s="34">
        <v>37469</v>
      </c>
    </row>
    <row r="1208" spans="1:3">
      <c r="A1208" s="38" t="s">
        <v>38</v>
      </c>
      <c r="B1208" s="36">
        <v>-150057.41039945232</v>
      </c>
      <c r="C1208" s="34">
        <v>37469</v>
      </c>
    </row>
    <row r="1209" spans="1:3">
      <c r="A1209" s="38" t="s">
        <v>747</v>
      </c>
      <c r="B1209" s="36">
        <v>69470.865042458056</v>
      </c>
      <c r="C1209" s="34">
        <v>37469</v>
      </c>
    </row>
    <row r="1210" spans="1:3">
      <c r="A1210" s="38" t="s">
        <v>768</v>
      </c>
      <c r="B1210" s="36">
        <v>0</v>
      </c>
      <c r="C1210" s="34">
        <v>37469</v>
      </c>
    </row>
    <row r="1211" spans="1:3">
      <c r="A1211" s="38" t="s">
        <v>743</v>
      </c>
      <c r="B1211" s="36">
        <v>0</v>
      </c>
      <c r="C1211" s="34">
        <v>37500</v>
      </c>
    </row>
    <row r="1212" spans="1:3">
      <c r="A1212" s="38" t="s">
        <v>406</v>
      </c>
      <c r="B1212" s="36">
        <v>0</v>
      </c>
      <c r="C1212" s="34">
        <v>37500</v>
      </c>
    </row>
    <row r="1213" spans="1:3">
      <c r="A1213" s="38" t="s">
        <v>748</v>
      </c>
      <c r="B1213" s="36">
        <v>0</v>
      </c>
      <c r="C1213" s="34">
        <v>37500</v>
      </c>
    </row>
    <row r="1214" spans="1:3">
      <c r="A1214" s="38" t="s">
        <v>745</v>
      </c>
      <c r="B1214" s="36">
        <v>284</v>
      </c>
      <c r="C1214" s="34">
        <v>37500</v>
      </c>
    </row>
    <row r="1215" spans="1:3">
      <c r="A1215" s="38" t="s">
        <v>757</v>
      </c>
      <c r="B1215" s="36">
        <f>24.37+201.14+1299+115.77+16.06+150+90.59</f>
        <v>1896.9299999999998</v>
      </c>
      <c r="C1215" s="34">
        <v>37500</v>
      </c>
    </row>
    <row r="1216" spans="1:3">
      <c r="A1216" s="38" t="s">
        <v>758</v>
      </c>
      <c r="B1216" s="36">
        <f>87</f>
        <v>87</v>
      </c>
      <c r="C1216" s="34">
        <v>37500</v>
      </c>
    </row>
    <row r="1217" spans="1:3">
      <c r="A1217" s="38" t="s">
        <v>756</v>
      </c>
      <c r="B1217" s="36">
        <f>11.9+165.55+2.05</f>
        <v>179.50000000000003</v>
      </c>
      <c r="C1217" s="34">
        <v>37500</v>
      </c>
    </row>
    <row r="1218" spans="1:3">
      <c r="A1218" s="38" t="s">
        <v>759</v>
      </c>
      <c r="B1218" s="36">
        <v>0</v>
      </c>
      <c r="C1218" s="34">
        <v>37500</v>
      </c>
    </row>
    <row r="1219" spans="1:3">
      <c r="A1219" s="38" t="s">
        <v>746</v>
      </c>
      <c r="B1219" s="36">
        <v>0</v>
      </c>
      <c r="C1219" s="34">
        <v>37500</v>
      </c>
    </row>
    <row r="1220" spans="1:3">
      <c r="A1220" s="38" t="s">
        <v>760</v>
      </c>
      <c r="B1220" s="36">
        <v>0</v>
      </c>
      <c r="C1220" s="34">
        <v>37500</v>
      </c>
    </row>
    <row r="1221" spans="1:3">
      <c r="A1221" s="38" t="s">
        <v>755</v>
      </c>
      <c r="B1221" s="36">
        <v>190</v>
      </c>
      <c r="C1221" s="34">
        <v>37500</v>
      </c>
    </row>
    <row r="1222" spans="1:3">
      <c r="A1222" s="38" t="s">
        <v>752</v>
      </c>
      <c r="B1222" s="36">
        <v>0</v>
      </c>
      <c r="C1222" s="34">
        <v>37500</v>
      </c>
    </row>
    <row r="1223" spans="1:3">
      <c r="A1223" s="38" t="s">
        <v>763</v>
      </c>
      <c r="B1223" s="36">
        <v>0</v>
      </c>
      <c r="C1223" s="34">
        <v>37500</v>
      </c>
    </row>
    <row r="1224" spans="1:3">
      <c r="A1224" s="38" t="s">
        <v>744</v>
      </c>
      <c r="B1224" s="36">
        <f>60+267.57+80</f>
        <v>407.57</v>
      </c>
      <c r="C1224" s="34">
        <v>37500</v>
      </c>
    </row>
    <row r="1225" spans="1:3">
      <c r="A1225" s="38" t="s">
        <v>587</v>
      </c>
      <c r="B1225" s="36">
        <f>240+180+906.8</f>
        <v>1326.8</v>
      </c>
      <c r="C1225" s="34">
        <v>37500</v>
      </c>
    </row>
    <row r="1226" spans="1:3">
      <c r="A1226" s="38" t="s">
        <v>754</v>
      </c>
      <c r="B1226" s="36">
        <f>89.16+57.55+5.77+2.59+47.03+456.89</f>
        <v>658.99</v>
      </c>
      <c r="C1226" s="34">
        <v>37500</v>
      </c>
    </row>
    <row r="1227" spans="1:3">
      <c r="A1227" s="38" t="s">
        <v>749</v>
      </c>
      <c r="B1227" s="36">
        <f>4.53+4.56+35+30+45+66+320.26+393.25+23.54+24+13+8.77+4.53+5.53+16.92+4.53+4.94+13.26+6.58</f>
        <v>1024.1999999999998</v>
      </c>
      <c r="C1227" s="34">
        <v>37500</v>
      </c>
    </row>
    <row r="1228" spans="1:3">
      <c r="A1228" s="38" t="s">
        <v>769</v>
      </c>
      <c r="B1228" s="36">
        <f>298.13+604.04</f>
        <v>902.17</v>
      </c>
      <c r="C1228" s="34">
        <v>37500</v>
      </c>
    </row>
    <row r="1229" spans="1:3">
      <c r="A1229" s="38" t="s">
        <v>764</v>
      </c>
      <c r="B1229" s="36">
        <f>74+48+28.9+131.1+131.1+200+50</f>
        <v>663.1</v>
      </c>
      <c r="C1229" s="34">
        <v>37500</v>
      </c>
    </row>
    <row r="1230" spans="1:3">
      <c r="A1230" s="38" t="s">
        <v>771</v>
      </c>
      <c r="B1230" s="36">
        <v>0</v>
      </c>
      <c r="C1230" s="34">
        <v>37500</v>
      </c>
    </row>
    <row r="1231" spans="1:3">
      <c r="A1231" s="38" t="s">
        <v>38</v>
      </c>
      <c r="B1231" s="36">
        <v>2131.3359643835574</v>
      </c>
      <c r="C1231" s="34">
        <v>37500</v>
      </c>
    </row>
    <row r="1232" spans="1:3">
      <c r="A1232" s="38" t="s">
        <v>747</v>
      </c>
      <c r="B1232" s="36">
        <v>12286.229728170671</v>
      </c>
      <c r="C1232" s="34">
        <v>37500</v>
      </c>
    </row>
    <row r="1233" spans="1:3">
      <c r="A1233" s="38" t="s">
        <v>768</v>
      </c>
      <c r="B1233" s="36">
        <v>0</v>
      </c>
      <c r="C1233" s="34">
        <v>37500</v>
      </c>
    </row>
    <row r="1234" spans="1:3">
      <c r="A1234" s="38" t="s">
        <v>743</v>
      </c>
      <c r="B1234" s="36">
        <v>0</v>
      </c>
      <c r="C1234" s="34">
        <v>37530</v>
      </c>
    </row>
    <row r="1235" spans="1:3">
      <c r="A1235" s="38" t="s">
        <v>406</v>
      </c>
      <c r="B1235" s="36">
        <v>0</v>
      </c>
      <c r="C1235" s="34">
        <v>37530</v>
      </c>
    </row>
    <row r="1236" spans="1:3">
      <c r="A1236" s="38" t="s">
        <v>748</v>
      </c>
      <c r="B1236" s="36">
        <v>0</v>
      </c>
      <c r="C1236" s="34">
        <v>37530</v>
      </c>
    </row>
    <row r="1237" spans="1:3">
      <c r="A1237" s="38" t="s">
        <v>745</v>
      </c>
      <c r="B1237" s="36">
        <v>0</v>
      </c>
      <c r="C1237" s="34">
        <v>37530</v>
      </c>
    </row>
    <row r="1238" spans="1:3">
      <c r="A1238" s="38" t="s">
        <v>757</v>
      </c>
      <c r="B1238" s="36">
        <v>382.12</v>
      </c>
      <c r="C1238" s="34">
        <v>37530</v>
      </c>
    </row>
    <row r="1239" spans="1:3">
      <c r="A1239" s="38" t="s">
        <v>758</v>
      </c>
      <c r="B1239" s="36">
        <v>87</v>
      </c>
      <c r="C1239" s="34">
        <v>37530</v>
      </c>
    </row>
    <row r="1240" spans="1:3">
      <c r="A1240" s="38" t="s">
        <v>756</v>
      </c>
      <c r="B1240" s="36">
        <v>0</v>
      </c>
      <c r="C1240" s="34">
        <v>37530</v>
      </c>
    </row>
    <row r="1241" spans="1:3">
      <c r="A1241" s="38" t="s">
        <v>759</v>
      </c>
      <c r="B1241" s="36">
        <v>0</v>
      </c>
      <c r="C1241" s="34">
        <v>37530</v>
      </c>
    </row>
    <row r="1242" spans="1:3">
      <c r="A1242" s="38" t="s">
        <v>746</v>
      </c>
      <c r="B1242" s="36">
        <v>0</v>
      </c>
      <c r="C1242" s="34">
        <v>37530</v>
      </c>
    </row>
    <row r="1243" spans="1:3">
      <c r="A1243" s="38" t="s">
        <v>772</v>
      </c>
      <c r="B1243" s="36">
        <v>2654.13</v>
      </c>
      <c r="C1243" s="34">
        <v>37530</v>
      </c>
    </row>
    <row r="1244" spans="1:3">
      <c r="A1244" s="38" t="s">
        <v>773</v>
      </c>
      <c r="B1244" s="36">
        <v>258.60000000000002</v>
      </c>
      <c r="C1244" s="34">
        <v>37530</v>
      </c>
    </row>
    <row r="1245" spans="1:3">
      <c r="A1245" s="38" t="s">
        <v>744</v>
      </c>
      <c r="B1245" s="36">
        <v>512.53</v>
      </c>
      <c r="C1245" s="34">
        <v>37530</v>
      </c>
    </row>
    <row r="1246" spans="1:3">
      <c r="A1246" s="38" t="s">
        <v>587</v>
      </c>
      <c r="B1246" s="36">
        <v>1326.8</v>
      </c>
      <c r="C1246" s="34">
        <v>37530</v>
      </c>
    </row>
    <row r="1247" spans="1:3">
      <c r="A1247" s="38" t="s">
        <v>754</v>
      </c>
      <c r="B1247" s="36">
        <v>581.13</v>
      </c>
      <c r="C1247" s="34">
        <v>37530</v>
      </c>
    </row>
    <row r="1248" spans="1:3">
      <c r="A1248" s="38" t="s">
        <v>749</v>
      </c>
      <c r="B1248" s="36">
        <v>870.04</v>
      </c>
      <c r="C1248" s="34">
        <v>37530</v>
      </c>
    </row>
    <row r="1249" spans="1:3">
      <c r="A1249" s="38" t="s">
        <v>769</v>
      </c>
      <c r="B1249" s="36">
        <v>1728.26</v>
      </c>
      <c r="C1249" s="34">
        <v>37530</v>
      </c>
    </row>
    <row r="1250" spans="1:3">
      <c r="A1250" s="38" t="s">
        <v>764</v>
      </c>
      <c r="B1250" s="36">
        <v>359</v>
      </c>
      <c r="C1250" s="34">
        <v>37530</v>
      </c>
    </row>
    <row r="1251" spans="1:3">
      <c r="A1251" s="38" t="s">
        <v>771</v>
      </c>
      <c r="B1251" s="36">
        <v>426.38178082188824</v>
      </c>
      <c r="C1251" s="34">
        <v>37530</v>
      </c>
    </row>
    <row r="1252" spans="1:3">
      <c r="A1252" s="38" t="s">
        <v>38</v>
      </c>
      <c r="B1252" s="36">
        <v>2032.0565652055666</v>
      </c>
      <c r="C1252" s="34">
        <v>37530</v>
      </c>
    </row>
    <row r="1253" spans="1:3">
      <c r="A1253" s="38" t="s">
        <v>747</v>
      </c>
      <c r="B1253" s="36">
        <v>24089.292859950801</v>
      </c>
      <c r="C1253" s="34">
        <v>37530</v>
      </c>
    </row>
    <row r="1254" spans="1:3">
      <c r="A1254" s="38" t="s">
        <v>743</v>
      </c>
      <c r="B1254" s="36">
        <v>0</v>
      </c>
      <c r="C1254" s="34">
        <v>37561</v>
      </c>
    </row>
    <row r="1255" spans="1:3">
      <c r="A1255" s="38" t="s">
        <v>406</v>
      </c>
      <c r="B1255" s="36">
        <v>0</v>
      </c>
      <c r="C1255" s="34">
        <v>37561</v>
      </c>
    </row>
    <row r="1256" spans="1:3">
      <c r="A1256" s="38" t="s">
        <v>748</v>
      </c>
      <c r="B1256" s="36">
        <v>0</v>
      </c>
      <c r="C1256" s="34">
        <v>37561</v>
      </c>
    </row>
    <row r="1257" spans="1:3">
      <c r="A1257" s="38" t="s">
        <v>745</v>
      </c>
      <c r="B1257" s="36">
        <v>0</v>
      </c>
      <c r="C1257" s="34">
        <v>37561</v>
      </c>
    </row>
    <row r="1258" spans="1:3">
      <c r="A1258" s="38" t="s">
        <v>757</v>
      </c>
      <c r="B1258" s="36">
        <v>202.6</v>
      </c>
      <c r="C1258" s="34">
        <v>37561</v>
      </c>
    </row>
    <row r="1259" spans="1:3">
      <c r="A1259" s="38" t="s">
        <v>758</v>
      </c>
      <c r="B1259" s="36">
        <v>86</v>
      </c>
      <c r="C1259" s="34">
        <v>37561</v>
      </c>
    </row>
    <row r="1260" spans="1:3">
      <c r="A1260" s="38" t="s">
        <v>756</v>
      </c>
      <c r="B1260" s="36">
        <v>0</v>
      </c>
      <c r="C1260" s="34">
        <v>37561</v>
      </c>
    </row>
    <row r="1261" spans="1:3">
      <c r="A1261" s="38" t="s">
        <v>759</v>
      </c>
      <c r="B1261" s="36">
        <v>76.23</v>
      </c>
      <c r="C1261" s="34">
        <v>37561</v>
      </c>
    </row>
    <row r="1262" spans="1:3">
      <c r="A1262" s="38" t="s">
        <v>746</v>
      </c>
      <c r="B1262" s="36">
        <v>7736.83</v>
      </c>
      <c r="C1262" s="34">
        <v>37561</v>
      </c>
    </row>
    <row r="1263" spans="1:3">
      <c r="A1263" s="38" t="s">
        <v>772</v>
      </c>
      <c r="B1263" s="36">
        <v>3000</v>
      </c>
      <c r="C1263" s="34">
        <v>37561</v>
      </c>
    </row>
    <row r="1264" spans="1:3">
      <c r="A1264" s="38" t="s">
        <v>773</v>
      </c>
      <c r="B1264" s="36">
        <v>0</v>
      </c>
      <c r="C1264" s="34">
        <v>37561</v>
      </c>
    </row>
    <row r="1265" spans="1:3">
      <c r="A1265" s="38" t="s">
        <v>755</v>
      </c>
      <c r="B1265" s="36">
        <v>99.8</v>
      </c>
      <c r="C1265" s="34">
        <v>37561</v>
      </c>
    </row>
    <row r="1266" spans="1:3">
      <c r="A1266" s="38" t="s">
        <v>774</v>
      </c>
      <c r="B1266" s="36">
        <v>537.6</v>
      </c>
      <c r="C1266" s="34">
        <v>37561</v>
      </c>
    </row>
    <row r="1267" spans="1:3">
      <c r="A1267" s="38" t="s">
        <v>760</v>
      </c>
      <c r="B1267" s="36">
        <v>0</v>
      </c>
      <c r="C1267" s="34">
        <v>37561</v>
      </c>
    </row>
    <row r="1268" spans="1:3">
      <c r="A1268" s="38" t="s">
        <v>755</v>
      </c>
      <c r="B1268" s="36">
        <v>0</v>
      </c>
      <c r="C1268" s="34">
        <v>37561</v>
      </c>
    </row>
    <row r="1269" spans="1:3">
      <c r="A1269" s="38" t="s">
        <v>752</v>
      </c>
      <c r="B1269" s="36">
        <v>0</v>
      </c>
      <c r="C1269" s="34">
        <v>37561</v>
      </c>
    </row>
    <row r="1270" spans="1:3">
      <c r="A1270" s="38" t="s">
        <v>763</v>
      </c>
      <c r="B1270" s="36">
        <v>0</v>
      </c>
      <c r="C1270" s="34">
        <v>37561</v>
      </c>
    </row>
    <row r="1271" spans="1:3">
      <c r="A1271" s="38" t="s">
        <v>744</v>
      </c>
      <c r="B1271" s="36">
        <v>208.5</v>
      </c>
      <c r="C1271" s="34">
        <v>37561</v>
      </c>
    </row>
    <row r="1272" spans="1:3">
      <c r="A1272" s="38" t="s">
        <v>587</v>
      </c>
      <c r="B1272" s="36">
        <v>1355</v>
      </c>
      <c r="C1272" s="34">
        <v>37561</v>
      </c>
    </row>
    <row r="1273" spans="1:3">
      <c r="A1273" s="38" t="s">
        <v>754</v>
      </c>
      <c r="B1273" s="36">
        <v>193.3</v>
      </c>
      <c r="C1273" s="34">
        <v>37561</v>
      </c>
    </row>
    <row r="1274" spans="1:3">
      <c r="A1274" s="38" t="s">
        <v>749</v>
      </c>
      <c r="B1274" s="36">
        <v>3409.6069999999995</v>
      </c>
      <c r="C1274" s="34">
        <v>37561</v>
      </c>
    </row>
    <row r="1275" spans="1:3">
      <c r="A1275" s="38" t="s">
        <v>769</v>
      </c>
      <c r="B1275" s="36">
        <v>1430.13</v>
      </c>
      <c r="C1275" s="34">
        <v>37561</v>
      </c>
    </row>
    <row r="1276" spans="1:3">
      <c r="A1276" s="38" t="s">
        <v>764</v>
      </c>
      <c r="B1276" s="36">
        <v>0</v>
      </c>
      <c r="C1276" s="34">
        <v>37561</v>
      </c>
    </row>
    <row r="1277" spans="1:3">
      <c r="A1277" s="38" t="s">
        <v>771</v>
      </c>
      <c r="B1277" s="36">
        <v>398.71000000002095</v>
      </c>
      <c r="C1277" s="34">
        <v>37561</v>
      </c>
    </row>
    <row r="1278" spans="1:3">
      <c r="A1278" s="38" t="s">
        <v>38</v>
      </c>
      <c r="B1278" s="36">
        <v>2077.356573150726</v>
      </c>
      <c r="C1278" s="34">
        <v>37561</v>
      </c>
    </row>
    <row r="1279" spans="1:3">
      <c r="A1279" s="38" t="s">
        <v>747</v>
      </c>
      <c r="B1279" s="36">
        <v>-1087.7093719649129</v>
      </c>
      <c r="C1279" s="34">
        <v>37561</v>
      </c>
    </row>
    <row r="1280" spans="1:3">
      <c r="A1280" s="38" t="s">
        <v>743</v>
      </c>
      <c r="B1280" s="36">
        <v>0</v>
      </c>
      <c r="C1280" s="34">
        <v>37591</v>
      </c>
    </row>
    <row r="1281" spans="1:3">
      <c r="A1281" s="38" t="s">
        <v>406</v>
      </c>
      <c r="B1281" s="36">
        <v>0</v>
      </c>
      <c r="C1281" s="34">
        <v>37591</v>
      </c>
    </row>
    <row r="1282" spans="1:3">
      <c r="A1282" s="38" t="s">
        <v>748</v>
      </c>
      <c r="B1282" s="36">
        <v>0</v>
      </c>
      <c r="C1282" s="34">
        <v>37591</v>
      </c>
    </row>
    <row r="1283" spans="1:3">
      <c r="A1283" s="38" t="s">
        <v>745</v>
      </c>
      <c r="B1283" s="36">
        <v>0</v>
      </c>
      <c r="C1283" s="34">
        <v>37591</v>
      </c>
    </row>
    <row r="1284" spans="1:3">
      <c r="A1284" s="38" t="s">
        <v>757</v>
      </c>
      <c r="B1284" s="36">
        <v>263.26</v>
      </c>
      <c r="C1284" s="34">
        <v>37591</v>
      </c>
    </row>
    <row r="1285" spans="1:3">
      <c r="A1285" s="38" t="s">
        <v>758</v>
      </c>
      <c r="B1285" s="36">
        <v>303.2</v>
      </c>
      <c r="C1285" s="34">
        <v>37591</v>
      </c>
    </row>
    <row r="1286" spans="1:3">
      <c r="A1286" s="38" t="s">
        <v>756</v>
      </c>
      <c r="B1286" s="36">
        <v>0</v>
      </c>
      <c r="C1286" s="34">
        <v>37591</v>
      </c>
    </row>
    <row r="1287" spans="1:3">
      <c r="A1287" s="38" t="s">
        <v>759</v>
      </c>
      <c r="B1287" s="36">
        <v>0</v>
      </c>
      <c r="C1287" s="34">
        <v>37591</v>
      </c>
    </row>
    <row r="1288" spans="1:3">
      <c r="A1288" s="38" t="s">
        <v>746</v>
      </c>
      <c r="B1288" s="36">
        <v>9604.44</v>
      </c>
      <c r="C1288" s="34">
        <v>37591</v>
      </c>
    </row>
    <row r="1289" spans="1:3">
      <c r="A1289" s="38" t="s">
        <v>772</v>
      </c>
      <c r="B1289" s="36">
        <v>0</v>
      </c>
      <c r="C1289" s="34">
        <v>37591</v>
      </c>
    </row>
    <row r="1290" spans="1:3">
      <c r="A1290" s="38" t="s">
        <v>773</v>
      </c>
      <c r="B1290" s="36">
        <v>282.10000000000002</v>
      </c>
      <c r="C1290" s="34">
        <v>37591</v>
      </c>
    </row>
    <row r="1291" spans="1:3">
      <c r="A1291" s="38" t="s">
        <v>755</v>
      </c>
      <c r="B1291" s="36">
        <v>0</v>
      </c>
      <c r="C1291" s="34">
        <v>37591</v>
      </c>
    </row>
    <row r="1292" spans="1:3">
      <c r="A1292" s="38" t="s">
        <v>774</v>
      </c>
      <c r="B1292" s="36">
        <v>0</v>
      </c>
      <c r="C1292" s="34">
        <v>37591</v>
      </c>
    </row>
    <row r="1293" spans="1:3">
      <c r="A1293" s="38" t="s">
        <v>744</v>
      </c>
      <c r="B1293" s="36">
        <v>380.93</v>
      </c>
      <c r="C1293" s="34">
        <v>37591</v>
      </c>
    </row>
    <row r="1294" spans="1:3">
      <c r="A1294" s="38" t="s">
        <v>587</v>
      </c>
      <c r="B1294" s="36">
        <v>875</v>
      </c>
      <c r="C1294" s="34">
        <v>37591</v>
      </c>
    </row>
    <row r="1295" spans="1:3">
      <c r="A1295" s="38" t="s">
        <v>754</v>
      </c>
      <c r="B1295" s="36">
        <v>576.49</v>
      </c>
      <c r="C1295" s="34">
        <v>37591</v>
      </c>
    </row>
    <row r="1296" spans="1:3">
      <c r="A1296" s="38" t="s">
        <v>749</v>
      </c>
      <c r="B1296" s="36">
        <v>1980.32</v>
      </c>
      <c r="C1296" s="34">
        <v>37591</v>
      </c>
    </row>
    <row r="1297" spans="1:3">
      <c r="A1297" s="38" t="s">
        <v>769</v>
      </c>
      <c r="B1297" s="36">
        <v>1006.2</v>
      </c>
      <c r="C1297" s="34">
        <v>37591</v>
      </c>
    </row>
    <row r="1298" spans="1:3">
      <c r="A1298" s="38" t="s">
        <v>764</v>
      </c>
      <c r="B1298" s="36">
        <v>1305.47</v>
      </c>
      <c r="C1298" s="34">
        <v>37591</v>
      </c>
    </row>
    <row r="1299" spans="1:3">
      <c r="A1299" s="38" t="s">
        <v>771</v>
      </c>
      <c r="B1299" s="36">
        <v>0</v>
      </c>
      <c r="C1299" s="34">
        <v>37591</v>
      </c>
    </row>
    <row r="1300" spans="1:3">
      <c r="A1300" s="38" t="s">
        <v>38</v>
      </c>
      <c r="B1300" s="36">
        <v>-850.28467199997976</v>
      </c>
      <c r="C1300" s="34">
        <v>37591</v>
      </c>
    </row>
    <row r="1301" spans="1:3">
      <c r="A1301" s="38" t="s">
        <v>747</v>
      </c>
      <c r="B1301" s="36">
        <v>11884.296618283493</v>
      </c>
      <c r="C1301" s="34">
        <v>37591</v>
      </c>
    </row>
    <row r="1302" spans="1:3">
      <c r="A1302" s="38" t="s">
        <v>743</v>
      </c>
      <c r="B1302" s="36">
        <v>0</v>
      </c>
      <c r="C1302" s="34">
        <v>37622</v>
      </c>
    </row>
    <row r="1303" spans="1:3">
      <c r="A1303" s="38" t="s">
        <v>406</v>
      </c>
      <c r="B1303" s="36">
        <v>0</v>
      </c>
      <c r="C1303" s="34">
        <v>37622</v>
      </c>
    </row>
    <row r="1304" spans="1:3">
      <c r="A1304" s="38" t="s">
        <v>748</v>
      </c>
      <c r="B1304" s="36">
        <v>0</v>
      </c>
      <c r="C1304" s="34">
        <v>37622</v>
      </c>
    </row>
    <row r="1305" spans="1:3">
      <c r="A1305" s="38" t="s">
        <v>745</v>
      </c>
      <c r="B1305" s="36">
        <v>0</v>
      </c>
      <c r="C1305" s="34">
        <v>37622</v>
      </c>
    </row>
    <row r="1306" spans="1:3">
      <c r="A1306" s="38" t="s">
        <v>757</v>
      </c>
      <c r="B1306" s="36">
        <v>97.19</v>
      </c>
      <c r="C1306" s="34">
        <v>37622</v>
      </c>
    </row>
    <row r="1307" spans="1:3">
      <c r="A1307" s="38" t="s">
        <v>758</v>
      </c>
      <c r="B1307" s="36">
        <v>87</v>
      </c>
      <c r="C1307" s="34">
        <v>37622</v>
      </c>
    </row>
    <row r="1308" spans="1:3">
      <c r="A1308" s="38" t="s">
        <v>756</v>
      </c>
      <c r="B1308" s="36">
        <v>0</v>
      </c>
      <c r="C1308" s="34">
        <v>37622</v>
      </c>
    </row>
    <row r="1309" spans="1:3">
      <c r="A1309" s="38" t="s">
        <v>759</v>
      </c>
      <c r="B1309" s="36">
        <v>0</v>
      </c>
      <c r="C1309" s="34">
        <v>37622</v>
      </c>
    </row>
    <row r="1310" spans="1:3">
      <c r="A1310" s="38" t="s">
        <v>746</v>
      </c>
      <c r="B1310" s="36">
        <v>338.38</v>
      </c>
      <c r="C1310" s="34">
        <v>37622</v>
      </c>
    </row>
    <row r="1311" spans="1:3">
      <c r="A1311" s="38" t="s">
        <v>772</v>
      </c>
      <c r="B1311" s="36">
        <v>0</v>
      </c>
      <c r="C1311" s="34">
        <v>37622</v>
      </c>
    </row>
    <row r="1312" spans="1:3">
      <c r="A1312" s="38" t="s">
        <v>773</v>
      </c>
      <c r="B1312" s="36">
        <v>0</v>
      </c>
      <c r="C1312" s="34">
        <v>37622</v>
      </c>
    </row>
    <row r="1313" spans="1:3">
      <c r="A1313" s="38" t="s">
        <v>755</v>
      </c>
      <c r="B1313" s="36">
        <v>0</v>
      </c>
      <c r="C1313" s="34">
        <v>37622</v>
      </c>
    </row>
    <row r="1314" spans="1:3">
      <c r="A1314" s="38" t="s">
        <v>774</v>
      </c>
      <c r="B1314" s="36">
        <v>0</v>
      </c>
      <c r="C1314" s="34">
        <v>37622</v>
      </c>
    </row>
    <row r="1315" spans="1:3">
      <c r="A1315" s="38" t="s">
        <v>760</v>
      </c>
      <c r="B1315" s="36">
        <v>0</v>
      </c>
      <c r="C1315" s="34">
        <v>37622</v>
      </c>
    </row>
    <row r="1316" spans="1:3">
      <c r="A1316" s="38" t="s">
        <v>755</v>
      </c>
      <c r="B1316" s="36">
        <v>0</v>
      </c>
      <c r="C1316" s="34">
        <v>37622</v>
      </c>
    </row>
    <row r="1317" spans="1:3">
      <c r="A1317" s="38" t="s">
        <v>752</v>
      </c>
      <c r="B1317" s="36">
        <v>0</v>
      </c>
      <c r="C1317" s="34">
        <v>37622</v>
      </c>
    </row>
    <row r="1318" spans="1:3">
      <c r="A1318" s="38" t="s">
        <v>763</v>
      </c>
      <c r="B1318" s="36">
        <v>0</v>
      </c>
      <c r="C1318" s="34">
        <v>37622</v>
      </c>
    </row>
    <row r="1319" spans="1:3">
      <c r="A1319" s="38" t="s">
        <v>744</v>
      </c>
      <c r="B1319" s="36">
        <v>378.5</v>
      </c>
      <c r="C1319" s="34">
        <v>37622</v>
      </c>
    </row>
    <row r="1320" spans="1:3">
      <c r="A1320" s="38" t="s">
        <v>587</v>
      </c>
      <c r="B1320" s="36">
        <v>0</v>
      </c>
      <c r="C1320" s="34">
        <v>37622</v>
      </c>
    </row>
    <row r="1321" spans="1:3">
      <c r="A1321" s="38" t="s">
        <v>775</v>
      </c>
      <c r="B1321" s="36">
        <v>741.91</v>
      </c>
      <c r="C1321" s="34">
        <v>37622</v>
      </c>
    </row>
    <row r="1322" spans="1:3">
      <c r="A1322" s="38" t="s">
        <v>749</v>
      </c>
      <c r="B1322" s="36">
        <v>1421.61</v>
      </c>
      <c r="C1322" s="34">
        <v>37622</v>
      </c>
    </row>
    <row r="1323" spans="1:3">
      <c r="A1323" s="38" t="s">
        <v>769</v>
      </c>
      <c r="B1323" s="36">
        <v>859.13</v>
      </c>
      <c r="C1323" s="34">
        <v>37622</v>
      </c>
    </row>
    <row r="1324" spans="1:3">
      <c r="A1324" s="38" t="s">
        <v>764</v>
      </c>
      <c r="B1324" s="36">
        <v>40</v>
      </c>
      <c r="C1324" s="34">
        <v>37622</v>
      </c>
    </row>
    <row r="1325" spans="1:3">
      <c r="A1325" s="38" t="s">
        <v>771</v>
      </c>
      <c r="B1325" s="36">
        <v>775.47726027396857</v>
      </c>
      <c r="C1325" s="34">
        <v>37622</v>
      </c>
    </row>
    <row r="1326" spans="1:3">
      <c r="A1326" s="38" t="s">
        <v>38</v>
      </c>
      <c r="B1326" s="36">
        <v>106074.06983363978</v>
      </c>
      <c r="C1326" s="34">
        <v>37622</v>
      </c>
    </row>
    <row r="1327" spans="1:3">
      <c r="A1327" s="38" t="s">
        <v>747</v>
      </c>
      <c r="B1327" s="36">
        <v>-93601.067979120649</v>
      </c>
      <c r="C1327" s="34">
        <v>37622</v>
      </c>
    </row>
    <row r="1328" spans="1:3">
      <c r="A1328" s="38" t="s">
        <v>743</v>
      </c>
      <c r="B1328" s="36">
        <v>0</v>
      </c>
      <c r="C1328" s="34">
        <v>37653</v>
      </c>
    </row>
    <row r="1329" spans="1:3">
      <c r="A1329" s="38" t="s">
        <v>406</v>
      </c>
      <c r="B1329" s="36">
        <v>0</v>
      </c>
      <c r="C1329" s="34">
        <v>37653</v>
      </c>
    </row>
    <row r="1330" spans="1:3">
      <c r="A1330" s="38" t="s">
        <v>748</v>
      </c>
      <c r="B1330" s="36">
        <v>0</v>
      </c>
      <c r="C1330" s="34">
        <v>37653</v>
      </c>
    </row>
    <row r="1331" spans="1:3">
      <c r="A1331" s="38" t="s">
        <v>745</v>
      </c>
      <c r="B1331" s="36">
        <v>0</v>
      </c>
      <c r="C1331" s="34">
        <v>37653</v>
      </c>
    </row>
    <row r="1332" spans="1:3">
      <c r="A1332" s="38" t="s">
        <v>757</v>
      </c>
      <c r="B1332" s="36">
        <v>132.06</v>
      </c>
      <c r="C1332" s="34">
        <v>37653</v>
      </c>
    </row>
    <row r="1333" spans="1:3">
      <c r="A1333" s="38" t="s">
        <v>758</v>
      </c>
      <c r="B1333" s="36">
        <v>215.7</v>
      </c>
      <c r="C1333" s="34">
        <v>37653</v>
      </c>
    </row>
    <row r="1334" spans="1:3">
      <c r="A1334" s="38" t="s">
        <v>756</v>
      </c>
      <c r="B1334" s="36">
        <v>0</v>
      </c>
      <c r="C1334" s="34">
        <v>37653</v>
      </c>
    </row>
    <row r="1335" spans="1:3">
      <c r="A1335" s="38" t="s">
        <v>759</v>
      </c>
      <c r="B1335" s="36">
        <v>0</v>
      </c>
      <c r="C1335" s="34">
        <v>37653</v>
      </c>
    </row>
    <row r="1336" spans="1:3">
      <c r="A1336" s="38" t="s">
        <v>746</v>
      </c>
      <c r="B1336" s="36">
        <f>686.42+229.61+553.56+607.62</f>
        <v>2077.21</v>
      </c>
      <c r="C1336" s="34">
        <v>37653</v>
      </c>
    </row>
    <row r="1337" spans="1:3">
      <c r="A1337" s="38" t="s">
        <v>772</v>
      </c>
      <c r="B1337" s="36">
        <v>0</v>
      </c>
      <c r="C1337" s="34">
        <v>37653</v>
      </c>
    </row>
    <row r="1338" spans="1:3">
      <c r="A1338" s="38" t="s">
        <v>773</v>
      </c>
      <c r="B1338" s="36">
        <v>68.8</v>
      </c>
      <c r="C1338" s="34">
        <v>37653</v>
      </c>
    </row>
    <row r="1339" spans="1:3">
      <c r="A1339" s="38" t="s">
        <v>755</v>
      </c>
      <c r="B1339" s="36">
        <v>13</v>
      </c>
      <c r="C1339" s="34">
        <v>37653</v>
      </c>
    </row>
    <row r="1340" spans="1:3">
      <c r="A1340" s="38" t="s">
        <v>774</v>
      </c>
      <c r="B1340" s="36">
        <v>639</v>
      </c>
      <c r="C1340" s="34">
        <v>37653</v>
      </c>
    </row>
    <row r="1341" spans="1:3">
      <c r="A1341" s="38" t="s">
        <v>760</v>
      </c>
      <c r="B1341" s="36">
        <v>0</v>
      </c>
      <c r="C1341" s="34">
        <v>37653</v>
      </c>
    </row>
    <row r="1342" spans="1:3">
      <c r="A1342" s="38" t="s">
        <v>755</v>
      </c>
      <c r="B1342" s="36">
        <v>0</v>
      </c>
      <c r="C1342" s="34">
        <v>37653</v>
      </c>
    </row>
    <row r="1343" spans="1:3">
      <c r="A1343" s="38" t="s">
        <v>752</v>
      </c>
      <c r="B1343" s="36">
        <v>0</v>
      </c>
      <c r="C1343" s="34">
        <v>37653</v>
      </c>
    </row>
    <row r="1344" spans="1:3">
      <c r="A1344" s="38" t="s">
        <v>763</v>
      </c>
      <c r="B1344" s="36">
        <v>0</v>
      </c>
      <c r="C1344" s="34">
        <v>37653</v>
      </c>
    </row>
    <row r="1345" spans="1:3">
      <c r="A1345" s="38" t="s">
        <v>744</v>
      </c>
      <c r="B1345" s="36">
        <f>100+102.03+190.93</f>
        <v>392.96000000000004</v>
      </c>
      <c r="C1345" s="34">
        <v>37653</v>
      </c>
    </row>
    <row r="1346" spans="1:3">
      <c r="A1346" s="38" t="s">
        <v>587</v>
      </c>
      <c r="B1346" s="36">
        <v>0</v>
      </c>
      <c r="C1346" s="34">
        <v>37653</v>
      </c>
    </row>
    <row r="1347" spans="1:3">
      <c r="A1347" s="38" t="s">
        <v>775</v>
      </c>
      <c r="B1347" s="36">
        <v>531.59</v>
      </c>
      <c r="C1347" s="34">
        <v>37653</v>
      </c>
    </row>
    <row r="1348" spans="1:3">
      <c r="A1348" s="38" t="s">
        <v>749</v>
      </c>
      <c r="B1348" s="36">
        <f>5.95+13+133.19+29.04+5.9+5.95+15+234.6+37.47+26.45+5.95+4.1+5.95+302.57</f>
        <v>825.12000000000012</v>
      </c>
      <c r="C1348" s="34">
        <v>37653</v>
      </c>
    </row>
    <row r="1349" spans="1:3">
      <c r="A1349" s="38" t="s">
        <v>769</v>
      </c>
      <c r="B1349" s="36">
        <v>566</v>
      </c>
      <c r="C1349" s="34">
        <v>37653</v>
      </c>
    </row>
    <row r="1350" spans="1:3">
      <c r="A1350" s="38" t="s">
        <v>764</v>
      </c>
      <c r="B1350" s="36">
        <f>196.8+11.9</f>
        <v>208.70000000000002</v>
      </c>
      <c r="C1350" s="34">
        <v>37653</v>
      </c>
    </row>
    <row r="1351" spans="1:3">
      <c r="A1351" s="38" t="s">
        <v>771</v>
      </c>
      <c r="B1351" s="36">
        <v>280.39479452054366</v>
      </c>
      <c r="C1351" s="34">
        <v>37653</v>
      </c>
    </row>
    <row r="1352" spans="1:3">
      <c r="A1352" s="38" t="s">
        <v>38</v>
      </c>
      <c r="B1352" s="36">
        <v>31026.071508443914</v>
      </c>
      <c r="C1352" s="34">
        <v>37653</v>
      </c>
    </row>
    <row r="1353" spans="1:3">
      <c r="A1353" s="38" t="s">
        <v>747</v>
      </c>
      <c r="B1353" s="36">
        <v>-2834.2464207683224</v>
      </c>
      <c r="C1353" s="34">
        <v>37653</v>
      </c>
    </row>
    <row r="1354" spans="1:3">
      <c r="A1354" s="38" t="s">
        <v>746</v>
      </c>
      <c r="B1354" s="36">
        <v>0</v>
      </c>
      <c r="C1354" s="34">
        <v>37681</v>
      </c>
    </row>
    <row r="1355" spans="1:3">
      <c r="A1355" s="38" t="s">
        <v>406</v>
      </c>
      <c r="B1355" s="36">
        <v>0</v>
      </c>
      <c r="C1355" s="34">
        <v>37681</v>
      </c>
    </row>
    <row r="1356" spans="1:3">
      <c r="A1356" s="38" t="s">
        <v>763</v>
      </c>
      <c r="B1356" s="36">
        <v>0</v>
      </c>
      <c r="C1356" s="34">
        <v>37681</v>
      </c>
    </row>
    <row r="1357" spans="1:3">
      <c r="A1357" s="38" t="s">
        <v>760</v>
      </c>
      <c r="B1357" s="36">
        <v>0</v>
      </c>
      <c r="C1357" s="34">
        <v>37681</v>
      </c>
    </row>
    <row r="1358" spans="1:3">
      <c r="A1358" s="38" t="s">
        <v>748</v>
      </c>
      <c r="B1358" s="36">
        <v>0</v>
      </c>
      <c r="C1358" s="34">
        <v>37681</v>
      </c>
    </row>
    <row r="1359" spans="1:3">
      <c r="A1359" s="38" t="s">
        <v>745</v>
      </c>
      <c r="B1359" s="36">
        <v>0</v>
      </c>
      <c r="C1359" s="34">
        <v>37681</v>
      </c>
    </row>
    <row r="1360" spans="1:3">
      <c r="A1360" s="38" t="s">
        <v>755</v>
      </c>
      <c r="B1360" s="36">
        <v>230</v>
      </c>
      <c r="C1360" s="34">
        <v>37681</v>
      </c>
    </row>
    <row r="1361" spans="1:3">
      <c r="A1361" s="38" t="s">
        <v>776</v>
      </c>
      <c r="B1361" s="36">
        <v>1661.81</v>
      </c>
      <c r="C1361" s="34">
        <v>37681</v>
      </c>
    </row>
    <row r="1362" spans="1:3">
      <c r="A1362" s="38" t="s">
        <v>759</v>
      </c>
      <c r="B1362" s="36">
        <v>71.02</v>
      </c>
      <c r="C1362" s="34">
        <v>37681</v>
      </c>
    </row>
    <row r="1363" spans="1:3">
      <c r="A1363" s="38" t="s">
        <v>757</v>
      </c>
      <c r="B1363" s="36">
        <v>141.72</v>
      </c>
      <c r="C1363" s="34">
        <v>37681</v>
      </c>
    </row>
    <row r="1364" spans="1:3">
      <c r="A1364" s="38" t="s">
        <v>758</v>
      </c>
      <c r="B1364" s="36">
        <v>134.69999999999999</v>
      </c>
      <c r="C1364" s="34">
        <v>37681</v>
      </c>
    </row>
    <row r="1365" spans="1:3">
      <c r="A1365" s="38" t="s">
        <v>772</v>
      </c>
      <c r="B1365" s="36">
        <v>0</v>
      </c>
      <c r="C1365" s="34">
        <v>37681</v>
      </c>
    </row>
    <row r="1366" spans="1:3">
      <c r="A1366" s="38" t="s">
        <v>773</v>
      </c>
      <c r="B1366" s="36">
        <v>35.799999999999997</v>
      </c>
      <c r="C1366" s="34">
        <v>37681</v>
      </c>
    </row>
    <row r="1367" spans="1:3">
      <c r="A1367" s="38" t="s">
        <v>777</v>
      </c>
      <c r="B1367" s="36">
        <v>0</v>
      </c>
      <c r="C1367" s="34">
        <v>37681</v>
      </c>
    </row>
    <row r="1368" spans="1:3">
      <c r="A1368" s="38" t="s">
        <v>774</v>
      </c>
      <c r="B1368" s="36">
        <v>89.62</v>
      </c>
      <c r="C1368" s="34">
        <v>37681</v>
      </c>
    </row>
    <row r="1369" spans="1:3">
      <c r="A1369" s="38" t="s">
        <v>775</v>
      </c>
      <c r="B1369" s="36">
        <v>672.62</v>
      </c>
      <c r="C1369" s="34">
        <v>37681</v>
      </c>
    </row>
    <row r="1370" spans="1:3">
      <c r="A1370" s="38" t="s">
        <v>744</v>
      </c>
      <c r="B1370" s="36">
        <v>1002.49</v>
      </c>
      <c r="C1370" s="34">
        <v>37681</v>
      </c>
    </row>
    <row r="1371" spans="1:3">
      <c r="A1371" s="38" t="s">
        <v>587</v>
      </c>
      <c r="B1371" s="36">
        <v>1355.3</v>
      </c>
      <c r="C1371" s="34">
        <v>37681</v>
      </c>
    </row>
    <row r="1372" spans="1:3">
      <c r="A1372" s="38" t="s">
        <v>749</v>
      </c>
      <c r="B1372" s="36">
        <v>1507.92</v>
      </c>
      <c r="C1372" s="34">
        <v>37681</v>
      </c>
    </row>
    <row r="1373" spans="1:3">
      <c r="A1373" s="38" t="s">
        <v>769</v>
      </c>
      <c r="B1373" s="36">
        <v>938.23</v>
      </c>
      <c r="C1373" s="34">
        <v>37681</v>
      </c>
    </row>
    <row r="1374" spans="1:3">
      <c r="A1374" s="38" t="s">
        <v>764</v>
      </c>
      <c r="B1374" s="36">
        <v>59</v>
      </c>
      <c r="C1374" s="34">
        <v>37681</v>
      </c>
    </row>
    <row r="1375" spans="1:3">
      <c r="A1375" s="38" t="s">
        <v>771</v>
      </c>
      <c r="B1375" s="36">
        <v>297.84342465753434</v>
      </c>
      <c r="C1375" s="34">
        <v>37681</v>
      </c>
    </row>
    <row r="1376" spans="1:3">
      <c r="A1376" s="38" t="s">
        <v>38</v>
      </c>
      <c r="B1376" s="36">
        <v>1937.8299034812953</v>
      </c>
      <c r="C1376" s="34">
        <v>37681</v>
      </c>
    </row>
    <row r="1377" spans="1:3">
      <c r="A1377" s="38" t="s">
        <v>747</v>
      </c>
      <c r="B1377" s="36">
        <v>31917.117009491893</v>
      </c>
      <c r="C1377" s="34">
        <v>37681</v>
      </c>
    </row>
    <row r="1378" spans="1:3">
      <c r="A1378" s="38" t="s">
        <v>746</v>
      </c>
      <c r="B1378" s="36">
        <v>3315.64</v>
      </c>
      <c r="C1378" s="34">
        <v>37712</v>
      </c>
    </row>
    <row r="1379" spans="1:3">
      <c r="A1379" s="38" t="s">
        <v>406</v>
      </c>
      <c r="B1379" s="36">
        <v>0</v>
      </c>
      <c r="C1379" s="34">
        <v>37712</v>
      </c>
    </row>
    <row r="1380" spans="1:3">
      <c r="A1380" s="38" t="s">
        <v>763</v>
      </c>
      <c r="B1380" s="36">
        <v>0</v>
      </c>
      <c r="C1380" s="34">
        <v>37712</v>
      </c>
    </row>
    <row r="1381" spans="1:3">
      <c r="A1381" s="38" t="s">
        <v>760</v>
      </c>
      <c r="B1381" s="36">
        <v>0</v>
      </c>
      <c r="C1381" s="34">
        <v>37712</v>
      </c>
    </row>
    <row r="1382" spans="1:3">
      <c r="A1382" s="38" t="s">
        <v>748</v>
      </c>
      <c r="B1382" s="36">
        <v>0</v>
      </c>
      <c r="C1382" s="34">
        <v>37712</v>
      </c>
    </row>
    <row r="1383" spans="1:3">
      <c r="A1383" s="38" t="s">
        <v>745</v>
      </c>
      <c r="B1383" s="36">
        <v>0</v>
      </c>
      <c r="C1383" s="34">
        <v>37712</v>
      </c>
    </row>
    <row r="1384" spans="1:3">
      <c r="A1384" s="38" t="s">
        <v>755</v>
      </c>
      <c r="B1384" s="36">
        <v>276.8</v>
      </c>
      <c r="C1384" s="34">
        <v>37712</v>
      </c>
    </row>
    <row r="1385" spans="1:3">
      <c r="A1385" s="38" t="s">
        <v>776</v>
      </c>
      <c r="B1385" s="36">
        <v>0</v>
      </c>
      <c r="C1385" s="34">
        <v>37712</v>
      </c>
    </row>
    <row r="1386" spans="1:3">
      <c r="A1386" s="38" t="s">
        <v>759</v>
      </c>
      <c r="B1386" s="36">
        <v>0</v>
      </c>
      <c r="C1386" s="34">
        <v>37712</v>
      </c>
    </row>
    <row r="1387" spans="1:3">
      <c r="A1387" s="38" t="s">
        <v>757</v>
      </c>
      <c r="B1387" s="36">
        <v>166.08</v>
      </c>
      <c r="C1387" s="34">
        <v>37712</v>
      </c>
    </row>
    <row r="1388" spans="1:3">
      <c r="A1388" s="38" t="s">
        <v>758</v>
      </c>
      <c r="B1388" s="36">
        <v>134.69999999999999</v>
      </c>
      <c r="C1388" s="34">
        <v>37712</v>
      </c>
    </row>
    <row r="1389" spans="1:3">
      <c r="A1389" s="38" t="s">
        <v>772</v>
      </c>
      <c r="B1389" s="36">
        <v>0</v>
      </c>
      <c r="C1389" s="34">
        <v>37712</v>
      </c>
    </row>
    <row r="1390" spans="1:3">
      <c r="A1390" s="38" t="s">
        <v>773</v>
      </c>
      <c r="B1390" s="36">
        <v>35.799999999999997</v>
      </c>
      <c r="C1390" s="34">
        <v>37712</v>
      </c>
    </row>
    <row r="1391" spans="1:3">
      <c r="A1391" s="38" t="s">
        <v>777</v>
      </c>
      <c r="B1391" s="36">
        <v>0</v>
      </c>
      <c r="C1391" s="34">
        <v>37712</v>
      </c>
    </row>
    <row r="1392" spans="1:3">
      <c r="A1392" s="38" t="s">
        <v>774</v>
      </c>
      <c r="B1392" s="36">
        <v>0</v>
      </c>
      <c r="C1392" s="34">
        <v>37712</v>
      </c>
    </row>
    <row r="1393" spans="1:3">
      <c r="A1393" s="38" t="s">
        <v>775</v>
      </c>
      <c r="B1393" s="36">
        <v>443.78</v>
      </c>
      <c r="C1393" s="34">
        <v>37712</v>
      </c>
    </row>
    <row r="1394" spans="1:3">
      <c r="A1394" s="38" t="s">
        <v>744</v>
      </c>
      <c r="B1394" s="36">
        <v>2721.13</v>
      </c>
      <c r="C1394" s="34">
        <v>37712</v>
      </c>
    </row>
    <row r="1395" spans="1:3">
      <c r="A1395" s="38" t="s">
        <v>587</v>
      </c>
      <c r="B1395" s="36">
        <v>1339.6</v>
      </c>
      <c r="C1395" s="34">
        <v>37712</v>
      </c>
    </row>
    <row r="1396" spans="1:3">
      <c r="A1396" s="38" t="s">
        <v>749</v>
      </c>
      <c r="B1396" s="36">
        <v>284.16000000000003</v>
      </c>
      <c r="C1396" s="34">
        <v>37712</v>
      </c>
    </row>
    <row r="1397" spans="1:3">
      <c r="A1397" s="38" t="s">
        <v>769</v>
      </c>
      <c r="B1397" s="36">
        <v>967</v>
      </c>
      <c r="C1397" s="34">
        <v>37712</v>
      </c>
    </row>
    <row r="1398" spans="1:3">
      <c r="A1398" s="38" t="s">
        <v>764</v>
      </c>
      <c r="B1398" s="36">
        <v>124.53</v>
      </c>
      <c r="C1398" s="34">
        <v>37712</v>
      </c>
    </row>
    <row r="1399" spans="1:3">
      <c r="A1399" s="38" t="s">
        <v>771</v>
      </c>
      <c r="B1399" s="36">
        <v>346.1684931506752</v>
      </c>
      <c r="C1399" s="34">
        <v>37712</v>
      </c>
    </row>
    <row r="1400" spans="1:3">
      <c r="A1400" s="38" t="s">
        <v>38</v>
      </c>
      <c r="B1400" s="36">
        <v>969</v>
      </c>
      <c r="C1400" s="34">
        <v>37712</v>
      </c>
    </row>
    <row r="1401" spans="1:3">
      <c r="A1401" s="38" t="s">
        <v>747</v>
      </c>
      <c r="B1401" s="36">
        <v>21752.902999643469</v>
      </c>
      <c r="C1401" s="34">
        <v>37712</v>
      </c>
    </row>
    <row r="1402" spans="1:3">
      <c r="A1402" s="38" t="s">
        <v>746</v>
      </c>
      <c r="B1402" s="36">
        <v>0</v>
      </c>
      <c r="C1402" s="34">
        <v>37742</v>
      </c>
    </row>
    <row r="1403" spans="1:3">
      <c r="A1403" s="38" t="s">
        <v>406</v>
      </c>
      <c r="B1403" s="36">
        <v>0</v>
      </c>
      <c r="C1403" s="34">
        <v>37742</v>
      </c>
    </row>
    <row r="1404" spans="1:3">
      <c r="A1404" s="38" t="s">
        <v>763</v>
      </c>
      <c r="B1404" s="36">
        <v>0</v>
      </c>
      <c r="C1404" s="34">
        <v>37742</v>
      </c>
    </row>
    <row r="1405" spans="1:3">
      <c r="A1405" s="38" t="s">
        <v>760</v>
      </c>
      <c r="B1405" s="36">
        <v>0</v>
      </c>
      <c r="C1405" s="34">
        <v>37742</v>
      </c>
    </row>
    <row r="1406" spans="1:3">
      <c r="A1406" s="38" t="s">
        <v>748</v>
      </c>
      <c r="B1406" s="36">
        <v>0</v>
      </c>
      <c r="C1406" s="34">
        <v>37742</v>
      </c>
    </row>
    <row r="1407" spans="1:3">
      <c r="A1407" s="38" t="s">
        <v>745</v>
      </c>
      <c r="C1407" s="34">
        <v>37742</v>
      </c>
    </row>
    <row r="1408" spans="1:3">
      <c r="A1408" s="38" t="s">
        <v>755</v>
      </c>
      <c r="B1408" s="36">
        <v>282.35000000000002</v>
      </c>
      <c r="C1408" s="34">
        <v>37742</v>
      </c>
    </row>
    <row r="1409" spans="1:3">
      <c r="A1409" s="38" t="s">
        <v>776</v>
      </c>
      <c r="B1409" s="36">
        <v>0</v>
      </c>
      <c r="C1409" s="34">
        <v>37742</v>
      </c>
    </row>
    <row r="1410" spans="1:3">
      <c r="A1410" s="38" t="s">
        <v>759</v>
      </c>
      <c r="B1410" s="36">
        <v>0</v>
      </c>
      <c r="C1410" s="34">
        <v>37742</v>
      </c>
    </row>
    <row r="1411" spans="1:3">
      <c r="A1411" s="38" t="s">
        <v>757</v>
      </c>
      <c r="B1411" s="36">
        <v>52.91</v>
      </c>
      <c r="C1411" s="34">
        <v>37742</v>
      </c>
    </row>
    <row r="1412" spans="1:3">
      <c r="A1412" s="38" t="s">
        <v>758</v>
      </c>
      <c r="B1412" s="36">
        <v>86</v>
      </c>
      <c r="C1412" s="34">
        <v>37742</v>
      </c>
    </row>
    <row r="1413" spans="1:3">
      <c r="A1413" s="38" t="s">
        <v>772</v>
      </c>
      <c r="B1413" s="36">
        <v>0</v>
      </c>
      <c r="C1413" s="34">
        <v>37742</v>
      </c>
    </row>
    <row r="1414" spans="1:3">
      <c r="A1414" s="38" t="s">
        <v>773</v>
      </c>
      <c r="B1414" s="36">
        <v>0</v>
      </c>
      <c r="C1414" s="34">
        <v>37742</v>
      </c>
    </row>
    <row r="1415" spans="1:3">
      <c r="A1415" s="38" t="s">
        <v>777</v>
      </c>
      <c r="B1415" s="36">
        <v>0</v>
      </c>
      <c r="C1415" s="34">
        <v>37742</v>
      </c>
    </row>
    <row r="1416" spans="1:3">
      <c r="A1416" s="38" t="s">
        <v>774</v>
      </c>
      <c r="B1416" s="36">
        <v>0</v>
      </c>
      <c r="C1416" s="34">
        <v>37742</v>
      </c>
    </row>
    <row r="1417" spans="1:3">
      <c r="A1417" s="38" t="s">
        <v>775</v>
      </c>
      <c r="B1417" s="36">
        <v>564.66999999999996</v>
      </c>
      <c r="C1417" s="34">
        <v>37742</v>
      </c>
    </row>
    <row r="1418" spans="1:3">
      <c r="A1418" s="38" t="s">
        <v>744</v>
      </c>
      <c r="B1418" s="36">
        <v>303.11</v>
      </c>
      <c r="C1418" s="34">
        <v>37742</v>
      </c>
    </row>
    <row r="1419" spans="1:3">
      <c r="A1419" s="38" t="s">
        <v>587</v>
      </c>
      <c r="B1419" s="36">
        <v>1389.6</v>
      </c>
      <c r="C1419" s="34">
        <v>37742</v>
      </c>
    </row>
    <row r="1420" spans="1:3">
      <c r="A1420" s="38" t="s">
        <v>749</v>
      </c>
      <c r="B1420" s="36">
        <v>1005.18</v>
      </c>
      <c r="C1420" s="34">
        <v>37742</v>
      </c>
    </row>
    <row r="1421" spans="1:3">
      <c r="A1421" s="38" t="s">
        <v>769</v>
      </c>
      <c r="B1421" s="36">
        <v>993.37</v>
      </c>
      <c r="C1421" s="34">
        <v>37742</v>
      </c>
    </row>
    <row r="1422" spans="1:3">
      <c r="A1422" s="38" t="s">
        <v>764</v>
      </c>
      <c r="B1422" s="36">
        <v>0</v>
      </c>
      <c r="C1422" s="34">
        <v>37742</v>
      </c>
    </row>
    <row r="1423" spans="1:3">
      <c r="A1423" s="38" t="s">
        <v>771</v>
      </c>
      <c r="B1423" s="36">
        <v>0</v>
      </c>
      <c r="C1423" s="34">
        <v>37742</v>
      </c>
    </row>
    <row r="1424" spans="1:3">
      <c r="A1424" s="38" t="s">
        <v>38</v>
      </c>
      <c r="B1424" s="36">
        <v>1720.3847013330087</v>
      </c>
      <c r="C1424" s="34">
        <v>37742</v>
      </c>
    </row>
    <row r="1425" spans="1:3">
      <c r="A1425" s="38" t="s">
        <v>747</v>
      </c>
      <c r="B1425" s="36">
        <v>5452.9520481450018</v>
      </c>
      <c r="C1425" s="34">
        <v>37742</v>
      </c>
    </row>
    <row r="1426" spans="1:3">
      <c r="A1426" s="38" t="s">
        <v>746</v>
      </c>
      <c r="B1426" s="36">
        <v>0</v>
      </c>
      <c r="C1426" s="34">
        <v>37773</v>
      </c>
    </row>
    <row r="1427" spans="1:3">
      <c r="A1427" s="38" t="s">
        <v>406</v>
      </c>
      <c r="B1427" s="36">
        <v>0</v>
      </c>
      <c r="C1427" s="34">
        <v>37773</v>
      </c>
    </row>
    <row r="1428" spans="1:3">
      <c r="A1428" s="38" t="s">
        <v>763</v>
      </c>
      <c r="B1428" s="36">
        <v>0</v>
      </c>
      <c r="C1428" s="34">
        <v>37773</v>
      </c>
    </row>
    <row r="1429" spans="1:3">
      <c r="A1429" s="38" t="s">
        <v>760</v>
      </c>
      <c r="B1429" s="36">
        <v>0</v>
      </c>
      <c r="C1429" s="34">
        <v>37773</v>
      </c>
    </row>
    <row r="1430" spans="1:3">
      <c r="A1430" s="38" t="s">
        <v>778</v>
      </c>
      <c r="B1430" s="36">
        <v>400</v>
      </c>
      <c r="C1430" s="34">
        <v>37773</v>
      </c>
    </row>
    <row r="1431" spans="1:3">
      <c r="A1431" s="38" t="s">
        <v>745</v>
      </c>
      <c r="C1431" s="34">
        <v>37773</v>
      </c>
    </row>
    <row r="1432" spans="1:3">
      <c r="A1432" s="38" t="s">
        <v>755</v>
      </c>
      <c r="B1432" s="36">
        <v>348.06</v>
      </c>
      <c r="C1432" s="34">
        <v>37773</v>
      </c>
    </row>
    <row r="1433" spans="1:3">
      <c r="A1433" s="38" t="s">
        <v>776</v>
      </c>
      <c r="B1433" s="36">
        <v>154.41</v>
      </c>
      <c r="C1433" s="34">
        <v>37773</v>
      </c>
    </row>
    <row r="1434" spans="1:3">
      <c r="A1434" s="38" t="s">
        <v>759</v>
      </c>
      <c r="B1434" s="36">
        <v>0</v>
      </c>
      <c r="C1434" s="34">
        <v>37773</v>
      </c>
    </row>
    <row r="1435" spans="1:3">
      <c r="A1435" s="38" t="s">
        <v>757</v>
      </c>
      <c r="B1435" s="36">
        <v>160.12</v>
      </c>
      <c r="C1435" s="34">
        <v>37773</v>
      </c>
    </row>
    <row r="1436" spans="1:3">
      <c r="A1436" s="38" t="s">
        <v>758</v>
      </c>
      <c r="B1436" s="36">
        <v>86</v>
      </c>
      <c r="C1436" s="34">
        <v>37773</v>
      </c>
    </row>
    <row r="1437" spans="1:3">
      <c r="A1437" s="38" t="s">
        <v>772</v>
      </c>
      <c r="B1437" s="36">
        <v>0</v>
      </c>
      <c r="C1437" s="34">
        <v>37773</v>
      </c>
    </row>
    <row r="1438" spans="1:3">
      <c r="A1438" s="38" t="s">
        <v>773</v>
      </c>
      <c r="B1438" s="36">
        <v>0</v>
      </c>
      <c r="C1438" s="34">
        <v>37773</v>
      </c>
    </row>
    <row r="1439" spans="1:3">
      <c r="A1439" s="38" t="s">
        <v>777</v>
      </c>
      <c r="B1439" s="36">
        <v>0</v>
      </c>
      <c r="C1439" s="34">
        <v>37773</v>
      </c>
    </row>
    <row r="1440" spans="1:3">
      <c r="A1440" s="38" t="s">
        <v>774</v>
      </c>
      <c r="B1440" s="36">
        <v>0</v>
      </c>
      <c r="C1440" s="34">
        <v>37773</v>
      </c>
    </row>
    <row r="1441" spans="1:3">
      <c r="A1441" s="38" t="s">
        <v>775</v>
      </c>
      <c r="B1441" s="36">
        <v>499.97</v>
      </c>
      <c r="C1441" s="34">
        <v>37773</v>
      </c>
    </row>
    <row r="1442" spans="1:3">
      <c r="A1442" s="38" t="s">
        <v>744</v>
      </c>
      <c r="B1442" s="36">
        <v>323.11</v>
      </c>
      <c r="C1442" s="34">
        <v>37773</v>
      </c>
    </row>
    <row r="1443" spans="1:3">
      <c r="A1443" s="38" t="s">
        <v>587</v>
      </c>
      <c r="B1443" s="36">
        <v>1439.6</v>
      </c>
      <c r="C1443" s="34">
        <v>37773</v>
      </c>
    </row>
    <row r="1444" spans="1:3">
      <c r="A1444" s="38" t="s">
        <v>749</v>
      </c>
      <c r="B1444" s="36">
        <v>976.18</v>
      </c>
      <c r="C1444" s="34">
        <v>37773</v>
      </c>
    </row>
    <row r="1445" spans="1:3">
      <c r="A1445" s="38" t="s">
        <v>769</v>
      </c>
      <c r="B1445" s="36">
        <v>934.13</v>
      </c>
      <c r="C1445" s="34">
        <v>37773</v>
      </c>
    </row>
    <row r="1446" spans="1:3">
      <c r="A1446" s="38" t="s">
        <v>764</v>
      </c>
      <c r="B1446" s="36">
        <v>0</v>
      </c>
      <c r="C1446" s="34">
        <v>37773</v>
      </c>
    </row>
    <row r="1447" spans="1:3">
      <c r="A1447" s="38" t="s">
        <v>771</v>
      </c>
      <c r="B1447" s="36">
        <v>297.84972602740163</v>
      </c>
      <c r="C1447" s="34">
        <v>37773</v>
      </c>
    </row>
    <row r="1448" spans="1:3">
      <c r="A1448" s="38" t="s">
        <v>38</v>
      </c>
      <c r="B1448" s="36">
        <v>833.67718527349643</v>
      </c>
      <c r="C1448" s="34">
        <v>37773</v>
      </c>
    </row>
    <row r="1449" spans="1:3">
      <c r="A1449" s="38" t="s">
        <v>747</v>
      </c>
      <c r="B1449" s="36">
        <v>18167.235693068476</v>
      </c>
      <c r="C1449" s="34">
        <v>37773</v>
      </c>
    </row>
    <row r="1450" spans="1:3">
      <c r="A1450" s="38" t="s">
        <v>746</v>
      </c>
      <c r="B1450" s="36">
        <v>2291.84</v>
      </c>
      <c r="C1450" s="34">
        <v>37803</v>
      </c>
    </row>
    <row r="1451" spans="1:3">
      <c r="A1451" s="38" t="s">
        <v>406</v>
      </c>
      <c r="B1451" s="36">
        <v>0</v>
      </c>
      <c r="C1451" s="34">
        <v>37803</v>
      </c>
    </row>
    <row r="1452" spans="1:3">
      <c r="A1452" s="38" t="s">
        <v>763</v>
      </c>
      <c r="B1452" s="36">
        <v>0</v>
      </c>
      <c r="C1452" s="34">
        <v>37803</v>
      </c>
    </row>
    <row r="1453" spans="1:3">
      <c r="A1453" s="38" t="s">
        <v>760</v>
      </c>
      <c r="B1453" s="36">
        <v>0</v>
      </c>
      <c r="C1453" s="34">
        <v>37803</v>
      </c>
    </row>
    <row r="1454" spans="1:3">
      <c r="A1454" s="38" t="s">
        <v>778</v>
      </c>
      <c r="B1454" s="36">
        <v>400</v>
      </c>
      <c r="C1454" s="34">
        <v>37803</v>
      </c>
    </row>
    <row r="1455" spans="1:3">
      <c r="A1455" s="38" t="s">
        <v>745</v>
      </c>
      <c r="B1455" s="36">
        <v>0</v>
      </c>
      <c r="C1455" s="34">
        <v>37803</v>
      </c>
    </row>
    <row r="1456" spans="1:3">
      <c r="A1456" s="38" t="s">
        <v>755</v>
      </c>
      <c r="B1456" s="36">
        <v>0</v>
      </c>
      <c r="C1456" s="34">
        <v>37803</v>
      </c>
    </row>
    <row r="1457" spans="1:3">
      <c r="A1457" s="38" t="s">
        <v>776</v>
      </c>
      <c r="B1457" s="36">
        <v>131.19999999999999</v>
      </c>
      <c r="C1457" s="34">
        <v>37803</v>
      </c>
    </row>
    <row r="1458" spans="1:3">
      <c r="A1458" s="38" t="s">
        <v>759</v>
      </c>
      <c r="B1458" s="36">
        <v>33.19</v>
      </c>
      <c r="C1458" s="34">
        <v>37803</v>
      </c>
    </row>
    <row r="1459" spans="1:3">
      <c r="A1459" s="38" t="s">
        <v>757</v>
      </c>
      <c r="B1459" s="36">
        <v>130.65</v>
      </c>
      <c r="C1459" s="34">
        <v>37803</v>
      </c>
    </row>
    <row r="1460" spans="1:3">
      <c r="A1460" s="38" t="s">
        <v>758</v>
      </c>
      <c r="B1460" s="36">
        <v>86</v>
      </c>
      <c r="C1460" s="34">
        <v>37803</v>
      </c>
    </row>
    <row r="1461" spans="1:3">
      <c r="A1461" s="38" t="s">
        <v>772</v>
      </c>
      <c r="B1461" s="36">
        <v>0</v>
      </c>
      <c r="C1461" s="34">
        <v>37803</v>
      </c>
    </row>
    <row r="1462" spans="1:3">
      <c r="A1462" s="38" t="s">
        <v>773</v>
      </c>
      <c r="B1462" s="36">
        <v>0</v>
      </c>
      <c r="C1462" s="34">
        <v>37803</v>
      </c>
    </row>
    <row r="1463" spans="1:3">
      <c r="A1463" s="38" t="s">
        <v>777</v>
      </c>
      <c r="B1463" s="36">
        <v>0</v>
      </c>
      <c r="C1463" s="34">
        <v>37803</v>
      </c>
    </row>
    <row r="1464" spans="1:3">
      <c r="A1464" s="38" t="s">
        <v>774</v>
      </c>
      <c r="B1464" s="36">
        <v>0</v>
      </c>
      <c r="C1464" s="34">
        <v>37803</v>
      </c>
    </row>
    <row r="1465" spans="1:3">
      <c r="A1465" s="38" t="s">
        <v>775</v>
      </c>
      <c r="B1465" s="36">
        <v>573.99</v>
      </c>
      <c r="C1465" s="34">
        <v>37803</v>
      </c>
    </row>
    <row r="1466" spans="1:3">
      <c r="A1466" s="38" t="s">
        <v>744</v>
      </c>
      <c r="B1466" s="36">
        <v>532.55999999999995</v>
      </c>
      <c r="C1466" s="34">
        <v>37803</v>
      </c>
    </row>
    <row r="1467" spans="1:3">
      <c r="A1467" s="38" t="s">
        <v>587</v>
      </c>
      <c r="B1467" s="36">
        <v>1124.5999999999999</v>
      </c>
      <c r="C1467" s="34">
        <v>37803</v>
      </c>
    </row>
    <row r="1468" spans="1:3">
      <c r="A1468" s="38" t="s">
        <v>749</v>
      </c>
      <c r="B1468" s="36">
        <v>619.17999999999995</v>
      </c>
      <c r="C1468" s="34">
        <v>37803</v>
      </c>
    </row>
    <row r="1469" spans="1:3">
      <c r="A1469" s="38" t="s">
        <v>769</v>
      </c>
      <c r="B1469" s="36">
        <v>916.64</v>
      </c>
      <c r="C1469" s="34">
        <v>37803</v>
      </c>
    </row>
    <row r="1470" spans="1:3">
      <c r="A1470" s="38" t="s">
        <v>764</v>
      </c>
      <c r="B1470" s="36">
        <v>133.71</v>
      </c>
      <c r="C1470" s="34">
        <v>37803</v>
      </c>
    </row>
    <row r="1471" spans="1:3">
      <c r="A1471" s="38" t="s">
        <v>771</v>
      </c>
      <c r="B1471" s="36">
        <v>553.37698630138766</v>
      </c>
      <c r="C1471" s="34">
        <v>37803</v>
      </c>
    </row>
    <row r="1472" spans="1:3">
      <c r="A1472" s="38" t="s">
        <v>38</v>
      </c>
      <c r="B1472" s="36">
        <v>899.0051538918633</v>
      </c>
      <c r="C1472" s="34">
        <v>37803</v>
      </c>
    </row>
    <row r="1473" spans="1:5">
      <c r="A1473" s="38" t="s">
        <v>747</v>
      </c>
      <c r="B1473" s="36">
        <v>5316.5671378874686</v>
      </c>
      <c r="C1473" s="34">
        <v>37803</v>
      </c>
    </row>
    <row r="1474" spans="1:5">
      <c r="A1474" s="38" t="s">
        <v>746</v>
      </c>
      <c r="B1474" s="36">
        <v>0</v>
      </c>
      <c r="C1474" s="34">
        <v>37834</v>
      </c>
    </row>
    <row r="1475" spans="1:5">
      <c r="A1475" s="38" t="s">
        <v>406</v>
      </c>
      <c r="B1475" s="36">
        <v>0</v>
      </c>
      <c r="C1475" s="34">
        <v>37834</v>
      </c>
    </row>
    <row r="1476" spans="1:5">
      <c r="A1476" s="38" t="s">
        <v>763</v>
      </c>
      <c r="B1476" s="36">
        <v>0</v>
      </c>
      <c r="C1476" s="34">
        <v>37834</v>
      </c>
    </row>
    <row r="1477" spans="1:5">
      <c r="A1477" s="38" t="s">
        <v>760</v>
      </c>
      <c r="B1477" s="36">
        <v>0</v>
      </c>
      <c r="C1477" s="34">
        <v>37834</v>
      </c>
    </row>
    <row r="1478" spans="1:5">
      <c r="A1478" s="38" t="s">
        <v>778</v>
      </c>
      <c r="B1478" s="36">
        <v>0</v>
      </c>
      <c r="C1478" s="34">
        <v>37834</v>
      </c>
      <c r="D1478" s="34">
        <v>37622</v>
      </c>
      <c r="E1478" s="21" t="e">
        <f>+B1478*3+A1478</f>
        <v>#VALUE!</v>
      </c>
    </row>
    <row r="1479" spans="1:5">
      <c r="A1479" s="38" t="s">
        <v>745</v>
      </c>
      <c r="B1479" s="36">
        <v>0</v>
      </c>
      <c r="C1479" s="34">
        <v>37834</v>
      </c>
      <c r="D1479" s="34">
        <v>37653</v>
      </c>
      <c r="E1479" s="21" t="e">
        <f>+B1479*3+A1479</f>
        <v>#VALUE!</v>
      </c>
    </row>
    <row r="1480" spans="1:5">
      <c r="A1480" s="38" t="s">
        <v>755</v>
      </c>
      <c r="B1480" s="36">
        <v>567.78</v>
      </c>
      <c r="C1480" s="34">
        <v>37834</v>
      </c>
    </row>
    <row r="1481" spans="1:5">
      <c r="A1481" s="38" t="s">
        <v>776</v>
      </c>
      <c r="B1481" s="36">
        <v>152.22999999999999</v>
      </c>
      <c r="C1481" s="34">
        <v>37834</v>
      </c>
    </row>
    <row r="1482" spans="1:5">
      <c r="A1482" s="38" t="s">
        <v>759</v>
      </c>
      <c r="B1482" s="36">
        <v>0</v>
      </c>
      <c r="C1482" s="34">
        <v>37834</v>
      </c>
    </row>
    <row r="1483" spans="1:5">
      <c r="A1483" s="38" t="s">
        <v>757</v>
      </c>
      <c r="B1483" s="36">
        <v>47.4</v>
      </c>
      <c r="C1483" s="34">
        <v>37834</v>
      </c>
    </row>
    <row r="1484" spans="1:5">
      <c r="A1484" s="38" t="s">
        <v>758</v>
      </c>
      <c r="B1484" s="36">
        <v>86</v>
      </c>
      <c r="C1484" s="34">
        <v>37834</v>
      </c>
    </row>
    <row r="1485" spans="1:5">
      <c r="A1485" s="38" t="s">
        <v>772</v>
      </c>
      <c r="B1485" s="36">
        <v>0</v>
      </c>
      <c r="C1485" s="34">
        <v>37834</v>
      </c>
    </row>
    <row r="1486" spans="1:5">
      <c r="A1486" s="38" t="s">
        <v>773</v>
      </c>
      <c r="B1486" s="36">
        <v>0</v>
      </c>
      <c r="C1486" s="34">
        <v>37834</v>
      </c>
    </row>
    <row r="1487" spans="1:5">
      <c r="A1487" s="38" t="s">
        <v>777</v>
      </c>
      <c r="B1487" s="36">
        <v>0</v>
      </c>
      <c r="C1487" s="34">
        <v>37834</v>
      </c>
    </row>
    <row r="1488" spans="1:5">
      <c r="A1488" s="38" t="s">
        <v>774</v>
      </c>
      <c r="B1488" s="36">
        <v>0</v>
      </c>
      <c r="C1488" s="34">
        <v>37834</v>
      </c>
    </row>
    <row r="1489" spans="1:3">
      <c r="A1489" s="38" t="s">
        <v>775</v>
      </c>
      <c r="B1489" s="36">
        <v>440.07</v>
      </c>
      <c r="C1489" s="34">
        <v>37834</v>
      </c>
    </row>
    <row r="1490" spans="1:3">
      <c r="A1490" s="38" t="s">
        <v>744</v>
      </c>
      <c r="B1490" s="36">
        <v>338</v>
      </c>
      <c r="C1490" s="34">
        <v>37834</v>
      </c>
    </row>
    <row r="1491" spans="1:3">
      <c r="A1491" s="38" t="s">
        <v>587</v>
      </c>
      <c r="B1491" s="36">
        <v>1439.6</v>
      </c>
      <c r="C1491" s="34">
        <v>37834</v>
      </c>
    </row>
    <row r="1492" spans="1:3">
      <c r="A1492" s="38" t="s">
        <v>749</v>
      </c>
      <c r="B1492" s="36">
        <v>615.1</v>
      </c>
      <c r="C1492" s="34">
        <v>37834</v>
      </c>
    </row>
    <row r="1493" spans="1:3">
      <c r="A1493" s="38" t="s">
        <v>769</v>
      </c>
      <c r="B1493" s="36">
        <v>934.13</v>
      </c>
      <c r="C1493" s="34">
        <v>37834</v>
      </c>
    </row>
    <row r="1494" spans="1:3">
      <c r="A1494" s="38" t="s">
        <v>764</v>
      </c>
      <c r="B1494" s="36">
        <v>59</v>
      </c>
      <c r="C1494" s="34">
        <v>37834</v>
      </c>
    </row>
    <row r="1495" spans="1:3">
      <c r="A1495" s="38" t="s">
        <v>771</v>
      </c>
      <c r="B1495" s="36">
        <v>0</v>
      </c>
      <c r="C1495" s="34">
        <v>37834</v>
      </c>
    </row>
    <row r="1496" spans="1:3">
      <c r="A1496" s="38" t="s">
        <v>38</v>
      </c>
      <c r="B1496" s="36">
        <v>3313.7795431399718</v>
      </c>
      <c r="C1496" s="34">
        <v>37834</v>
      </c>
    </row>
    <row r="1497" spans="1:3">
      <c r="A1497" s="38" t="s">
        <v>747</v>
      </c>
      <c r="B1497" s="36">
        <v>1615.3348858326208</v>
      </c>
      <c r="C1497" s="34">
        <v>37834</v>
      </c>
    </row>
    <row r="1498" spans="1:3">
      <c r="A1498" s="38" t="s">
        <v>746</v>
      </c>
      <c r="B1498" s="36">
        <v>776.56</v>
      </c>
      <c r="C1498" s="34">
        <v>37865</v>
      </c>
    </row>
    <row r="1499" spans="1:3">
      <c r="A1499" s="38" t="s">
        <v>406</v>
      </c>
      <c r="B1499" s="36">
        <v>0</v>
      </c>
      <c r="C1499" s="34">
        <v>37865</v>
      </c>
    </row>
    <row r="1500" spans="1:3">
      <c r="A1500" s="38" t="s">
        <v>763</v>
      </c>
      <c r="B1500" s="36">
        <v>0</v>
      </c>
      <c r="C1500" s="34">
        <v>37865</v>
      </c>
    </row>
    <row r="1501" spans="1:3">
      <c r="A1501" s="38" t="s">
        <v>760</v>
      </c>
      <c r="B1501" s="36">
        <v>0</v>
      </c>
      <c r="C1501" s="34">
        <v>37865</v>
      </c>
    </row>
    <row r="1502" spans="1:3">
      <c r="A1502" s="38" t="s">
        <v>778</v>
      </c>
      <c r="B1502" s="36">
        <v>0</v>
      </c>
      <c r="C1502" s="34">
        <v>37865</v>
      </c>
    </row>
    <row r="1503" spans="1:3">
      <c r="A1503" s="38" t="s">
        <v>745</v>
      </c>
      <c r="B1503" s="36">
        <v>0</v>
      </c>
      <c r="C1503" s="34">
        <v>37865</v>
      </c>
    </row>
    <row r="1504" spans="1:3">
      <c r="A1504" s="38" t="s">
        <v>755</v>
      </c>
      <c r="B1504" s="36">
        <v>266.74</v>
      </c>
      <c r="C1504" s="34">
        <v>37865</v>
      </c>
    </row>
    <row r="1505" spans="1:3">
      <c r="A1505" s="38" t="s">
        <v>776</v>
      </c>
      <c r="B1505" s="36">
        <v>0</v>
      </c>
      <c r="C1505" s="34">
        <v>37865</v>
      </c>
    </row>
    <row r="1506" spans="1:3">
      <c r="A1506" s="38" t="s">
        <v>759</v>
      </c>
      <c r="B1506" s="36">
        <v>0</v>
      </c>
      <c r="C1506" s="34">
        <v>37865</v>
      </c>
    </row>
    <row r="1507" spans="1:3">
      <c r="A1507" s="38" t="s">
        <v>757</v>
      </c>
      <c r="B1507" s="36">
        <v>70.98</v>
      </c>
      <c r="C1507" s="34">
        <v>37865</v>
      </c>
    </row>
    <row r="1508" spans="1:3">
      <c r="A1508" s="38" t="s">
        <v>758</v>
      </c>
      <c r="B1508" s="36">
        <v>86</v>
      </c>
      <c r="C1508" s="34">
        <v>37865</v>
      </c>
    </row>
    <row r="1509" spans="1:3">
      <c r="A1509" s="38" t="s">
        <v>772</v>
      </c>
      <c r="B1509" s="36">
        <v>0</v>
      </c>
      <c r="C1509" s="34">
        <v>37865</v>
      </c>
    </row>
    <row r="1510" spans="1:3">
      <c r="A1510" s="38" t="s">
        <v>773</v>
      </c>
      <c r="B1510" s="36">
        <v>0</v>
      </c>
      <c r="C1510" s="34">
        <v>37865</v>
      </c>
    </row>
    <row r="1511" spans="1:3">
      <c r="A1511" s="38" t="s">
        <v>777</v>
      </c>
      <c r="B1511" s="36">
        <v>0</v>
      </c>
      <c r="C1511" s="34">
        <v>37865</v>
      </c>
    </row>
    <row r="1512" spans="1:3">
      <c r="A1512" s="38" t="s">
        <v>774</v>
      </c>
      <c r="B1512" s="36">
        <v>0</v>
      </c>
      <c r="C1512" s="34">
        <v>37865</v>
      </c>
    </row>
    <row r="1513" spans="1:3">
      <c r="A1513" s="38" t="s">
        <v>775</v>
      </c>
      <c r="B1513" s="36">
        <v>658.47</v>
      </c>
      <c r="C1513" s="34">
        <v>37865</v>
      </c>
    </row>
    <row r="1514" spans="1:3">
      <c r="A1514" s="38" t="s">
        <v>744</v>
      </c>
      <c r="B1514" s="36">
        <v>173.82</v>
      </c>
      <c r="C1514" s="34">
        <v>37865</v>
      </c>
    </row>
    <row r="1515" spans="1:3">
      <c r="A1515" s="38" t="s">
        <v>587</v>
      </c>
      <c r="B1515" s="36">
        <v>1359.6</v>
      </c>
      <c r="C1515" s="34">
        <v>37865</v>
      </c>
    </row>
    <row r="1516" spans="1:3">
      <c r="A1516" s="38" t="s">
        <v>749</v>
      </c>
      <c r="B1516" s="36">
        <v>483.49</v>
      </c>
      <c r="C1516" s="34">
        <v>37865</v>
      </c>
    </row>
    <row r="1517" spans="1:3">
      <c r="A1517" s="38" t="s">
        <v>769</v>
      </c>
      <c r="B1517" s="36">
        <v>1137.28</v>
      </c>
      <c r="C1517" s="34">
        <v>37865</v>
      </c>
    </row>
    <row r="1518" spans="1:3">
      <c r="A1518" s="38" t="s">
        <v>764</v>
      </c>
      <c r="B1518" s="36">
        <v>162.65</v>
      </c>
      <c r="C1518" s="34">
        <v>37865</v>
      </c>
    </row>
    <row r="1519" spans="1:3">
      <c r="A1519" s="38" t="s">
        <v>771</v>
      </c>
      <c r="B1519" s="36">
        <v>537.94000000000233</v>
      </c>
      <c r="C1519" s="34">
        <v>37865</v>
      </c>
    </row>
    <row r="1520" spans="1:3">
      <c r="A1520" s="38" t="s">
        <v>38</v>
      </c>
      <c r="B1520" s="36">
        <v>39.826299207052216</v>
      </c>
      <c r="C1520" s="34">
        <v>37865</v>
      </c>
    </row>
    <row r="1521" spans="1:3">
      <c r="A1521" s="38" t="s">
        <v>747</v>
      </c>
      <c r="B1521" s="36">
        <v>22348.35087944055</v>
      </c>
      <c r="C1521" s="34">
        <v>37865</v>
      </c>
    </row>
    <row r="1522" spans="1:3">
      <c r="A1522" s="38" t="s">
        <v>746</v>
      </c>
      <c r="B1522" s="36">
        <v>776.56</v>
      </c>
      <c r="C1522" s="34">
        <v>37895</v>
      </c>
    </row>
    <row r="1523" spans="1:3">
      <c r="A1523" s="38" t="s">
        <v>406</v>
      </c>
      <c r="B1523" s="36">
        <v>0</v>
      </c>
      <c r="C1523" s="34">
        <v>37895</v>
      </c>
    </row>
    <row r="1524" spans="1:3">
      <c r="A1524" s="38" t="s">
        <v>763</v>
      </c>
      <c r="B1524" s="36">
        <v>0</v>
      </c>
      <c r="C1524" s="34">
        <v>37895</v>
      </c>
    </row>
    <row r="1525" spans="1:3">
      <c r="A1525" s="38" t="s">
        <v>760</v>
      </c>
      <c r="B1525" s="36">
        <v>0</v>
      </c>
      <c r="C1525" s="34">
        <v>37895</v>
      </c>
    </row>
    <row r="1526" spans="1:3">
      <c r="A1526" s="38" t="s">
        <v>778</v>
      </c>
      <c r="B1526" s="36">
        <v>0</v>
      </c>
      <c r="C1526" s="34">
        <v>37895</v>
      </c>
    </row>
    <row r="1527" spans="1:3">
      <c r="A1527" s="38" t="s">
        <v>745</v>
      </c>
      <c r="B1527" s="36">
        <v>0</v>
      </c>
      <c r="C1527" s="34">
        <v>37895</v>
      </c>
    </row>
    <row r="1528" spans="1:3">
      <c r="A1528" s="38" t="s">
        <v>755</v>
      </c>
      <c r="B1528" s="36">
        <v>788.88</v>
      </c>
      <c r="C1528" s="34">
        <v>37895</v>
      </c>
    </row>
    <row r="1529" spans="1:3">
      <c r="A1529" s="38" t="s">
        <v>776</v>
      </c>
      <c r="B1529" s="36">
        <v>162.06</v>
      </c>
      <c r="C1529" s="34">
        <v>37895</v>
      </c>
    </row>
    <row r="1530" spans="1:3">
      <c r="A1530" s="38" t="s">
        <v>759</v>
      </c>
      <c r="B1530" s="36">
        <v>156</v>
      </c>
      <c r="C1530" s="34">
        <v>37895</v>
      </c>
    </row>
    <row r="1531" spans="1:3">
      <c r="A1531" s="38" t="s">
        <v>757</v>
      </c>
      <c r="B1531" s="36">
        <v>65.38</v>
      </c>
      <c r="C1531" s="34">
        <v>37895</v>
      </c>
    </row>
    <row r="1532" spans="1:3">
      <c r="A1532" s="38" t="s">
        <v>779</v>
      </c>
      <c r="B1532" s="36">
        <v>500</v>
      </c>
      <c r="C1532" s="34">
        <v>37895</v>
      </c>
    </row>
    <row r="1533" spans="1:3">
      <c r="A1533" s="38" t="s">
        <v>758</v>
      </c>
      <c r="B1533" s="36">
        <v>86</v>
      </c>
      <c r="C1533" s="34">
        <v>37895</v>
      </c>
    </row>
    <row r="1534" spans="1:3">
      <c r="A1534" s="38" t="s">
        <v>772</v>
      </c>
      <c r="B1534" s="36">
        <v>0</v>
      </c>
      <c r="C1534" s="34">
        <v>37895</v>
      </c>
    </row>
    <row r="1535" spans="1:3">
      <c r="A1535" s="38" t="s">
        <v>773</v>
      </c>
      <c r="B1535" s="36">
        <v>0</v>
      </c>
      <c r="C1535" s="34">
        <v>37895</v>
      </c>
    </row>
    <row r="1536" spans="1:3">
      <c r="A1536" s="38" t="s">
        <v>777</v>
      </c>
      <c r="B1536" s="36">
        <v>0</v>
      </c>
      <c r="C1536" s="34">
        <v>37895</v>
      </c>
    </row>
    <row r="1537" spans="1:3">
      <c r="A1537" s="38" t="s">
        <v>774</v>
      </c>
      <c r="B1537" s="36">
        <v>0</v>
      </c>
      <c r="C1537" s="34">
        <v>37895</v>
      </c>
    </row>
    <row r="1538" spans="1:3">
      <c r="A1538" s="38" t="s">
        <v>775</v>
      </c>
      <c r="B1538" s="36">
        <v>562.09</v>
      </c>
      <c r="C1538" s="34">
        <v>37895</v>
      </c>
    </row>
    <row r="1539" spans="1:3">
      <c r="A1539" s="38" t="s">
        <v>744</v>
      </c>
      <c r="B1539" s="36">
        <v>313.82</v>
      </c>
      <c r="C1539" s="34">
        <v>37895</v>
      </c>
    </row>
    <row r="1540" spans="1:3">
      <c r="A1540" s="38" t="s">
        <v>587</v>
      </c>
      <c r="B1540" s="36">
        <v>2081.6</v>
      </c>
      <c r="C1540" s="34">
        <v>37895</v>
      </c>
    </row>
    <row r="1541" spans="1:3">
      <c r="A1541" s="38" t="s">
        <v>749</v>
      </c>
      <c r="B1541" s="36">
        <v>794.63</v>
      </c>
      <c r="C1541" s="34">
        <v>37895</v>
      </c>
    </row>
    <row r="1542" spans="1:3">
      <c r="A1542" s="38" t="s">
        <v>769</v>
      </c>
      <c r="B1542" s="36">
        <v>636</v>
      </c>
      <c r="C1542" s="34">
        <v>37895</v>
      </c>
    </row>
    <row r="1543" spans="1:3">
      <c r="A1543" s="38" t="s">
        <v>764</v>
      </c>
      <c r="B1543" s="36">
        <v>0</v>
      </c>
      <c r="C1543" s="34">
        <v>37895</v>
      </c>
    </row>
    <row r="1544" spans="1:3">
      <c r="A1544" s="38" t="s">
        <v>771</v>
      </c>
      <c r="B1544" s="36">
        <v>280.19000000000233</v>
      </c>
      <c r="C1544" s="34">
        <v>37895</v>
      </c>
    </row>
    <row r="1545" spans="1:3">
      <c r="A1545" s="38" t="s">
        <v>38</v>
      </c>
      <c r="B1545" s="36">
        <v>715.37937874090858</v>
      </c>
      <c r="C1545" s="34">
        <v>37895</v>
      </c>
    </row>
    <row r="1546" spans="1:3">
      <c r="A1546" s="38" t="s">
        <v>747</v>
      </c>
      <c r="B1546" s="36">
        <v>12911.440151297953</v>
      </c>
      <c r="C1546" s="34">
        <v>37895</v>
      </c>
    </row>
    <row r="1547" spans="1:3">
      <c r="A1547" s="38" t="s">
        <v>746</v>
      </c>
      <c r="B1547" s="36">
        <v>0</v>
      </c>
      <c r="C1547" s="34">
        <v>37926</v>
      </c>
    </row>
    <row r="1548" spans="1:3">
      <c r="A1548" s="38" t="s">
        <v>406</v>
      </c>
      <c r="B1548" s="36">
        <v>0</v>
      </c>
      <c r="C1548" s="34">
        <v>37926</v>
      </c>
    </row>
    <row r="1549" spans="1:3">
      <c r="A1549" s="38" t="s">
        <v>763</v>
      </c>
      <c r="B1549" s="36">
        <v>0</v>
      </c>
      <c r="C1549" s="34">
        <v>37926</v>
      </c>
    </row>
    <row r="1550" spans="1:3">
      <c r="A1550" s="38" t="s">
        <v>760</v>
      </c>
      <c r="B1550" s="36">
        <v>0</v>
      </c>
      <c r="C1550" s="34">
        <v>37926</v>
      </c>
    </row>
    <row r="1551" spans="1:3">
      <c r="A1551" s="38" t="s">
        <v>778</v>
      </c>
      <c r="B1551" s="36">
        <v>0</v>
      </c>
      <c r="C1551" s="34">
        <v>37926</v>
      </c>
    </row>
    <row r="1552" spans="1:3">
      <c r="A1552" s="38" t="s">
        <v>745</v>
      </c>
      <c r="B1552" s="36">
        <v>0</v>
      </c>
      <c r="C1552" s="34">
        <v>37926</v>
      </c>
    </row>
    <row r="1553" spans="1:3">
      <c r="A1553" s="38" t="s">
        <v>755</v>
      </c>
      <c r="B1553" s="36">
        <v>253</v>
      </c>
      <c r="C1553" s="34">
        <v>37926</v>
      </c>
    </row>
    <row r="1554" spans="1:3">
      <c r="A1554" s="38" t="s">
        <v>776</v>
      </c>
      <c r="B1554" s="36">
        <v>0</v>
      </c>
      <c r="C1554" s="34">
        <v>37926</v>
      </c>
    </row>
    <row r="1555" spans="1:3">
      <c r="A1555" s="38" t="s">
        <v>759</v>
      </c>
      <c r="B1555" s="36">
        <v>0</v>
      </c>
      <c r="C1555" s="34">
        <v>37926</v>
      </c>
    </row>
    <row r="1556" spans="1:3">
      <c r="A1556" s="38" t="s">
        <v>757</v>
      </c>
      <c r="B1556" s="36">
        <v>241.49</v>
      </c>
      <c r="C1556" s="34">
        <v>37926</v>
      </c>
    </row>
    <row r="1557" spans="1:3">
      <c r="A1557" s="38" t="s">
        <v>779</v>
      </c>
      <c r="B1557" s="36">
        <v>8409.0499999999993</v>
      </c>
      <c r="C1557" s="34">
        <v>37926</v>
      </c>
    </row>
    <row r="1558" spans="1:3">
      <c r="A1558" s="38" t="s">
        <v>758</v>
      </c>
      <c r="B1558" s="36">
        <v>0</v>
      </c>
      <c r="C1558" s="34">
        <v>37926</v>
      </c>
    </row>
    <row r="1559" spans="1:3">
      <c r="A1559" s="38" t="s">
        <v>772</v>
      </c>
      <c r="B1559" s="36">
        <v>0</v>
      </c>
      <c r="C1559" s="34">
        <v>37926</v>
      </c>
    </row>
    <row r="1560" spans="1:3">
      <c r="A1560" s="38" t="s">
        <v>773</v>
      </c>
      <c r="B1560" s="36">
        <v>0</v>
      </c>
      <c r="C1560" s="34">
        <v>37926</v>
      </c>
    </row>
    <row r="1561" spans="1:3">
      <c r="A1561" s="38" t="s">
        <v>777</v>
      </c>
      <c r="B1561" s="36">
        <v>0</v>
      </c>
      <c r="C1561" s="34">
        <v>37926</v>
      </c>
    </row>
    <row r="1562" spans="1:3">
      <c r="A1562" s="38" t="s">
        <v>774</v>
      </c>
      <c r="B1562" s="36">
        <v>0</v>
      </c>
      <c r="C1562" s="34">
        <v>37926</v>
      </c>
    </row>
    <row r="1563" spans="1:3">
      <c r="A1563" s="38" t="s">
        <v>775</v>
      </c>
      <c r="B1563" s="36">
        <v>622.29</v>
      </c>
      <c r="C1563" s="34">
        <v>37926</v>
      </c>
    </row>
    <row r="1564" spans="1:3">
      <c r="A1564" s="38" t="s">
        <v>744</v>
      </c>
      <c r="B1564" s="36">
        <v>451.02</v>
      </c>
      <c r="C1564" s="34">
        <v>37926</v>
      </c>
    </row>
    <row r="1565" spans="1:3">
      <c r="A1565" s="38" t="s">
        <v>587</v>
      </c>
      <c r="B1565" s="36">
        <v>1069.5999999999999</v>
      </c>
      <c r="C1565" s="34">
        <v>37926</v>
      </c>
    </row>
    <row r="1566" spans="1:3">
      <c r="A1566" s="38" t="s">
        <v>749</v>
      </c>
      <c r="B1566" s="36">
        <v>1155.58</v>
      </c>
      <c r="C1566" s="34">
        <v>37926</v>
      </c>
    </row>
    <row r="1567" spans="1:3">
      <c r="A1567" s="38" t="s">
        <v>769</v>
      </c>
      <c r="B1567" s="36">
        <v>886</v>
      </c>
      <c r="C1567" s="34">
        <v>37926</v>
      </c>
    </row>
    <row r="1568" spans="1:3">
      <c r="A1568" s="38" t="s">
        <v>764</v>
      </c>
      <c r="B1568" s="36">
        <v>70</v>
      </c>
      <c r="C1568" s="34">
        <v>37926</v>
      </c>
    </row>
    <row r="1569" spans="1:3">
      <c r="A1569" s="38" t="s">
        <v>771</v>
      </c>
      <c r="B1569" s="36">
        <v>255.21863013698021</v>
      </c>
      <c r="C1569" s="34">
        <v>37926</v>
      </c>
    </row>
    <row r="1570" spans="1:3">
      <c r="A1570" s="38" t="s">
        <v>38</v>
      </c>
      <c r="B1570" s="36">
        <v>2344.8787350375205</v>
      </c>
      <c r="C1570" s="34">
        <v>37926</v>
      </c>
    </row>
    <row r="1571" spans="1:3">
      <c r="A1571" s="38" t="s">
        <v>747</v>
      </c>
      <c r="B1571" s="36">
        <v>11520.373473358108</v>
      </c>
      <c r="C1571" s="34">
        <v>37926</v>
      </c>
    </row>
    <row r="1572" spans="1:3">
      <c r="A1572" s="38" t="s">
        <v>746</v>
      </c>
      <c r="B1572" s="36">
        <v>880.81</v>
      </c>
      <c r="C1572" s="34">
        <v>37956</v>
      </c>
    </row>
    <row r="1573" spans="1:3">
      <c r="A1573" s="38" t="s">
        <v>406</v>
      </c>
      <c r="B1573" s="36">
        <v>0</v>
      </c>
      <c r="C1573" s="34">
        <v>37956</v>
      </c>
    </row>
    <row r="1574" spans="1:3">
      <c r="A1574" s="38" t="s">
        <v>763</v>
      </c>
      <c r="B1574" s="36">
        <v>0</v>
      </c>
      <c r="C1574" s="34">
        <v>37956</v>
      </c>
    </row>
    <row r="1575" spans="1:3">
      <c r="A1575" s="38" t="s">
        <v>760</v>
      </c>
      <c r="B1575" s="36">
        <v>0</v>
      </c>
      <c r="C1575" s="34">
        <v>37956</v>
      </c>
    </row>
    <row r="1576" spans="1:3">
      <c r="A1576" s="38" t="s">
        <v>778</v>
      </c>
      <c r="B1576" s="36">
        <v>0</v>
      </c>
      <c r="C1576" s="34">
        <v>37956</v>
      </c>
    </row>
    <row r="1577" spans="1:3">
      <c r="A1577" s="38" t="s">
        <v>745</v>
      </c>
      <c r="B1577" s="36">
        <v>0</v>
      </c>
      <c r="C1577" s="34">
        <v>37956</v>
      </c>
    </row>
    <row r="1578" spans="1:3">
      <c r="A1578" s="38" t="s">
        <v>755</v>
      </c>
      <c r="B1578" s="36">
        <v>278.62</v>
      </c>
      <c r="C1578" s="34">
        <v>37956</v>
      </c>
    </row>
    <row r="1579" spans="1:3">
      <c r="A1579" s="38" t="s">
        <v>776</v>
      </c>
      <c r="B1579" s="36">
        <v>151.69999999999999</v>
      </c>
      <c r="C1579" s="34">
        <v>37956</v>
      </c>
    </row>
    <row r="1580" spans="1:3">
      <c r="A1580" s="38" t="s">
        <v>759</v>
      </c>
      <c r="B1580" s="36">
        <v>156</v>
      </c>
      <c r="C1580" s="34">
        <v>37956</v>
      </c>
    </row>
    <row r="1581" spans="1:3">
      <c r="A1581" s="38" t="s">
        <v>757</v>
      </c>
      <c r="B1581" s="36">
        <v>70.09</v>
      </c>
      <c r="C1581" s="34">
        <v>37956</v>
      </c>
    </row>
    <row r="1582" spans="1:3">
      <c r="A1582" s="38" t="s">
        <v>779</v>
      </c>
      <c r="B1582" s="36">
        <v>3100.24</v>
      </c>
      <c r="C1582" s="34">
        <v>37956</v>
      </c>
    </row>
    <row r="1583" spans="1:3">
      <c r="A1583" s="38" t="s">
        <v>758</v>
      </c>
      <c r="B1583" s="36">
        <v>86</v>
      </c>
      <c r="C1583" s="34">
        <v>37956</v>
      </c>
    </row>
    <row r="1584" spans="1:3">
      <c r="A1584" s="38" t="s">
        <v>772</v>
      </c>
      <c r="B1584" s="36">
        <v>0</v>
      </c>
      <c r="C1584" s="34">
        <v>37956</v>
      </c>
    </row>
    <row r="1585" spans="1:3">
      <c r="A1585" s="38" t="s">
        <v>773</v>
      </c>
      <c r="B1585" s="36">
        <v>0</v>
      </c>
      <c r="C1585" s="34">
        <v>37956</v>
      </c>
    </row>
    <row r="1586" spans="1:3">
      <c r="A1586" s="38" t="s">
        <v>777</v>
      </c>
      <c r="B1586" s="36">
        <v>0</v>
      </c>
      <c r="C1586" s="34">
        <v>37956</v>
      </c>
    </row>
    <row r="1587" spans="1:3">
      <c r="A1587" s="38" t="s">
        <v>774</v>
      </c>
      <c r="B1587" s="36">
        <v>0</v>
      </c>
      <c r="C1587" s="34">
        <v>37956</v>
      </c>
    </row>
    <row r="1588" spans="1:3">
      <c r="A1588" s="38" t="s">
        <v>775</v>
      </c>
      <c r="B1588" s="36">
        <v>510.53</v>
      </c>
      <c r="C1588" s="34">
        <v>37956</v>
      </c>
    </row>
    <row r="1589" spans="1:3">
      <c r="A1589" s="38" t="s">
        <v>744</v>
      </c>
      <c r="B1589" s="36">
        <v>475.29</v>
      </c>
      <c r="C1589" s="34">
        <v>37956</v>
      </c>
    </row>
    <row r="1590" spans="1:3">
      <c r="A1590" s="38" t="s">
        <v>587</v>
      </c>
      <c r="B1590" s="36">
        <v>0</v>
      </c>
      <c r="C1590" s="34">
        <v>37956</v>
      </c>
    </row>
    <row r="1591" spans="1:3">
      <c r="A1591" s="38" t="s">
        <v>749</v>
      </c>
      <c r="B1591" s="36">
        <v>763.83</v>
      </c>
      <c r="C1591" s="34">
        <v>37956</v>
      </c>
    </row>
    <row r="1592" spans="1:3">
      <c r="A1592" s="38" t="s">
        <v>769</v>
      </c>
      <c r="B1592" s="36">
        <v>788.75</v>
      </c>
      <c r="C1592" s="34">
        <v>37956</v>
      </c>
    </row>
    <row r="1593" spans="1:3">
      <c r="A1593" s="38" t="s">
        <v>764</v>
      </c>
      <c r="B1593" s="36">
        <v>336</v>
      </c>
      <c r="C1593" s="34">
        <v>37956</v>
      </c>
    </row>
    <row r="1594" spans="1:3">
      <c r="A1594" s="38" t="s">
        <v>771</v>
      </c>
      <c r="B1594" s="36">
        <v>243.5</v>
      </c>
      <c r="C1594" s="34">
        <v>37956</v>
      </c>
    </row>
    <row r="1595" spans="1:3">
      <c r="A1595" s="38" t="s">
        <v>38</v>
      </c>
      <c r="B1595" s="36">
        <v>2010.303108565975</v>
      </c>
      <c r="C1595" s="34">
        <v>37956</v>
      </c>
    </row>
    <row r="1596" spans="1:3">
      <c r="A1596" s="38" t="s">
        <v>747</v>
      </c>
      <c r="B1596" s="36">
        <v>7482.7695753546432</v>
      </c>
      <c r="C1596" s="34">
        <v>37956</v>
      </c>
    </row>
    <row r="1597" spans="1:3">
      <c r="A1597" s="38" t="s">
        <v>746</v>
      </c>
      <c r="B1597" s="36">
        <v>0</v>
      </c>
      <c r="C1597" s="34">
        <v>37987</v>
      </c>
    </row>
    <row r="1598" spans="1:3">
      <c r="A1598" s="38" t="s">
        <v>406</v>
      </c>
      <c r="B1598" s="36">
        <v>0</v>
      </c>
      <c r="C1598" s="34">
        <v>37987</v>
      </c>
    </row>
    <row r="1599" spans="1:3">
      <c r="A1599" s="38" t="s">
        <v>763</v>
      </c>
      <c r="B1599" s="36">
        <v>0</v>
      </c>
      <c r="C1599" s="34">
        <v>37987</v>
      </c>
    </row>
    <row r="1600" spans="1:3">
      <c r="A1600" s="38" t="s">
        <v>760</v>
      </c>
      <c r="B1600" s="36">
        <v>0</v>
      </c>
      <c r="C1600" s="34">
        <v>37987</v>
      </c>
    </row>
    <row r="1601" spans="1:3">
      <c r="A1601" s="38" t="s">
        <v>778</v>
      </c>
      <c r="B1601" s="36">
        <v>0</v>
      </c>
      <c r="C1601" s="34">
        <v>37987</v>
      </c>
    </row>
    <row r="1602" spans="1:3">
      <c r="A1602" s="38" t="s">
        <v>745</v>
      </c>
      <c r="B1602" s="36">
        <v>0</v>
      </c>
      <c r="C1602" s="34">
        <v>37987</v>
      </c>
    </row>
    <row r="1603" spans="1:3">
      <c r="A1603" s="38" t="s">
        <v>755</v>
      </c>
      <c r="B1603" s="36">
        <v>253</v>
      </c>
      <c r="C1603" s="34">
        <v>37987</v>
      </c>
    </row>
    <row r="1604" spans="1:3">
      <c r="A1604" s="38" t="s">
        <v>776</v>
      </c>
      <c r="B1604" s="36">
        <v>131.19999999999999</v>
      </c>
      <c r="C1604" s="34">
        <v>37987</v>
      </c>
    </row>
    <row r="1605" spans="1:3">
      <c r="A1605" s="38" t="s">
        <v>759</v>
      </c>
      <c r="B1605" s="36">
        <v>0</v>
      </c>
      <c r="C1605" s="34">
        <v>37987</v>
      </c>
    </row>
    <row r="1606" spans="1:3">
      <c r="A1606" s="38" t="s">
        <v>757</v>
      </c>
      <c r="B1606" s="36">
        <v>106.35</v>
      </c>
      <c r="C1606" s="34">
        <v>37987</v>
      </c>
    </row>
    <row r="1607" spans="1:3">
      <c r="A1607" s="38" t="s">
        <v>779</v>
      </c>
      <c r="B1607" s="36">
        <v>3656.56</v>
      </c>
      <c r="C1607" s="34">
        <v>37987</v>
      </c>
    </row>
    <row r="1608" spans="1:3">
      <c r="A1608" s="38" t="s">
        <v>758</v>
      </c>
      <c r="B1608" s="36">
        <v>86</v>
      </c>
      <c r="C1608" s="34">
        <v>37987</v>
      </c>
    </row>
    <row r="1609" spans="1:3">
      <c r="A1609" s="38" t="s">
        <v>772</v>
      </c>
      <c r="B1609" s="36">
        <v>0</v>
      </c>
      <c r="C1609" s="34">
        <v>37987</v>
      </c>
    </row>
    <row r="1610" spans="1:3">
      <c r="A1610" s="38" t="s">
        <v>773</v>
      </c>
      <c r="B1610" s="36">
        <v>0</v>
      </c>
      <c r="C1610" s="34">
        <v>37987</v>
      </c>
    </row>
    <row r="1611" spans="1:3">
      <c r="A1611" s="38" t="s">
        <v>777</v>
      </c>
      <c r="B1611" s="36">
        <v>0</v>
      </c>
      <c r="C1611" s="34">
        <v>37987</v>
      </c>
    </row>
    <row r="1612" spans="1:3">
      <c r="A1612" s="38" t="s">
        <v>774</v>
      </c>
      <c r="B1612" s="36">
        <v>0</v>
      </c>
      <c r="C1612" s="34">
        <v>37987</v>
      </c>
    </row>
    <row r="1613" spans="1:3">
      <c r="A1613" s="38" t="s">
        <v>775</v>
      </c>
      <c r="B1613" s="36">
        <v>799.5</v>
      </c>
      <c r="C1613" s="34">
        <v>37987</v>
      </c>
    </row>
    <row r="1614" spans="1:3">
      <c r="A1614" s="38" t="s">
        <v>744</v>
      </c>
      <c r="B1614" s="36">
        <v>328.37</v>
      </c>
      <c r="C1614" s="34">
        <v>37987</v>
      </c>
    </row>
    <row r="1615" spans="1:3">
      <c r="A1615" s="38" t="s">
        <v>587</v>
      </c>
      <c r="B1615" s="36">
        <v>0</v>
      </c>
      <c r="C1615" s="34">
        <v>37987</v>
      </c>
    </row>
    <row r="1616" spans="1:3">
      <c r="A1616" s="38" t="s">
        <v>749</v>
      </c>
      <c r="B1616" s="36">
        <v>531.36</v>
      </c>
      <c r="C1616" s="34">
        <v>37987</v>
      </c>
    </row>
    <row r="1617" spans="1:3">
      <c r="A1617" s="38" t="s">
        <v>769</v>
      </c>
      <c r="B1617" s="36">
        <v>636.02</v>
      </c>
      <c r="C1617" s="34">
        <v>37987</v>
      </c>
    </row>
    <row r="1618" spans="1:3">
      <c r="A1618" s="38" t="s">
        <v>764</v>
      </c>
      <c r="B1618" s="36">
        <v>197</v>
      </c>
      <c r="C1618" s="34">
        <v>37987</v>
      </c>
    </row>
    <row r="1619" spans="1:3">
      <c r="A1619" s="38" t="s">
        <v>771</v>
      </c>
      <c r="B1619" s="36">
        <v>0</v>
      </c>
      <c r="C1619" s="34">
        <v>37987</v>
      </c>
    </row>
    <row r="1620" spans="1:3">
      <c r="A1620" s="38" t="s">
        <v>38</v>
      </c>
      <c r="B1620" s="36">
        <v>-149.21770409191959</v>
      </c>
      <c r="C1620" s="34">
        <v>37987</v>
      </c>
    </row>
    <row r="1621" spans="1:3">
      <c r="A1621" s="38" t="s">
        <v>747</v>
      </c>
      <c r="B1621" s="36">
        <v>10442.473652036162</v>
      </c>
      <c r="C1621" s="34">
        <v>37987</v>
      </c>
    </row>
    <row r="1622" spans="1:3">
      <c r="A1622" s="38" t="s">
        <v>746</v>
      </c>
      <c r="B1622" s="36">
        <v>1335.03</v>
      </c>
      <c r="C1622" s="34">
        <v>38018</v>
      </c>
    </row>
    <row r="1623" spans="1:3">
      <c r="A1623" s="38" t="s">
        <v>406</v>
      </c>
      <c r="B1623" s="36">
        <v>0</v>
      </c>
      <c r="C1623" s="34">
        <v>38018</v>
      </c>
    </row>
    <row r="1624" spans="1:3">
      <c r="A1624" s="38" t="s">
        <v>763</v>
      </c>
      <c r="B1624" s="36">
        <v>0</v>
      </c>
      <c r="C1624" s="34">
        <v>38018</v>
      </c>
    </row>
    <row r="1625" spans="1:3">
      <c r="A1625" s="38" t="s">
        <v>760</v>
      </c>
      <c r="B1625" s="36">
        <v>0</v>
      </c>
      <c r="C1625" s="34">
        <v>38018</v>
      </c>
    </row>
    <row r="1626" spans="1:3">
      <c r="A1626" s="38" t="s">
        <v>778</v>
      </c>
      <c r="B1626" s="36">
        <v>0</v>
      </c>
      <c r="C1626" s="34">
        <v>38018</v>
      </c>
    </row>
    <row r="1627" spans="1:3">
      <c r="A1627" s="38" t="s">
        <v>745</v>
      </c>
      <c r="B1627" s="36">
        <v>0</v>
      </c>
      <c r="C1627" s="34">
        <v>38018</v>
      </c>
    </row>
    <row r="1628" spans="1:3">
      <c r="A1628" s="38" t="s">
        <v>755</v>
      </c>
      <c r="B1628" s="36">
        <v>292.98</v>
      </c>
      <c r="C1628" s="34">
        <v>38018</v>
      </c>
    </row>
    <row r="1629" spans="1:3">
      <c r="A1629" s="38" t="s">
        <v>776</v>
      </c>
      <c r="B1629" s="36">
        <v>151.69999999999999</v>
      </c>
      <c r="C1629" s="34">
        <v>38018</v>
      </c>
    </row>
    <row r="1630" spans="1:3">
      <c r="A1630" s="38" t="s">
        <v>759</v>
      </c>
      <c r="B1630" s="36">
        <v>0</v>
      </c>
      <c r="C1630" s="34">
        <v>38018</v>
      </c>
    </row>
    <row r="1631" spans="1:3">
      <c r="A1631" s="38" t="s">
        <v>757</v>
      </c>
      <c r="B1631" s="36">
        <v>181.79</v>
      </c>
      <c r="C1631" s="34">
        <v>38018</v>
      </c>
    </row>
    <row r="1632" spans="1:3">
      <c r="A1632" s="38" t="s">
        <v>779</v>
      </c>
      <c r="B1632" s="36">
        <v>201.48</v>
      </c>
      <c r="C1632" s="34">
        <v>38018</v>
      </c>
    </row>
    <row r="1633" spans="1:3">
      <c r="A1633" s="38" t="s">
        <v>758</v>
      </c>
      <c r="B1633" s="36">
        <v>0</v>
      </c>
      <c r="C1633" s="34">
        <v>38018</v>
      </c>
    </row>
    <row r="1634" spans="1:3">
      <c r="A1634" s="38" t="s">
        <v>772</v>
      </c>
      <c r="B1634" s="36">
        <v>0</v>
      </c>
      <c r="C1634" s="34">
        <v>38018</v>
      </c>
    </row>
    <row r="1635" spans="1:3">
      <c r="A1635" s="38" t="s">
        <v>773</v>
      </c>
      <c r="B1635" s="36">
        <v>0</v>
      </c>
      <c r="C1635" s="34">
        <v>38018</v>
      </c>
    </row>
    <row r="1636" spans="1:3">
      <c r="A1636" s="38" t="s">
        <v>777</v>
      </c>
      <c r="B1636" s="36">
        <v>0</v>
      </c>
      <c r="C1636" s="34">
        <v>38018</v>
      </c>
    </row>
    <row r="1637" spans="1:3">
      <c r="A1637" s="38" t="s">
        <v>774</v>
      </c>
      <c r="B1637" s="36">
        <v>0</v>
      </c>
      <c r="C1637" s="34">
        <v>38018</v>
      </c>
    </row>
    <row r="1638" spans="1:3">
      <c r="A1638" s="38" t="s">
        <v>775</v>
      </c>
      <c r="B1638" s="36">
        <v>603.1</v>
      </c>
      <c r="C1638" s="34">
        <v>38018</v>
      </c>
    </row>
    <row r="1639" spans="1:3">
      <c r="A1639" s="38" t="s">
        <v>744</v>
      </c>
      <c r="B1639" s="36">
        <v>573.9</v>
      </c>
      <c r="C1639" s="34">
        <v>38018</v>
      </c>
    </row>
    <row r="1640" spans="1:3">
      <c r="A1640" s="38" t="s">
        <v>587</v>
      </c>
      <c r="B1640" s="36">
        <v>0</v>
      </c>
      <c r="C1640" s="34">
        <v>38018</v>
      </c>
    </row>
    <row r="1641" spans="1:3">
      <c r="A1641" s="38" t="s">
        <v>749</v>
      </c>
      <c r="B1641" s="36">
        <v>1328.5</v>
      </c>
      <c r="C1641" s="34">
        <v>38018</v>
      </c>
    </row>
    <row r="1642" spans="1:3">
      <c r="A1642" s="38" t="s">
        <v>769</v>
      </c>
      <c r="B1642" s="36">
        <v>636.02</v>
      </c>
      <c r="C1642" s="34">
        <v>38018</v>
      </c>
    </row>
    <row r="1643" spans="1:3">
      <c r="A1643" s="38" t="s">
        <v>764</v>
      </c>
      <c r="B1643" s="36">
        <v>90</v>
      </c>
      <c r="C1643" s="34">
        <v>38018</v>
      </c>
    </row>
    <row r="1644" spans="1:3">
      <c r="A1644" s="38" t="s">
        <v>771</v>
      </c>
      <c r="B1644" s="36">
        <v>-331.10493150685215</v>
      </c>
      <c r="C1644" s="34">
        <v>38018</v>
      </c>
    </row>
    <row r="1645" spans="1:3">
      <c r="A1645" s="38" t="s">
        <v>38</v>
      </c>
      <c r="B1645" s="36">
        <v>3039.5652451028582</v>
      </c>
      <c r="C1645" s="34">
        <v>38018</v>
      </c>
    </row>
    <row r="1646" spans="1:3">
      <c r="A1646" s="38" t="s">
        <v>747</v>
      </c>
      <c r="B1646" s="36">
        <v>-2704.5238358452916</v>
      </c>
      <c r="C1646" s="34">
        <v>38018</v>
      </c>
    </row>
    <row r="1647" spans="1:3">
      <c r="A1647" s="38" t="s">
        <v>746</v>
      </c>
      <c r="B1647" s="36">
        <v>0</v>
      </c>
      <c r="C1647" s="34">
        <v>38047</v>
      </c>
    </row>
    <row r="1648" spans="1:3">
      <c r="A1648" s="38" t="s">
        <v>406</v>
      </c>
      <c r="B1648" s="36">
        <v>0</v>
      </c>
      <c r="C1648" s="34">
        <v>38047</v>
      </c>
    </row>
    <row r="1649" spans="1:3">
      <c r="A1649" s="38" t="s">
        <v>763</v>
      </c>
      <c r="B1649" s="36">
        <v>0</v>
      </c>
      <c r="C1649" s="34">
        <v>38047</v>
      </c>
    </row>
    <row r="1650" spans="1:3">
      <c r="A1650" s="38" t="s">
        <v>760</v>
      </c>
      <c r="B1650" s="36">
        <v>0</v>
      </c>
      <c r="C1650" s="34">
        <v>38047</v>
      </c>
    </row>
    <row r="1651" spans="1:3">
      <c r="A1651" s="38" t="s">
        <v>778</v>
      </c>
      <c r="B1651" s="36">
        <v>0</v>
      </c>
      <c r="C1651" s="34">
        <v>38047</v>
      </c>
    </row>
    <row r="1652" spans="1:3">
      <c r="A1652" s="38" t="s">
        <v>745</v>
      </c>
      <c r="B1652" s="36">
        <v>0</v>
      </c>
      <c r="C1652" s="34">
        <v>38047</v>
      </c>
    </row>
    <row r="1653" spans="1:3">
      <c r="A1653" s="38" t="s">
        <v>755</v>
      </c>
      <c r="B1653" s="36">
        <v>253</v>
      </c>
      <c r="C1653" s="34">
        <v>38047</v>
      </c>
    </row>
    <row r="1654" spans="1:3">
      <c r="A1654" s="38" t="s">
        <v>776</v>
      </c>
      <c r="B1654" s="36">
        <v>0</v>
      </c>
      <c r="C1654" s="34">
        <v>38047</v>
      </c>
    </row>
    <row r="1655" spans="1:3">
      <c r="A1655" s="38" t="s">
        <v>759</v>
      </c>
      <c r="B1655" s="36">
        <v>0</v>
      </c>
      <c r="C1655" s="34">
        <v>38047</v>
      </c>
    </row>
    <row r="1656" spans="1:3">
      <c r="A1656" s="38" t="s">
        <v>757</v>
      </c>
      <c r="B1656" s="36">
        <v>119.51</v>
      </c>
      <c r="C1656" s="34">
        <v>38047</v>
      </c>
    </row>
    <row r="1657" spans="1:3">
      <c r="A1657" s="38" t="s">
        <v>779</v>
      </c>
      <c r="B1657" s="36">
        <v>1700.37</v>
      </c>
      <c r="C1657" s="34">
        <v>38047</v>
      </c>
    </row>
    <row r="1658" spans="1:3">
      <c r="A1658" s="38" t="s">
        <v>758</v>
      </c>
      <c r="B1658" s="36">
        <v>86</v>
      </c>
      <c r="C1658" s="34">
        <v>38047</v>
      </c>
    </row>
    <row r="1659" spans="1:3">
      <c r="A1659" s="38" t="s">
        <v>772</v>
      </c>
      <c r="B1659" s="36">
        <v>0</v>
      </c>
      <c r="C1659" s="34">
        <v>38047</v>
      </c>
    </row>
    <row r="1660" spans="1:3">
      <c r="A1660" s="38" t="s">
        <v>773</v>
      </c>
      <c r="B1660" s="36">
        <v>0</v>
      </c>
      <c r="C1660" s="34">
        <v>38047</v>
      </c>
    </row>
    <row r="1661" spans="1:3">
      <c r="A1661" s="38" t="s">
        <v>777</v>
      </c>
      <c r="B1661" s="36">
        <v>0</v>
      </c>
      <c r="C1661" s="34">
        <v>38047</v>
      </c>
    </row>
    <row r="1662" spans="1:3">
      <c r="A1662" s="38" t="s">
        <v>774</v>
      </c>
      <c r="B1662" s="36">
        <v>0</v>
      </c>
      <c r="C1662" s="34">
        <v>38047</v>
      </c>
    </row>
    <row r="1663" spans="1:3">
      <c r="A1663" s="38" t="s">
        <v>775</v>
      </c>
      <c r="B1663" s="36">
        <v>647.54</v>
      </c>
      <c r="C1663" s="34">
        <v>38047</v>
      </c>
    </row>
    <row r="1664" spans="1:3">
      <c r="A1664" s="38" t="s">
        <v>744</v>
      </c>
      <c r="B1664" s="36">
        <v>443.31</v>
      </c>
      <c r="C1664" s="34">
        <v>38047</v>
      </c>
    </row>
    <row r="1665" spans="1:3">
      <c r="A1665" s="38" t="s">
        <v>587</v>
      </c>
      <c r="B1665" s="36">
        <v>1140</v>
      </c>
      <c r="C1665" s="34">
        <v>38047</v>
      </c>
    </row>
    <row r="1666" spans="1:3">
      <c r="A1666" s="38" t="s">
        <v>749</v>
      </c>
      <c r="B1666" s="36">
        <v>1174.06</v>
      </c>
      <c r="C1666" s="34">
        <v>38047</v>
      </c>
    </row>
    <row r="1667" spans="1:3">
      <c r="A1667" s="38" t="s">
        <v>769</v>
      </c>
      <c r="B1667" s="36">
        <v>636.02</v>
      </c>
      <c r="C1667" s="34">
        <v>38047</v>
      </c>
    </row>
    <row r="1668" spans="1:3">
      <c r="A1668" s="38" t="s">
        <v>764</v>
      </c>
      <c r="B1668" s="36">
        <v>0</v>
      </c>
      <c r="C1668" s="34">
        <v>38047</v>
      </c>
    </row>
    <row r="1669" spans="1:3">
      <c r="A1669" s="38" t="s">
        <v>771</v>
      </c>
      <c r="B1669" s="36">
        <v>0</v>
      </c>
      <c r="C1669" s="34">
        <v>38047</v>
      </c>
    </row>
    <row r="1670" spans="1:3">
      <c r="A1670" s="38" t="s">
        <v>38</v>
      </c>
      <c r="B1670" s="36">
        <v>2008.1034503118135</v>
      </c>
      <c r="C1670" s="34">
        <v>38047</v>
      </c>
    </row>
    <row r="1671" spans="1:3">
      <c r="A1671" s="38" t="s">
        <v>747</v>
      </c>
      <c r="B1671" s="36">
        <v>7918.6883532395586</v>
      </c>
      <c r="C1671" s="34">
        <v>38047</v>
      </c>
    </row>
    <row r="1672" spans="1:3">
      <c r="A1672" s="38" t="s">
        <v>746</v>
      </c>
      <c r="B1672" s="36">
        <v>0</v>
      </c>
      <c r="C1672" s="34">
        <v>38078</v>
      </c>
    </row>
    <row r="1673" spans="1:3">
      <c r="A1673" s="38" t="s">
        <v>406</v>
      </c>
      <c r="B1673" s="36">
        <v>0</v>
      </c>
      <c r="C1673" s="34">
        <v>38078</v>
      </c>
    </row>
    <row r="1674" spans="1:3">
      <c r="A1674" s="38" t="s">
        <v>763</v>
      </c>
      <c r="B1674" s="36">
        <v>0</v>
      </c>
      <c r="C1674" s="34">
        <v>38078</v>
      </c>
    </row>
    <row r="1675" spans="1:3">
      <c r="A1675" s="38" t="s">
        <v>760</v>
      </c>
      <c r="B1675" s="36">
        <v>0</v>
      </c>
      <c r="C1675" s="34">
        <v>38078</v>
      </c>
    </row>
    <row r="1676" spans="1:3">
      <c r="A1676" s="38" t="s">
        <v>778</v>
      </c>
      <c r="B1676" s="36">
        <v>0</v>
      </c>
      <c r="C1676" s="34">
        <v>38078</v>
      </c>
    </row>
    <row r="1677" spans="1:3">
      <c r="A1677" s="38" t="s">
        <v>745</v>
      </c>
      <c r="B1677" s="36">
        <v>0</v>
      </c>
      <c r="C1677" s="34">
        <v>38078</v>
      </c>
    </row>
    <row r="1678" spans="1:3">
      <c r="A1678" s="38" t="s">
        <v>755</v>
      </c>
      <c r="B1678" s="36">
        <v>292</v>
      </c>
      <c r="C1678" s="34">
        <v>38078</v>
      </c>
    </row>
    <row r="1679" spans="1:3">
      <c r="A1679" s="38" t="s">
        <v>776</v>
      </c>
      <c r="B1679" s="36">
        <v>299.98</v>
      </c>
      <c r="C1679" s="34">
        <v>38078</v>
      </c>
    </row>
    <row r="1680" spans="1:3">
      <c r="A1680" s="38" t="s">
        <v>759</v>
      </c>
      <c r="B1680" s="36">
        <v>0</v>
      </c>
      <c r="C1680" s="34">
        <v>38078</v>
      </c>
    </row>
    <row r="1681" spans="1:3">
      <c r="A1681" s="38" t="s">
        <v>757</v>
      </c>
      <c r="B1681" s="36">
        <v>216.37</v>
      </c>
      <c r="C1681" s="34">
        <v>38078</v>
      </c>
    </row>
    <row r="1682" spans="1:3">
      <c r="A1682" s="38" t="s">
        <v>779</v>
      </c>
      <c r="B1682" s="36">
        <v>1900.95</v>
      </c>
      <c r="C1682" s="34">
        <v>38078</v>
      </c>
    </row>
    <row r="1683" spans="1:3">
      <c r="A1683" s="38" t="s">
        <v>758</v>
      </c>
      <c r="B1683" s="36">
        <v>86</v>
      </c>
      <c r="C1683" s="34">
        <v>38078</v>
      </c>
    </row>
    <row r="1684" spans="1:3">
      <c r="A1684" s="38" t="s">
        <v>780</v>
      </c>
      <c r="B1684" s="36">
        <v>614</v>
      </c>
      <c r="C1684" s="34">
        <v>38078</v>
      </c>
    </row>
    <row r="1685" spans="1:3">
      <c r="A1685" s="38" t="s">
        <v>773</v>
      </c>
      <c r="B1685" s="36">
        <v>0</v>
      </c>
      <c r="C1685" s="34">
        <v>38078</v>
      </c>
    </row>
    <row r="1686" spans="1:3">
      <c r="A1686" s="38" t="s">
        <v>777</v>
      </c>
      <c r="B1686" s="36">
        <v>0</v>
      </c>
      <c r="C1686" s="34">
        <v>38078</v>
      </c>
    </row>
    <row r="1687" spans="1:3">
      <c r="A1687" s="38" t="s">
        <v>774</v>
      </c>
      <c r="B1687" s="36">
        <v>0</v>
      </c>
      <c r="C1687" s="34">
        <v>38078</v>
      </c>
    </row>
    <row r="1688" spans="1:3">
      <c r="A1688" s="38" t="s">
        <v>775</v>
      </c>
      <c r="B1688" s="36">
        <v>1657.74</v>
      </c>
      <c r="C1688" s="34">
        <v>38078</v>
      </c>
    </row>
    <row r="1689" spans="1:3">
      <c r="A1689" s="38" t="s">
        <v>744</v>
      </c>
      <c r="B1689" s="36">
        <v>629.44000000000005</v>
      </c>
      <c r="C1689" s="34">
        <v>38078</v>
      </c>
    </row>
    <row r="1690" spans="1:3">
      <c r="A1690" s="38" t="s">
        <v>587</v>
      </c>
      <c r="B1690" s="36">
        <v>0</v>
      </c>
      <c r="C1690" s="34">
        <v>38078</v>
      </c>
    </row>
    <row r="1691" spans="1:3">
      <c r="A1691" s="38" t="s">
        <v>749</v>
      </c>
      <c r="B1691" s="36">
        <v>2486.0700000000002</v>
      </c>
      <c r="C1691" s="34">
        <v>38078</v>
      </c>
    </row>
    <row r="1692" spans="1:3">
      <c r="A1692" s="38" t="s">
        <v>769</v>
      </c>
      <c r="B1692" s="36">
        <v>0</v>
      </c>
      <c r="C1692" s="34">
        <v>38078</v>
      </c>
    </row>
    <row r="1693" spans="1:3">
      <c r="A1693" s="38" t="s">
        <v>764</v>
      </c>
      <c r="B1693" s="36">
        <v>0</v>
      </c>
      <c r="C1693" s="34">
        <v>38078</v>
      </c>
    </row>
    <row r="1694" spans="1:3">
      <c r="A1694" s="38" t="s">
        <v>771</v>
      </c>
      <c r="B1694" s="36">
        <v>457</v>
      </c>
      <c r="C1694" s="34">
        <v>38078</v>
      </c>
    </row>
    <row r="1695" spans="1:3">
      <c r="A1695" s="38" t="s">
        <v>38</v>
      </c>
      <c r="B1695" s="36">
        <v>188.16417939495295</v>
      </c>
      <c r="C1695" s="34">
        <v>38078</v>
      </c>
    </row>
    <row r="1696" spans="1:3">
      <c r="A1696" s="38" t="s">
        <v>747</v>
      </c>
      <c r="B1696" s="36">
        <v>-7358.3100747598801</v>
      </c>
      <c r="C1696" s="34">
        <v>38078</v>
      </c>
    </row>
    <row r="1697" spans="1:3">
      <c r="A1697" s="38" t="s">
        <v>746</v>
      </c>
      <c r="B1697" s="36">
        <v>2463.2399999999998</v>
      </c>
      <c r="C1697" s="34">
        <v>38108</v>
      </c>
    </row>
    <row r="1698" spans="1:3">
      <c r="A1698" s="38" t="s">
        <v>778</v>
      </c>
      <c r="B1698" s="36">
        <v>0</v>
      </c>
      <c r="C1698" s="34">
        <v>38108</v>
      </c>
    </row>
    <row r="1699" spans="1:3">
      <c r="A1699" s="38" t="s">
        <v>763</v>
      </c>
      <c r="B1699" s="36">
        <v>0</v>
      </c>
      <c r="C1699" s="34">
        <v>38108</v>
      </c>
    </row>
    <row r="1700" spans="1:3">
      <c r="A1700" s="38" t="s">
        <v>760</v>
      </c>
      <c r="B1700" s="36">
        <v>0</v>
      </c>
      <c r="C1700" s="34">
        <v>38108</v>
      </c>
    </row>
    <row r="1701" spans="1:3">
      <c r="A1701" s="38" t="s">
        <v>781</v>
      </c>
      <c r="B1701" s="36">
        <v>6694.61</v>
      </c>
      <c r="C1701" s="34">
        <v>38108</v>
      </c>
    </row>
    <row r="1702" spans="1:3">
      <c r="A1702" s="38" t="s">
        <v>755</v>
      </c>
      <c r="B1702" s="36">
        <v>320.12</v>
      </c>
      <c r="C1702" s="34">
        <v>38108</v>
      </c>
    </row>
    <row r="1703" spans="1:3">
      <c r="A1703" s="38" t="s">
        <v>776</v>
      </c>
      <c r="B1703" s="36">
        <v>0</v>
      </c>
      <c r="C1703" s="34">
        <v>38108</v>
      </c>
    </row>
    <row r="1704" spans="1:3">
      <c r="A1704" s="38" t="s">
        <v>759</v>
      </c>
      <c r="B1704" s="36">
        <v>0</v>
      </c>
      <c r="C1704" s="34">
        <v>38108</v>
      </c>
    </row>
    <row r="1705" spans="1:3">
      <c r="A1705" s="38" t="s">
        <v>757</v>
      </c>
      <c r="B1705" s="36">
        <v>278.08</v>
      </c>
      <c r="C1705" s="34">
        <v>38108</v>
      </c>
    </row>
    <row r="1706" spans="1:3">
      <c r="A1706" s="38" t="s">
        <v>779</v>
      </c>
      <c r="B1706" s="36">
        <v>10.42</v>
      </c>
      <c r="C1706" s="34">
        <v>38108</v>
      </c>
    </row>
    <row r="1707" spans="1:3">
      <c r="A1707" s="38" t="s">
        <v>758</v>
      </c>
      <c r="B1707" s="36">
        <v>0</v>
      </c>
      <c r="C1707" s="34">
        <v>38108</v>
      </c>
    </row>
    <row r="1708" spans="1:3">
      <c r="A1708" s="38" t="s">
        <v>780</v>
      </c>
      <c r="B1708" s="36">
        <v>0</v>
      </c>
      <c r="C1708" s="34">
        <v>38108</v>
      </c>
    </row>
    <row r="1709" spans="1:3">
      <c r="A1709" s="38" t="s">
        <v>773</v>
      </c>
      <c r="B1709" s="36">
        <v>0</v>
      </c>
      <c r="C1709" s="34">
        <v>38108</v>
      </c>
    </row>
    <row r="1710" spans="1:3">
      <c r="A1710" s="38" t="s">
        <v>777</v>
      </c>
      <c r="B1710" s="36">
        <v>0</v>
      </c>
      <c r="C1710" s="34">
        <v>38108</v>
      </c>
    </row>
    <row r="1711" spans="1:3">
      <c r="A1711" s="38" t="s">
        <v>774</v>
      </c>
      <c r="B1711" s="36">
        <v>15.09</v>
      </c>
      <c r="C1711" s="34">
        <v>38108</v>
      </c>
    </row>
    <row r="1712" spans="1:3">
      <c r="A1712" s="38" t="s">
        <v>775</v>
      </c>
      <c r="B1712" s="36">
        <v>798.57</v>
      </c>
      <c r="C1712" s="34">
        <v>38108</v>
      </c>
    </row>
    <row r="1713" spans="1:3">
      <c r="A1713" s="38" t="s">
        <v>744</v>
      </c>
      <c r="B1713" s="36">
        <v>353.15</v>
      </c>
      <c r="C1713" s="34">
        <v>38108</v>
      </c>
    </row>
    <row r="1714" spans="1:3">
      <c r="A1714" s="38" t="s">
        <v>587</v>
      </c>
      <c r="B1714" s="36">
        <v>0</v>
      </c>
      <c r="C1714" s="34">
        <v>38108</v>
      </c>
    </row>
    <row r="1715" spans="1:3">
      <c r="A1715" s="38" t="s">
        <v>749</v>
      </c>
      <c r="B1715" s="36">
        <v>3282.17</v>
      </c>
      <c r="C1715" s="34">
        <v>38108</v>
      </c>
    </row>
    <row r="1716" spans="1:3">
      <c r="A1716" s="38" t="s">
        <v>769</v>
      </c>
      <c r="B1716" s="36">
        <v>0</v>
      </c>
      <c r="C1716" s="34">
        <v>38108</v>
      </c>
    </row>
    <row r="1717" spans="1:3">
      <c r="A1717" s="38" t="s">
        <v>764</v>
      </c>
      <c r="B1717" s="36">
        <v>0</v>
      </c>
      <c r="C1717" s="34">
        <v>38108</v>
      </c>
    </row>
    <row r="1718" spans="1:3">
      <c r="A1718" s="38" t="s">
        <v>771</v>
      </c>
      <c r="B1718" s="36">
        <v>0</v>
      </c>
      <c r="C1718" s="34">
        <v>38108</v>
      </c>
    </row>
    <row r="1719" spans="1:3">
      <c r="A1719" s="38" t="s">
        <v>38</v>
      </c>
      <c r="B1719" s="36">
        <v>56122.356420991477</v>
      </c>
      <c r="C1719" s="34">
        <v>38108</v>
      </c>
    </row>
    <row r="1720" spans="1:3">
      <c r="A1720" s="38" t="s">
        <v>747</v>
      </c>
      <c r="B1720" s="36">
        <v>-32306.682459335309</v>
      </c>
      <c r="C1720" s="34">
        <v>38108</v>
      </c>
    </row>
    <row r="1721" spans="1:3">
      <c r="A1721" s="38" t="s">
        <v>746</v>
      </c>
      <c r="B1721" s="36">
        <v>0</v>
      </c>
      <c r="C1721" s="34">
        <v>38139</v>
      </c>
    </row>
    <row r="1722" spans="1:3">
      <c r="A1722" s="38" t="s">
        <v>778</v>
      </c>
      <c r="B1722" s="36">
        <v>0</v>
      </c>
      <c r="C1722" s="34">
        <v>38139</v>
      </c>
    </row>
    <row r="1723" spans="1:3">
      <c r="A1723" s="38" t="s">
        <v>763</v>
      </c>
      <c r="B1723" s="36">
        <v>0</v>
      </c>
      <c r="C1723" s="34">
        <v>38139</v>
      </c>
    </row>
    <row r="1724" spans="1:3">
      <c r="A1724" s="38" t="s">
        <v>760</v>
      </c>
      <c r="B1724" s="36">
        <v>0</v>
      </c>
      <c r="C1724" s="34">
        <v>38139</v>
      </c>
    </row>
    <row r="1725" spans="1:3">
      <c r="A1725" s="38" t="s">
        <v>781</v>
      </c>
      <c r="B1725" s="36">
        <v>9690.2900000000009</v>
      </c>
      <c r="C1725" s="34">
        <v>38139</v>
      </c>
    </row>
    <row r="1726" spans="1:3">
      <c r="A1726" s="38"/>
      <c r="C1726" s="34">
        <v>38139</v>
      </c>
    </row>
    <row r="1727" spans="1:3">
      <c r="A1727" s="38" t="s">
        <v>755</v>
      </c>
      <c r="B1727" s="36">
        <v>371.39</v>
      </c>
      <c r="C1727" s="34">
        <v>38139</v>
      </c>
    </row>
    <row r="1728" spans="1:3">
      <c r="A1728" s="38" t="s">
        <v>776</v>
      </c>
      <c r="B1728" s="36">
        <v>161.32</v>
      </c>
      <c r="C1728" s="34">
        <v>38139</v>
      </c>
    </row>
    <row r="1729" spans="1:4">
      <c r="A1729" s="38" t="s">
        <v>759</v>
      </c>
      <c r="B1729" s="36">
        <v>0</v>
      </c>
      <c r="C1729" s="34">
        <v>38139</v>
      </c>
    </row>
    <row r="1730" spans="1:4">
      <c r="A1730" s="38" t="s">
        <v>757</v>
      </c>
      <c r="B1730" s="36">
        <v>98.74</v>
      </c>
      <c r="C1730" s="34">
        <v>38139</v>
      </c>
    </row>
    <row r="1731" spans="1:4">
      <c r="A1731" s="38" t="s">
        <v>779</v>
      </c>
      <c r="B1731" s="36">
        <v>200</v>
      </c>
      <c r="C1731" s="34">
        <v>38139</v>
      </c>
    </row>
    <row r="1732" spans="1:4">
      <c r="A1732" s="38" t="s">
        <v>758</v>
      </c>
      <c r="B1732" s="36">
        <v>172</v>
      </c>
      <c r="C1732" s="34">
        <v>38139</v>
      </c>
    </row>
    <row r="1733" spans="1:4">
      <c r="A1733" s="38" t="s">
        <v>780</v>
      </c>
      <c r="B1733" s="36">
        <v>0</v>
      </c>
      <c r="C1733" s="34">
        <v>38139</v>
      </c>
    </row>
    <row r="1734" spans="1:4">
      <c r="A1734" s="38" t="s">
        <v>773</v>
      </c>
      <c r="B1734" s="36">
        <v>0</v>
      </c>
      <c r="C1734" s="34">
        <v>38139</v>
      </c>
    </row>
    <row r="1735" spans="1:4">
      <c r="A1735" s="38" t="s">
        <v>777</v>
      </c>
      <c r="B1735" s="36">
        <v>0</v>
      </c>
      <c r="C1735" s="34">
        <v>38139</v>
      </c>
    </row>
    <row r="1736" spans="1:4">
      <c r="A1736" s="38" t="s">
        <v>774</v>
      </c>
      <c r="B1736" s="36">
        <v>271.16000000000003</v>
      </c>
      <c r="C1736" s="34">
        <v>38139</v>
      </c>
    </row>
    <row r="1737" spans="1:4">
      <c r="A1737" s="38" t="s">
        <v>775</v>
      </c>
      <c r="B1737" s="36">
        <v>496.81</v>
      </c>
      <c r="C1737" s="34">
        <v>38139</v>
      </c>
    </row>
    <row r="1738" spans="1:4">
      <c r="A1738" s="38" t="s">
        <v>744</v>
      </c>
      <c r="B1738" s="36">
        <v>490.45</v>
      </c>
      <c r="C1738" s="34">
        <v>38139</v>
      </c>
    </row>
    <row r="1739" spans="1:4">
      <c r="A1739" s="38" t="s">
        <v>587</v>
      </c>
      <c r="B1739" s="36">
        <v>0</v>
      </c>
      <c r="C1739" s="34">
        <v>38139</v>
      </c>
    </row>
    <row r="1740" spans="1:4">
      <c r="A1740" s="38" t="s">
        <v>749</v>
      </c>
      <c r="B1740" s="36">
        <v>2919.25</v>
      </c>
      <c r="C1740" s="34">
        <v>38139</v>
      </c>
      <c r="D1740" s="21">
        <f>SUM(B1737:B1740)</f>
        <v>3906.51</v>
      </c>
    </row>
    <row r="1741" spans="1:4">
      <c r="A1741" s="38" t="s">
        <v>769</v>
      </c>
      <c r="B1741" s="36">
        <v>0</v>
      </c>
      <c r="C1741" s="34">
        <v>38139</v>
      </c>
    </row>
    <row r="1742" spans="1:4">
      <c r="A1742" s="38" t="s">
        <v>764</v>
      </c>
      <c r="B1742" s="36">
        <v>0</v>
      </c>
      <c r="C1742" s="34">
        <v>38139</v>
      </c>
    </row>
    <row r="1743" spans="1:4">
      <c r="A1743" s="38" t="s">
        <v>771</v>
      </c>
      <c r="B1743" s="36">
        <v>386</v>
      </c>
      <c r="C1743" s="34">
        <v>38139</v>
      </c>
    </row>
    <row r="1744" spans="1:4">
      <c r="A1744" s="38" t="s">
        <v>38</v>
      </c>
      <c r="B1744" s="36">
        <v>4573.7590030613355</v>
      </c>
      <c r="C1744" s="34">
        <v>38139</v>
      </c>
      <c r="D1744" s="21">
        <v>27979</v>
      </c>
    </row>
    <row r="1745" spans="1:4">
      <c r="A1745" s="38" t="s">
        <v>782</v>
      </c>
      <c r="B1745" s="36">
        <v>-15712</v>
      </c>
      <c r="C1745" s="34">
        <v>38139</v>
      </c>
      <c r="D1745" s="21">
        <f>30000+16*50+44*20+7*10+5*5+29*1</f>
        <v>31804</v>
      </c>
    </row>
    <row r="1746" spans="1:4">
      <c r="A1746" s="38" t="s">
        <v>747</v>
      </c>
      <c r="B1746" s="36">
        <v>-11908.922673832858</v>
      </c>
      <c r="C1746" s="34">
        <v>38139</v>
      </c>
      <c r="D1746" s="21">
        <f>277+332+350</f>
        <v>959</v>
      </c>
    </row>
    <row r="1747" spans="1:4">
      <c r="A1747" s="38" t="s">
        <v>746</v>
      </c>
      <c r="B1747" s="36">
        <v>2942.21</v>
      </c>
      <c r="C1747" s="34">
        <v>38169</v>
      </c>
      <c r="D1747" s="21">
        <f>+D1745-D1746</f>
        <v>30845</v>
      </c>
    </row>
    <row r="1748" spans="1:4">
      <c r="A1748" s="38" t="s">
        <v>778</v>
      </c>
      <c r="B1748" s="36">
        <v>0</v>
      </c>
      <c r="C1748" s="34">
        <v>38169</v>
      </c>
    </row>
    <row r="1749" spans="1:4">
      <c r="A1749" s="38" t="s">
        <v>763</v>
      </c>
      <c r="B1749" s="36">
        <v>0</v>
      </c>
      <c r="C1749" s="34">
        <v>38169</v>
      </c>
    </row>
    <row r="1750" spans="1:4">
      <c r="A1750" s="38" t="s">
        <v>760</v>
      </c>
      <c r="B1750" s="36">
        <v>0</v>
      </c>
      <c r="C1750" s="34">
        <v>38169</v>
      </c>
    </row>
    <row r="1751" spans="1:4">
      <c r="A1751" s="38" t="s">
        <v>781</v>
      </c>
      <c r="B1751" s="36">
        <v>1888.59</v>
      </c>
      <c r="C1751" s="34">
        <v>38169</v>
      </c>
    </row>
    <row r="1752" spans="1:4">
      <c r="A1752" s="38" t="s">
        <v>755</v>
      </c>
      <c r="B1752" s="36">
        <v>300.52</v>
      </c>
      <c r="C1752" s="34">
        <v>38169</v>
      </c>
    </row>
    <row r="1753" spans="1:4">
      <c r="A1753" s="38" t="s">
        <v>776</v>
      </c>
      <c r="B1753" s="36">
        <v>1195.6300000000001</v>
      </c>
      <c r="C1753" s="34">
        <v>38169</v>
      </c>
    </row>
    <row r="1754" spans="1:4">
      <c r="A1754" s="38" t="s">
        <v>759</v>
      </c>
      <c r="B1754" s="36">
        <v>0</v>
      </c>
      <c r="C1754" s="34">
        <v>38169</v>
      </c>
    </row>
    <row r="1755" spans="1:4">
      <c r="A1755" s="38" t="s">
        <v>757</v>
      </c>
      <c r="B1755" s="36">
        <v>133.53</v>
      </c>
      <c r="C1755" s="34">
        <v>38169</v>
      </c>
    </row>
    <row r="1756" spans="1:4">
      <c r="A1756" s="38" t="s">
        <v>779</v>
      </c>
      <c r="B1756" s="36">
        <v>0</v>
      </c>
      <c r="C1756" s="34">
        <v>38169</v>
      </c>
    </row>
    <row r="1757" spans="1:4">
      <c r="A1757" s="38" t="s">
        <v>758</v>
      </c>
      <c r="B1757" s="36">
        <v>0</v>
      </c>
      <c r="C1757" s="34">
        <v>38169</v>
      </c>
    </row>
    <row r="1758" spans="1:4">
      <c r="A1758" s="38" t="s">
        <v>780</v>
      </c>
      <c r="B1758" s="36">
        <v>308</v>
      </c>
      <c r="C1758" s="34">
        <v>38169</v>
      </c>
    </row>
    <row r="1759" spans="1:4">
      <c r="A1759" s="38" t="s">
        <v>773</v>
      </c>
      <c r="B1759" s="36">
        <v>0</v>
      </c>
      <c r="C1759" s="34">
        <v>38169</v>
      </c>
    </row>
    <row r="1760" spans="1:4">
      <c r="A1760" s="38" t="s">
        <v>777</v>
      </c>
      <c r="B1760" s="36">
        <v>0</v>
      </c>
      <c r="C1760" s="34">
        <v>38169</v>
      </c>
    </row>
    <row r="1761" spans="1:3">
      <c r="A1761" s="38" t="s">
        <v>774</v>
      </c>
      <c r="B1761" s="36">
        <v>193.09</v>
      </c>
      <c r="C1761" s="34">
        <v>38169</v>
      </c>
    </row>
    <row r="1762" spans="1:3">
      <c r="A1762" s="38" t="s">
        <v>775</v>
      </c>
      <c r="B1762" s="36">
        <f>233.85+431.17+80.11</f>
        <v>745.13</v>
      </c>
      <c r="C1762" s="34">
        <v>38169</v>
      </c>
    </row>
    <row r="1763" spans="1:3">
      <c r="A1763" s="38" t="s">
        <v>744</v>
      </c>
      <c r="B1763" s="36">
        <v>430.59</v>
      </c>
      <c r="C1763" s="34">
        <v>38169</v>
      </c>
    </row>
    <row r="1764" spans="1:3">
      <c r="A1764" s="38" t="s">
        <v>587</v>
      </c>
      <c r="B1764" s="36">
        <v>0</v>
      </c>
      <c r="C1764" s="34">
        <v>38169</v>
      </c>
    </row>
    <row r="1765" spans="1:3">
      <c r="A1765" s="38" t="s">
        <v>749</v>
      </c>
      <c r="B1765" s="36">
        <v>3099.61</v>
      </c>
      <c r="C1765" s="34">
        <v>38169</v>
      </c>
    </row>
    <row r="1766" spans="1:3">
      <c r="A1766" s="38" t="s">
        <v>769</v>
      </c>
      <c r="B1766" s="36">
        <v>0</v>
      </c>
      <c r="C1766" s="34">
        <v>38169</v>
      </c>
    </row>
    <row r="1767" spans="1:3">
      <c r="A1767" s="38" t="s">
        <v>764</v>
      </c>
      <c r="B1767" s="36">
        <v>0</v>
      </c>
      <c r="C1767" s="34">
        <v>38169</v>
      </c>
    </row>
    <row r="1768" spans="1:3">
      <c r="A1768" s="38" t="s">
        <v>771</v>
      </c>
      <c r="B1768" s="36">
        <v>0</v>
      </c>
      <c r="C1768" s="34">
        <v>38169</v>
      </c>
    </row>
    <row r="1769" spans="1:3">
      <c r="A1769" s="38" t="s">
        <v>38</v>
      </c>
      <c r="B1769" s="36">
        <v>6127.4399124437477</v>
      </c>
      <c r="C1769" s="34">
        <v>38169</v>
      </c>
    </row>
    <row r="1770" spans="1:3">
      <c r="A1770" s="38" t="s">
        <v>783</v>
      </c>
      <c r="B1770" s="36">
        <v>-13268.5403611112</v>
      </c>
      <c r="C1770" s="34">
        <v>38169</v>
      </c>
    </row>
    <row r="1771" spans="1:3">
      <c r="A1771" s="38" t="s">
        <v>747</v>
      </c>
      <c r="B1771" s="36">
        <v>-9593.2971989787184</v>
      </c>
      <c r="C1771" s="34">
        <v>38169</v>
      </c>
    </row>
    <row r="1772" spans="1:3">
      <c r="A1772" s="38" t="s">
        <v>746</v>
      </c>
      <c r="B1772" s="36">
        <v>1419.27</v>
      </c>
      <c r="C1772" s="34">
        <v>38200</v>
      </c>
    </row>
    <row r="1773" spans="1:3">
      <c r="A1773" s="38" t="s">
        <v>778</v>
      </c>
      <c r="B1773" s="36">
        <v>0</v>
      </c>
      <c r="C1773" s="34">
        <v>38200</v>
      </c>
    </row>
    <row r="1774" spans="1:3">
      <c r="A1774" s="38" t="s">
        <v>763</v>
      </c>
      <c r="B1774" s="36">
        <v>0</v>
      </c>
      <c r="C1774" s="34">
        <v>38200</v>
      </c>
    </row>
    <row r="1775" spans="1:3">
      <c r="A1775" s="38" t="s">
        <v>760</v>
      </c>
      <c r="B1775" s="36">
        <v>0</v>
      </c>
      <c r="C1775" s="34">
        <v>38200</v>
      </c>
    </row>
    <row r="1776" spans="1:3">
      <c r="A1776" s="38" t="s">
        <v>781</v>
      </c>
      <c r="B1776" s="36">
        <v>6000</v>
      </c>
      <c r="C1776" s="34">
        <v>38200</v>
      </c>
    </row>
    <row r="1777" spans="1:3">
      <c r="A1777" s="38" t="s">
        <v>776</v>
      </c>
      <c r="B1777" s="36">
        <v>1346.9</v>
      </c>
      <c r="C1777" s="34">
        <v>38200</v>
      </c>
    </row>
    <row r="1778" spans="1:3">
      <c r="A1778" s="38" t="s">
        <v>759</v>
      </c>
      <c r="B1778" s="36">
        <v>359.5</v>
      </c>
      <c r="C1778" s="34">
        <v>38200</v>
      </c>
    </row>
    <row r="1779" spans="1:3">
      <c r="A1779" s="38" t="s">
        <v>757</v>
      </c>
      <c r="B1779" s="36">
        <v>167.33</v>
      </c>
      <c r="C1779" s="34">
        <v>38200</v>
      </c>
    </row>
    <row r="1780" spans="1:3">
      <c r="A1780" s="38" t="s">
        <v>779</v>
      </c>
      <c r="B1780" s="36">
        <v>897</v>
      </c>
      <c r="C1780" s="34">
        <v>38200</v>
      </c>
    </row>
    <row r="1781" spans="1:3">
      <c r="A1781" s="38" t="s">
        <v>758</v>
      </c>
      <c r="B1781" s="36">
        <v>414.3</v>
      </c>
      <c r="C1781" s="34">
        <v>38200</v>
      </c>
    </row>
    <row r="1782" spans="1:3">
      <c r="A1782" s="38" t="s">
        <v>780</v>
      </c>
      <c r="B1782" s="36">
        <v>1047.3699999999999</v>
      </c>
      <c r="C1782" s="34">
        <v>38200</v>
      </c>
    </row>
    <row r="1783" spans="1:3">
      <c r="A1783" s="38" t="s">
        <v>773</v>
      </c>
      <c r="B1783" s="36">
        <v>176.2</v>
      </c>
      <c r="C1783" s="34">
        <v>38200</v>
      </c>
    </row>
    <row r="1784" spans="1:3">
      <c r="A1784" s="38" t="s">
        <v>777</v>
      </c>
      <c r="B1784" s="36">
        <v>0</v>
      </c>
      <c r="C1784" s="34">
        <v>38200</v>
      </c>
    </row>
    <row r="1785" spans="1:3">
      <c r="A1785" s="38" t="s">
        <v>774</v>
      </c>
      <c r="B1785" s="36">
        <v>0</v>
      </c>
      <c r="C1785" s="34">
        <v>38200</v>
      </c>
    </row>
    <row r="1786" spans="1:3">
      <c r="A1786" s="38" t="s">
        <v>775</v>
      </c>
      <c r="B1786" s="36">
        <v>656.63</v>
      </c>
      <c r="C1786" s="34">
        <v>38200</v>
      </c>
    </row>
    <row r="1787" spans="1:3">
      <c r="A1787" s="38" t="s">
        <v>744</v>
      </c>
      <c r="B1787" s="36">
        <v>657.47</v>
      </c>
      <c r="C1787" s="34">
        <v>38200</v>
      </c>
    </row>
    <row r="1788" spans="1:3">
      <c r="A1788" s="38" t="s">
        <v>587</v>
      </c>
      <c r="B1788" s="36">
        <v>0</v>
      </c>
      <c r="C1788" s="34">
        <v>38200</v>
      </c>
    </row>
    <row r="1789" spans="1:3">
      <c r="A1789" s="38" t="s">
        <v>749</v>
      </c>
      <c r="B1789" s="36">
        <v>3515.53</v>
      </c>
      <c r="C1789" s="34">
        <v>38200</v>
      </c>
    </row>
    <row r="1790" spans="1:3">
      <c r="A1790" s="38" t="s">
        <v>769</v>
      </c>
      <c r="B1790" s="36">
        <v>0</v>
      </c>
      <c r="C1790" s="34">
        <v>38200</v>
      </c>
    </row>
    <row r="1791" spans="1:3">
      <c r="A1791" s="38" t="s">
        <v>764</v>
      </c>
      <c r="B1791" s="36">
        <v>0</v>
      </c>
      <c r="C1791" s="34">
        <v>38200</v>
      </c>
    </row>
    <row r="1792" spans="1:3">
      <c r="A1792" s="38" t="s">
        <v>771</v>
      </c>
      <c r="B1792" s="36">
        <v>0</v>
      </c>
      <c r="C1792" s="34">
        <v>38200</v>
      </c>
    </row>
    <row r="1793" spans="1:3">
      <c r="A1793" s="38" t="s">
        <v>38</v>
      </c>
      <c r="B1793" s="36">
        <v>5121.9378376682289</v>
      </c>
      <c r="C1793" s="34">
        <v>38200</v>
      </c>
    </row>
    <row r="1794" spans="1:3">
      <c r="A1794" s="38" t="s">
        <v>783</v>
      </c>
      <c r="B1794" s="36">
        <v>-15616.0170833333</v>
      </c>
      <c r="C1794" s="34">
        <v>38200</v>
      </c>
    </row>
    <row r="1795" spans="1:3">
      <c r="A1795" s="38" t="s">
        <v>747</v>
      </c>
      <c r="B1795" s="36">
        <v>-1459.6573568193708</v>
      </c>
      <c r="C1795" s="34">
        <v>38200</v>
      </c>
    </row>
    <row r="1796" spans="1:3">
      <c r="A1796" s="38" t="s">
        <v>746</v>
      </c>
      <c r="B1796" s="36">
        <v>140</v>
      </c>
      <c r="C1796" s="34">
        <v>38231</v>
      </c>
    </row>
    <row r="1797" spans="1:3">
      <c r="A1797" s="38" t="s">
        <v>778</v>
      </c>
      <c r="B1797" s="36">
        <v>0</v>
      </c>
      <c r="C1797" s="34">
        <v>38231</v>
      </c>
    </row>
    <row r="1798" spans="1:3">
      <c r="A1798" s="38" t="s">
        <v>763</v>
      </c>
      <c r="B1798" s="36">
        <v>0</v>
      </c>
      <c r="C1798" s="34">
        <v>38231</v>
      </c>
    </row>
    <row r="1799" spans="1:3">
      <c r="A1799" s="38" t="s">
        <v>760</v>
      </c>
      <c r="B1799" s="36">
        <v>0</v>
      </c>
      <c r="C1799" s="34">
        <v>38231</v>
      </c>
    </row>
    <row r="1800" spans="1:3">
      <c r="A1800" s="38" t="s">
        <v>781</v>
      </c>
      <c r="B1800" s="36">
        <v>7082.25</v>
      </c>
      <c r="C1800" s="34">
        <v>38231</v>
      </c>
    </row>
    <row r="1801" spans="1:3">
      <c r="A1801" s="38" t="s">
        <v>776</v>
      </c>
      <c r="B1801" s="36">
        <v>1645.63</v>
      </c>
      <c r="C1801" s="34">
        <v>38231</v>
      </c>
    </row>
    <row r="1802" spans="1:3">
      <c r="A1802" s="38" t="s">
        <v>759</v>
      </c>
      <c r="B1802" s="36">
        <v>0</v>
      </c>
      <c r="C1802" s="34">
        <v>38231</v>
      </c>
    </row>
    <row r="1803" spans="1:3">
      <c r="A1803" s="38" t="s">
        <v>757</v>
      </c>
      <c r="B1803" s="36">
        <v>456.12</v>
      </c>
      <c r="C1803" s="34">
        <v>38231</v>
      </c>
    </row>
    <row r="1804" spans="1:3">
      <c r="A1804" s="38" t="s">
        <v>779</v>
      </c>
      <c r="B1804" s="36">
        <v>0</v>
      </c>
      <c r="C1804" s="34">
        <v>38231</v>
      </c>
    </row>
    <row r="1805" spans="1:3">
      <c r="A1805" s="38" t="s">
        <v>758</v>
      </c>
      <c r="B1805" s="36">
        <v>0</v>
      </c>
      <c r="C1805" s="34">
        <v>38231</v>
      </c>
    </row>
    <row r="1806" spans="1:3">
      <c r="A1806" s="38" t="s">
        <v>780</v>
      </c>
      <c r="B1806" s="36">
        <v>400</v>
      </c>
      <c r="C1806" s="34">
        <v>38231</v>
      </c>
    </row>
    <row r="1807" spans="1:3">
      <c r="A1807" s="38" t="s">
        <v>773</v>
      </c>
      <c r="B1807" s="36">
        <v>0</v>
      </c>
      <c r="C1807" s="34">
        <v>38231</v>
      </c>
    </row>
    <row r="1808" spans="1:3">
      <c r="A1808" s="38" t="s">
        <v>777</v>
      </c>
      <c r="B1808" s="36">
        <v>0</v>
      </c>
      <c r="C1808" s="34">
        <v>38231</v>
      </c>
    </row>
    <row r="1809" spans="1:5">
      <c r="A1809" s="38" t="s">
        <v>774</v>
      </c>
      <c r="B1809" s="36">
        <v>73.650000000000006</v>
      </c>
      <c r="C1809" s="34">
        <v>38231</v>
      </c>
    </row>
    <row r="1810" spans="1:5">
      <c r="A1810" s="38" t="s">
        <v>775</v>
      </c>
      <c r="B1810" s="36">
        <v>825.97</v>
      </c>
      <c r="C1810" s="34">
        <v>38231</v>
      </c>
    </row>
    <row r="1811" spans="1:5">
      <c r="A1811" s="38" t="s">
        <v>744</v>
      </c>
      <c r="B1811" s="36">
        <v>294.61</v>
      </c>
      <c r="C1811" s="34">
        <v>38231</v>
      </c>
    </row>
    <row r="1812" spans="1:5">
      <c r="A1812" s="38" t="s">
        <v>587</v>
      </c>
      <c r="B1812" s="36">
        <v>0</v>
      </c>
      <c r="C1812" s="34">
        <v>38231</v>
      </c>
    </row>
    <row r="1813" spans="1:5">
      <c r="A1813" s="38" t="s">
        <v>749</v>
      </c>
      <c r="B1813" s="36">
        <v>2896.23</v>
      </c>
      <c r="C1813" s="34">
        <v>38231</v>
      </c>
    </row>
    <row r="1814" spans="1:5">
      <c r="A1814" s="38" t="s">
        <v>769</v>
      </c>
      <c r="B1814" s="36">
        <v>0</v>
      </c>
      <c r="C1814" s="34">
        <v>38231</v>
      </c>
    </row>
    <row r="1815" spans="1:5">
      <c r="A1815" s="38" t="s">
        <v>764</v>
      </c>
      <c r="B1815" s="36">
        <v>0</v>
      </c>
      <c r="C1815" s="34">
        <v>38231</v>
      </c>
    </row>
    <row r="1816" spans="1:5">
      <c r="A1816" s="38" t="s">
        <v>771</v>
      </c>
      <c r="B1816" s="36">
        <v>0</v>
      </c>
      <c r="C1816" s="34">
        <v>38231</v>
      </c>
    </row>
    <row r="1817" spans="1:5">
      <c r="A1817" s="38" t="s">
        <v>38</v>
      </c>
      <c r="B1817" s="36">
        <v>17484.187494022073</v>
      </c>
      <c r="C1817" s="34">
        <v>38231</v>
      </c>
    </row>
    <row r="1818" spans="1:5">
      <c r="A1818" s="38" t="s">
        <v>783</v>
      </c>
      <c r="B1818" s="36">
        <v>-25071.395416666699</v>
      </c>
      <c r="C1818" s="34">
        <v>38231</v>
      </c>
    </row>
    <row r="1819" spans="1:5">
      <c r="A1819" s="38" t="s">
        <v>747</v>
      </c>
      <c r="B1819" s="36">
        <v>-16858.209902015049</v>
      </c>
      <c r="C1819" s="34">
        <v>38231</v>
      </c>
    </row>
    <row r="1820" spans="1:5">
      <c r="A1820" s="38" t="s">
        <v>746</v>
      </c>
      <c r="B1820" s="36">
        <v>1839.55</v>
      </c>
      <c r="C1820" s="34">
        <v>38261</v>
      </c>
      <c r="D1820" s="38"/>
      <c r="E1820" s="36"/>
    </row>
    <row r="1821" spans="1:5">
      <c r="A1821" s="38" t="s">
        <v>778</v>
      </c>
      <c r="B1821" s="36">
        <v>0</v>
      </c>
      <c r="C1821" s="34">
        <v>38261</v>
      </c>
      <c r="D1821" s="38"/>
      <c r="E1821" s="36"/>
    </row>
    <row r="1822" spans="1:5">
      <c r="A1822" s="38" t="s">
        <v>763</v>
      </c>
      <c r="B1822" s="36">
        <v>0</v>
      </c>
      <c r="C1822" s="34">
        <v>38261</v>
      </c>
      <c r="D1822" s="38"/>
      <c r="E1822" s="36"/>
    </row>
    <row r="1823" spans="1:5">
      <c r="A1823" s="38" t="s">
        <v>760</v>
      </c>
      <c r="B1823" s="36">
        <v>0</v>
      </c>
      <c r="C1823" s="34">
        <v>38261</v>
      </c>
      <c r="D1823" s="38"/>
      <c r="E1823" s="36"/>
    </row>
    <row r="1824" spans="1:5">
      <c r="A1824" s="38" t="s">
        <v>781</v>
      </c>
      <c r="B1824" s="36">
        <v>4611.6099999999997</v>
      </c>
      <c r="C1824" s="34">
        <v>38261</v>
      </c>
      <c r="D1824" s="38"/>
      <c r="E1824" s="36"/>
    </row>
    <row r="1825" spans="1:5">
      <c r="A1825" s="38" t="s">
        <v>776</v>
      </c>
      <c r="B1825" s="36">
        <v>1626.82</v>
      </c>
      <c r="C1825" s="34">
        <v>38261</v>
      </c>
      <c r="D1825" s="38"/>
      <c r="E1825" s="36"/>
    </row>
    <row r="1826" spans="1:5">
      <c r="A1826" s="38" t="s">
        <v>759</v>
      </c>
      <c r="B1826" s="36">
        <v>148</v>
      </c>
      <c r="C1826" s="34">
        <v>38261</v>
      </c>
      <c r="D1826" s="38"/>
      <c r="E1826" s="36"/>
    </row>
    <row r="1827" spans="1:5">
      <c r="A1827" s="38" t="s">
        <v>757</v>
      </c>
      <c r="B1827" s="36">
        <v>403.3</v>
      </c>
      <c r="C1827" s="34">
        <v>38261</v>
      </c>
      <c r="D1827" s="38"/>
      <c r="E1827" s="36"/>
    </row>
    <row r="1828" spans="1:5">
      <c r="A1828" s="38" t="s">
        <v>779</v>
      </c>
      <c r="B1828" s="36">
        <v>118</v>
      </c>
      <c r="C1828" s="34">
        <v>38261</v>
      </c>
      <c r="D1828" s="38"/>
      <c r="E1828" s="36"/>
    </row>
    <row r="1829" spans="1:5">
      <c r="A1829" s="38" t="s">
        <v>758</v>
      </c>
      <c r="B1829" s="36">
        <v>254.9</v>
      </c>
      <c r="C1829" s="34">
        <v>38261</v>
      </c>
      <c r="D1829" s="38"/>
      <c r="E1829" s="36"/>
    </row>
    <row r="1830" spans="1:5">
      <c r="A1830" s="38" t="s">
        <v>780</v>
      </c>
      <c r="B1830" s="36">
        <v>0</v>
      </c>
      <c r="C1830" s="34">
        <v>38261</v>
      </c>
      <c r="D1830" s="38"/>
      <c r="E1830" s="36"/>
    </row>
    <row r="1831" spans="1:5">
      <c r="A1831" s="38" t="s">
        <v>773</v>
      </c>
      <c r="B1831" s="36">
        <v>148</v>
      </c>
      <c r="C1831" s="34">
        <v>38261</v>
      </c>
      <c r="D1831" s="38"/>
      <c r="E1831" s="36"/>
    </row>
    <row r="1832" spans="1:5">
      <c r="A1832" s="38" t="s">
        <v>784</v>
      </c>
      <c r="B1832" s="36">
        <v>200</v>
      </c>
      <c r="C1832" s="34">
        <v>38261</v>
      </c>
      <c r="D1832" s="38"/>
      <c r="E1832" s="36"/>
    </row>
    <row r="1833" spans="1:5">
      <c r="A1833" s="38" t="s">
        <v>777</v>
      </c>
      <c r="B1833" s="36">
        <v>0</v>
      </c>
      <c r="C1833" s="34">
        <v>38261</v>
      </c>
      <c r="D1833" s="38"/>
      <c r="E1833" s="36"/>
    </row>
    <row r="1834" spans="1:5">
      <c r="A1834" s="38" t="s">
        <v>774</v>
      </c>
      <c r="B1834" s="36">
        <v>0</v>
      </c>
      <c r="C1834" s="34">
        <v>38261</v>
      </c>
      <c r="D1834" s="38"/>
      <c r="E1834" s="36"/>
    </row>
    <row r="1835" spans="1:5">
      <c r="A1835" s="38" t="s">
        <v>775</v>
      </c>
      <c r="B1835" s="36">
        <v>772.47</v>
      </c>
      <c r="C1835" s="34">
        <v>38261</v>
      </c>
      <c r="D1835" s="38"/>
      <c r="E1835" s="36"/>
    </row>
    <row r="1836" spans="1:5">
      <c r="A1836" s="38" t="s">
        <v>744</v>
      </c>
      <c r="B1836" s="36">
        <v>620.61</v>
      </c>
      <c r="C1836" s="34">
        <v>38261</v>
      </c>
      <c r="D1836" s="38"/>
      <c r="E1836" s="36"/>
    </row>
    <row r="1837" spans="1:5">
      <c r="A1837" s="38" t="s">
        <v>587</v>
      </c>
      <c r="B1837" s="36">
        <v>0</v>
      </c>
      <c r="C1837" s="34">
        <v>38261</v>
      </c>
      <c r="D1837" s="38"/>
      <c r="E1837" s="36"/>
    </row>
    <row r="1838" spans="1:5">
      <c r="A1838" s="38" t="s">
        <v>749</v>
      </c>
      <c r="B1838" s="36">
        <v>4560.8</v>
      </c>
      <c r="C1838" s="34">
        <v>38261</v>
      </c>
      <c r="D1838" s="38"/>
      <c r="E1838" s="36"/>
    </row>
    <row r="1839" spans="1:5">
      <c r="A1839" s="38" t="s">
        <v>769</v>
      </c>
      <c r="B1839" s="36">
        <v>0</v>
      </c>
      <c r="C1839" s="34">
        <v>38261</v>
      </c>
      <c r="D1839" s="38"/>
      <c r="E1839" s="36"/>
    </row>
    <row r="1840" spans="1:5">
      <c r="A1840" s="38" t="s">
        <v>764</v>
      </c>
      <c r="B1840" s="36">
        <v>0</v>
      </c>
      <c r="C1840" s="34">
        <v>38261</v>
      </c>
      <c r="D1840" s="38"/>
      <c r="E1840" s="36"/>
    </row>
    <row r="1841" spans="1:5">
      <c r="A1841" s="38" t="s">
        <v>771</v>
      </c>
      <c r="B1841" s="36">
        <v>463.80821917808498</v>
      </c>
      <c r="C1841" s="34">
        <v>38261</v>
      </c>
      <c r="D1841" s="38"/>
      <c r="E1841" s="36"/>
    </row>
    <row r="1842" spans="1:5">
      <c r="A1842" s="38" t="s">
        <v>38</v>
      </c>
      <c r="B1842" s="36">
        <v>976.24242999916896</v>
      </c>
      <c r="C1842" s="34">
        <v>38261</v>
      </c>
      <c r="D1842" s="38"/>
      <c r="E1842" s="36"/>
    </row>
    <row r="1843" spans="1:5">
      <c r="A1843" s="38" t="s">
        <v>783</v>
      </c>
      <c r="B1843" s="36">
        <v>18475.28666666666</v>
      </c>
      <c r="C1843" s="34">
        <v>38261</v>
      </c>
      <c r="D1843" s="38"/>
      <c r="E1843" s="36"/>
    </row>
    <row r="1844" spans="1:5">
      <c r="A1844" s="38" t="s">
        <v>747</v>
      </c>
      <c r="B1844" s="36">
        <v>-4810.5922902077436</v>
      </c>
      <c r="C1844" s="34">
        <v>38261</v>
      </c>
      <c r="D1844" s="38"/>
      <c r="E1844" s="36"/>
    </row>
    <row r="1845" spans="1:5">
      <c r="A1845" s="38" t="s">
        <v>746</v>
      </c>
      <c r="B1845" s="36">
        <v>0</v>
      </c>
      <c r="C1845" s="34">
        <v>38292</v>
      </c>
    </row>
    <row r="1846" spans="1:5">
      <c r="A1846" s="38" t="s">
        <v>778</v>
      </c>
      <c r="B1846" s="36">
        <v>0</v>
      </c>
      <c r="C1846" s="34">
        <v>38292</v>
      </c>
    </row>
    <row r="1847" spans="1:5">
      <c r="A1847" s="38" t="s">
        <v>763</v>
      </c>
      <c r="B1847" s="36">
        <v>0</v>
      </c>
      <c r="C1847" s="34">
        <v>38292</v>
      </c>
    </row>
    <row r="1848" spans="1:5">
      <c r="A1848" s="38" t="s">
        <v>760</v>
      </c>
      <c r="B1848" s="36">
        <v>0</v>
      </c>
      <c r="C1848" s="34">
        <v>38292</v>
      </c>
    </row>
    <row r="1849" spans="1:5">
      <c r="A1849" s="38" t="s">
        <v>781</v>
      </c>
      <c r="B1849" s="36">
        <v>5836.11</v>
      </c>
      <c r="C1849" s="34">
        <v>38292</v>
      </c>
    </row>
    <row r="1850" spans="1:5">
      <c r="A1850" s="38" t="s">
        <v>776</v>
      </c>
      <c r="B1850" s="36">
        <v>829.94</v>
      </c>
      <c r="C1850" s="34">
        <v>38292</v>
      </c>
    </row>
    <row r="1851" spans="1:5">
      <c r="A1851" s="38" t="s">
        <v>759</v>
      </c>
      <c r="B1851" s="36">
        <v>0</v>
      </c>
      <c r="C1851" s="34">
        <v>38292</v>
      </c>
    </row>
    <row r="1852" spans="1:5">
      <c r="A1852" s="38" t="s">
        <v>757</v>
      </c>
      <c r="B1852" s="36">
        <v>122.61</v>
      </c>
      <c r="C1852" s="34">
        <v>38292</v>
      </c>
    </row>
    <row r="1853" spans="1:5">
      <c r="A1853" s="38" t="s">
        <v>779</v>
      </c>
      <c r="B1853" s="36">
        <v>0</v>
      </c>
      <c r="C1853" s="34">
        <v>38292</v>
      </c>
    </row>
    <row r="1854" spans="1:5">
      <c r="A1854" s="38" t="s">
        <v>758</v>
      </c>
      <c r="B1854" s="36">
        <v>0</v>
      </c>
      <c r="C1854" s="34">
        <v>38292</v>
      </c>
    </row>
    <row r="1855" spans="1:5">
      <c r="A1855" s="38" t="s">
        <v>780</v>
      </c>
      <c r="B1855" s="36">
        <v>0</v>
      </c>
      <c r="C1855" s="34">
        <v>38292</v>
      </c>
    </row>
    <row r="1856" spans="1:5">
      <c r="A1856" s="38" t="s">
        <v>773</v>
      </c>
      <c r="B1856" s="36">
        <v>0</v>
      </c>
      <c r="C1856" s="34">
        <v>38292</v>
      </c>
    </row>
    <row r="1857" spans="1:3">
      <c r="A1857" s="38" t="s">
        <v>784</v>
      </c>
      <c r="B1857" s="36">
        <v>0</v>
      </c>
      <c r="C1857" s="34">
        <v>38292</v>
      </c>
    </row>
    <row r="1858" spans="1:3">
      <c r="A1858" s="38" t="s">
        <v>777</v>
      </c>
      <c r="B1858" s="36">
        <v>0</v>
      </c>
      <c r="C1858" s="34">
        <v>38292</v>
      </c>
    </row>
    <row r="1859" spans="1:3">
      <c r="A1859" s="38" t="s">
        <v>774</v>
      </c>
      <c r="B1859" s="36">
        <v>14.65</v>
      </c>
      <c r="C1859" s="34">
        <v>38292</v>
      </c>
    </row>
    <row r="1860" spans="1:3">
      <c r="A1860" s="38" t="s">
        <v>775</v>
      </c>
      <c r="B1860" s="36">
        <v>819.73</v>
      </c>
      <c r="C1860" s="34">
        <v>38292</v>
      </c>
    </row>
    <row r="1861" spans="1:3">
      <c r="A1861" s="38" t="s">
        <v>744</v>
      </c>
      <c r="B1861" s="36">
        <v>322.14999999999998</v>
      </c>
      <c r="C1861" s="34">
        <v>38292</v>
      </c>
    </row>
    <row r="1862" spans="1:3">
      <c r="A1862" s="38" t="s">
        <v>749</v>
      </c>
      <c r="B1862" s="36">
        <v>2996.74</v>
      </c>
      <c r="C1862" s="34">
        <v>38292</v>
      </c>
    </row>
    <row r="1863" spans="1:3">
      <c r="A1863" s="38" t="s">
        <v>764</v>
      </c>
      <c r="B1863" s="36">
        <v>0</v>
      </c>
      <c r="C1863" s="34">
        <v>38292</v>
      </c>
    </row>
    <row r="1864" spans="1:3">
      <c r="A1864" s="38" t="s">
        <v>771</v>
      </c>
      <c r="B1864" s="36">
        <v>0</v>
      </c>
      <c r="C1864" s="34">
        <v>38292</v>
      </c>
    </row>
    <row r="1865" spans="1:3">
      <c r="A1865" s="38" t="s">
        <v>38</v>
      </c>
      <c r="B1865" s="36">
        <v>0</v>
      </c>
      <c r="C1865" s="34">
        <v>38292</v>
      </c>
    </row>
    <row r="1866" spans="1:3">
      <c r="A1866" s="38" t="s">
        <v>747</v>
      </c>
      <c r="B1866" s="36">
        <v>0</v>
      </c>
      <c r="C1866" s="34">
        <v>38292</v>
      </c>
    </row>
    <row r="1867" spans="1:3">
      <c r="A1867" s="38" t="s">
        <v>746</v>
      </c>
      <c r="B1867" s="36">
        <v>1475.9</v>
      </c>
      <c r="C1867" s="34">
        <v>38322</v>
      </c>
    </row>
    <row r="1868" spans="1:3">
      <c r="A1868" s="38" t="s">
        <v>778</v>
      </c>
      <c r="B1868" s="36">
        <v>0</v>
      </c>
      <c r="C1868" s="34">
        <v>38322</v>
      </c>
    </row>
    <row r="1869" spans="1:3">
      <c r="A1869" s="38" t="s">
        <v>763</v>
      </c>
      <c r="B1869" s="36">
        <v>0</v>
      </c>
      <c r="C1869" s="34">
        <v>38322</v>
      </c>
    </row>
    <row r="1870" spans="1:3">
      <c r="A1870" s="38" t="s">
        <v>760</v>
      </c>
      <c r="B1870" s="36">
        <v>0</v>
      </c>
      <c r="C1870" s="34">
        <v>38322</v>
      </c>
    </row>
    <row r="1871" spans="1:3">
      <c r="A1871" s="38" t="s">
        <v>781</v>
      </c>
      <c r="B1871" s="36">
        <v>4778.32</v>
      </c>
      <c r="C1871" s="34">
        <v>38322</v>
      </c>
    </row>
    <row r="1872" spans="1:3">
      <c r="A1872" s="38" t="s">
        <v>776</v>
      </c>
      <c r="B1872" s="36">
        <v>558.64</v>
      </c>
      <c r="C1872" s="34">
        <v>38322</v>
      </c>
    </row>
    <row r="1873" spans="1:3">
      <c r="A1873" s="38" t="s">
        <v>759</v>
      </c>
      <c r="B1873" s="36">
        <v>171.8</v>
      </c>
      <c r="C1873" s="34">
        <v>38322</v>
      </c>
    </row>
    <row r="1874" spans="1:3">
      <c r="A1874" s="38" t="s">
        <v>757</v>
      </c>
      <c r="B1874" s="36">
        <v>464.94</v>
      </c>
      <c r="C1874" s="34">
        <v>38322</v>
      </c>
    </row>
    <row r="1875" spans="1:3">
      <c r="A1875" s="38" t="s">
        <v>779</v>
      </c>
      <c r="B1875" s="36">
        <v>232.5</v>
      </c>
      <c r="C1875" s="34">
        <v>38322</v>
      </c>
    </row>
    <row r="1876" spans="1:3">
      <c r="A1876" s="38" t="s">
        <v>758</v>
      </c>
      <c r="B1876" s="36">
        <v>172</v>
      </c>
      <c r="C1876" s="34">
        <v>38322</v>
      </c>
    </row>
    <row r="1877" spans="1:3">
      <c r="A1877" s="38" t="s">
        <v>780</v>
      </c>
      <c r="B1877" s="36">
        <v>0</v>
      </c>
      <c r="C1877" s="34">
        <v>38322</v>
      </c>
    </row>
    <row r="1878" spans="1:3">
      <c r="A1878" s="38" t="s">
        <v>773</v>
      </c>
      <c r="B1878" s="36">
        <v>0</v>
      </c>
      <c r="C1878" s="34">
        <v>38322</v>
      </c>
    </row>
    <row r="1879" spans="1:3">
      <c r="A1879" s="38" t="s">
        <v>784</v>
      </c>
      <c r="B1879" s="36">
        <v>0</v>
      </c>
      <c r="C1879" s="34">
        <v>38322</v>
      </c>
    </row>
    <row r="1880" spans="1:3">
      <c r="A1880" s="38" t="s">
        <v>777</v>
      </c>
      <c r="B1880" s="36">
        <v>0</v>
      </c>
      <c r="C1880" s="34">
        <v>38322</v>
      </c>
    </row>
    <row r="1881" spans="1:3">
      <c r="A1881" s="38" t="s">
        <v>774</v>
      </c>
      <c r="B1881" s="36">
        <v>0</v>
      </c>
      <c r="C1881" s="34">
        <v>38322</v>
      </c>
    </row>
    <row r="1882" spans="1:3">
      <c r="A1882" s="38" t="s">
        <v>775</v>
      </c>
      <c r="B1882" s="36">
        <v>753.31</v>
      </c>
      <c r="C1882" s="34">
        <v>38322</v>
      </c>
    </row>
    <row r="1883" spans="1:3">
      <c r="A1883" s="38" t="s">
        <v>744</v>
      </c>
      <c r="B1883" s="36">
        <v>936</v>
      </c>
      <c r="C1883" s="34">
        <v>38322</v>
      </c>
    </row>
    <row r="1884" spans="1:3">
      <c r="A1884" s="38" t="s">
        <v>749</v>
      </c>
      <c r="B1884" s="36">
        <v>2128.61</v>
      </c>
      <c r="C1884" s="34">
        <v>38322</v>
      </c>
    </row>
    <row r="1885" spans="1:3">
      <c r="A1885" s="38" t="s">
        <v>764</v>
      </c>
      <c r="B1885" s="36">
        <v>0</v>
      </c>
      <c r="C1885" s="34">
        <v>38322</v>
      </c>
    </row>
    <row r="1886" spans="1:3">
      <c r="A1886" s="38" t="s">
        <v>771</v>
      </c>
      <c r="B1886" s="36">
        <v>-159715.50684931508</v>
      </c>
      <c r="C1886" s="34">
        <v>38322</v>
      </c>
    </row>
    <row r="1887" spans="1:3">
      <c r="A1887" s="38" t="s">
        <v>38</v>
      </c>
      <c r="B1887" s="36">
        <v>260223.28809843026</v>
      </c>
      <c r="C1887" s="34">
        <v>38322</v>
      </c>
    </row>
    <row r="1888" spans="1:3">
      <c r="A1888" s="38" t="s">
        <v>747</v>
      </c>
      <c r="B1888" s="36">
        <v>-948.61218694224954</v>
      </c>
      <c r="C1888" s="34">
        <v>38322</v>
      </c>
    </row>
    <row r="1889" spans="1:3">
      <c r="A1889" s="38" t="s">
        <v>781</v>
      </c>
      <c r="B1889" s="36">
        <v>3725.78</v>
      </c>
      <c r="C1889" s="34">
        <v>38353</v>
      </c>
    </row>
    <row r="1890" spans="1:3">
      <c r="A1890" s="38" t="s">
        <v>776</v>
      </c>
      <c r="B1890" s="36">
        <v>1157.3699999999999</v>
      </c>
      <c r="C1890" s="34">
        <v>38353</v>
      </c>
    </row>
    <row r="1891" spans="1:3">
      <c r="A1891" s="38" t="s">
        <v>759</v>
      </c>
      <c r="B1891" s="36">
        <v>17</v>
      </c>
      <c r="C1891" s="34">
        <v>38353</v>
      </c>
    </row>
    <row r="1892" spans="1:3">
      <c r="A1892" s="38" t="s">
        <v>757</v>
      </c>
      <c r="B1892" s="36">
        <v>167.46</v>
      </c>
      <c r="C1892" s="34">
        <v>38353</v>
      </c>
    </row>
    <row r="1893" spans="1:3">
      <c r="A1893" s="38" t="s">
        <v>779</v>
      </c>
      <c r="B1893" s="36">
        <v>636.4</v>
      </c>
      <c r="C1893" s="34">
        <v>38353</v>
      </c>
    </row>
    <row r="1894" spans="1:3">
      <c r="A1894" s="38" t="s">
        <v>758</v>
      </c>
      <c r="B1894" s="36">
        <v>18</v>
      </c>
      <c r="C1894" s="34">
        <v>38353</v>
      </c>
    </row>
    <row r="1895" spans="1:3">
      <c r="A1895" s="38" t="s">
        <v>780</v>
      </c>
      <c r="B1895" s="36">
        <v>0</v>
      </c>
      <c r="C1895" s="34">
        <v>38353</v>
      </c>
    </row>
    <row r="1896" spans="1:3">
      <c r="A1896" s="38" t="s">
        <v>773</v>
      </c>
      <c r="B1896" s="36">
        <v>17</v>
      </c>
      <c r="C1896" s="34">
        <v>38353</v>
      </c>
    </row>
    <row r="1897" spans="1:3">
      <c r="A1897" s="38" t="s">
        <v>784</v>
      </c>
      <c r="B1897" s="36">
        <v>282.60000000000002</v>
      </c>
      <c r="C1897" s="34">
        <v>38353</v>
      </c>
    </row>
    <row r="1898" spans="1:3">
      <c r="A1898" s="38" t="s">
        <v>777</v>
      </c>
      <c r="B1898" s="36">
        <v>0</v>
      </c>
      <c r="C1898" s="34">
        <v>38353</v>
      </c>
    </row>
    <row r="1899" spans="1:3">
      <c r="A1899" s="38" t="s">
        <v>774</v>
      </c>
      <c r="B1899" s="36">
        <v>14.65</v>
      </c>
      <c r="C1899" s="34">
        <v>38353</v>
      </c>
    </row>
    <row r="1900" spans="1:3">
      <c r="A1900" s="38" t="s">
        <v>775</v>
      </c>
      <c r="B1900" s="36">
        <v>968.33</v>
      </c>
      <c r="C1900" s="34">
        <v>38353</v>
      </c>
    </row>
    <row r="1901" spans="1:3">
      <c r="A1901" s="38" t="s">
        <v>744</v>
      </c>
      <c r="B1901" s="36">
        <v>736.35</v>
      </c>
      <c r="C1901" s="34">
        <v>38353</v>
      </c>
    </row>
    <row r="1902" spans="1:3">
      <c r="A1902" s="38" t="s">
        <v>749</v>
      </c>
      <c r="B1902" s="36">
        <v>2368.02</v>
      </c>
      <c r="C1902" s="34">
        <v>38353</v>
      </c>
    </row>
    <row r="1903" spans="1:3">
      <c r="A1903" s="38" t="s">
        <v>764</v>
      </c>
      <c r="B1903" s="36">
        <v>0</v>
      </c>
      <c r="C1903" s="34">
        <v>38353</v>
      </c>
    </row>
    <row r="1904" spans="1:3">
      <c r="A1904" s="38" t="s">
        <v>771</v>
      </c>
      <c r="B1904" s="36">
        <v>0</v>
      </c>
      <c r="C1904" s="34">
        <v>38353</v>
      </c>
    </row>
    <row r="1905" spans="1:3">
      <c r="A1905" s="38" t="s">
        <v>38</v>
      </c>
      <c r="B1905" s="36">
        <v>2591.3495664456859</v>
      </c>
      <c r="C1905" s="34">
        <v>38353</v>
      </c>
    </row>
    <row r="1906" spans="1:3">
      <c r="A1906" s="38" t="s">
        <v>783</v>
      </c>
      <c r="B1906" s="36">
        <v>0</v>
      </c>
      <c r="C1906" s="34">
        <v>38353</v>
      </c>
    </row>
    <row r="1907" spans="1:3">
      <c r="A1907" s="38" t="s">
        <v>747</v>
      </c>
      <c r="B1907" s="36">
        <v>-8990.6765955246519</v>
      </c>
      <c r="C1907" s="34">
        <v>38353</v>
      </c>
    </row>
    <row r="1908" spans="1:3">
      <c r="A1908" s="38" t="s">
        <v>746</v>
      </c>
      <c r="B1908" s="36">
        <v>0</v>
      </c>
      <c r="C1908" s="34">
        <v>38384</v>
      </c>
    </row>
    <row r="1909" spans="1:3">
      <c r="A1909" s="38" t="s">
        <v>778</v>
      </c>
      <c r="B1909" s="36">
        <v>0</v>
      </c>
      <c r="C1909" s="34">
        <v>38384</v>
      </c>
    </row>
    <row r="1910" spans="1:3">
      <c r="A1910" s="38" t="s">
        <v>763</v>
      </c>
      <c r="B1910" s="36">
        <v>0</v>
      </c>
      <c r="C1910" s="34">
        <v>38384</v>
      </c>
    </row>
    <row r="1911" spans="1:3">
      <c r="A1911" s="38" t="s">
        <v>760</v>
      </c>
      <c r="B1911" s="36">
        <v>0</v>
      </c>
      <c r="C1911" s="34">
        <v>38384</v>
      </c>
    </row>
    <row r="1912" spans="1:3">
      <c r="A1912" s="38" t="s">
        <v>781</v>
      </c>
      <c r="B1912" s="36">
        <v>5435.55</v>
      </c>
      <c r="C1912" s="34">
        <v>38384</v>
      </c>
    </row>
    <row r="1913" spans="1:3">
      <c r="A1913" s="38" t="s">
        <v>776</v>
      </c>
      <c r="B1913" s="36">
        <v>662.09</v>
      </c>
      <c r="C1913" s="34">
        <v>38384</v>
      </c>
    </row>
    <row r="1914" spans="1:3">
      <c r="A1914" s="38" t="s">
        <v>759</v>
      </c>
      <c r="B1914" s="36">
        <v>171.1</v>
      </c>
      <c r="C1914" s="34">
        <v>38384</v>
      </c>
    </row>
    <row r="1915" spans="1:3">
      <c r="A1915" s="38" t="s">
        <v>757</v>
      </c>
      <c r="B1915" s="36">
        <v>49.1</v>
      </c>
      <c r="C1915" s="34">
        <v>38384</v>
      </c>
    </row>
    <row r="1916" spans="1:3">
      <c r="A1916" s="38" t="s">
        <v>779</v>
      </c>
      <c r="B1916" s="36">
        <v>0</v>
      </c>
      <c r="C1916" s="34">
        <v>38384</v>
      </c>
    </row>
    <row r="1917" spans="1:3">
      <c r="A1917" s="38" t="s">
        <v>758</v>
      </c>
      <c r="B1917" s="36">
        <v>208.4</v>
      </c>
      <c r="C1917" s="34">
        <v>38384</v>
      </c>
    </row>
    <row r="1918" spans="1:3">
      <c r="A1918" s="38" t="s">
        <v>780</v>
      </c>
      <c r="B1918" s="36">
        <v>0</v>
      </c>
      <c r="C1918" s="34">
        <v>38384</v>
      </c>
    </row>
    <row r="1919" spans="1:3">
      <c r="A1919" s="38" t="s">
        <v>773</v>
      </c>
      <c r="B1919" s="36">
        <v>598.1</v>
      </c>
      <c r="C1919" s="34">
        <v>38384</v>
      </c>
    </row>
    <row r="1920" spans="1:3">
      <c r="A1920" s="38" t="s">
        <v>784</v>
      </c>
      <c r="B1920" s="36">
        <v>132.30000000000001</v>
      </c>
      <c r="C1920" s="34">
        <v>38384</v>
      </c>
    </row>
    <row r="1921" spans="1:3">
      <c r="A1921" s="38" t="s">
        <v>777</v>
      </c>
      <c r="B1921" s="36">
        <v>0</v>
      </c>
      <c r="C1921" s="34">
        <v>38384</v>
      </c>
    </row>
    <row r="1922" spans="1:3">
      <c r="A1922" s="38" t="s">
        <v>774</v>
      </c>
      <c r="B1922" s="36">
        <v>0</v>
      </c>
      <c r="C1922" s="34">
        <v>38384</v>
      </c>
    </row>
    <row r="1923" spans="1:3">
      <c r="A1923" s="38" t="s">
        <v>775</v>
      </c>
      <c r="B1923" s="36">
        <v>566.58000000000004</v>
      </c>
      <c r="C1923" s="34">
        <v>38384</v>
      </c>
    </row>
    <row r="1924" spans="1:3">
      <c r="A1924" s="38" t="s">
        <v>744</v>
      </c>
      <c r="B1924" s="36">
        <v>589.37</v>
      </c>
      <c r="C1924" s="34">
        <v>38384</v>
      </c>
    </row>
    <row r="1925" spans="1:3">
      <c r="A1925" s="38" t="s">
        <v>749</v>
      </c>
      <c r="B1925" s="36">
        <v>2283.4899999999998</v>
      </c>
      <c r="C1925" s="34">
        <v>38384</v>
      </c>
    </row>
    <row r="1926" spans="1:3">
      <c r="A1926" s="38" t="s">
        <v>764</v>
      </c>
      <c r="B1926" s="36">
        <v>0</v>
      </c>
      <c r="C1926" s="34">
        <v>38384</v>
      </c>
    </row>
    <row r="1927" spans="1:3">
      <c r="A1927" s="38" t="s">
        <v>771</v>
      </c>
      <c r="B1927" s="36">
        <v>0</v>
      </c>
      <c r="C1927" s="34">
        <v>38384</v>
      </c>
    </row>
    <row r="1928" spans="1:3">
      <c r="A1928" s="38" t="s">
        <v>38</v>
      </c>
      <c r="B1928" s="36">
        <v>4145.8055120969657</v>
      </c>
      <c r="C1928" s="34">
        <v>38384</v>
      </c>
    </row>
    <row r="1929" spans="1:3">
      <c r="A1929" s="38" t="s">
        <v>783</v>
      </c>
      <c r="B1929" s="36">
        <v>0</v>
      </c>
      <c r="C1929" s="34">
        <v>38384</v>
      </c>
    </row>
    <row r="1930" spans="1:3">
      <c r="A1930" s="38" t="s">
        <v>747</v>
      </c>
      <c r="B1930" s="36">
        <v>894.57307672523893</v>
      </c>
      <c r="C1930" s="34">
        <v>38384</v>
      </c>
    </row>
    <row r="1931" spans="1:3">
      <c r="A1931" s="38" t="s">
        <v>746</v>
      </c>
      <c r="B1931" s="36">
        <v>3085.88</v>
      </c>
      <c r="C1931" s="34">
        <v>38412</v>
      </c>
    </row>
    <row r="1932" spans="1:3">
      <c r="A1932" s="38" t="s">
        <v>778</v>
      </c>
      <c r="B1932" s="36">
        <v>0</v>
      </c>
      <c r="C1932" s="34">
        <v>38412</v>
      </c>
    </row>
    <row r="1933" spans="1:3">
      <c r="A1933" s="38" t="s">
        <v>763</v>
      </c>
      <c r="B1933" s="36">
        <v>0</v>
      </c>
      <c r="C1933" s="34">
        <v>38412</v>
      </c>
    </row>
    <row r="1934" spans="1:3">
      <c r="A1934" s="38" t="s">
        <v>760</v>
      </c>
      <c r="B1934" s="36">
        <v>0</v>
      </c>
      <c r="C1934" s="34">
        <v>38412</v>
      </c>
    </row>
    <row r="1935" spans="1:3">
      <c r="A1935" s="38" t="s">
        <v>781</v>
      </c>
      <c r="B1935" s="36">
        <v>3898</v>
      </c>
      <c r="C1935" s="34">
        <v>38412</v>
      </c>
    </row>
    <row r="1936" spans="1:3">
      <c r="A1936" s="38" t="s">
        <v>776</v>
      </c>
      <c r="B1936" s="36">
        <v>940.16</v>
      </c>
      <c r="C1936" s="34">
        <v>38412</v>
      </c>
    </row>
    <row r="1937" spans="1:3">
      <c r="A1937" s="38" t="s">
        <v>759</v>
      </c>
      <c r="B1937" s="36">
        <v>0</v>
      </c>
      <c r="C1937" s="34">
        <v>38412</v>
      </c>
    </row>
    <row r="1938" spans="1:3">
      <c r="A1938" s="38" t="s">
        <v>757</v>
      </c>
      <c r="B1938" s="36">
        <v>85.21</v>
      </c>
      <c r="C1938" s="34">
        <v>38412</v>
      </c>
    </row>
    <row r="1939" spans="1:3">
      <c r="A1939" s="38" t="s">
        <v>779</v>
      </c>
      <c r="B1939" s="36">
        <v>123</v>
      </c>
      <c r="C1939" s="34">
        <v>38412</v>
      </c>
    </row>
    <row r="1940" spans="1:3">
      <c r="A1940" s="38" t="s">
        <v>758</v>
      </c>
      <c r="B1940" s="36">
        <v>86</v>
      </c>
      <c r="C1940" s="34">
        <v>38412</v>
      </c>
    </row>
    <row r="1941" spans="1:3">
      <c r="A1941" s="38" t="s">
        <v>780</v>
      </c>
      <c r="B1941" s="36">
        <v>0</v>
      </c>
      <c r="C1941" s="34">
        <v>38412</v>
      </c>
    </row>
    <row r="1942" spans="1:3">
      <c r="A1942" s="38" t="s">
        <v>773</v>
      </c>
      <c r="B1942" s="36">
        <v>30</v>
      </c>
      <c r="C1942" s="34">
        <v>38412</v>
      </c>
    </row>
    <row r="1943" spans="1:3">
      <c r="A1943" s="38" t="s">
        <v>784</v>
      </c>
      <c r="B1943" s="36">
        <v>0</v>
      </c>
      <c r="C1943" s="34">
        <v>38412</v>
      </c>
    </row>
    <row r="1944" spans="1:3">
      <c r="A1944" s="38" t="s">
        <v>777</v>
      </c>
      <c r="B1944" s="36">
        <v>0</v>
      </c>
      <c r="C1944" s="34">
        <v>38412</v>
      </c>
    </row>
    <row r="1945" spans="1:3">
      <c r="A1945" s="38" t="s">
        <v>774</v>
      </c>
      <c r="B1945" s="36">
        <v>0</v>
      </c>
      <c r="C1945" s="34">
        <v>38412</v>
      </c>
    </row>
    <row r="1946" spans="1:3">
      <c r="A1946" s="38" t="s">
        <v>775</v>
      </c>
      <c r="B1946" s="36">
        <v>553.17999999999995</v>
      </c>
      <c r="C1946" s="34">
        <v>38412</v>
      </c>
    </row>
    <row r="1947" spans="1:3">
      <c r="A1947" s="38" t="s">
        <v>744</v>
      </c>
      <c r="B1947" s="36">
        <v>539.24</v>
      </c>
      <c r="C1947" s="34">
        <v>38412</v>
      </c>
    </row>
    <row r="1948" spans="1:3">
      <c r="A1948" s="38" t="s">
        <v>749</v>
      </c>
      <c r="B1948" s="36">
        <v>3184.74</v>
      </c>
      <c r="C1948" s="34">
        <v>38412</v>
      </c>
    </row>
    <row r="1949" spans="1:3">
      <c r="A1949" s="38" t="s">
        <v>764</v>
      </c>
      <c r="B1949" s="36">
        <v>0</v>
      </c>
      <c r="C1949" s="34">
        <v>38412</v>
      </c>
    </row>
    <row r="1950" spans="1:3">
      <c r="A1950" s="38" t="s">
        <v>771</v>
      </c>
      <c r="B1950" s="36">
        <v>0</v>
      </c>
      <c r="C1950" s="34">
        <v>38412</v>
      </c>
    </row>
    <row r="1951" spans="1:3">
      <c r="A1951" s="38" t="s">
        <v>38</v>
      </c>
      <c r="B1951" s="36">
        <v>1246.1964218099602</v>
      </c>
      <c r="C1951" s="34">
        <v>38412</v>
      </c>
    </row>
    <row r="1952" spans="1:3">
      <c r="A1952" s="38" t="s">
        <v>783</v>
      </c>
      <c r="B1952" s="36">
        <v>0</v>
      </c>
      <c r="C1952" s="34">
        <v>38412</v>
      </c>
    </row>
    <row r="1953" spans="1:3">
      <c r="A1953" s="38" t="s">
        <v>747</v>
      </c>
      <c r="B1953" s="36">
        <v>-10360.347051771125</v>
      </c>
      <c r="C1953" s="34">
        <v>38412</v>
      </c>
    </row>
    <row r="1954" spans="1:3">
      <c r="A1954" s="38" t="s">
        <v>746</v>
      </c>
      <c r="B1954" s="36">
        <v>0</v>
      </c>
      <c r="C1954" s="34">
        <v>38443</v>
      </c>
    </row>
    <row r="1955" spans="1:3">
      <c r="A1955" s="38" t="s">
        <v>778</v>
      </c>
      <c r="B1955" s="36">
        <v>0</v>
      </c>
      <c r="C1955" s="34">
        <v>38443</v>
      </c>
    </row>
    <row r="1956" spans="1:3">
      <c r="A1956" s="38" t="s">
        <v>763</v>
      </c>
      <c r="B1956" s="36">
        <v>0</v>
      </c>
      <c r="C1956" s="34">
        <v>38443</v>
      </c>
    </row>
    <row r="1957" spans="1:3">
      <c r="A1957" s="38" t="s">
        <v>760</v>
      </c>
      <c r="B1957" s="36">
        <v>0</v>
      </c>
      <c r="C1957" s="34">
        <v>38443</v>
      </c>
    </row>
    <row r="1958" spans="1:3">
      <c r="A1958" s="38" t="s">
        <v>781</v>
      </c>
      <c r="B1958" s="36">
        <v>2273.92</v>
      </c>
      <c r="C1958" s="34">
        <v>38443</v>
      </c>
    </row>
    <row r="1959" spans="1:3">
      <c r="A1959" s="38" t="s">
        <v>776</v>
      </c>
      <c r="B1959" s="36">
        <v>0</v>
      </c>
      <c r="C1959" s="34">
        <v>38443</v>
      </c>
    </row>
    <row r="1960" spans="1:3">
      <c r="A1960" s="38" t="s">
        <v>759</v>
      </c>
      <c r="B1960" s="36">
        <v>0</v>
      </c>
      <c r="C1960" s="34">
        <v>38443</v>
      </c>
    </row>
    <row r="1961" spans="1:3">
      <c r="A1961" s="38" t="s">
        <v>757</v>
      </c>
      <c r="B1961" s="36">
        <v>130.19999999999999</v>
      </c>
      <c r="C1961" s="34">
        <v>38443</v>
      </c>
    </row>
    <row r="1962" spans="1:3">
      <c r="A1962" s="38" t="s">
        <v>779</v>
      </c>
      <c r="B1962" s="36">
        <v>0</v>
      </c>
      <c r="C1962" s="34">
        <v>38443</v>
      </c>
    </row>
    <row r="1963" spans="1:3">
      <c r="A1963" s="38" t="s">
        <v>758</v>
      </c>
      <c r="B1963" s="36">
        <v>86</v>
      </c>
      <c r="C1963" s="34">
        <v>38443</v>
      </c>
    </row>
    <row r="1964" spans="1:3">
      <c r="A1964" s="38" t="s">
        <v>780</v>
      </c>
      <c r="B1964" s="36">
        <v>0</v>
      </c>
      <c r="C1964" s="34">
        <v>38443</v>
      </c>
    </row>
    <row r="1965" spans="1:3">
      <c r="A1965" s="38" t="s">
        <v>773</v>
      </c>
      <c r="B1965" s="36">
        <v>0</v>
      </c>
      <c r="C1965" s="34">
        <v>38443</v>
      </c>
    </row>
    <row r="1966" spans="1:3">
      <c r="A1966" s="38" t="s">
        <v>784</v>
      </c>
      <c r="B1966" s="36">
        <v>0</v>
      </c>
      <c r="C1966" s="34">
        <v>38443</v>
      </c>
    </row>
    <row r="1967" spans="1:3">
      <c r="A1967" s="38" t="s">
        <v>777</v>
      </c>
      <c r="B1967" s="36">
        <v>0</v>
      </c>
      <c r="C1967" s="34">
        <v>38443</v>
      </c>
    </row>
    <row r="1968" spans="1:3">
      <c r="A1968" s="38" t="s">
        <v>774</v>
      </c>
      <c r="B1968" s="36">
        <v>0</v>
      </c>
      <c r="C1968" s="34">
        <v>38443</v>
      </c>
    </row>
    <row r="1969" spans="1:3">
      <c r="A1969" s="38" t="s">
        <v>775</v>
      </c>
      <c r="B1969" s="36">
        <v>643.78</v>
      </c>
      <c r="C1969" s="34">
        <v>38443</v>
      </c>
    </row>
    <row r="1970" spans="1:3">
      <c r="A1970" s="38" t="s">
        <v>744</v>
      </c>
      <c r="B1970" s="36">
        <v>456.09</v>
      </c>
      <c r="C1970" s="34">
        <v>38443</v>
      </c>
    </row>
    <row r="1971" spans="1:3">
      <c r="A1971" s="38" t="s">
        <v>749</v>
      </c>
      <c r="B1971" s="36">
        <v>4310.72</v>
      </c>
      <c r="C1971" s="34">
        <v>38443</v>
      </c>
    </row>
    <row r="1972" spans="1:3">
      <c r="A1972" s="38" t="s">
        <v>764</v>
      </c>
      <c r="B1972" s="36">
        <v>0</v>
      </c>
      <c r="C1972" s="34">
        <v>38443</v>
      </c>
    </row>
    <row r="1973" spans="1:3">
      <c r="A1973" s="38" t="s">
        <v>771</v>
      </c>
      <c r="B1973" s="36">
        <v>0</v>
      </c>
      <c r="C1973" s="34">
        <v>38443</v>
      </c>
    </row>
    <row r="1974" spans="1:3">
      <c r="A1974" s="38" t="s">
        <v>38</v>
      </c>
      <c r="B1974" s="36">
        <v>3581.9992459241766</v>
      </c>
      <c r="C1974" s="34">
        <v>38443</v>
      </c>
    </row>
    <row r="1975" spans="1:3">
      <c r="A1975" s="38" t="s">
        <v>783</v>
      </c>
      <c r="B1975" s="36">
        <v>0</v>
      </c>
      <c r="C1975" s="34">
        <v>38443</v>
      </c>
    </row>
    <row r="1976" spans="1:3">
      <c r="A1976" s="38" t="s">
        <v>747</v>
      </c>
      <c r="B1976" s="36">
        <v>-2556.0804573707283</v>
      </c>
      <c r="C1976" s="34">
        <v>38443</v>
      </c>
    </row>
  </sheetData>
  <autoFilter ref="A1:C1696" xr:uid="{00000000-0009-0000-0000-000007000000}"/>
  <phoneticPr fontId="0" type="noConversion"/>
  <printOptions horizontalCentered="1" verticalCentered="1"/>
  <pageMargins left="0.75" right="0.75" top="1" bottom="1" header="0" footer="0"/>
  <pageSetup paperSize="9" orientation="portrait" horizontalDpi="4294967292" verticalDpi="144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DF4E09-19E4-4DA0-94F7-5D810D93E3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2</vt:i4>
      </vt:variant>
    </vt:vector>
  </HeadingPairs>
  <TitlesOfParts>
    <vt:vector size="12" baseType="lpstr">
      <vt:lpstr>RESUMEN CHART</vt:lpstr>
      <vt:lpstr>resumen</vt:lpstr>
      <vt:lpstr>UVA</vt:lpstr>
      <vt:lpstr>CARTERA</vt:lpstr>
      <vt:lpstr>POR VTO.</vt:lpstr>
      <vt:lpstr>PF ANTERIORES $</vt:lpstr>
      <vt:lpstr>POR BANC</vt:lpstr>
      <vt:lpstr> PF ANTERIORES U$S</vt:lpstr>
      <vt:lpstr>Hoja1</vt:lpstr>
      <vt:lpstr>RES.ANT.</vt:lpstr>
      <vt:lpstr>CARTERA!Área_de_impresión</vt:lpstr>
      <vt:lpstr>resumen!Área_de_impresión</vt:lpstr>
    </vt:vector>
  </TitlesOfParts>
  <Manager/>
  <Company>inversores integrados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arturo  arona</dc:creator>
  <cp:keywords/>
  <dc:description/>
  <cp:lastModifiedBy>arturo arona</cp:lastModifiedBy>
  <cp:revision/>
  <dcterms:created xsi:type="dcterms:W3CDTF">2002-07-15T15:36:00Z</dcterms:created>
  <dcterms:modified xsi:type="dcterms:W3CDTF">2025-11-03T17:04:09Z</dcterms:modified>
  <cp:category/>
  <cp:contentStatus/>
</cp:coreProperties>
</file>